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0" yWindow="0" windowWidth="11520" windowHeight="12360" tabRatio="602" firstSheet="0" activeTab="1" autoFilterDateGrouping="1"/>
  </bookViews>
  <sheets>
    <sheet name="ТОРМОЗ" sheetId="1" state="visible" r:id="rId1"/>
    <sheet name="ПНЕВМАТИКА" sheetId="2" state="visible" r:id="rId2"/>
    <sheet name="АВТОВИК" sheetId="3" state="hidden" r:id="rId3"/>
    <sheet name="АВТОВИК_разбивка" sheetId="4" state="hidden" r:id="rId4"/>
    <sheet name="БАЗА" sheetId="5" state="visible" r:id="rId5"/>
    <sheet name="S_ВСЕ" sheetId="6" state="visible" r:id="rId6"/>
    <sheet name="#ПНЕВМАТИКА_2026" sheetId="7" state="visible" r:id="rId7"/>
    <sheet name="#ТОРМОЗ_2026" sheetId="8" state="visible" r:id="rId8"/>
  </sheets>
  <definedNames>
    <definedName name="ЕВРО">ПНЕВМАТИКА!$A$1</definedName>
    <definedName name="ЕВРО_2025_08_29">93.49</definedName>
    <definedName name="НДС">1.22</definedName>
    <definedName name="НДС_20">1.2</definedName>
    <definedName name="Список_артикулов">База[Артикул]</definedName>
    <definedName name="Список_комплектов">Комплекты[Комплект]</definedName>
    <definedName name="Список_Сводная_Пневматика_2026">Пневматика_СВОДНАЯ_2026[Ключ]</definedName>
    <definedName name="Список_Сводная_Тормоз_2026">Тормоз_СВОДНАЯ_2026[Ключ]</definedName>
    <definedName name="ЮАНЬ">ПНЕВМАТИКА!$A$2</definedName>
    <definedName name="ЮАНЬ_2025_08_29">11.25</definedName>
    <definedName name="_xlnm._FilterDatabase" localSheetId="0" hidden="1">'ТОРМОЗ'!$A$5:$HZ$79</definedName>
    <definedName name="_xlnm._FilterDatabase" localSheetId="1" hidden="1">'ПНЕВМАТИКА'!$A$5:$FU$351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94">
    <numFmt numFmtId="164" formatCode="#,##0;#,##0;"/>
    <numFmt numFmtId="165" formatCode="#,##0.0"/>
    <numFmt numFmtId="166" formatCode="[$-419]mmmm\ yyyy;@"/>
    <numFmt numFmtId="167" formatCode="_-* #,##0\ &quot;€&quot;_-;\-* #,##0\ &quot;€&quot;_-;_-* &quot;-&quot;\ &quot;€&quot;_-;_-@_-"/>
    <numFmt numFmtId="168" formatCode="_-* #,##0.00\ [$€]_-;\-* #,##0.00\ [$€]_-;_-* &quot;-&quot;??\ [$€]_-;_-@_-"/>
    <numFmt numFmtId="169" formatCode="&quot;$&quot;#,##0;[Red]\-&quot;$&quot;#,##0"/>
    <numFmt numFmtId="170" formatCode="_(&quot;$&quot;* #,##0.00_);_(&quot;$&quot;* \(#,##0.00\);_(&quot;$&quot;* &quot;-&quot;??_);_(@_)"/>
    <numFmt numFmtId="171" formatCode="_-* #,##0\ _€_-;\-* #,##0\ _€_-;_-* &quot;-&quot;\ _€_-;_-@_-"/>
    <numFmt numFmtId="172" formatCode="[$-409]d/mmm/yy;@"/>
    <numFmt numFmtId="173" formatCode="_ &quot;\&quot;* #,##0_ ;_ &quot;\&quot;* \-#,##0_ ;_ &quot;\&quot;* &quot;-&quot;_ ;_ @_ "/>
    <numFmt numFmtId="174" formatCode="_ &quot;\&quot;* #,##0.00_ ;_ &quot;\&quot;* \-#,##0.00_ ;_ &quot;\&quot;* &quot;-&quot;??_ ;_ @_ "/>
    <numFmt numFmtId="175" formatCode="_ * #,##0_ ;_ * \-#,##0_ ;_ * &quot;-&quot;_ ;_ @_ "/>
    <numFmt numFmtId="176" formatCode="_ * #,##0.00_ ;_ * \-#,##0.00_ ;_ * &quot;-&quot;??_ ;_ @_ "/>
    <numFmt numFmtId="177" formatCode="0.0%;\(0.0%\)"/>
    <numFmt numFmtId="178" formatCode="0.0%"/>
    <numFmt numFmtId="179" formatCode="&quot;$&quot;#,##0;\-&quot;$&quot;#,##0"/>
    <numFmt numFmtId="180" formatCode="0%_);\(0%\)"/>
    <numFmt numFmtId="181" formatCode="#,##0.00&quot;£&quot;_);\(#,##0.00&quot;£&quot;\)"/>
    <numFmt numFmtId="182" formatCode="#,##0.00&quot;£&quot;_);[Red]\(#,##0.00&quot;£&quot;\)"/>
    <numFmt numFmtId="183" formatCode="_ * #,##0_)&quot;£&quot;_ ;_ * \(#,##0\)&quot;£&quot;_ ;_ * &quot;-&quot;_)&quot;£&quot;_ ;_ @_ "/>
    <numFmt numFmtId="184" formatCode="_ * #,##0_)_£_ ;_ * \(#,##0\)_£_ ;_ * &quot;-&quot;_)_£_ ;_ @_ "/>
    <numFmt numFmtId="185" formatCode="#,##0&quot;£&quot;_);[Red]\(#,##0&quot;£&quot;\)"/>
    <numFmt numFmtId="186" formatCode="_ * #,##0.00_)&quot;£&quot;_ ;_ * \(#,##0.00\)&quot;£&quot;_ ;_ * &quot;-&quot;??_)&quot;£&quot;_ ;_ @_ "/>
    <numFmt numFmtId="187" formatCode="_(* #,##0.0_);_(* \(#,##0.0\);_(* &quot;-&quot;??_);_(@_)"/>
    <numFmt numFmtId="188" formatCode="&quot;$&quot;#,##0"/>
    <numFmt numFmtId="189" formatCode="_-* #,##0.00\ _€_-;\-* #,##0.00\ _€_-;_-* &quot;-&quot;??\ _€_-;_-@_-"/>
    <numFmt numFmtId="190" formatCode="_-* #,##0.00\ _₽_-;\-* #,##0.00\ _₽_-;_-* &quot;-&quot;??\ _₽_-;_-@_-"/>
    <numFmt numFmtId="191" formatCode="_-* #,##0_-;\-* #,##0_-;_-* &quot;-&quot;??_-;_-@_-"/>
    <numFmt numFmtId="192" formatCode="_-* #,##0.00_р_._-;\-* #,##0.00_р_._-;_-* &quot;-&quot;??_р_._-;_-@_-"/>
    <numFmt numFmtId="193" formatCode="&quot;$&quot;#,##0_);[Red]\(&quot;$&quot;#,##0\)"/>
    <numFmt numFmtId="194" formatCode="&quot;$&quot;#,##0.00;[Red]\-&quot;$&quot;#,##0.00"/>
    <numFmt numFmtId="195" formatCode="&quot;$&quot;#,##0.00_);[Red]\(&quot;$&quot;#,##0.00\)"/>
    <numFmt numFmtId="196" formatCode="_-&quot;£&quot;* #,##0.00_-;\-&quot;£&quot;* #,##0.00_-;_-&quot;£&quot;* &quot;-&quot;??_-;_-@_-"/>
    <numFmt numFmtId="197" formatCode="&quot;$&quot;#,##0\ ;\(&quot;$&quot;#,##0\)"/>
    <numFmt numFmtId="198" formatCode="00##"/>
    <numFmt numFmtId="199" formatCode="#,##0\ &quot;€&quot;;\-#,##0\ &quot;€&quot;"/>
    <numFmt numFmtId="200" formatCode="_-* #,##0.00\ _z_³_-;\-* #,##0.00\ _z_³_-;_-* &quot;-&quot;??\ _z_³_-;_-@_-"/>
    <numFmt numFmtId="201" formatCode="#,##0.0_);\(#,##0.0\)"/>
    <numFmt numFmtId="202" formatCode="#,##0.000_);\(#,##0.000\)"/>
    <numFmt numFmtId="203" formatCode="0.0"/>
    <numFmt numFmtId="204" formatCode="_-* #,##0\ _к_._-;\-* #,##0\ _к_._-;_-* &quot;-&quot;\ _к_._-;_-@_-"/>
    <numFmt numFmtId="205" formatCode="_-&quot;Ј&quot;* #,##0_-;\-&quot;Ј&quot;* #,##0_-;_-&quot;Ј&quot;* &quot;-&quot;_-;_-@_-"/>
    <numFmt numFmtId="206" formatCode="#,##0.00&quot; &quot;;[Red]\-#,##0.00&quot; &quot;"/>
    <numFmt numFmtId="207" formatCode="0.000"/>
    <numFmt numFmtId="208" formatCode="[White]#,##0&quot; &quot;;[Red]\-#,##0&quot; &quot;"/>
    <numFmt numFmtId="209" formatCode="\(0.0\)"/>
    <numFmt numFmtId="210" formatCode="#,##0\ &quot;Än÷&quot;;[Red]\-#,##0\ &quot;Än÷&quot;"/>
    <numFmt numFmtId="211" formatCode="_-* #,##0.00\ _к_._-;\-* #,##0.00\ _к_._-;_-* &quot;-&quot;??\ _к_._-;_-@_-"/>
    <numFmt numFmtId="212" formatCode="_-&quot;Ј&quot;* #,##0.00_-;\-&quot;Ј&quot;* #,##0.00_-;_-&quot;Ј&quot;* &quot;-&quot;??_-;_-@_-"/>
    <numFmt numFmtId="213" formatCode="#,##0\ &quot;zl&quot;;[Red]\-#,##0\ &quot;zl&quot;"/>
    <numFmt numFmtId="214" formatCode="#,##0.00\ &quot;Än÷&quot;;[Red]\-#,##0.00\ &quot;Än÷&quot;"/>
    <numFmt numFmtId="215" formatCode="_-* #,##0.00\ &quot;€&quot;_-;\-* #,##0.00\ &quot;€&quot;_-;_-* &quot;-&quot;??\ &quot;€&quot;_-;_-@_-"/>
    <numFmt numFmtId="216" formatCode="[Magenta]&quot;Err&quot;;[Magenta]&quot;Err&quot;;[Blue]&quot;OK&quot;"/>
    <numFmt numFmtId="217" formatCode="#,##0_);[Red]\(#,##0\);\-_)"/>
    <numFmt numFmtId="218" formatCode="0.0_)%;[Red]\(0.0%\);0.0_)%"/>
    <numFmt numFmtId="219" formatCode="[Red][&gt;1]&quot;&gt;100 %&quot;;[Red]\(0.0%\);0.0_)%"/>
    <numFmt numFmtId="220" formatCode="_-* #,##0\ _D_M_-;\-* #,##0\ _D_M_-;_-* &quot;-&quot;\ _D_M_-;_-@_-"/>
    <numFmt numFmtId="221" formatCode="_-* #,##0.00\ _D_M_-;\-* #,##0.00\ _D_M_-;_-* &quot;-&quot;??\ _D_M_-;_-@_-"/>
    <numFmt numFmtId="222" formatCode="0.00%;\(0.00%\)"/>
    <numFmt numFmtId="223" formatCode="0."/>
    <numFmt numFmtId="224" formatCode="&quot;Market Segment &quot;0"/>
    <numFmt numFmtId="225" formatCode="_ * #,##0.00_)\ _R_$_ ;_ * \(#,##0.00\)\ _R_$_ ;_ * &quot;-&quot;??_)\ _R_$_ ;_ @_ "/>
    <numFmt numFmtId="226" formatCode="#,##0\ &quot;R$&quot;;\-#,##0\ &quot;R$&quot;"/>
    <numFmt numFmtId="227" formatCode="#,##0\ &quot;DM&quot;;\-#,##0\ &quot;DM&quot;"/>
    <numFmt numFmtId="228" formatCode=".0%;\(.0%\)"/>
    <numFmt numFmtId="229" formatCode="#,##0.0_);[Red]\(#,##0.0\)"/>
    <numFmt numFmtId="230" formatCode="0.00%_);\(0.00%\)"/>
    <numFmt numFmtId="231" formatCode="_-* #,##0\ &quot;DM&quot;_-;\-* #,##0\ &quot;DM&quot;_-;_-* &quot;-&quot;\ &quot;DM&quot;_-;_-@_-"/>
    <numFmt numFmtId="232" formatCode="_-* #,##0.00\ &quot;DM&quot;_-;\-* #,##0.00\ &quot;DM&quot;_-;_-* &quot;-&quot;??\ &quot;DM&quot;_-;_-@_-"/>
    <numFmt numFmtId="233" formatCode="_-* #,##0\ &quot;z³&quot;_-;\-* #,##0\ &quot;z³&quot;_-;_-* &quot;-&quot;\ &quot;z³&quot;_-;_-@_-"/>
    <numFmt numFmtId="234" formatCode="0%;\(0%\)"/>
    <numFmt numFmtId="235" formatCode="#,##0.00\ &quot;DM&quot;;\-#,##0.00\ &quot;DM&quot;"/>
    <numFmt numFmtId="236" formatCode="#,##0\ &quot;€&quot;;[Red]\-#,##0\ &quot;€&quot;"/>
    <numFmt numFmtId="237" formatCode="_ * #,##0_)\ _R_$_ ;_ * \(#,##0\)\ _R_$_ ;_ * &quot;-&quot;_)\ _R_$_ ;_ @_ "/>
    <numFmt numFmtId="238" formatCode="_ * #,##0.00_)_£_ ;_ * \(#,##0.00\)_£_ ;_ * &quot;-&quot;??_)_£_ ;_ @_ "/>
    <numFmt numFmtId="239" formatCode="#,##0\ &quot;F&quot;;\-#,##0\ &quot;F&quot;"/>
    <numFmt numFmtId="240" formatCode="_-* #,##0\ _z_³_-;\-* #,##0\ _z_³_-;_-* &quot;-&quot;\ _z_³_-;_-@_-"/>
    <numFmt numFmtId="241" formatCode="_-* #,##0.00\ &quot;z³&quot;_-;\-* #,##0.00\ &quot;z³&quot;_-;_-* &quot;-&quot;??\ &quot;z³&quot;_-;_-@_-"/>
    <numFmt numFmtId="242" formatCode="#,##0\ &quot;DM&quot;;[Red]\-#,##0\ &quot;DM&quot;"/>
    <numFmt numFmtId="243" formatCode="#,##0.00\ &quot;DM&quot;;[Red]\-#,##0.00\ &quot;DM&quot;"/>
    <numFmt numFmtId="244" formatCode="#,##0&quot; &quot;;[Red]\-#,##0&quot; &quot;"/>
    <numFmt numFmtId="245" formatCode="[Blue]#,##0&quot; &quot;;[Red]\-#,##0&quot; &quot;"/>
    <numFmt numFmtId="246" formatCode="_-* #,##0\ &quot;р.&quot;_-;\-* #,##0\ &quot;р.&quot;_-;_-* &quot;-&quot;\ &quot;р.&quot;_-;_-@_-"/>
    <numFmt numFmtId="247" formatCode="_-* #,##0.00\ &quot;р.&quot;_-;\-* #,##0.00\ &quot;р.&quot;_-;_-* &quot;-&quot;??\ &quot;р.&quot;_-;_-@_-"/>
    <numFmt numFmtId="248" formatCode="#,##0.0;[Red]\-#,##0.0;&quot;---&quot;"/>
    <numFmt numFmtId="249" formatCode="_-* #,##0\ _р_._-;\-* #,##0\ _р_._-;_-* &quot;-&quot;\ _р_._-;_-@_-"/>
    <numFmt numFmtId="250" formatCode="_-* #,##0.00\ _р_._-;\-* #,##0.00\ _р_._-;_-* &quot;-&quot;??\ _р_._-;_-@_-"/>
    <numFmt numFmtId="251" formatCode="\-00##"/>
    <numFmt numFmtId="252" formatCode="&quot;\&quot;#,##0.00;[Red]\-&quot;\&quot;#,##0.00"/>
    <numFmt numFmtId="253" formatCode="&quot;\&quot;#,##0.00;[Red]&quot;\&quot;\-#,##0.00"/>
    <numFmt numFmtId="254" formatCode="&quot;\&quot;#,##0;[Red]&quot;\&quot;\-#,##0"/>
    <numFmt numFmtId="255" formatCode="0.0000_);[Red]\(0.0000\)"/>
    <numFmt numFmtId="256" formatCode="_ \¥* #,##0.00_ ;_ \¥* \-#,##0.00_ ;_ \¥* &quot;-&quot;??_ ;_ @_ "/>
    <numFmt numFmtId="257" formatCode="_-\¥* #,##0.00_-;\-\¥* #,##0.00_-;_-\¥* &quot;-&quot;??_-;_-@_-"/>
  </numFmts>
  <fonts count="218">
    <font>
      <name val="Calibri"/>
      <color theme="1"/>
      <sz val="11"/>
      <scheme val="minor"/>
    </font>
    <font>
      <name val="Arial"/>
      <charset val="204"/>
      <family val="2"/>
      <sz val="10"/>
    </font>
    <font>
      <name val="Arial MT"/>
      <sz val="12"/>
    </font>
    <font>
      <name val="MS Sans Serif"/>
      <sz val="10"/>
    </font>
    <font>
      <name val="Calibri"/>
      <charset val="204"/>
      <family val="2"/>
      <b val="1"/>
      <color indexed="45"/>
      <sz val="15"/>
    </font>
    <font>
      <name val="Calibri"/>
      <charset val="204"/>
      <family val="2"/>
      <b val="1"/>
      <color rgb="FF286676"/>
      <sz val="15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45"/>
      <sz val="13"/>
    </font>
    <font>
      <name val="Calibri"/>
      <charset val="204"/>
      <family val="2"/>
      <b val="1"/>
      <color rgb="FF286676"/>
      <sz val="13"/>
    </font>
    <font>
      <name val="Calibri"/>
      <charset val="204"/>
      <family val="2"/>
      <b val="1"/>
      <color indexed="45"/>
      <sz val="11"/>
    </font>
    <font>
      <name val="Calibri"/>
      <charset val="204"/>
      <family val="2"/>
      <b val="1"/>
      <color rgb="FF286676"/>
      <sz val="11"/>
    </font>
    <font>
      <name val="Calibri"/>
      <charset val="204"/>
      <family val="2"/>
      <b val="1"/>
      <color indexed="2"/>
      <sz val="11"/>
    </font>
    <font>
      <name val="Arial"/>
      <charset val="204"/>
      <family val="2"/>
      <color indexed="50"/>
      <sz val="11"/>
    </font>
    <font>
      <name val="Arial"/>
      <charset val="204"/>
      <family val="2"/>
      <color rgb="FF4A3285"/>
      <sz val="11"/>
    </font>
    <font>
      <name val="Cambria"/>
      <charset val="204"/>
      <family val="1"/>
      <b val="1"/>
      <color indexed="45"/>
      <sz val="18"/>
    </font>
    <font>
      <name val="Cambria"/>
      <charset val="204"/>
      <family val="1"/>
      <b val="1"/>
      <color rgb="FF286676"/>
      <sz val="18"/>
    </font>
    <font>
      <name val="Arial"/>
      <charset val="204"/>
      <family val="2"/>
      <color indexed="17"/>
      <sz val="11"/>
    </font>
    <font>
      <name val="Arial"/>
      <charset val="204"/>
      <family val="2"/>
      <b val="1"/>
      <sz val="11"/>
    </font>
    <font>
      <name val="Arial"/>
      <charset val="204"/>
      <family val="2"/>
      <color indexed="20"/>
      <sz val="11"/>
    </font>
    <font>
      <name val="Arial"/>
      <charset val="204"/>
      <family val="2"/>
      <i val="1"/>
      <color indexed="22"/>
      <sz val="11"/>
    </font>
    <font>
      <name val="Arial"/>
      <charset val="204"/>
      <family val="2"/>
      <i val="1"/>
      <color indexed="23"/>
      <sz val="11"/>
    </font>
    <font>
      <name val="Arial"/>
      <charset val="204"/>
      <family val="2"/>
      <sz val="8"/>
    </font>
    <font>
      <name val="Arial"/>
      <charset val="204"/>
      <family val="2"/>
      <color indexed="18"/>
      <sz val="11"/>
    </font>
    <font>
      <name val="Arial"/>
      <charset val="204"/>
      <family val="2"/>
      <color indexed="19"/>
      <sz val="11"/>
    </font>
    <font>
      <name val="Calibri"/>
      <charset val="204"/>
      <family val="2"/>
      <color indexed="2"/>
      <sz val="11"/>
    </font>
    <font>
      <name val="Arial"/>
      <charset val="204"/>
      <family val="2"/>
      <color indexed="2"/>
      <sz val="11"/>
    </font>
    <font>
      <name val="Arial"/>
      <charset val="204"/>
      <family val="2"/>
      <color indexed="4"/>
      <sz val="8"/>
      <u val="single"/>
    </font>
    <font>
      <name val="Arial"/>
      <charset val="204"/>
      <family val="2"/>
      <b val="1"/>
      <color indexed="45"/>
      <sz val="18"/>
    </font>
    <font>
      <name val="Arial"/>
      <charset val="204"/>
      <family val="2"/>
      <b val="1"/>
      <color rgb="FF286676"/>
      <sz val="18"/>
    </font>
    <font>
      <name val="Arial"/>
      <charset val="204"/>
      <family val="2"/>
      <b val="1"/>
      <color indexed="65"/>
      <sz val="11"/>
    </font>
    <font>
      <name val="Calibri"/>
      <charset val="204"/>
      <family val="2"/>
      <color indexed="65"/>
      <sz val="11"/>
    </font>
    <font>
      <name val="Arial"/>
      <charset val="204"/>
      <family val="2"/>
      <color indexed="20"/>
      <sz val="8"/>
      <u val="single"/>
    </font>
    <font>
      <name val="Arial"/>
      <charset val="204"/>
      <family val="2"/>
      <color indexed="20"/>
      <sz val="10"/>
      <u val="single"/>
    </font>
    <font>
      <name val="Arial"/>
      <charset val="204"/>
      <family val="2"/>
      <color indexed="4"/>
      <sz val="10"/>
      <u val="single"/>
    </font>
    <font>
      <name val="Arial"/>
      <charset val="204"/>
      <family val="2"/>
      <b val="1"/>
      <color indexed="45"/>
      <sz val="15"/>
    </font>
    <font>
      <name val="Arial"/>
      <charset val="204"/>
      <family val="2"/>
      <b val="1"/>
      <color rgb="FF286676"/>
      <sz val="15"/>
    </font>
    <font>
      <name val="Arial"/>
      <charset val="204"/>
      <family val="2"/>
      <b val="1"/>
      <color indexed="45"/>
      <sz val="13"/>
    </font>
    <font>
      <name val="Arial"/>
      <charset val="204"/>
      <family val="2"/>
      <b val="1"/>
      <color rgb="FF286676"/>
      <sz val="13"/>
    </font>
    <font>
      <name val="Arial"/>
      <charset val="204"/>
      <family val="2"/>
      <b val="1"/>
      <color indexed="45"/>
      <sz val="11"/>
    </font>
    <font>
      <name val="Arial"/>
      <charset val="204"/>
      <family val="2"/>
      <b val="1"/>
      <color rgb="FF286676"/>
      <sz val="11"/>
    </font>
    <font>
      <name val="Arial"/>
      <charset val="204"/>
      <family val="2"/>
      <b val="1"/>
      <color indexed="2"/>
      <sz val="11"/>
    </font>
    <font>
      <name val="Calibri"/>
      <charset val="204"/>
      <family val="2"/>
      <sz val="11"/>
    </font>
    <font>
      <name val="Calibri"/>
      <charset val="204"/>
      <family val="2"/>
      <color theme="1"/>
      <sz val="11"/>
    </font>
    <font>
      <name val="Arial"/>
      <charset val="204"/>
      <family val="2"/>
      <color indexed="65"/>
      <sz val="11"/>
    </font>
    <font>
      <name val="Times New Roman"/>
      <charset val="204"/>
      <family val="1"/>
      <sz val="12"/>
    </font>
    <font>
      <name val="Geneva"/>
      <sz val="10"/>
    </font>
    <font>
      <name val="Helv"/>
      <sz val="10"/>
    </font>
    <font>
      <name val="Times New Roman"/>
      <charset val="204"/>
      <family val="1"/>
      <sz val="10"/>
    </font>
    <font>
      <name val="新細明體"/>
      <sz val="12"/>
    </font>
    <font>
      <name val="Arial"/>
      <charset val="204"/>
      <family val="2"/>
      <sz val="11"/>
    </font>
    <font>
      <name val="Tahoma"/>
      <charset val="204"/>
      <family val="2"/>
      <color theme="1"/>
      <sz val="11"/>
    </font>
    <font>
      <name val="宋体"/>
      <sz val="11"/>
    </font>
    <font>
      <name val="Calibri"/>
      <charset val="204"/>
      <family val="2"/>
      <color theme="0"/>
      <sz val="11"/>
      <scheme val="minor"/>
    </font>
    <font>
      <name val="宋体"/>
      <color indexed="65"/>
      <sz val="11"/>
    </font>
    <font>
      <name val="Helv"/>
      <sz val="12"/>
    </font>
    <font>
      <name val="Tahoma"/>
      <charset val="204"/>
      <family val="2"/>
      <color theme="0"/>
      <sz val="11"/>
    </font>
    <font>
      <name val="±¼¸²Ã¼"/>
      <sz val="12"/>
    </font>
    <font>
      <name val="¹UAAA¼"/>
      <sz val="12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Tahoma"/>
      <charset val="204"/>
      <family val="2"/>
      <color rgb="FF9C0006"/>
      <sz val="11"/>
    </font>
    <font>
      <name val="Calibri"/>
      <charset val="204"/>
      <family val="2"/>
      <b val="1"/>
      <color indexed="65"/>
      <sz val="11"/>
    </font>
    <font>
      <name val="Arial MT"/>
      <sz val="10"/>
    </font>
    <font>
      <name val="Tms Rmn"/>
      <sz val="10"/>
    </font>
    <font>
      <name val="µ¸¿òÃ¼"/>
      <sz val="12"/>
    </font>
    <font>
      <name val="Calibri"/>
      <charset val="204"/>
      <family val="2"/>
      <b val="1"/>
      <color indexed="52"/>
      <sz val="11"/>
    </font>
    <font>
      <name val="Tahoma"/>
      <charset val="204"/>
      <family val="2"/>
      <b val="1"/>
      <color rgb="FFFA7D00"/>
      <sz val="11"/>
    </font>
    <font>
      <name val="Tahoma"/>
      <charset val="204"/>
      <family val="2"/>
      <b val="1"/>
      <color theme="0"/>
      <sz val="11"/>
    </font>
    <font>
      <name val="Times New Roman"/>
      <charset val="204"/>
      <family val="1"/>
      <color indexed="4"/>
      <sz val="10"/>
    </font>
    <font>
      <name val="Times New Roman"/>
      <charset val="204"/>
      <family val="1"/>
      <color indexed="3"/>
      <sz val="10"/>
    </font>
    <font>
      <name val="Times New Roman"/>
      <charset val="204"/>
      <family val="1"/>
      <color indexed="2"/>
      <sz val="10"/>
    </font>
    <font>
      <name val="Arial"/>
      <charset val="204"/>
      <family val="2"/>
      <b val="1"/>
      <sz val="8"/>
    </font>
    <font>
      <name val="Arial Narrow"/>
      <charset val="204"/>
      <family val="2"/>
      <color indexed="2"/>
      <sz val="10"/>
    </font>
    <font>
      <name val="宋体"/>
      <sz val="12"/>
    </font>
    <font>
      <name val="隸書"/>
      <sz val="11.5"/>
    </font>
    <font>
      <name val="MS Serif"/>
      <sz val="10"/>
    </font>
    <font>
      <name val="Tms Rmn"/>
      <sz val="12"/>
    </font>
    <font>
      <name val=".VnArial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65"/>
      <sz val="12"/>
    </font>
    <font>
      <name val="Arial"/>
      <charset val="204"/>
      <family val="2"/>
      <color indexed="22"/>
      <sz val="12"/>
    </font>
    <font>
      <name val="CG Times (E1)"/>
      <sz val="8"/>
    </font>
    <font>
      <name val="Times New Roman"/>
      <charset val="204"/>
      <family val="1"/>
      <sz val="8"/>
    </font>
    <font>
      <name val="Tms Rmn"/>
      <sz val="9"/>
    </font>
    <font>
      <name val="MS Serif"/>
      <color indexed="16"/>
      <sz val="10"/>
    </font>
    <font>
      <name val="Arial Narrow"/>
      <charset val="204"/>
      <family val="2"/>
      <i val="1"/>
      <sz val="8"/>
    </font>
    <font>
      <name val="Calibri"/>
      <charset val="204"/>
      <family val="2"/>
      <i val="1"/>
      <color indexed="23"/>
      <sz val="11"/>
    </font>
    <font>
      <name val="Tahoma"/>
      <charset val="204"/>
      <family val="2"/>
      <i val="1"/>
      <color rgb="FF7F7F7F"/>
      <sz val="11"/>
    </font>
    <font>
      <name val="Arial"/>
      <charset val="204"/>
      <family val="2"/>
      <color indexed="4"/>
      <sz val="9"/>
    </font>
    <font>
      <name val="Arial"/>
      <charset val="204"/>
      <family val="2"/>
      <b val="1"/>
      <color indexed="4"/>
      <sz val="8"/>
    </font>
    <font>
      <name val="Arial"/>
      <charset val="204"/>
      <family val="2"/>
      <sz val="10"/>
      <u val="single"/>
    </font>
    <font>
      <name val="0"/>
      <color indexed="4"/>
      <sz val="12"/>
    </font>
    <font>
      <name val="0"/>
      <color indexed="4"/>
      <sz val="10"/>
    </font>
    <font>
      <name val="TimesNewRomanPS"/>
      <sz val="10"/>
    </font>
    <font>
      <name val="Calibri"/>
      <charset val="204"/>
      <family val="2"/>
      <color indexed="17"/>
      <sz val="11"/>
    </font>
    <font>
      <name val="Tahoma"/>
      <charset val="204"/>
      <family val="2"/>
      <color rgb="FF006100"/>
      <sz val="11"/>
    </font>
    <font>
      <name val="隸書"/>
      <sz val="15.25"/>
    </font>
    <font>
      <name val="Arial"/>
      <charset val="204"/>
      <family val="2"/>
      <b val="1"/>
      <sz val="12"/>
    </font>
    <font>
      <name val="Tahoma"/>
      <charset val="204"/>
      <family val="2"/>
      <b val="1"/>
      <sz val="12"/>
    </font>
    <font>
      <name val="Arial"/>
      <charset val="204"/>
      <family val="2"/>
      <b val="1"/>
      <sz val="18"/>
    </font>
    <font>
      <name val="Tahoma"/>
      <charset val="204"/>
      <family val="2"/>
      <b val="1"/>
      <color theme="3"/>
      <sz val="15"/>
    </font>
    <font>
      <name val="Calibri"/>
      <charset val="204"/>
      <family val="2"/>
      <b val="1"/>
      <color indexed="56"/>
      <sz val="15"/>
    </font>
    <font>
      <name val="Tahoma"/>
      <charset val="204"/>
      <family val="2"/>
      <b val="1"/>
      <color theme="3"/>
      <sz val="13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Tahoma"/>
      <charset val="204"/>
      <family val="2"/>
      <b val="1"/>
      <color theme="3"/>
      <sz val="11"/>
    </font>
    <font>
      <name val="Arial"/>
      <charset val="204"/>
      <family val="2"/>
      <b val="1"/>
      <sz val="14"/>
    </font>
    <font>
      <name val="Arial"/>
      <charset val="204"/>
      <family val="2"/>
      <i val="1"/>
      <sz val="12"/>
    </font>
    <font>
      <name val="Arial"/>
      <charset val="204"/>
      <family val="2"/>
      <i val="1"/>
      <sz val="10"/>
    </font>
    <font>
      <name val="Calibri"/>
      <charset val="204"/>
      <family val="2"/>
      <color theme="10"/>
      <sz val="11"/>
      <u val="single"/>
    </font>
    <font>
      <name val="Arial"/>
      <charset val="204"/>
      <family val="2"/>
      <color indexed="4"/>
      <sz val="7.5"/>
      <u val="single"/>
    </font>
    <font>
      <name val="Arial Cyr"/>
      <sz val="10"/>
    </font>
    <font>
      <name val="Tahoma"/>
      <charset val="204"/>
      <family val="2"/>
      <sz val="10"/>
    </font>
    <font>
      <name val="Times New Roman"/>
      <charset val="204"/>
      <family val="1"/>
      <color indexed="4"/>
      <sz val="8"/>
    </font>
    <font>
      <name val="Calibri"/>
      <charset val="204"/>
      <family val="2"/>
      <color indexed="62"/>
      <sz val="11"/>
    </font>
    <font>
      <name val="Tahoma"/>
      <charset val="204"/>
      <family val="2"/>
      <color rgb="FF3F3F76"/>
      <sz val="11"/>
    </font>
    <font>
      <name val="Times New Roman"/>
      <charset val="204"/>
      <family val="1"/>
      <sz val="18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sz val="11"/>
    </font>
    <font>
      <name val="Arial"/>
      <charset val="204"/>
      <family val="2"/>
      <color indexed="4"/>
      <sz val="5"/>
      <u val="single"/>
    </font>
    <font>
      <name val="Calibri"/>
      <charset val="204"/>
      <family val="2"/>
      <color indexed="52"/>
      <sz val="11"/>
    </font>
    <font>
      <name val="Tahoma"/>
      <charset val="204"/>
      <family val="2"/>
      <color rgb="FFFA7D00"/>
      <sz val="11"/>
    </font>
    <font>
      <name val="Calibri"/>
      <charset val="204"/>
      <family val="2"/>
      <color indexed="60"/>
      <sz val="11"/>
    </font>
    <font>
      <name val="Tahoma"/>
      <charset val="204"/>
      <family val="2"/>
      <color rgb="FF9C5700"/>
      <sz val="11"/>
    </font>
    <font>
      <name val="Calibri"/>
      <charset val="204"/>
      <family val="2"/>
      <color rgb="FF9C6500"/>
      <sz val="11"/>
      <scheme val="minor"/>
    </font>
    <font>
      <name val="Small Fonts"/>
      <sz val="7"/>
    </font>
    <font>
      <name val="宋体"/>
      <color theme="1"/>
      <sz val="11"/>
    </font>
    <font>
      <name val="Helv"/>
      <b val="1"/>
      <i val="1"/>
      <sz val="16"/>
    </font>
    <font>
      <name val="Arial"/>
      <charset val="204"/>
      <family val="2"/>
      <color theme="1"/>
      <sz val="10"/>
    </font>
    <font>
      <name val="Tahoma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Arial"/>
      <charset val="204"/>
      <family val="2"/>
      <b val="1"/>
      <i val="1"/>
      <sz val="10"/>
    </font>
    <font>
      <name val="Calibri"/>
      <charset val="204"/>
      <family val="2"/>
      <b val="1"/>
      <color indexed="63"/>
      <sz val="11"/>
    </font>
    <font>
      <name val="Tahoma"/>
      <charset val="204"/>
      <family val="2"/>
      <b val="1"/>
      <color rgb="FF3F3F3F"/>
      <sz val="11"/>
    </font>
    <font>
      <name val="TimesET"/>
      <sz val="10"/>
    </font>
    <font>
      <name val="MS Sans Serif"/>
      <b val="1"/>
      <sz val="10"/>
    </font>
    <font>
      <name val="Arial"/>
      <charset val="204"/>
      <family val="2"/>
      <sz val="9"/>
    </font>
    <font>
      <name val="Arial"/>
      <charset val="204"/>
      <family val="2"/>
      <color indexed="4"/>
      <sz val="10"/>
    </font>
    <font>
      <name val="Arial"/>
      <charset val="204"/>
      <family val="2"/>
      <b val="1"/>
      <color indexed="23"/>
      <sz val="16"/>
    </font>
    <font>
      <name val="Arial"/>
      <charset val="204"/>
      <family val="2"/>
      <color indexed="2"/>
      <sz val="10"/>
    </font>
    <font>
      <name val="Arial"/>
      <charset val="204"/>
      <family val="2"/>
      <b val="1"/>
      <i val="1"/>
      <sz val="8"/>
    </font>
    <font>
      <name val="Arial Narrow"/>
      <charset val="204"/>
      <family val="2"/>
      <b val="1"/>
      <sz val="12"/>
      <u val="double"/>
    </font>
    <font>
      <name val="Arial"/>
      <charset val="204"/>
      <family val="2"/>
      <color indexed="20"/>
      <sz val="9"/>
    </font>
    <font>
      <name val="Arial"/>
      <charset val="204"/>
      <family val="2"/>
      <color indexed="48"/>
      <sz val="9"/>
    </font>
    <font>
      <name val="Arial"/>
      <charset val="204"/>
      <family val="2"/>
      <b val="1"/>
      <color indexed="20"/>
      <sz val="12"/>
    </font>
    <font>
      <name val="Arial"/>
      <charset val="204"/>
      <family val="2"/>
      <b val="1"/>
      <color indexed="20"/>
      <sz val="9"/>
    </font>
    <font>
      <name val="Tahoma"/>
      <charset val="204"/>
      <family val="2"/>
      <b val="1"/>
      <sz val="10"/>
    </font>
    <font>
      <name val="Arial"/>
      <charset val="204"/>
      <family val="2"/>
      <b val="1"/>
      <sz val="9"/>
    </font>
    <font>
      <name val="Times New Roman"/>
      <charset val="204"/>
      <family val="1"/>
      <b val="1"/>
      <sz val="11"/>
      <u val="single"/>
    </font>
    <font>
      <name val="Helv"/>
      <b val="1"/>
      <sz val="8"/>
    </font>
    <font>
      <name val="TimesET"/>
      <b val="1"/>
      <i val="1"/>
      <sz val="10"/>
    </font>
    <font>
      <name val="Univers (WN)"/>
      <b val="1"/>
      <sz val="12"/>
    </font>
    <font>
      <name val="Arial Narrow"/>
      <charset val="204"/>
      <family val="2"/>
      <sz val="10"/>
    </font>
    <font>
      <name val="Times New Roman"/>
      <charset val="204"/>
      <family val="1"/>
      <b val="1"/>
      <sz val="8"/>
    </font>
    <font>
      <name val="Cambria"/>
      <charset val="204"/>
      <family val="1"/>
      <b val="1"/>
      <color indexed="56"/>
      <sz val="18"/>
    </font>
    <font>
      <name val="Calibri Light"/>
      <charset val="204"/>
      <family val="2"/>
      <color theme="3"/>
      <sz val="18"/>
      <scheme val="major"/>
    </font>
    <font>
      <name val="Calibri Light"/>
      <charset val="204"/>
      <family val="2"/>
      <b val="1"/>
      <color theme="3"/>
      <sz val="18"/>
      <scheme val="major"/>
    </font>
    <font>
      <name val="Tahoma"/>
      <charset val="204"/>
      <family val="2"/>
      <b val="1"/>
      <color theme="1"/>
      <sz val="11"/>
    </font>
    <font>
      <name val="Calibri"/>
      <charset val="204"/>
      <family val="2"/>
      <b val="1"/>
      <sz val="11"/>
    </font>
    <font>
      <name val="Univers (E1)"/>
      <sz val="10"/>
    </font>
    <font>
      <name val="Tahoma"/>
      <charset val="204"/>
      <family val="2"/>
      <color indexed="2"/>
      <sz val="11"/>
    </font>
    <font>
      <name val="Times New Roman CE"/>
      <sz val="10"/>
    </font>
    <font>
      <name val="Calibri"/>
      <charset val="204"/>
      <family val="2"/>
      <color theme="10"/>
      <sz val="11"/>
      <u val="single"/>
      <scheme val="minor"/>
    </font>
    <font>
      <name val="NTHelvetica/Cyrillic"/>
      <b val="1"/>
      <sz val="10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color theme="1"/>
      <sz val="8"/>
    </font>
    <font>
      <name val=" "/>
      <sz val="10"/>
    </font>
    <font>
      <name val="뼻뮝"/>
      <sz val="14"/>
    </font>
    <font>
      <name val="바탕체"/>
      <sz val="12"/>
    </font>
    <font>
      <name val="뼻뮝"/>
      <sz val="12"/>
    </font>
    <font>
      <name val=".VnArial"/>
      <sz val="12"/>
    </font>
    <font>
      <name val=".VnTime"/>
      <sz val="12"/>
    </font>
    <font>
      <name val="굴림체"/>
      <sz val="10"/>
    </font>
    <font>
      <name val="Courier"/>
      <sz val="12"/>
    </font>
    <font>
      <name val="新細明體"/>
      <color indexed="20"/>
      <sz val="12"/>
      <u val="single"/>
    </font>
    <font>
      <name val="宋体"/>
      <color indexed="17"/>
      <sz val="11"/>
    </font>
    <font>
      <name val="Calibri"/>
      <charset val="204"/>
      <family val="2"/>
      <color rgb="FF006100"/>
      <sz val="11"/>
      <scheme val="minor"/>
    </font>
    <font>
      <name val="宋体"/>
      <color indexed="20"/>
      <sz val="11"/>
    </font>
    <font>
      <name val="Calibri"/>
      <charset val="204"/>
      <family val="2"/>
      <color rgb="FF9C0006"/>
      <sz val="11"/>
      <scheme val="minor"/>
    </font>
    <font>
      <name val="宋体"/>
      <sz val="10"/>
    </font>
    <font>
      <name val="Arial Narrow"/>
      <charset val="204"/>
      <family val="2"/>
      <color indexed="4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b val="1"/>
      <color indexed="56"/>
      <sz val="18"/>
    </font>
    <font>
      <name val="宋体"/>
      <b val="1"/>
      <color indexed="65"/>
      <sz val="11"/>
    </font>
    <font>
      <name val="宋体"/>
      <b val="1"/>
      <sz val="11"/>
    </font>
    <font>
      <name val="宋体"/>
      <i val="1"/>
      <color indexed="23"/>
      <sz val="11"/>
    </font>
    <font>
      <name val="宋体"/>
      <color indexed="2"/>
      <sz val="11"/>
    </font>
    <font>
      <name val="宋体"/>
      <b val="1"/>
      <color indexed="52"/>
      <sz val="11"/>
    </font>
    <font>
      <name val="新細明體"/>
      <color indexed="4"/>
      <sz val="12"/>
      <u val="single"/>
    </font>
    <font>
      <name val="宋体"/>
      <color indexed="4"/>
      <sz val="12"/>
      <u val="single"/>
    </font>
    <font>
      <name val="宋体"/>
      <color indexed="62"/>
      <sz val="11"/>
    </font>
    <font>
      <name val="宋体"/>
      <b val="1"/>
      <color indexed="63"/>
      <sz val="11"/>
    </font>
    <font>
      <name val="宋体"/>
      <color indexed="60"/>
      <sz val="11"/>
    </font>
    <font>
      <name val="宋体"/>
      <color indexed="52"/>
      <sz val="11"/>
    </font>
    <font>
      <name val="Calibri"/>
      <charset val="204"/>
      <family val="2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color rgb="FF22222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rgb="FF222222"/>
      <sz val="11"/>
      <scheme val="minor"/>
    </font>
    <font>
      <name val="Calibri"/>
      <charset val="204"/>
      <family val="2"/>
      <b val="1"/>
      <color theme="1"/>
      <sz val="48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color theme="1"/>
      <sz val="8"/>
      <scheme val="minor"/>
    </font>
    <font>
      <name val="Calibri"/>
      <charset val="204"/>
      <family val="2"/>
      <color theme="1"/>
      <sz val="11"/>
      <scheme val="minor"/>
    </font>
    <font>
      <name val="Tahoma"/>
      <charset val="204"/>
      <family val="2"/>
      <b val="1"/>
      <sz val="9"/>
    </font>
    <font>
      <name val="Tahoma"/>
      <charset val="204"/>
      <family val="2"/>
      <sz val="9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222222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Tahoma"/>
      <charset val="204"/>
      <family val="2"/>
      <b val="1"/>
      <color indexed="81"/>
      <sz val="9"/>
    </font>
    <font>
      <name val="Tahoma"/>
      <charset val="204"/>
      <family val="2"/>
      <color indexed="81"/>
      <sz val="9"/>
    </font>
    <font>
      <name val="Calibri"/>
      <charset val="204"/>
      <family val="2"/>
      <b val="1"/>
      <color theme="1"/>
      <sz val="11"/>
      <scheme val="minor"/>
    </font>
    <font>
      <name val="Tahoma"/>
      <charset val="1"/>
      <b val="1"/>
      <color indexed="81"/>
      <sz val="9"/>
    </font>
  </fonts>
  <fills count="168">
    <fill>
      <patternFill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B050"/>
      </patternFill>
    </fill>
    <fill>
      <patternFill patternType="solid">
        <fgColor rgb="FF00B05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theme="7" tint="0.7999816888943144"/>
        <bgColor theme="0" tint="-0.249977111117893"/>
      </patternFill>
    </fill>
    <fill>
      <patternFill patternType="solid">
        <fgColor theme="5" tint="0.7999816888943144"/>
        <bgColor indexed="5"/>
      </patternFill>
    </fill>
    <fill>
      <patternFill patternType="solid">
        <fgColor theme="7" tint="0.3999755851924192"/>
        <bgColor indexed="5"/>
      </patternFill>
    </fill>
    <fill>
      <patternFill patternType="solid">
        <fgColor theme="9" tint="0.5999938962981048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0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5" tint="0.5999938962981048"/>
        <bgColor theme="5" tint="0.5999938962981048"/>
      </patternFill>
    </fill>
    <fill>
      <patternFill patternType="solid">
        <fgColor theme="5" tint="0.3999755851924192"/>
        <bgColor theme="9" tint="0.7999816888943144"/>
      </patternFill>
    </fill>
    <fill>
      <patternFill patternType="solid">
        <fgColor theme="7" tint="0.5999938962981048"/>
        <bgColor theme="5" tint="0.5999938962981048"/>
      </patternFill>
    </fill>
    <fill>
      <patternFill patternType="solid">
        <fgColor theme="7" tint="0.5999938962981048"/>
        <bgColor theme="9" tint="0.7999816888943144"/>
      </patternFill>
    </fill>
    <fill>
      <patternFill patternType="solid">
        <fgColor theme="9" tint="0.7999816888943144"/>
        <bgColor theme="5" tint="0.5999938962981048"/>
      </patternFill>
    </fill>
    <fill>
      <patternFill patternType="solid">
        <fgColor theme="9" tint="0.5999938962981048"/>
        <bgColor theme="9" tint="0.7999816888943144"/>
      </patternFill>
    </fill>
    <fill>
      <patternFill patternType="solid">
        <fgColor rgb="FFFFCCFF"/>
        <bgColor theme="5" tint="0.5999938962981048"/>
      </patternFill>
    </fill>
    <fill>
      <patternFill patternType="solid">
        <fgColor rgb="FFFF99FF"/>
        <bgColor theme="9" tint="0.799981688894314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8" tint="0.5999938962981048"/>
        <bgColor theme="4" tint="0.7999816888943144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5"/>
        <bgColor theme="0"/>
      </patternFill>
    </fill>
    <fill>
      <patternFill patternType="solid">
        <fgColor theme="4" tint="0.7999816888943144"/>
        <bgColor theme="0" tint="-0.249977111117893"/>
      </patternFill>
    </fill>
    <fill>
      <patternFill patternType="solid">
        <fgColor theme="8" tint="0.5999938962981048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7" tint="0.7999816888943144"/>
        <bgColor theme="9" tint="0.5999938962981048"/>
      </patternFill>
    </fill>
    <fill>
      <patternFill patternType="solid">
        <fgColor theme="7" tint="0.7999816888943144"/>
        <bgColor theme="4" tint="0.5999938962981048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3999755851924192"/>
        <bgColor theme="7" tint="0.3999755851924192"/>
      </patternFill>
    </fill>
    <fill>
      <patternFill patternType="solid">
        <fgColor theme="7" tint="0.3999755851924192"/>
        <bgColor theme="7" tint="0.7999816888943144"/>
      </patternFill>
    </fill>
    <fill>
      <patternFill patternType="solid">
        <fgColor theme="7" tint="0.5999938962981048"/>
        <bgColor theme="7" tint="-0.249977111117893"/>
      </patternFill>
    </fill>
    <fill>
      <patternFill patternType="solid">
        <fgColor theme="7" tint="0.5999938962981048"/>
        <bgColor theme="7" tint="0.7999816888943144"/>
      </patternFill>
    </fill>
    <fill>
      <patternFill patternType="solid">
        <fgColor theme="7" tint="-0.249977111117893"/>
        <bgColor theme="7" tint="0.3999755851924192"/>
      </patternFill>
    </fill>
    <fill>
      <patternFill patternType="solid">
        <fgColor theme="7" tint="-0.249977111117893"/>
        <bgColor theme="7" tint="0.799981688894314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5" tint="0.7999816888943144"/>
        <bgColor rgb="FF92D050"/>
      </patternFill>
    </fill>
    <fill>
      <patternFill patternType="solid">
        <fgColor theme="5" tint="0.7999816888943144"/>
        <bgColor theme="5"/>
      </patternFill>
    </fill>
    <fill>
      <patternFill patternType="solid">
        <fgColor theme="0"/>
        <bgColor rgb="FF92D050"/>
      </patternFill>
    </fill>
    <fill>
      <patternFill patternType="solid">
        <fgColor theme="9"/>
        <bgColor theme="0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C000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theme="7" tint="0.7999816888943144"/>
        <bgColor indexed="5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indexed="5"/>
      </patternFill>
    </fill>
    <fill>
      <patternFill patternType="solid">
        <fgColor rgb="FF00B050"/>
        <bgColor rgb="FF92D050"/>
      </patternFill>
    </fill>
    <fill>
      <patternFill patternType="solid">
        <fgColor theme="5"/>
        <bgColor theme="5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theme="5" tint="0.5999938962981048"/>
      </patternFill>
    </fill>
    <fill>
      <patternFill patternType="solid">
        <fgColor theme="7" tint="0.7999816888943144"/>
        <bgColor theme="9" tint="0.7999816888943144"/>
      </patternFill>
    </fill>
    <fill>
      <patternFill patternType="solid">
        <fgColor theme="7" tint="0.3999755851924192"/>
        <bgColor theme="0" tint="-0.249977111117893"/>
      </patternFill>
    </fill>
    <fill>
      <patternFill patternType="solid">
        <fgColor theme="7" tint="0.5999938962981048"/>
        <bgColor theme="0" tint="-0.249977111117893"/>
      </patternFill>
    </fill>
    <fill>
      <patternFill patternType="solid">
        <fgColor theme="7" tint="-0.249977111117893"/>
        <bgColor theme="0" tint="-0.249977111117893"/>
      </patternFill>
    </fill>
    <fill>
      <patternFill patternType="solid">
        <fgColor theme="7" tint="0.7999816888943144"/>
        <bgColor rgb="FF92D050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7030A0"/>
      </patternFill>
    </fill>
    <fill>
      <patternFill patternType="solid">
        <fgColor theme="5" tint="0.3999755851924192"/>
        <bgColor theme="7" tint="0.3999755851924192"/>
      </patternFill>
    </fill>
    <fill>
      <patternFill patternType="solid">
        <fgColor theme="5" tint="0.3999755851924192"/>
        <bgColor theme="0" tint="-0.249977111117893"/>
      </patternFill>
    </fill>
    <fill>
      <patternFill patternType="solid">
        <fgColor theme="5" tint="0.3999755851924192"/>
        <bgColor theme="7" tint="0.7999816888943144"/>
      </patternFill>
    </fill>
    <fill>
      <patternFill patternType="solid">
        <fgColor theme="5" tint="0.7999816888943144"/>
        <bgColor indexed="64"/>
      </patternFill>
    </fill>
    <fill>
      <gradientFill type="linear" degree="225">
        <stop position="0">
          <color theme="0"/>
        </stop>
        <stop position="1">
          <color rgb="FF00B0F0"/>
        </stop>
      </gradientFill>
    </fill>
    <fill>
      <patternFill patternType="solid">
        <fgColor theme="9" tint="-0.249977111117893"/>
        <bgColor theme="9" tint="0.5999938962981048"/>
      </patternFill>
    </fill>
    <fill>
      <patternFill patternType="solid">
        <fgColor theme="9" tint="-0.249977111117893"/>
        <bgColor theme="0" tint="-0.249977111117893"/>
      </patternFill>
    </fill>
    <fill>
      <patternFill patternType="solid">
        <fgColor theme="9" tint="-0.249977111117893"/>
        <bgColor theme="7" tint="0.799981688894314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theme="0" tint="-0.249977111117893"/>
      </patternFill>
    </fill>
    <fill>
      <gradientFill type="linear" degree="45">
        <stop position="0">
          <color theme="0"/>
        </stop>
        <stop position="1">
          <color theme="9" tint="0.4000061037018952"/>
        </stop>
      </gradientFill>
    </fill>
    <fill>
      <patternFill patternType="solid">
        <fgColor theme="5"/>
        <bgColor rgb="FF92D050"/>
      </patternFill>
    </fill>
    <fill>
      <patternFill patternType="solid">
        <fgColor theme="9"/>
        <bgColor theme="0" tint="-0.249977111117893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0"/>
      </patternFill>
    </fill>
    <fill>
      <patternFill patternType="solid">
        <fgColor rgb="FF7030A0"/>
        <bgColor theme="5" tint="0.7999816888943144"/>
      </patternFill>
    </fill>
    <fill>
      <patternFill patternType="solid">
        <fgColor rgb="FF7030A0"/>
        <bgColor theme="0" tint="-0.1499984740745262"/>
      </patternFill>
    </fill>
    <fill>
      <patternFill patternType="solid">
        <fgColor rgb="FF7030A0"/>
        <bgColor theme="5"/>
      </patternFill>
    </fill>
    <fill>
      <patternFill patternType="solid">
        <fgColor theme="0" tint="-0.1499984740745262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51650">
    <xf numFmtId="0" fontId="0" fillId="0" borderId="0"/>
    <xf numFmtId="0" fontId="1" fillId="0" borderId="0"/>
    <xf numFmtId="0" fontId="1" fillId="0" borderId="0"/>
    <xf numFmtId="0" fontId="1" fillId="0" borderId="0"/>
    <xf numFmtId="167" fontId="2" fillId="0" borderId="0" applyProtection="1">
      <protection locked="0" hidden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3" fillId="0" borderId="0"/>
    <xf numFmtId="41" fontId="1" fillId="0" borderId="0" applyAlignment="1">
      <alignment vertical="center"/>
    </xf>
    <xf numFmtId="0" fontId="4" fillId="0" borderId="1"/>
    <xf numFmtId="0" fontId="5" fillId="0" borderId="2"/>
    <xf numFmtId="0" fontId="4" fillId="0" borderId="1"/>
    <xf numFmtId="0" fontId="4" fillId="0" borderId="1"/>
    <xf numFmtId="0" fontId="4" fillId="0" borderId="1"/>
    <xf numFmtId="0" fontId="6" fillId="2" borderId="0"/>
    <xf numFmtId="0" fontId="6" fillId="3" borderId="0"/>
    <xf numFmtId="0" fontId="6" fillId="2" borderId="0"/>
    <xf numFmtId="0" fontId="6" fillId="3" borderId="0"/>
    <xf numFmtId="0" fontId="6" fillId="2" borderId="0"/>
    <xf numFmtId="0" fontId="6" fillId="3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3" borderId="0"/>
    <xf numFmtId="0" fontId="6" fillId="3" borderId="0"/>
    <xf numFmtId="0" fontId="6" fillId="3" borderId="0"/>
    <xf numFmtId="0" fontId="6" fillId="3" borderId="0"/>
    <xf numFmtId="0" fontId="6" fillId="2" borderId="0"/>
    <xf numFmtId="168" fontId="3" fillId="0" borderId="0"/>
    <xf numFmtId="0" fontId="7" fillId="0" borderId="3"/>
    <xf numFmtId="0" fontId="8" fillId="0" borderId="4"/>
    <xf numFmtId="0" fontId="7" fillId="0" borderId="3"/>
    <xf numFmtId="0" fontId="7" fillId="0" borderId="3"/>
    <xf numFmtId="0" fontId="7" fillId="0" borderId="3"/>
    <xf numFmtId="0" fontId="6" fillId="3" borderId="0"/>
    <xf numFmtId="0" fontId="6" fillId="3" borderId="0"/>
    <xf numFmtId="0" fontId="6" fillId="3" borderId="0"/>
    <xf numFmtId="0" fontId="6" fillId="3" borderId="0"/>
    <xf numFmtId="0" fontId="6" fillId="2" borderId="0"/>
    <xf numFmtId="0" fontId="6" fillId="2" borderId="0"/>
    <xf numFmtId="0" fontId="6" fillId="2" borderId="0"/>
    <xf numFmtId="0" fontId="6" fillId="2" borderId="0"/>
    <xf numFmtId="0" fontId="6" fillId="2" borderId="0"/>
    <xf numFmtId="168" fontId="3" fillId="0" borderId="0"/>
    <xf numFmtId="0" fontId="9" fillId="0" borderId="5"/>
    <xf numFmtId="0" fontId="10" fillId="0" borderId="6"/>
    <xf numFmtId="0" fontId="9" fillId="0" borderId="5"/>
    <xf numFmtId="0" fontId="9" fillId="0" borderId="5"/>
    <xf numFmtId="0" fontId="9" fillId="0" borderId="5"/>
    <xf numFmtId="0" fontId="6" fillId="3" borderId="0"/>
    <xf numFmtId="0" fontId="6" fillId="2" borderId="0"/>
    <xf numFmtId="0" fontId="6" fillId="2" borderId="0"/>
    <xf numFmtId="0" fontId="6" fillId="2" borderId="0"/>
    <xf numFmtId="0" fontId="11" fillId="4" borderId="7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8"/>
    <xf numFmtId="0" fontId="11" fillId="4" borderId="8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11" fillId="4" borderId="7"/>
    <xf numFmtId="0" fontId="6" fillId="2" borderId="0"/>
    <xf numFmtId="0" fontId="6" fillId="3" borderId="0"/>
    <xf numFmtId="0" fontId="6" fillId="2" borderId="0"/>
    <xf numFmtId="0" fontId="6" fillId="2" borderId="0"/>
    <xf numFmtId="0" fontId="6" fillId="3" borderId="0"/>
    <xf numFmtId="0" fontId="6" fillId="2" borderId="0"/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13" fillId="5" borderId="8" applyAlignment="1">
      <alignment vertical="center"/>
    </xf>
    <xf numFmtId="0" fontId="12" fillId="5" borderId="7" applyAlignment="1">
      <alignment vertical="center"/>
    </xf>
    <xf numFmtId="0" fontId="12" fillId="5" borderId="7" applyAlignment="1">
      <alignment vertical="center"/>
    </xf>
    <xf numFmtId="0" fontId="6" fillId="2" borderId="0"/>
    <xf numFmtId="0" fontId="6" fillId="3" borderId="0"/>
    <xf numFmtId="0" fontId="6" fillId="2" borderId="0"/>
    <xf numFmtId="0" fontId="6" fillId="2" borderId="0"/>
    <xf numFmtId="0" fontId="6" fillId="3" borderId="0"/>
    <xf numFmtId="0" fontId="6" fillId="2" borderId="0"/>
    <xf numFmtId="0" fontId="6" fillId="3" borderId="0"/>
    <xf numFmtId="0" fontId="14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6" fillId="6" borderId="0" applyAlignment="1">
      <alignment vertical="center"/>
    </xf>
    <xf numFmtId="0" fontId="16" fillId="7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6" fillId="6" borderId="0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10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10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7" fillId="0" borderId="9" applyAlignment="1">
      <alignment vertical="center"/>
    </xf>
    <xf numFmtId="0" fontId="18" fillId="2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1" fillId="8" borderId="8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2" fillId="8" borderId="0" applyAlignment="1">
      <alignment vertical="center"/>
    </xf>
    <xf numFmtId="0" fontId="22" fillId="8" borderId="0" applyAlignment="1">
      <alignment vertical="center"/>
    </xf>
    <xf numFmtId="0" fontId="22" fillId="8" borderId="0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5" fillId="0" borderId="11" applyAlignment="1">
      <alignment vertical="center"/>
    </xf>
    <xf numFmtId="0" fontId="24" fillId="0" borderId="11"/>
    <xf numFmtId="0" fontId="24" fillId="0" borderId="11"/>
    <xf numFmtId="0" fontId="24" fillId="0" borderId="11"/>
    <xf numFmtId="0" fontId="24" fillId="0" borderId="11"/>
    <xf numFmtId="0" fontId="24" fillId="0" borderId="11"/>
    <xf numFmtId="0" fontId="26" fillId="0" borderId="0" applyAlignment="1">
      <alignment horizontal="left"/>
    </xf>
    <xf numFmtId="0" fontId="26" fillId="0" borderId="0" applyAlignment="1">
      <alignment horizontal="left"/>
    </xf>
    <xf numFmtId="0" fontId="26" fillId="0" borderId="0" applyAlignment="1">
      <alignment horizontal="left"/>
    </xf>
    <xf numFmtId="0" fontId="26" fillId="0" borderId="0" applyAlignment="1">
      <alignment horizontal="left"/>
    </xf>
    <xf numFmtId="0" fontId="26" fillId="0" borderId="0" applyAlignment="1">
      <alignment horizontal="left"/>
    </xf>
    <xf numFmtId="0" fontId="18" fillId="2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9" fillId="10" borderId="12" applyAlignment="1">
      <alignment vertical="center"/>
    </xf>
    <xf numFmtId="0" fontId="29" fillId="11" borderId="12" applyAlignment="1">
      <alignment vertical="center"/>
    </xf>
    <xf numFmtId="0" fontId="29" fillId="10" borderId="12" applyAlignment="1">
      <alignment vertical="center"/>
    </xf>
    <xf numFmtId="0" fontId="29" fillId="10" borderId="12" applyAlignment="1">
      <alignment vertical="center"/>
    </xf>
    <xf numFmtId="0" fontId="29" fillId="11" borderId="12" applyAlignment="1">
      <alignment vertical="center"/>
    </xf>
    <xf numFmtId="0" fontId="29" fillId="10" borderId="12" applyAlignment="1">
      <alignment vertical="center"/>
    </xf>
    <xf numFmtId="0" fontId="30" fillId="12" borderId="0"/>
    <xf numFmtId="0" fontId="30" fillId="13" borderId="0"/>
    <xf numFmtId="0" fontId="30" fillId="12" borderId="0"/>
    <xf numFmtId="0" fontId="30" fillId="12" borderId="0"/>
    <xf numFmtId="0" fontId="30" fillId="12" borderId="0"/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30" fillId="14" borderId="0"/>
    <xf numFmtId="0" fontId="30" fillId="15" borderId="0"/>
    <xf numFmtId="0" fontId="30" fillId="14" borderId="0"/>
    <xf numFmtId="0" fontId="30" fillId="14" borderId="0"/>
    <xf numFmtId="0" fontId="30" fillId="14" borderId="0"/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30" fillId="16" borderId="0"/>
    <xf numFmtId="0" fontId="30" fillId="17" borderId="0"/>
    <xf numFmtId="0" fontId="30" fillId="16" borderId="0"/>
    <xf numFmtId="0" fontId="30" fillId="16" borderId="0"/>
    <xf numFmtId="0" fontId="30" fillId="16" borderId="0"/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30" fillId="18" borderId="0"/>
    <xf numFmtId="0" fontId="30" fillId="19" borderId="0"/>
    <xf numFmtId="0" fontId="30" fillId="18" borderId="0"/>
    <xf numFmtId="0" fontId="30" fillId="18" borderId="0"/>
    <xf numFmtId="0" fontId="30" fillId="18" borderId="0"/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30" fillId="12" borderId="0"/>
    <xf numFmtId="0" fontId="30" fillId="13" borderId="0"/>
    <xf numFmtId="0" fontId="30" fillId="12" borderId="0"/>
    <xf numFmtId="0" fontId="30" fillId="12" borderId="0"/>
    <xf numFmtId="0" fontId="30" fillId="12" borderId="0"/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2" borderId="0" applyAlignment="1">
      <alignment vertical="center"/>
    </xf>
    <xf numFmtId="0" fontId="30" fillId="14" borderId="0"/>
    <xf numFmtId="0" fontId="30" fillId="15" borderId="0"/>
    <xf numFmtId="0" fontId="30" fillId="14" borderId="0"/>
    <xf numFmtId="0" fontId="30" fillId="14" borderId="0"/>
    <xf numFmtId="0" fontId="30" fillId="14" borderId="0"/>
    <xf numFmtId="0" fontId="18" fillId="3" borderId="0" applyAlignment="1">
      <alignment vertical="center"/>
    </xf>
    <xf numFmtId="0" fontId="18" fillId="2" borderId="0" applyAlignment="1">
      <alignment vertical="center"/>
    </xf>
    <xf numFmtId="0" fontId="18" fillId="3" borderId="0" applyAlignment="1">
      <alignment vertical="center"/>
    </xf>
    <xf numFmtId="0" fontId="18" fillId="3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21" fillId="9" borderId="7" applyAlignment="1">
      <alignment vertical="center"/>
    </xf>
    <xf numFmtId="0" fontId="21" fillId="8" borderId="8" applyAlignment="1">
      <alignment vertical="center"/>
    </xf>
    <xf numFmtId="0" fontId="21" fillId="8" borderId="8" applyAlignment="1">
      <alignment vertical="center"/>
    </xf>
    <xf numFmtId="0" fontId="31" fillId="0" borderId="0" applyAlignment="1">
      <alignment horizontal="left"/>
    </xf>
    <xf numFmtId="0" fontId="31" fillId="0" borderId="0" applyAlignment="1">
      <alignment horizontal="left"/>
    </xf>
    <xf numFmtId="0" fontId="31" fillId="0" borderId="0" applyAlignment="1">
      <alignment horizontal="left"/>
    </xf>
    <xf numFmtId="0" fontId="31" fillId="0" borderId="0" applyAlignment="1">
      <alignment horizontal="left"/>
    </xf>
    <xf numFmtId="0" fontId="31" fillId="0" borderId="0" applyAlignment="1">
      <alignment horizontal="left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32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1" fillId="0" borderId="0"/>
    <xf numFmtId="0" fontId="33" fillId="0" borderId="0" applyAlignment="1" applyProtection="1">
      <alignment vertical="top"/>
      <protection locked="0" hidden="0"/>
    </xf>
    <xf numFmtId="0" fontId="34" fillId="0" borderId="1" applyAlignment="1">
      <alignment vertical="center"/>
    </xf>
    <xf numFmtId="0" fontId="35" fillId="0" borderId="2" applyAlignment="1">
      <alignment vertical="center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36" fillId="0" borderId="3" applyAlignment="1">
      <alignment vertical="center"/>
    </xf>
    <xf numFmtId="0" fontId="37" fillId="0" borderId="4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8" fillId="0" borderId="5" applyAlignment="1">
      <alignment vertical="center"/>
    </xf>
    <xf numFmtId="0" fontId="39" fillId="0" borderId="6" applyAlignment="1">
      <alignment vertical="center"/>
    </xf>
    <xf numFmtId="0" fontId="38" fillId="0" borderId="5" applyAlignment="1">
      <alignment vertical="center"/>
    </xf>
    <xf numFmtId="0" fontId="38" fillId="0" borderId="5" applyAlignment="1">
      <alignment vertical="center"/>
    </xf>
    <xf numFmtId="0" fontId="38" fillId="0" borderId="5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38" fillId="0" borderId="0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8" applyAlignment="1">
      <alignment vertical="center"/>
    </xf>
    <xf numFmtId="0" fontId="40" fillId="4" borderId="8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8" applyAlignment="1">
      <alignment vertical="center"/>
    </xf>
    <xf numFmtId="0" fontId="40" fillId="4" borderId="7" applyAlignment="1">
      <alignment vertical="center"/>
    </xf>
    <xf numFmtId="0" fontId="40" fillId="4" borderId="7" applyAlignment="1">
      <alignment vertical="center"/>
    </xf>
    <xf numFmtId="0" fontId="40" fillId="4" borderId="8" applyAlignment="1">
      <alignment vertical="center"/>
    </xf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 applyAlignment="1" applyProtection="1">
      <alignment vertical="top"/>
      <protection locked="0" hidden="0"/>
    </xf>
    <xf numFmtId="0" fontId="43" fillId="12" borderId="0" applyAlignment="1">
      <alignment vertical="center"/>
    </xf>
    <xf numFmtId="0" fontId="43" fillId="13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0" fontId="43" fillId="16" borderId="0" applyAlignment="1">
      <alignment vertical="center"/>
    </xf>
    <xf numFmtId="0" fontId="43" fillId="17" borderId="0" applyAlignment="1">
      <alignment vertical="center"/>
    </xf>
    <xf numFmtId="0" fontId="43" fillId="16" borderId="0" applyAlignment="1">
      <alignment vertical="center"/>
    </xf>
    <xf numFmtId="0" fontId="43" fillId="16" borderId="0" applyAlignment="1">
      <alignment vertical="center"/>
    </xf>
    <xf numFmtId="0" fontId="43" fillId="16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3" fillId="18" borderId="0" applyAlignment="1">
      <alignment vertical="center"/>
    </xf>
    <xf numFmtId="0" fontId="43" fillId="18" borderId="0" applyAlignment="1">
      <alignment vertical="center"/>
    </xf>
    <xf numFmtId="0" fontId="43" fillId="18" borderId="0" applyAlignment="1">
      <alignment vertical="center"/>
    </xf>
    <xf numFmtId="0" fontId="43" fillId="12" borderId="0" applyAlignment="1">
      <alignment vertical="center"/>
    </xf>
    <xf numFmtId="0" fontId="43" fillId="13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0" fontId="43" fillId="12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169" fontId="3" fillId="0" borderId="0"/>
    <xf numFmtId="168" fontId="44" fillId="0" borderId="0"/>
    <xf numFmtId="0" fontId="32" fillId="0" borderId="0" applyAlignment="1" applyProtection="1">
      <alignment vertical="top"/>
      <protection locked="0" hidden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168" fontId="1" fillId="20" borderId="0"/>
    <xf numFmtId="168" fontId="1" fillId="2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39" fontId="47" fillId="0" borderId="0" applyAlignment="1" applyProtection="1">
      <alignment vertical="center"/>
      <protection locked="0" hidden="0"/>
    </xf>
    <xf numFmtId="170" fontId="1" fillId="0" borderId="0"/>
    <xf numFmtId="0" fontId="48" fillId="0" borderId="0"/>
    <xf numFmtId="0" fontId="48" fillId="0" borderId="0"/>
    <xf numFmtId="171" fontId="2" fillId="0" borderId="0" applyProtection="1">
      <protection locked="0" hidden="0"/>
    </xf>
    <xf numFmtId="0" fontId="41" fillId="21" borderId="0"/>
    <xf numFmtId="0" fontId="41" fillId="22" borderId="0"/>
    <xf numFmtId="0" fontId="41" fillId="22" borderId="0"/>
    <xf numFmtId="0" fontId="42" fillId="21" borderId="0"/>
    <xf numFmtId="0" fontId="41" fillId="21" borderId="0"/>
    <xf numFmtId="0" fontId="41" fillId="21" borderId="0"/>
    <xf numFmtId="0" fontId="41" fillId="21" borderId="0"/>
    <xf numFmtId="0" fontId="41" fillId="21" borderId="0"/>
    <xf numFmtId="0" fontId="41" fillId="5" borderId="0"/>
    <xf numFmtId="0" fontId="41" fillId="5" borderId="0"/>
    <xf numFmtId="0" fontId="41" fillId="5" borderId="0"/>
    <xf numFmtId="0" fontId="42" fillId="5" borderId="0"/>
    <xf numFmtId="0" fontId="41" fillId="5" borderId="0"/>
    <xf numFmtId="0" fontId="41" fillId="5" borderId="0"/>
    <xf numFmtId="0" fontId="41" fillId="5" borderId="0"/>
    <xf numFmtId="0" fontId="41" fillId="5" borderId="0"/>
    <xf numFmtId="0" fontId="41" fillId="6" borderId="0"/>
    <xf numFmtId="0" fontId="41" fillId="7" borderId="0"/>
    <xf numFmtId="0" fontId="41" fillId="7" borderId="0"/>
    <xf numFmtId="0" fontId="42" fillId="6" borderId="0"/>
    <xf numFmtId="0" fontId="41" fillId="6" borderId="0"/>
    <xf numFmtId="0" fontId="41" fillId="6" borderId="0"/>
    <xf numFmtId="0" fontId="41" fillId="6" borderId="0"/>
    <xf numFmtId="0" fontId="41" fillId="6" borderId="0"/>
    <xf numFmtId="0" fontId="41" fillId="4" borderId="0"/>
    <xf numFmtId="0" fontId="41" fillId="4" borderId="0"/>
    <xf numFmtId="0" fontId="41" fillId="4" borderId="0"/>
    <xf numFmtId="0" fontId="42" fillId="4" borderId="0"/>
    <xf numFmtId="0" fontId="41" fillId="4" borderId="0"/>
    <xf numFmtId="0" fontId="41" fillId="4" borderId="0"/>
    <xf numFmtId="0" fontId="41" fillId="4" borderId="0"/>
    <xf numFmtId="0" fontId="41" fillId="4" borderId="0"/>
    <xf numFmtId="0" fontId="41" fillId="23" borderId="0"/>
    <xf numFmtId="0" fontId="41" fillId="24" borderId="0"/>
    <xf numFmtId="0" fontId="41" fillId="24" borderId="0"/>
    <xf numFmtId="0" fontId="42" fillId="23" borderId="0"/>
    <xf numFmtId="0" fontId="41" fillId="23" borderId="0"/>
    <xf numFmtId="0" fontId="41" fillId="23" borderId="0"/>
    <xf numFmtId="0" fontId="41" fillId="23" borderId="0"/>
    <xf numFmtId="0" fontId="41" fillId="23" borderId="0"/>
    <xf numFmtId="0" fontId="41" fillId="25" borderId="0"/>
    <xf numFmtId="0" fontId="41" fillId="26" borderId="0"/>
    <xf numFmtId="0" fontId="41" fillId="26" borderId="0"/>
    <xf numFmtId="0" fontId="42" fillId="25" borderId="0"/>
    <xf numFmtId="0" fontId="41" fillId="25" borderId="0"/>
    <xf numFmtId="0" fontId="41" fillId="25" borderId="0"/>
    <xf numFmtId="0" fontId="41" fillId="25" borderId="0"/>
    <xf numFmtId="0" fontId="41" fillId="25" borderId="0"/>
    <xf numFmtId="0" fontId="49" fillId="21" borderId="0" applyAlignment="1">
      <alignment vertical="center"/>
    </xf>
    <xf numFmtId="0" fontId="49" fillId="22" borderId="0" applyAlignment="1">
      <alignment vertical="center"/>
    </xf>
    <xf numFmtId="0" fontId="49" fillId="21" borderId="0" applyAlignment="1">
      <alignment vertical="center"/>
    </xf>
    <xf numFmtId="0" fontId="49" fillId="21" borderId="0" applyAlignment="1">
      <alignment vertical="center"/>
    </xf>
    <xf numFmtId="0" fontId="49" fillId="21" borderId="0" applyAlignment="1">
      <alignment vertical="center"/>
    </xf>
    <xf numFmtId="0" fontId="49" fillId="21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5" borderId="0" applyAlignment="1">
      <alignment vertical="center"/>
    </xf>
    <xf numFmtId="0" fontId="49" fillId="6" borderId="0" applyAlignment="1">
      <alignment vertical="center"/>
    </xf>
    <xf numFmtId="0" fontId="49" fillId="7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4" borderId="0" applyAlignment="1">
      <alignment vertical="center"/>
    </xf>
    <xf numFmtId="0" fontId="49" fillId="4" borderId="0" applyAlignment="1">
      <alignment vertical="center"/>
    </xf>
    <xf numFmtId="0" fontId="49" fillId="4" borderId="0" applyAlignment="1">
      <alignment vertical="center"/>
    </xf>
    <xf numFmtId="0" fontId="49" fillId="4" borderId="0" applyAlignment="1">
      <alignment vertical="center"/>
    </xf>
    <xf numFmtId="0" fontId="49" fillId="4" borderId="0" applyAlignment="1">
      <alignment vertical="center"/>
    </xf>
    <xf numFmtId="0" fontId="49" fillId="23" borderId="0" applyAlignment="1">
      <alignment vertical="center"/>
    </xf>
    <xf numFmtId="0" fontId="49" fillId="24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5" borderId="0" applyAlignment="1">
      <alignment vertical="center"/>
    </xf>
    <xf numFmtId="0" fontId="49" fillId="26" borderId="0" applyAlignment="1">
      <alignment vertical="center"/>
    </xf>
    <xf numFmtId="0" fontId="49" fillId="25" borderId="0" applyAlignment="1">
      <alignment vertical="center"/>
    </xf>
    <xf numFmtId="0" fontId="49" fillId="25" borderId="0" applyAlignment="1">
      <alignment vertical="center"/>
    </xf>
    <xf numFmtId="0" fontId="49" fillId="25" borderId="0" applyAlignment="1">
      <alignment vertical="center"/>
    </xf>
    <xf numFmtId="0" fontId="49" fillId="25" borderId="0" applyAlignment="1">
      <alignment vertical="center"/>
    </xf>
    <xf numFmtId="0" fontId="50" fillId="27" borderId="0"/>
    <xf numFmtId="0" fontId="50" fillId="27" borderId="0"/>
    <xf numFmtId="168" fontId="41" fillId="28" borderId="0"/>
    <xf numFmtId="0" fontId="50" fillId="27" borderId="0"/>
    <xf numFmtId="172" fontId="42" fillId="28" borderId="0"/>
    <xf numFmtId="0" fontId="211" fillId="27" borderId="0"/>
    <xf numFmtId="0" fontId="50" fillId="27" borderId="0"/>
    <xf numFmtId="0" fontId="211" fillId="27" borderId="0"/>
    <xf numFmtId="0" fontId="50" fillId="27" borderId="0"/>
    <xf numFmtId="0" fontId="211" fillId="27" borderId="0"/>
    <xf numFmtId="0" fontId="50" fillId="27" borderId="0"/>
    <xf numFmtId="0" fontId="211" fillId="27" borderId="0"/>
    <xf numFmtId="0" fontId="211" fillId="27" borderId="0"/>
    <xf numFmtId="0" fontId="211" fillId="27" borderId="0"/>
    <xf numFmtId="0" fontId="211" fillId="27" borderId="0"/>
    <xf numFmtId="0" fontId="50" fillId="29" borderId="0"/>
    <xf numFmtId="0" fontId="50" fillId="29" borderId="0"/>
    <xf numFmtId="168" fontId="41" fillId="30" borderId="0"/>
    <xf numFmtId="0" fontId="50" fillId="29" borderId="0"/>
    <xf numFmtId="172" fontId="42" fillId="30" borderId="0"/>
    <xf numFmtId="0" fontId="211" fillId="29" borderId="0"/>
    <xf numFmtId="0" fontId="50" fillId="29" borderId="0"/>
    <xf numFmtId="0" fontId="211" fillId="29" borderId="0"/>
    <xf numFmtId="0" fontId="50" fillId="29" borderId="0"/>
    <xf numFmtId="0" fontId="211" fillId="29" borderId="0"/>
    <xf numFmtId="0" fontId="50" fillId="29" borderId="0"/>
    <xf numFmtId="0" fontId="211" fillId="29" borderId="0"/>
    <xf numFmtId="0" fontId="211" fillId="29" borderId="0"/>
    <xf numFmtId="0" fontId="211" fillId="29" borderId="0"/>
    <xf numFmtId="0" fontId="211" fillId="29" borderId="0"/>
    <xf numFmtId="0" fontId="50" fillId="31" borderId="0"/>
    <xf numFmtId="0" fontId="50" fillId="31" borderId="0"/>
    <xf numFmtId="168" fontId="41" fillId="32" borderId="0"/>
    <xf numFmtId="0" fontId="50" fillId="31" borderId="0"/>
    <xf numFmtId="172" fontId="42" fillId="32" borderId="0"/>
    <xf numFmtId="0" fontId="211" fillId="31" borderId="0"/>
    <xf numFmtId="0" fontId="50" fillId="31" borderId="0"/>
    <xf numFmtId="0" fontId="211" fillId="31" borderId="0"/>
    <xf numFmtId="0" fontId="50" fillId="31" borderId="0"/>
    <xf numFmtId="0" fontId="211" fillId="31" borderId="0"/>
    <xf numFmtId="0" fontId="50" fillId="31" borderId="0"/>
    <xf numFmtId="0" fontId="211" fillId="31" borderId="0"/>
    <xf numFmtId="0" fontId="211" fillId="31" borderId="0"/>
    <xf numFmtId="0" fontId="211" fillId="31" borderId="0"/>
    <xf numFmtId="0" fontId="211" fillId="31" borderId="0"/>
    <xf numFmtId="0" fontId="50" fillId="33" borderId="0"/>
    <xf numFmtId="0" fontId="50" fillId="33" borderId="0"/>
    <xf numFmtId="168" fontId="41" fillId="34" borderId="0"/>
    <xf numFmtId="0" fontId="50" fillId="33" borderId="0"/>
    <xf numFmtId="172" fontId="42" fillId="34" borderId="0"/>
    <xf numFmtId="0" fontId="211" fillId="33" borderId="0"/>
    <xf numFmtId="0" fontId="50" fillId="33" borderId="0"/>
    <xf numFmtId="0" fontId="211" fillId="33" borderId="0"/>
    <xf numFmtId="0" fontId="50" fillId="33" borderId="0"/>
    <xf numFmtId="0" fontId="211" fillId="33" borderId="0"/>
    <xf numFmtId="0" fontId="50" fillId="33" borderId="0"/>
    <xf numFmtId="0" fontId="211" fillId="33" borderId="0"/>
    <xf numFmtId="0" fontId="211" fillId="33" borderId="0"/>
    <xf numFmtId="0" fontId="211" fillId="33" borderId="0"/>
    <xf numFmtId="0" fontId="211" fillId="33" borderId="0"/>
    <xf numFmtId="0" fontId="50" fillId="35" borderId="0"/>
    <xf numFmtId="0" fontId="50" fillId="35" borderId="0"/>
    <xf numFmtId="168" fontId="41" fillId="23" borderId="0"/>
    <xf numFmtId="0" fontId="50" fillId="35" borderId="0"/>
    <xf numFmtId="172" fontId="42" fillId="23" borderId="0"/>
    <xf numFmtId="0" fontId="211" fillId="35" borderId="0"/>
    <xf numFmtId="0" fontId="50" fillId="35" borderId="0"/>
    <xf numFmtId="0" fontId="211" fillId="35" borderId="0"/>
    <xf numFmtId="0" fontId="50" fillId="35" borderId="0"/>
    <xf numFmtId="0" fontId="211" fillId="35" borderId="0"/>
    <xf numFmtId="0" fontId="50" fillId="35" borderId="0"/>
    <xf numFmtId="0" fontId="211" fillId="35" borderId="0"/>
    <xf numFmtId="0" fontId="211" fillId="35" borderId="0"/>
    <xf numFmtId="0" fontId="211" fillId="35" borderId="0"/>
    <xf numFmtId="0" fontId="211" fillId="35" borderId="0"/>
    <xf numFmtId="0" fontId="50" fillId="36" borderId="0"/>
    <xf numFmtId="0" fontId="50" fillId="36" borderId="0"/>
    <xf numFmtId="168" fontId="41" fillId="37" borderId="0"/>
    <xf numFmtId="0" fontId="50" fillId="36" borderId="0"/>
    <xf numFmtId="172" fontId="42" fillId="37" borderId="0"/>
    <xf numFmtId="0" fontId="211" fillId="36" borderId="0"/>
    <xf numFmtId="0" fontId="50" fillId="36" borderId="0"/>
    <xf numFmtId="0" fontId="211" fillId="36" borderId="0"/>
    <xf numFmtId="0" fontId="50" fillId="36" borderId="0"/>
    <xf numFmtId="0" fontId="211" fillId="36" borderId="0"/>
    <xf numFmtId="0" fontId="50" fillId="36" borderId="0"/>
    <xf numFmtId="0" fontId="211" fillId="36" borderId="0"/>
    <xf numFmtId="0" fontId="211" fillId="36" borderId="0"/>
    <xf numFmtId="0" fontId="211" fillId="36" borderId="0"/>
    <xf numFmtId="0" fontId="211" fillId="36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7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29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1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3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5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0" fillId="36" borderId="0"/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28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0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2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23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51" fillId="37" borderId="0" applyAlignment="1">
      <alignment vertical="center"/>
    </xf>
    <xf numFmtId="0" fontId="41" fillId="23" borderId="0"/>
    <xf numFmtId="0" fontId="41" fillId="24" borderId="0"/>
    <xf numFmtId="0" fontId="41" fillId="24" borderId="0"/>
    <xf numFmtId="0" fontId="42" fillId="23" borderId="0"/>
    <xf numFmtId="0" fontId="41" fillId="23" borderId="0"/>
    <xf numFmtId="0" fontId="41" fillId="23" borderId="0"/>
    <xf numFmtId="0" fontId="41" fillId="23" borderId="0"/>
    <xf numFmtId="0" fontId="41" fillId="23" borderId="0"/>
    <xf numFmtId="0" fontId="41" fillId="14" borderId="0"/>
    <xf numFmtId="0" fontId="41" fillId="15" borderId="0"/>
    <xf numFmtId="0" fontId="41" fillId="15" borderId="0"/>
    <xf numFmtId="0" fontId="42" fillId="14" borderId="0"/>
    <xf numFmtId="0" fontId="41" fillId="14" borderId="0"/>
    <xf numFmtId="0" fontId="41" fillId="14" borderId="0"/>
    <xf numFmtId="0" fontId="41" fillId="14" borderId="0"/>
    <xf numFmtId="0" fontId="41" fillId="14" borderId="0"/>
    <xf numFmtId="0" fontId="41" fillId="6" borderId="0"/>
    <xf numFmtId="0" fontId="41" fillId="7" borderId="0"/>
    <xf numFmtId="0" fontId="41" fillId="7" borderId="0"/>
    <xf numFmtId="0" fontId="42" fillId="6" borderId="0"/>
    <xf numFmtId="0" fontId="41" fillId="6" borderId="0"/>
    <xf numFmtId="0" fontId="41" fillId="6" borderId="0"/>
    <xf numFmtId="0" fontId="41" fillId="6" borderId="0"/>
    <xf numFmtId="0" fontId="41" fillId="6" borderId="0"/>
    <xf numFmtId="0" fontId="41" fillId="38" borderId="0"/>
    <xf numFmtId="0" fontId="41" fillId="20" borderId="0"/>
    <xf numFmtId="0" fontId="41" fillId="20" borderId="0"/>
    <xf numFmtId="0" fontId="42" fillId="38" borderId="0"/>
    <xf numFmtId="0" fontId="41" fillId="38" borderId="0"/>
    <xf numFmtId="0" fontId="41" fillId="38" borderId="0"/>
    <xf numFmtId="0" fontId="41" fillId="38" borderId="0"/>
    <xf numFmtId="0" fontId="41" fillId="38" borderId="0"/>
    <xf numFmtId="0" fontId="41" fillId="23" borderId="0"/>
    <xf numFmtId="0" fontId="41" fillId="24" borderId="0"/>
    <xf numFmtId="0" fontId="41" fillId="24" borderId="0"/>
    <xf numFmtId="0" fontId="42" fillId="23" borderId="0"/>
    <xf numFmtId="0" fontId="41" fillId="23" borderId="0"/>
    <xf numFmtId="0" fontId="41" fillId="23" borderId="0"/>
    <xf numFmtId="0" fontId="41" fillId="23" borderId="0"/>
    <xf numFmtId="0" fontId="41" fillId="23" borderId="0"/>
    <xf numFmtId="0" fontId="41" fillId="8" borderId="0"/>
    <xf numFmtId="0" fontId="41" fillId="9" borderId="0"/>
    <xf numFmtId="0" fontId="41" fillId="9" borderId="0"/>
    <xf numFmtId="0" fontId="42" fillId="8" borderId="0"/>
    <xf numFmtId="0" fontId="41" fillId="8" borderId="0"/>
    <xf numFmtId="0" fontId="41" fillId="8" borderId="0"/>
    <xf numFmtId="0" fontId="41" fillId="8" borderId="0"/>
    <xf numFmtId="0" fontId="41" fillId="8" borderId="0"/>
    <xf numFmtId="0" fontId="49" fillId="23" borderId="0" applyAlignment="1">
      <alignment vertical="center"/>
    </xf>
    <xf numFmtId="0" fontId="49" fillId="24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14" borderId="0" applyAlignment="1">
      <alignment vertical="center"/>
    </xf>
    <xf numFmtId="0" fontId="49" fillId="15" borderId="0" applyAlignment="1">
      <alignment vertical="center"/>
    </xf>
    <xf numFmtId="0" fontId="49" fillId="14" borderId="0" applyAlignment="1">
      <alignment vertical="center"/>
    </xf>
    <xf numFmtId="0" fontId="49" fillId="14" borderId="0" applyAlignment="1">
      <alignment vertical="center"/>
    </xf>
    <xf numFmtId="0" fontId="49" fillId="14" borderId="0" applyAlignment="1">
      <alignment vertical="center"/>
    </xf>
    <xf numFmtId="0" fontId="49" fillId="14" borderId="0" applyAlignment="1">
      <alignment vertical="center"/>
    </xf>
    <xf numFmtId="0" fontId="49" fillId="6" borderId="0" applyAlignment="1">
      <alignment vertical="center"/>
    </xf>
    <xf numFmtId="0" fontId="49" fillId="7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6" borderId="0" applyAlignment="1">
      <alignment vertical="center"/>
    </xf>
    <xf numFmtId="0" fontId="49" fillId="38" borderId="0" applyAlignment="1">
      <alignment vertical="center"/>
    </xf>
    <xf numFmtId="0" fontId="49" fillId="20" borderId="0" applyAlignment="1">
      <alignment vertical="center"/>
    </xf>
    <xf numFmtId="0" fontId="49" fillId="38" borderId="0" applyAlignment="1">
      <alignment vertical="center"/>
    </xf>
    <xf numFmtId="0" fontId="49" fillId="38" borderId="0" applyAlignment="1">
      <alignment vertical="center"/>
    </xf>
    <xf numFmtId="0" fontId="49" fillId="38" borderId="0" applyAlignment="1">
      <alignment vertical="center"/>
    </xf>
    <xf numFmtId="0" fontId="49" fillId="38" borderId="0" applyAlignment="1">
      <alignment vertical="center"/>
    </xf>
    <xf numFmtId="0" fontId="49" fillId="23" borderId="0" applyAlignment="1">
      <alignment vertical="center"/>
    </xf>
    <xf numFmtId="0" fontId="49" fillId="24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23" borderId="0" applyAlignment="1">
      <alignment vertical="center"/>
    </xf>
    <xf numFmtId="0" fontId="49" fillId="8" borderId="0" applyAlignment="1">
      <alignment vertical="center"/>
    </xf>
    <xf numFmtId="0" fontId="49" fillId="9" borderId="0" applyAlignment="1">
      <alignment vertical="center"/>
    </xf>
    <xf numFmtId="0" fontId="49" fillId="8" borderId="0" applyAlignment="1">
      <alignment vertical="center"/>
    </xf>
    <xf numFmtId="0" fontId="49" fillId="8" borderId="0" applyAlignment="1">
      <alignment vertical="center"/>
    </xf>
    <xf numFmtId="0" fontId="49" fillId="8" borderId="0" applyAlignment="1">
      <alignment vertical="center"/>
    </xf>
    <xf numFmtId="0" fontId="49" fillId="8" borderId="0" applyAlignment="1">
      <alignment vertical="center"/>
    </xf>
    <xf numFmtId="0" fontId="50" fillId="39" borderId="0"/>
    <xf numFmtId="0" fontId="50" fillId="39" borderId="0"/>
    <xf numFmtId="168" fontId="41" fillId="40" borderId="0"/>
    <xf numFmtId="0" fontId="50" fillId="39" borderId="0"/>
    <xf numFmtId="172" fontId="42" fillId="40" borderId="0"/>
    <xf numFmtId="0" fontId="211" fillId="39" borderId="0"/>
    <xf numFmtId="0" fontId="50" fillId="39" borderId="0"/>
    <xf numFmtId="0" fontId="211" fillId="39" borderId="0"/>
    <xf numFmtId="0" fontId="50" fillId="39" borderId="0"/>
    <xf numFmtId="0" fontId="211" fillId="39" borderId="0"/>
    <xf numFmtId="0" fontId="50" fillId="39" borderId="0"/>
    <xf numFmtId="0" fontId="211" fillId="39" borderId="0"/>
    <xf numFmtId="0" fontId="211" fillId="39" borderId="0"/>
    <xf numFmtId="0" fontId="211" fillId="39" borderId="0"/>
    <xf numFmtId="0" fontId="211" fillId="39" borderId="0"/>
    <xf numFmtId="0" fontId="50" fillId="41" borderId="0"/>
    <xf numFmtId="0" fontId="50" fillId="41" borderId="0"/>
    <xf numFmtId="168" fontId="41" fillId="5" borderId="0"/>
    <xf numFmtId="0" fontId="50" fillId="41" borderId="0"/>
    <xf numFmtId="172" fontId="42" fillId="5" borderId="0"/>
    <xf numFmtId="0" fontId="211" fillId="41" borderId="0"/>
    <xf numFmtId="0" fontId="50" fillId="41" borderId="0"/>
    <xf numFmtId="0" fontId="211" fillId="41" borderId="0"/>
    <xf numFmtId="0" fontId="50" fillId="41" borderId="0"/>
    <xf numFmtId="0" fontId="211" fillId="41" borderId="0"/>
    <xf numFmtId="0" fontId="50" fillId="41" borderId="0"/>
    <xf numFmtId="0" fontId="211" fillId="41" borderId="0"/>
    <xf numFmtId="0" fontId="211" fillId="41" borderId="0"/>
    <xf numFmtId="0" fontId="211" fillId="41" borderId="0"/>
    <xf numFmtId="0" fontId="211" fillId="41" borderId="0"/>
    <xf numFmtId="0" fontId="50" fillId="42" borderId="0"/>
    <xf numFmtId="0" fontId="50" fillId="42" borderId="0"/>
    <xf numFmtId="168" fontId="41" fillId="43" borderId="0"/>
    <xf numFmtId="0" fontId="50" fillId="42" borderId="0"/>
    <xf numFmtId="172" fontId="42" fillId="43" borderId="0"/>
    <xf numFmtId="0" fontId="211" fillId="42" borderId="0"/>
    <xf numFmtId="0" fontId="50" fillId="42" borderId="0"/>
    <xf numFmtId="0" fontId="211" fillId="42" borderId="0"/>
    <xf numFmtId="0" fontId="50" fillId="42" borderId="0"/>
    <xf numFmtId="0" fontId="211" fillId="42" borderId="0"/>
    <xf numFmtId="0" fontId="50" fillId="42" borderId="0"/>
    <xf numFmtId="0" fontId="211" fillId="42" borderId="0"/>
    <xf numFmtId="0" fontId="211" fillId="42" borderId="0"/>
    <xf numFmtId="0" fontId="211" fillId="42" borderId="0"/>
    <xf numFmtId="0" fontId="211" fillId="42" borderId="0"/>
    <xf numFmtId="0" fontId="50" fillId="44" borderId="0"/>
    <xf numFmtId="0" fontId="50" fillId="44" borderId="0"/>
    <xf numFmtId="168" fontId="41" fillId="34" borderId="0"/>
    <xf numFmtId="0" fontId="50" fillId="44" borderId="0"/>
    <xf numFmtId="172" fontId="42" fillId="34" borderId="0"/>
    <xf numFmtId="0" fontId="211" fillId="44" borderId="0"/>
    <xf numFmtId="0" fontId="50" fillId="44" borderId="0"/>
    <xf numFmtId="0" fontId="211" fillId="44" borderId="0"/>
    <xf numFmtId="0" fontId="50" fillId="44" borderId="0"/>
    <xf numFmtId="0" fontId="211" fillId="44" borderId="0"/>
    <xf numFmtId="0" fontId="50" fillId="44" borderId="0"/>
    <xf numFmtId="0" fontId="211" fillId="44" borderId="0"/>
    <xf numFmtId="0" fontId="211" fillId="44" borderId="0"/>
    <xf numFmtId="0" fontId="211" fillId="44" borderId="0"/>
    <xf numFmtId="0" fontId="211" fillId="44" borderId="0"/>
    <xf numFmtId="0" fontId="50" fillId="45" borderId="0"/>
    <xf numFmtId="0" fontId="50" fillId="45" borderId="0"/>
    <xf numFmtId="0" fontId="211" fillId="45" borderId="0"/>
    <xf numFmtId="168" fontId="41" fillId="40" borderId="0"/>
    <xf numFmtId="0" fontId="50" fillId="45" borderId="0"/>
    <xf numFmtId="172" fontId="42" fillId="40" borderId="0"/>
    <xf numFmtId="0" fontId="211" fillId="45" borderId="0"/>
    <xf numFmtId="0" fontId="50" fillId="45" borderId="0"/>
    <xf numFmtId="0" fontId="211" fillId="45" borderId="0"/>
    <xf numFmtId="0" fontId="50" fillId="45" borderId="0"/>
    <xf numFmtId="0" fontId="211" fillId="45" borderId="0"/>
    <xf numFmtId="0" fontId="50" fillId="45" borderId="0"/>
    <xf numFmtId="0" fontId="211" fillId="45" borderId="0"/>
    <xf numFmtId="0" fontId="211" fillId="45" borderId="0"/>
    <xf numFmtId="0" fontId="211" fillId="45" borderId="0"/>
    <xf numFmtId="0" fontId="211" fillId="45" borderId="0"/>
    <xf numFmtId="0" fontId="50" fillId="46" borderId="0"/>
    <xf numFmtId="0" fontId="50" fillId="46" borderId="0"/>
    <xf numFmtId="168" fontId="41" fillId="6" borderId="0"/>
    <xf numFmtId="0" fontId="50" fillId="46" borderId="0"/>
    <xf numFmtId="172" fontId="42" fillId="6" borderId="0"/>
    <xf numFmtId="0" fontId="211" fillId="46" borderId="0"/>
    <xf numFmtId="0" fontId="50" fillId="46" borderId="0"/>
    <xf numFmtId="0" fontId="211" fillId="46" borderId="0"/>
    <xf numFmtId="0" fontId="50" fillId="46" borderId="0"/>
    <xf numFmtId="0" fontId="211" fillId="46" borderId="0"/>
    <xf numFmtId="0" fontId="50" fillId="46" borderId="0"/>
    <xf numFmtId="0" fontId="211" fillId="46" borderId="0"/>
    <xf numFmtId="0" fontId="211" fillId="46" borderId="0"/>
    <xf numFmtId="0" fontId="211" fillId="46" borderId="0"/>
    <xf numFmtId="0" fontId="211" fillId="46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39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1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2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4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5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0" fillId="46" borderId="0"/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5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43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34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40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51" fillId="6" borderId="0" applyAlignment="1">
      <alignment vertical="center"/>
    </xf>
    <xf numFmtId="0" fontId="30" fillId="23" borderId="0"/>
    <xf numFmtId="0" fontId="30" fillId="24" borderId="0"/>
    <xf numFmtId="0" fontId="30" fillId="23" borderId="0"/>
    <xf numFmtId="0" fontId="30" fillId="23" borderId="0"/>
    <xf numFmtId="0" fontId="30" fillId="23" borderId="0"/>
    <xf numFmtId="0" fontId="30" fillId="14" borderId="0"/>
    <xf numFmtId="0" fontId="30" fillId="15" borderId="0"/>
    <xf numFmtId="0" fontId="30" fillId="14" borderId="0"/>
    <xf numFmtId="0" fontId="30" fillId="14" borderId="0"/>
    <xf numFmtId="0" fontId="30" fillId="14" borderId="0"/>
    <xf numFmtId="0" fontId="30" fillId="6" borderId="0"/>
    <xf numFmtId="0" fontId="30" fillId="7" borderId="0"/>
    <xf numFmtId="0" fontId="30" fillId="6" borderId="0"/>
    <xf numFmtId="0" fontId="30" fillId="6" borderId="0"/>
    <xf numFmtId="0" fontId="30" fillId="6" borderId="0"/>
    <xf numFmtId="0" fontId="30" fillId="10" borderId="0"/>
    <xf numFmtId="0" fontId="30" fillId="11" borderId="0"/>
    <xf numFmtId="0" fontId="30" fillId="10" borderId="0"/>
    <xf numFmtId="0" fontId="30" fillId="10" borderId="0"/>
    <xf numFmtId="0" fontId="30" fillId="10" borderId="0"/>
    <xf numFmtId="0" fontId="30" fillId="23" borderId="0"/>
    <xf numFmtId="0" fontId="30" fillId="24" borderId="0"/>
    <xf numFmtId="0" fontId="30" fillId="23" borderId="0"/>
    <xf numFmtId="0" fontId="30" fillId="23" borderId="0"/>
    <xf numFmtId="0" fontId="30" fillId="23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30" fillId="5" borderId="0"/>
    <xf numFmtId="0" fontId="43" fillId="23" borderId="0" applyAlignment="1">
      <alignment vertical="center"/>
    </xf>
    <xf numFmtId="0" fontId="43" fillId="24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0" fontId="43" fillId="14" borderId="0" applyAlignment="1">
      <alignment vertical="center"/>
    </xf>
    <xf numFmtId="0" fontId="43" fillId="6" borderId="0" applyAlignment="1">
      <alignment vertical="center"/>
    </xf>
    <xf numFmtId="0" fontId="43" fillId="7" borderId="0" applyAlignment="1">
      <alignment vertical="center"/>
    </xf>
    <xf numFmtId="0" fontId="43" fillId="6" borderId="0" applyAlignment="1">
      <alignment vertical="center"/>
    </xf>
    <xf numFmtId="0" fontId="43" fillId="6" borderId="0" applyAlignment="1">
      <alignment vertical="center"/>
    </xf>
    <xf numFmtId="0" fontId="43" fillId="6" borderId="0" applyAlignment="1">
      <alignment vertical="center"/>
    </xf>
    <xf numFmtId="0" fontId="43" fillId="10" borderId="0" applyAlignment="1">
      <alignment vertical="center"/>
    </xf>
    <xf numFmtId="0" fontId="43" fillId="11" borderId="0" applyAlignment="1">
      <alignment vertical="center"/>
    </xf>
    <xf numFmtId="0" fontId="43" fillId="10" borderId="0" applyAlignment="1">
      <alignment vertical="center"/>
    </xf>
    <xf numFmtId="0" fontId="43" fillId="10" borderId="0" applyAlignment="1">
      <alignment vertical="center"/>
    </xf>
    <xf numFmtId="0" fontId="43" fillId="10" borderId="0" applyAlignment="1">
      <alignment vertical="center"/>
    </xf>
    <xf numFmtId="0" fontId="43" fillId="23" borderId="0" applyAlignment="1">
      <alignment vertical="center"/>
    </xf>
    <xf numFmtId="0" fontId="43" fillId="24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23" borderId="0" applyAlignment="1">
      <alignment vertical="center"/>
    </xf>
    <xf numFmtId="0" fontId="43" fillId="5" borderId="0" applyAlignment="1">
      <alignment vertical="center"/>
    </xf>
    <xf numFmtId="0" fontId="43" fillId="5" borderId="0" applyAlignment="1">
      <alignment vertical="center"/>
    </xf>
    <xf numFmtId="0" fontId="43" fillId="5" borderId="0" applyAlignment="1">
      <alignment vertical="center"/>
    </xf>
    <xf numFmtId="0" fontId="43" fillId="5" borderId="0" applyAlignment="1">
      <alignment vertical="center"/>
    </xf>
    <xf numFmtId="0" fontId="43" fillId="5" borderId="0" applyAlignment="1">
      <alignment vertical="center"/>
    </xf>
    <xf numFmtId="168" fontId="30" fillId="47" borderId="0"/>
    <xf numFmtId="0" fontId="50" fillId="48" borderId="0"/>
    <xf numFmtId="172" fontId="30" fillId="47" borderId="0"/>
    <xf numFmtId="0" fontId="50" fillId="48" borderId="0"/>
    <xf numFmtId="0" fontId="50" fillId="48" borderId="0"/>
    <xf numFmtId="0" fontId="50" fillId="48" borderId="0"/>
    <xf numFmtId="0" fontId="50" fillId="48" borderId="0"/>
    <xf numFmtId="168" fontId="30" fillId="5" borderId="0"/>
    <xf numFmtId="0" fontId="50" fillId="49" borderId="0"/>
    <xf numFmtId="172" fontId="30" fillId="5" borderId="0"/>
    <xf numFmtId="0" fontId="50" fillId="49" borderId="0"/>
    <xf numFmtId="0" fontId="50" fillId="49" borderId="0"/>
    <xf numFmtId="0" fontId="50" fillId="49" borderId="0"/>
    <xf numFmtId="0" fontId="50" fillId="49" borderId="0"/>
    <xf numFmtId="168" fontId="30" fillId="43" borderId="0"/>
    <xf numFmtId="0" fontId="50" fillId="50" borderId="0"/>
    <xf numFmtId="172" fontId="30" fillId="43" borderId="0"/>
    <xf numFmtId="0" fontId="50" fillId="50" borderId="0"/>
    <xf numFmtId="0" fontId="50" fillId="50" borderId="0"/>
    <xf numFmtId="0" fontId="50" fillId="50" borderId="0"/>
    <xf numFmtId="0" fontId="50" fillId="50" borderId="0"/>
    <xf numFmtId="168" fontId="30" fillId="51" borderId="0"/>
    <xf numFmtId="0" fontId="50" fillId="52" borderId="0"/>
    <xf numFmtId="172" fontId="30" fillId="51" borderId="0"/>
    <xf numFmtId="0" fontId="50" fillId="52" borderId="0"/>
    <xf numFmtId="0" fontId="50" fillId="52" borderId="0"/>
    <xf numFmtId="0" fontId="50" fillId="52" borderId="0"/>
    <xf numFmtId="0" fontId="50" fillId="52" borderId="0"/>
    <xf numFmtId="168" fontId="30" fillId="53" borderId="0"/>
    <xf numFmtId="0" fontId="50" fillId="54" borderId="0"/>
    <xf numFmtId="172" fontId="30" fillId="53" borderId="0"/>
    <xf numFmtId="0" fontId="50" fillId="54" borderId="0"/>
    <xf numFmtId="0" fontId="50" fillId="54" borderId="0"/>
    <xf numFmtId="0" fontId="50" fillId="54" borderId="0"/>
    <xf numFmtId="0" fontId="50" fillId="54" borderId="0"/>
    <xf numFmtId="168" fontId="30" fillId="21" borderId="0"/>
    <xf numFmtId="0" fontId="50" fillId="55" borderId="0"/>
    <xf numFmtId="172" fontId="30" fillId="21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0" fillId="48" borderId="0"/>
    <xf numFmtId="0" fontId="52" fillId="48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0" fillId="49" borderId="0"/>
    <xf numFmtId="0" fontId="52" fillId="49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0" fillId="50" borderId="0"/>
    <xf numFmtId="0" fontId="52" fillId="50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0" fillId="52" borderId="0"/>
    <xf numFmtId="0" fontId="52" fillId="52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0" fillId="54" borderId="0"/>
    <xf numFmtId="0" fontId="52" fillId="54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0" fillId="55" borderId="0"/>
    <xf numFmtId="0" fontId="52" fillId="55" borderId="0"/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47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5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43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53" fillId="21" borderId="0" applyAlignment="1">
      <alignment vertical="center"/>
    </xf>
    <xf numFmtId="0" fontId="46" fillId="0" borderId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4" fillId="0" borderId="13"/>
    <xf numFmtId="168" fontId="30" fillId="56" borderId="0"/>
    <xf numFmtId="0" fontId="52" fillId="57" borderId="0"/>
    <xf numFmtId="172" fontId="30" fillId="56" borderId="0"/>
    <xf numFmtId="0" fontId="52" fillId="57" borderId="0"/>
    <xf numFmtId="0" fontId="52" fillId="58" borderId="0"/>
    <xf numFmtId="168" fontId="30" fillId="59" borderId="0"/>
    <xf numFmtId="0" fontId="55" fillId="58" borderId="0"/>
    <xf numFmtId="172" fontId="30" fillId="59" borderId="0"/>
    <xf numFmtId="0" fontId="55" fillId="58" borderId="0"/>
    <xf numFmtId="168" fontId="30" fillId="60" borderId="0"/>
    <xf numFmtId="0" fontId="55" fillId="61" borderId="0"/>
    <xf numFmtId="172" fontId="30" fillId="60" borderId="0"/>
    <xf numFmtId="0" fontId="55" fillId="61" borderId="0"/>
    <xf numFmtId="168" fontId="30" fillId="51" borderId="0"/>
    <xf numFmtId="0" fontId="55" fillId="62" borderId="0"/>
    <xf numFmtId="172" fontId="30" fillId="51" borderId="0"/>
    <xf numFmtId="0" fontId="55" fillId="62" borderId="0"/>
    <xf numFmtId="168" fontId="30" fillId="53" borderId="0"/>
    <xf numFmtId="0" fontId="55" fillId="63" borderId="0"/>
    <xf numFmtId="172" fontId="30" fillId="53" borderId="0"/>
    <xf numFmtId="0" fontId="55" fillId="63" borderId="0"/>
    <xf numFmtId="168" fontId="30" fillId="64" borderId="0"/>
    <xf numFmtId="0" fontId="55" fillId="65" borderId="0"/>
    <xf numFmtId="172" fontId="30" fillId="64" borderId="0"/>
    <xf numFmtId="0" fontId="55" fillId="65" borderId="0"/>
    <xf numFmtId="173" fontId="56" fillId="0" borderId="0"/>
    <xf numFmtId="168" fontId="57" fillId="0" borderId="0"/>
    <xf numFmtId="174" fontId="56" fillId="0" borderId="0"/>
    <xf numFmtId="168" fontId="57" fillId="0" borderId="0"/>
    <xf numFmtId="3" fontId="58" fillId="0" borderId="0"/>
    <xf numFmtId="3" fontId="59" fillId="0" borderId="0"/>
    <xf numFmtId="175" fontId="56" fillId="0" borderId="0"/>
    <xf numFmtId="168" fontId="57" fillId="0" borderId="0"/>
    <xf numFmtId="176" fontId="56" fillId="0" borderId="0"/>
    <xf numFmtId="168" fontId="57" fillId="0" borderId="0"/>
    <xf numFmtId="168" fontId="6" fillId="30" borderId="0"/>
    <xf numFmtId="0" fontId="60" fillId="66" borderId="0"/>
    <xf numFmtId="172" fontId="6" fillId="30" borderId="0"/>
    <xf numFmtId="0" fontId="60" fillId="66" borderId="0"/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0" fontId="32" fillId="0" borderId="0" applyAlignment="1" applyProtection="1">
      <alignment vertical="top"/>
      <protection locked="0" hidden="0"/>
    </xf>
    <xf numFmtId="177" fontId="21" fillId="0" borderId="0"/>
    <xf numFmtId="177" fontId="21" fillId="0" borderId="0"/>
    <xf numFmtId="0" fontId="61" fillId="67" borderId="0"/>
    <xf numFmtId="178" fontId="2" fillId="0" borderId="0"/>
    <xf numFmtId="38" fontId="62" fillId="0" borderId="13"/>
    <xf numFmtId="179" fontId="63" fillId="0" borderId="0" applyAlignment="1">
      <alignment horizontal="right" vertical="top" wrapText="1"/>
    </xf>
    <xf numFmtId="168" fontId="57" fillId="0" borderId="0"/>
    <xf numFmtId="168" fontId="64" fillId="0" borderId="0"/>
    <xf numFmtId="168" fontId="57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2" fontId="1" fillId="0" borderId="0"/>
    <xf numFmtId="182" fontId="1" fillId="0" borderId="0"/>
    <xf numFmtId="183" fontId="1" fillId="0" borderId="0"/>
    <xf numFmtId="183" fontId="1" fillId="0" borderId="0"/>
    <xf numFmtId="184" fontId="1" fillId="0" borderId="0"/>
    <xf numFmtId="184" fontId="1" fillId="0" borderId="0"/>
    <xf numFmtId="185" fontId="1" fillId="0" borderId="0"/>
    <xf numFmtId="185" fontId="1" fillId="0" borderId="0"/>
    <xf numFmtId="186" fontId="1" fillId="0" borderId="0"/>
    <xf numFmtId="186" fontId="1" fillId="0" borderId="0"/>
    <xf numFmtId="181" fontId="1" fillId="0" borderId="0"/>
    <xf numFmtId="181" fontId="1" fillId="0" borderId="0"/>
    <xf numFmtId="168" fontId="65" fillId="20" borderId="8"/>
    <xf numFmtId="0" fontId="66" fillId="68" borderId="14"/>
    <xf numFmtId="168" fontId="65" fillId="20" borderId="8"/>
    <xf numFmtId="168" fontId="65" fillId="20" borderId="8"/>
    <xf numFmtId="168" fontId="65" fillId="20" borderId="8"/>
    <xf numFmtId="168" fontId="65" fillId="20" borderId="8"/>
    <xf numFmtId="168" fontId="65" fillId="20" borderId="8"/>
    <xf numFmtId="168" fontId="65" fillId="20" borderId="8"/>
    <xf numFmtId="168" fontId="65" fillId="20" borderId="8"/>
    <xf numFmtId="168" fontId="65" fillId="20" borderId="8"/>
    <xf numFmtId="168" fontId="65" fillId="20" borderId="8"/>
    <xf numFmtId="168" fontId="65" fillId="20" borderId="8"/>
    <xf numFmtId="168" fontId="65" fillId="20" borderId="8"/>
    <xf numFmtId="168" fontId="65" fillId="20" borderId="8"/>
    <xf numFmtId="168" fontId="65" fillId="20" borderId="8"/>
    <xf numFmtId="172" fontId="65" fillId="20" borderId="8"/>
    <xf numFmtId="0" fontId="66" fillId="68" borderId="14"/>
    <xf numFmtId="172" fontId="65" fillId="20" borderId="8"/>
    <xf numFmtId="0" fontId="44" fillId="20" borderId="58" applyAlignment="1">
      <alignment horizontal="centerContinuous"/>
    </xf>
    <xf numFmtId="0" fontId="44" fillId="20" borderId="58" applyAlignment="1">
      <alignment horizontal="centerContinuous"/>
    </xf>
    <xf numFmtId="0" fontId="44" fillId="20" borderId="58" applyAlignment="1">
      <alignment horizontal="centerContinuous"/>
    </xf>
    <xf numFmtId="0" fontId="44" fillId="20" borderId="58" applyAlignment="1">
      <alignment horizontal="centerContinuous"/>
    </xf>
    <xf numFmtId="0" fontId="44" fillId="20" borderId="58" applyAlignment="1">
      <alignment horizontal="centerContinuous"/>
    </xf>
    <xf numFmtId="0" fontId="44" fillId="20" borderId="58" applyAlignment="1">
      <alignment horizontal="centerContinuous"/>
    </xf>
    <xf numFmtId="0" fontId="44" fillId="20" borderId="58" applyAlignment="1">
      <alignment horizontal="centerContinuous"/>
    </xf>
    <xf numFmtId="0" fontId="44" fillId="20" borderId="58" applyAlignment="1">
      <alignment horizontal="centerContinuous"/>
    </xf>
    <xf numFmtId="0" fontId="44" fillId="20" borderId="58" applyAlignment="1">
      <alignment horizontal="centerContinuous"/>
    </xf>
    <xf numFmtId="0" fontId="44" fillId="20" borderId="58" applyAlignment="1">
      <alignment horizontal="centerContinuous"/>
    </xf>
    <xf numFmtId="0" fontId="44" fillId="20" borderId="58" applyAlignment="1">
      <alignment horizontal="centerContinuous"/>
    </xf>
    <xf numFmtId="168" fontId="61" fillId="69" borderId="16"/>
    <xf numFmtId="0" fontId="67" fillId="70" borderId="17"/>
    <xf numFmtId="172" fontId="61" fillId="69" borderId="16"/>
    <xf numFmtId="0" fontId="67" fillId="70" borderId="17"/>
    <xf numFmtId="0" fontId="33" fillId="0" borderId="0" applyAlignment="1" applyProtection="1">
      <alignment vertical="top"/>
      <protection locked="0" hidden="0"/>
    </xf>
    <xf numFmtId="38" fontId="68" fillId="0" borderId="0" applyProtection="1">
      <protection locked="0" hidden="0"/>
    </xf>
    <xf numFmtId="38" fontId="69" fillId="0" borderId="0" applyProtection="1">
      <protection locked="0" hidden="0"/>
    </xf>
    <xf numFmtId="38" fontId="70" fillId="0" borderId="0" applyProtection="1">
      <protection locked="0" hidden="0"/>
    </xf>
    <xf numFmtId="0" fontId="71" fillId="0" borderId="18" applyAlignment="1">
      <alignment horizontal="center"/>
    </xf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8" fontId="72" fillId="0" borderId="0"/>
    <xf numFmtId="178" fontId="2" fillId="0" borderId="0" applyProtection="1">
      <protection locked="0" hidden="0"/>
    </xf>
    <xf numFmtId="40" fontId="47" fillId="0" borderId="0" applyProtection="1">
      <protection locked="0" hidden="0"/>
    </xf>
    <xf numFmtId="40" fontId="47" fillId="0" borderId="0" applyProtection="1">
      <protection locked="0" hidden="0"/>
    </xf>
    <xf numFmtId="185" fontId="1" fillId="0" borderId="0"/>
    <xf numFmtId="185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9" fontId="1" fillId="0" borderId="0"/>
    <xf numFmtId="189" fontId="1" fillId="0" borderId="0"/>
    <xf numFmtId="43" fontId="21" fillId="0" borderId="0"/>
    <xf numFmtId="43" fontId="21" fillId="0" borderId="0"/>
    <xf numFmtId="189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90" fontId="21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90" fontId="21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90" fontId="211" fillId="0" borderId="0"/>
    <xf numFmtId="43" fontId="21" fillId="0" borderId="0"/>
    <xf numFmtId="189" fontId="1" fillId="0" borderId="0"/>
    <xf numFmtId="191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91" fontId="1" fillId="0" borderId="0"/>
    <xf numFmtId="43" fontId="2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90" fontId="211" fillId="0" borderId="0"/>
    <xf numFmtId="43" fontId="2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190" fontId="211" fillId="0" borderId="0"/>
    <xf numFmtId="191" fontId="1" fillId="0" borderId="0"/>
    <xf numFmtId="43" fontId="73" fillId="0" borderId="0"/>
    <xf numFmtId="191" fontId="1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73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73" fillId="0" borderId="0"/>
    <xf numFmtId="43" fontId="73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190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92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89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91" fontId="1" fillId="0" borderId="0"/>
    <xf numFmtId="191" fontId="1" fillId="0" borderId="0"/>
    <xf numFmtId="189" fontId="1" fillId="0" borderId="0"/>
    <xf numFmtId="43" fontId="1" fillId="0" borderId="0"/>
    <xf numFmtId="191" fontId="1" fillId="0" borderId="0"/>
    <xf numFmtId="191" fontId="1" fillId="0" borderId="0"/>
    <xf numFmtId="191" fontId="1" fillId="0" borderId="0"/>
    <xf numFmtId="19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3" fontId="47" fillId="0" borderId="0"/>
    <xf numFmtId="3" fontId="1" fillId="0" borderId="0"/>
    <xf numFmtId="3" fontId="1" fillId="0" borderId="0"/>
    <xf numFmtId="0" fontId="1" fillId="0" borderId="0"/>
    <xf numFmtId="0" fontId="1" fillId="0" borderId="0"/>
    <xf numFmtId="168" fontId="74" fillId="0" borderId="0" applyAlignment="1">
      <alignment horizontal="left" vertical="top" wrapText="1"/>
    </xf>
    <xf numFmtId="0" fontId="75" fillId="0" borderId="0" applyAlignment="1">
      <alignment horizontal="left"/>
    </xf>
    <xf numFmtId="193" fontId="47" fillId="0" borderId="0" applyProtection="1">
      <protection locked="0" hidden="0"/>
    </xf>
    <xf numFmtId="193" fontId="47" fillId="0" borderId="0" applyProtection="1">
      <protection locked="0" hidden="0"/>
    </xf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4" fontId="76" fillId="0" borderId="19"/>
    <xf numFmtId="195" fontId="47" fillId="0" borderId="0" applyProtection="1">
      <protection locked="0" hidden="0"/>
    </xf>
    <xf numFmtId="195" fontId="47" fillId="0" borderId="0" applyProtection="1">
      <protection locked="0" hidden="0"/>
    </xf>
    <xf numFmtId="181" fontId="1" fillId="0" borderId="0"/>
    <xf numFmtId="181" fontId="1" fillId="0" borderId="0"/>
    <xf numFmtId="196" fontId="1" fillId="0" borderId="0"/>
    <xf numFmtId="196" fontId="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170" fontId="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170" fontId="1" fillId="0" borderId="0"/>
    <xf numFmtId="170" fontId="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197" fontId="47" fillId="0" borderId="0"/>
    <xf numFmtId="198" fontId="77" fillId="0" borderId="0"/>
    <xf numFmtId="199" fontId="2" fillId="0" borderId="0"/>
    <xf numFmtId="168" fontId="78" fillId="20" borderId="0" applyAlignment="1">
      <alignment horizontal="left"/>
    </xf>
    <xf numFmtId="0" fontId="79" fillId="71" borderId="0" applyAlignment="1">
      <alignment horizontal="centerContinuous"/>
    </xf>
    <xf numFmtId="0" fontId="44" fillId="4" borderId="58"/>
    <xf numFmtId="0" fontId="44" fillId="4" borderId="58"/>
    <xf numFmtId="0" fontId="44" fillId="4" borderId="58"/>
    <xf numFmtId="0" fontId="44" fillId="4" borderId="58"/>
    <xf numFmtId="0" fontId="44" fillId="4" borderId="58"/>
    <xf numFmtId="0" fontId="44" fillId="4" borderId="58"/>
    <xf numFmtId="0" fontId="44" fillId="4" borderId="58"/>
    <xf numFmtId="0" fontId="44" fillId="4" borderId="58"/>
    <xf numFmtId="0" fontId="44" fillId="4" borderId="58"/>
    <xf numFmtId="0" fontId="44" fillId="4" borderId="58"/>
    <xf numFmtId="0" fontId="44" fillId="4" borderId="58"/>
    <xf numFmtId="168" fontId="47" fillId="0" borderId="0"/>
    <xf numFmtId="14" fontId="63" fillId="0" borderId="0" applyAlignment="1">
      <alignment horizontal="right" vertical="top" wrapText="1"/>
    </xf>
    <xf numFmtId="14" fontId="1" fillId="0" borderId="0"/>
    <xf numFmtId="0" fontId="80" fillId="0" borderId="0"/>
    <xf numFmtId="200" fontId="2" fillId="0" borderId="0" applyAlignment="1">
      <alignment horizontal="left"/>
    </xf>
    <xf numFmtId="201" fontId="81" fillId="0" borderId="0" applyProtection="1">
      <protection locked="0" hidden="0"/>
    </xf>
    <xf numFmtId="39" fontId="46" fillId="0" borderId="0"/>
    <xf numFmtId="202" fontId="82" fillId="0" borderId="0"/>
    <xf numFmtId="38" fontId="3" fillId="0" borderId="20" applyAlignment="1">
      <alignment vertical="center"/>
    </xf>
    <xf numFmtId="38" fontId="3" fillId="0" borderId="20" applyAlignment="1">
      <alignment vertical="center"/>
    </xf>
    <xf numFmtId="38" fontId="1" fillId="0" borderId="0"/>
    <xf numFmtId="40" fontId="1" fillId="0" borderId="0"/>
    <xf numFmtId="203" fontId="83" fillId="0" borderId="0"/>
    <xf numFmtId="204" fontId="54" fillId="0" borderId="0"/>
    <xf numFmtId="205" fontId="1" fillId="0" borderId="0"/>
    <xf numFmtId="206" fontId="1" fillId="0" borderId="0"/>
    <xf numFmtId="205" fontId="1" fillId="0" borderId="0"/>
    <xf numFmtId="206" fontId="1" fillId="0" borderId="0"/>
    <xf numFmtId="205" fontId="1" fillId="0" borderId="0"/>
    <xf numFmtId="206" fontId="1" fillId="0" borderId="0"/>
    <xf numFmtId="205" fontId="1" fillId="0" borderId="0"/>
    <xf numFmtId="206" fontId="1" fillId="0" borderId="0"/>
    <xf numFmtId="205" fontId="1" fillId="0" borderId="0"/>
    <xf numFmtId="206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9" fontId="58" fillId="0" borderId="0"/>
    <xf numFmtId="210" fontId="58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07" fontId="1" fillId="0" borderId="0"/>
    <xf numFmtId="208" fontId="1" fillId="0" borderId="0"/>
    <xf numFmtId="211" fontId="54" fillId="0" borderId="0"/>
    <xf numFmtId="212" fontId="1" fillId="0" borderId="0"/>
    <xf numFmtId="208" fontId="1" fillId="0" borderId="0"/>
    <xf numFmtId="212" fontId="1" fillId="0" borderId="0"/>
    <xf numFmtId="208" fontId="1" fillId="0" borderId="0"/>
    <xf numFmtId="212" fontId="1" fillId="0" borderId="0"/>
    <xf numFmtId="208" fontId="1" fillId="0" borderId="0"/>
    <xf numFmtId="212" fontId="1" fillId="0" borderId="0"/>
    <xf numFmtId="208" fontId="1" fillId="0" borderId="0"/>
    <xf numFmtId="212" fontId="1" fillId="0" borderId="0"/>
    <xf numFmtId="208" fontId="1" fillId="0" borderId="0"/>
    <xf numFmtId="203" fontId="1" fillId="0" borderId="0"/>
    <xf numFmtId="165" fontId="1" fillId="0" borderId="0"/>
    <xf numFmtId="203" fontId="1" fillId="0" borderId="0"/>
    <xf numFmtId="165" fontId="1" fillId="0" borderId="0"/>
    <xf numFmtId="203" fontId="1" fillId="0" borderId="0"/>
    <xf numFmtId="165" fontId="1" fillId="0" borderId="0"/>
    <xf numFmtId="203" fontId="1" fillId="0" borderId="0"/>
    <xf numFmtId="165" fontId="1" fillId="0" borderId="0"/>
    <xf numFmtId="203" fontId="1" fillId="0" borderId="0"/>
    <xf numFmtId="165" fontId="1" fillId="0" borderId="0"/>
    <xf numFmtId="213" fontId="58" fillId="0" borderId="0"/>
    <xf numFmtId="214" fontId="58" fillId="0" borderId="0"/>
    <xf numFmtId="203" fontId="1" fillId="0" borderId="0"/>
    <xf numFmtId="165" fontId="1" fillId="0" borderId="0"/>
    <xf numFmtId="203" fontId="1" fillId="0" borderId="0"/>
    <xf numFmtId="165" fontId="1" fillId="0" borderId="0"/>
    <xf numFmtId="203" fontId="1" fillId="0" borderId="0"/>
    <xf numFmtId="165" fontId="1" fillId="0" borderId="0"/>
    <xf numFmtId="203" fontId="1" fillId="0" borderId="0"/>
    <xf numFmtId="165" fontId="1" fillId="0" borderId="0"/>
    <xf numFmtId="203" fontId="1" fillId="0" borderId="0"/>
    <xf numFmtId="165" fontId="1" fillId="0" borderId="0"/>
    <xf numFmtId="185" fontId="1" fillId="0" borderId="0"/>
    <xf numFmtId="185" fontId="1" fillId="0" borderId="0"/>
    <xf numFmtId="181" fontId="1" fillId="0" borderId="0"/>
    <xf numFmtId="181" fontId="1" fillId="0" borderId="0"/>
    <xf numFmtId="185" fontId="1" fillId="0" borderId="0"/>
    <xf numFmtId="185" fontId="1" fillId="0" borderId="0"/>
    <xf numFmtId="186" fontId="1" fillId="0" borderId="0"/>
    <xf numFmtId="186" fontId="1" fillId="0" borderId="0"/>
    <xf numFmtId="181" fontId="1" fillId="0" borderId="0"/>
    <xf numFmtId="181" fontId="1" fillId="0" borderId="0"/>
    <xf numFmtId="0" fontId="84" fillId="0" borderId="0" applyAlignment="1">
      <alignment horizontal="left"/>
    </xf>
    <xf numFmtId="3" fontId="85" fillId="0" borderId="0" applyAlignment="1" applyProtection="1">
      <alignment horizontal="left"/>
      <protection locked="0" hidden="0"/>
    </xf>
    <xf numFmtId="168" fontId="21" fillId="0" borderId="0"/>
    <xf numFmtId="168" fontId="78" fillId="0" borderId="0"/>
    <xf numFmtId="168" fontId="21" fillId="0" borderId="0"/>
    <xf numFmtId="215" fontId="1" fillId="0" borderId="0"/>
    <xf numFmtId="0" fontId="42" fillId="0" borderId="0"/>
    <xf numFmtId="168" fontId="86" fillId="0" borderId="0"/>
    <xf numFmtId="0" fontId="87" fillId="0" borderId="0"/>
    <xf numFmtId="172" fontId="86" fillId="0" borderId="0"/>
    <xf numFmtId="0" fontId="87" fillId="0" borderId="0"/>
    <xf numFmtId="168" fontId="44" fillId="69" borderId="0"/>
    <xf numFmtId="168" fontId="88" fillId="0" borderId="0"/>
    <xf numFmtId="216" fontId="89" fillId="0" borderId="0" applyAlignment="1">
      <alignment horizontal="right"/>
    </xf>
    <xf numFmtId="15" fontId="44" fillId="0" borderId="0" applyAlignment="1">
      <alignment horizontal="center"/>
    </xf>
    <xf numFmtId="168" fontId="44" fillId="30" borderId="0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20" borderId="21"/>
    <xf numFmtId="217" fontId="78" fillId="0" borderId="0"/>
    <xf numFmtId="217" fontId="90" fillId="0" borderId="0"/>
    <xf numFmtId="15" fontId="44" fillId="0" borderId="0" applyAlignment="1">
      <alignment horizontal="center"/>
    </xf>
    <xf numFmtId="218" fontId="91" fillId="18" borderId="22" applyProtection="1">
      <protection locked="0" hidden="0"/>
    </xf>
    <xf numFmtId="217" fontId="92" fillId="18" borderId="22" applyProtection="1">
      <protection locked="0" hidden="0"/>
    </xf>
    <xf numFmtId="217" fontId="44" fillId="0" borderId="0"/>
    <xf numFmtId="218" fontId="44" fillId="0" borderId="0"/>
    <xf numFmtId="219" fontId="44" fillId="0" borderId="0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1"/>
    <xf numFmtId="168" fontId="44" fillId="0" borderId="23"/>
    <xf numFmtId="168" fontId="44" fillId="43" borderId="0"/>
    <xf numFmtId="220" fontId="93" fillId="0" borderId="0"/>
    <xf numFmtId="221" fontId="93" fillId="0" borderId="0"/>
    <xf numFmtId="2" fontId="47" fillId="0" borderId="0"/>
    <xf numFmtId="2" fontId="1" fillId="0" borderId="0"/>
    <xf numFmtId="2" fontId="1" fillId="0" borderId="0"/>
    <xf numFmtId="2" fontId="80" fillId="0" borderId="0"/>
    <xf numFmtId="168" fontId="1" fillId="0" borderId="0"/>
    <xf numFmtId="168" fontId="1" fillId="0" borderId="0"/>
    <xf numFmtId="0" fontId="45" fillId="32" borderId="0" applyAlignment="1">
      <alignment horizontal="right"/>
    </xf>
    <xf numFmtId="168" fontId="44" fillId="0" borderId="0"/>
    <xf numFmtId="168" fontId="94" fillId="32" borderId="0"/>
    <xf numFmtId="0" fontId="95" fillId="72" borderId="0"/>
    <xf numFmtId="172" fontId="94" fillId="32" borderId="0"/>
    <xf numFmtId="0" fontId="95" fillId="72" borderId="0"/>
    <xf numFmtId="38" fontId="21" fillId="20" borderId="0"/>
    <xf numFmtId="38" fontId="21" fillId="20" borderId="0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222" fontId="71" fillId="8" borderId="19"/>
    <xf numFmtId="168" fontId="96" fillId="0" borderId="0" applyAlignment="1">
      <alignment horizontal="center"/>
    </xf>
    <xf numFmtId="168" fontId="97" fillId="0" borderId="24" applyAlignment="1">
      <alignment horizontal="left"/>
    </xf>
    <xf numFmtId="168" fontId="97" fillId="0" borderId="24" applyAlignment="1">
      <alignment horizontal="left" vertical="center"/>
    </xf>
    <xf numFmtId="168" fontId="97" fillId="0" borderId="21" applyAlignment="1">
      <alignment horizontal="left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 vertical="center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168" fontId="97" fillId="0" borderId="21" applyAlignment="1">
      <alignment horizontal="left"/>
    </xf>
    <xf numFmtId="0" fontId="97" fillId="0" borderId="21" applyAlignment="1">
      <alignment horizontal="left" vertical="center"/>
    </xf>
    <xf numFmtId="223" fontId="98" fillId="8" borderId="0" applyAlignment="1">
      <alignment horizontal="left" vertical="top"/>
    </xf>
    <xf numFmtId="168" fontId="99" fillId="0" borderId="0"/>
    <xf numFmtId="0" fontId="100" fillId="0" borderId="25"/>
    <xf numFmtId="172" fontId="101" fillId="0" borderId="26"/>
    <xf numFmtId="0" fontId="100" fillId="0" borderId="25"/>
    <xf numFmtId="168" fontId="97" fillId="0" borderId="0"/>
    <xf numFmtId="0" fontId="102" fillId="0" borderId="27"/>
    <xf numFmtId="172" fontId="103" fillId="0" borderId="28"/>
    <xf numFmtId="0" fontId="102" fillId="0" borderId="27"/>
    <xf numFmtId="168" fontId="104" fillId="0" borderId="29"/>
    <xf numFmtId="0" fontId="105" fillId="0" borderId="30"/>
    <xf numFmtId="172" fontId="104" fillId="0" borderId="29"/>
    <xf numFmtId="0" fontId="105" fillId="0" borderId="30"/>
    <xf numFmtId="168" fontId="104" fillId="0" borderId="0"/>
    <xf numFmtId="0" fontId="105" fillId="0" borderId="0"/>
    <xf numFmtId="172" fontId="104" fillId="0" borderId="0"/>
    <xf numFmtId="0" fontId="105" fillId="0" borderId="0"/>
    <xf numFmtId="168" fontId="106" fillId="0" borderId="0"/>
    <xf numFmtId="168" fontId="97" fillId="0" borderId="0"/>
    <xf numFmtId="168" fontId="107" fillId="0" borderId="0"/>
    <xf numFmtId="168" fontId="58" fillId="0" borderId="0"/>
    <xf numFmtId="168" fontId="78" fillId="0" borderId="0"/>
    <xf numFmtId="168" fontId="108" fillId="0" borderId="0"/>
    <xf numFmtId="168" fontId="1" fillId="0" borderId="0" applyAlignment="1">
      <alignment horizontal="center"/>
    </xf>
    <xf numFmtId="168" fontId="1" fillId="0" borderId="0" applyAlignment="1">
      <alignment horizontal="center"/>
    </xf>
    <xf numFmtId="0" fontId="109" fillId="0" borderId="0"/>
    <xf numFmtId="0" fontId="110" fillId="0" borderId="0" applyAlignment="1" applyProtection="1">
      <alignment vertical="top"/>
      <protection locked="0" hidden="0"/>
    </xf>
    <xf numFmtId="0" fontId="110" fillId="0" borderId="0" applyAlignment="1" applyProtection="1">
      <alignment vertical="top"/>
      <protection locked="0" hidden="0"/>
    </xf>
    <xf numFmtId="0" fontId="109" fillId="0" borderId="0"/>
    <xf numFmtId="0" fontId="109" fillId="0" borderId="0"/>
    <xf numFmtId="0" fontId="109" fillId="0" borderId="0"/>
    <xf numFmtId="0" fontId="33" fillId="0" borderId="0" applyAlignment="1" applyProtection="1">
      <alignment vertical="top"/>
      <protection locked="0" hidden="0"/>
    </xf>
    <xf numFmtId="0" fontId="33" fillId="0" borderId="0" applyAlignment="1" applyProtection="1">
      <alignment vertical="top"/>
      <protection locked="0" hidden="0"/>
    </xf>
    <xf numFmtId="0" fontId="109" fillId="0" borderId="0"/>
    <xf numFmtId="168" fontId="111" fillId="0" borderId="0"/>
    <xf numFmtId="168" fontId="112" fillId="8" borderId="0" applyAlignment="1">
      <alignment horizontal="left" wrapText="1" indent="2"/>
    </xf>
    <xf numFmtId="178" fontId="113" fillId="0" borderId="31" applyAlignment="1" applyProtection="1">
      <alignment horizontal="center"/>
      <protection locked="0" hidden="0"/>
    </xf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10" fontId="21" fillId="8" borderId="19"/>
    <xf numFmtId="201" fontId="113" fillId="0" borderId="0" applyProtection="1">
      <protection locked="0" hidden="0"/>
    </xf>
    <xf numFmtId="168" fontId="114" fillId="37" borderId="8"/>
    <xf numFmtId="0" fontId="115" fillId="37" borderId="14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72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72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168" fontId="114" fillId="37" borderId="8"/>
    <xf numFmtId="0" fontId="115" fillId="37" borderId="14"/>
    <xf numFmtId="221" fontId="1" fillId="0" borderId="0"/>
    <xf numFmtId="221" fontId="1" fillId="0" borderId="0"/>
    <xf numFmtId="221" fontId="1" fillId="0" borderId="0"/>
    <xf numFmtId="43" fontId="1" fillId="0" borderId="0"/>
    <xf numFmtId="38" fontId="116" fillId="0" borderId="0"/>
    <xf numFmtId="38" fontId="117" fillId="0" borderId="0"/>
    <xf numFmtId="38" fontId="118" fillId="0" borderId="0"/>
    <xf numFmtId="38" fontId="119" fillId="0" borderId="0"/>
    <xf numFmtId="168" fontId="120" fillId="0" borderId="0"/>
    <xf numFmtId="168" fontId="120" fillId="0" borderId="0"/>
    <xf numFmtId="168" fontId="120" fillId="0" borderId="0"/>
    <xf numFmtId="0" fontId="121" fillId="0" borderId="0" applyAlignment="1" applyProtection="1">
      <alignment vertical="top"/>
      <protection locked="0" hidden="0"/>
    </xf>
    <xf numFmtId="185" fontId="1" fillId="0" borderId="0"/>
    <xf numFmtId="185" fontId="1" fillId="0" borderId="0"/>
    <xf numFmtId="181" fontId="1" fillId="0" borderId="0"/>
    <xf numFmtId="181" fontId="1" fillId="0" borderId="0"/>
    <xf numFmtId="185" fontId="1" fillId="0" borderId="0"/>
    <xf numFmtId="185" fontId="1" fillId="0" borderId="0"/>
    <xf numFmtId="186" fontId="1" fillId="0" borderId="0"/>
    <xf numFmtId="186" fontId="1" fillId="0" borderId="0"/>
    <xf numFmtId="181" fontId="1" fillId="0" borderId="0"/>
    <xf numFmtId="181" fontId="1" fillId="0" borderId="0"/>
    <xf numFmtId="168" fontId="122" fillId="0" borderId="32"/>
    <xf numFmtId="0" fontId="123" fillId="0" borderId="33"/>
    <xf numFmtId="172" fontId="122" fillId="0" borderId="32"/>
    <xf numFmtId="0" fontId="123" fillId="0" borderId="33"/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224" fontId="97" fillId="20" borderId="34" applyAlignment="1">
      <alignment horizontal="left"/>
    </xf>
    <xf numFmtId="168" fontId="1" fillId="0" borderId="0" applyAlignment="1">
      <alignment horizontal="center"/>
    </xf>
    <xf numFmtId="168" fontId="1" fillId="0" borderId="0" applyAlignment="1">
      <alignment horizontal="center"/>
    </xf>
    <xf numFmtId="0" fontId="44" fillId="38" borderId="0"/>
    <xf numFmtId="41" fontId="1" fillId="0" borderId="0"/>
    <xf numFmtId="43" fontId="1" fillId="0" borderId="0"/>
    <xf numFmtId="225" fontId="1" fillId="0" borderId="0"/>
    <xf numFmtId="226" fontId="1" fillId="0" borderId="0"/>
    <xf numFmtId="42" fontId="1" fillId="0" borderId="0"/>
    <xf numFmtId="170" fontId="1" fillId="0" borderId="0"/>
    <xf numFmtId="227" fontId="1" fillId="0" borderId="0"/>
    <xf numFmtId="168" fontId="3" fillId="0" borderId="0" applyAlignment="1">
      <alignment horizontal="right"/>
    </xf>
    <xf numFmtId="168" fontId="58" fillId="0" borderId="0"/>
    <xf numFmtId="168" fontId="124" fillId="18" borderId="0"/>
    <xf numFmtId="0" fontId="125" fillId="73" borderId="0"/>
    <xf numFmtId="0" fontId="126" fillId="73" borderId="0"/>
    <xf numFmtId="172" fontId="124" fillId="18" borderId="0"/>
    <xf numFmtId="0" fontId="125" fillId="73" borderId="0"/>
    <xf numFmtId="37" fontId="127" fillId="0" borderId="0"/>
    <xf numFmtId="0" fontId="128" fillId="0" borderId="0"/>
    <xf numFmtId="168" fontId="111" fillId="0" borderId="0"/>
    <xf numFmtId="168" fontId="111" fillId="0" borderId="0"/>
    <xf numFmtId="168" fontId="111" fillId="0" borderId="0"/>
    <xf numFmtId="168" fontId="111" fillId="0" borderId="0"/>
    <xf numFmtId="168" fontId="111" fillId="0" borderId="0"/>
    <xf numFmtId="168" fontId="111" fillId="0" borderId="0"/>
    <xf numFmtId="168" fontId="111" fillId="0" borderId="0"/>
    <xf numFmtId="168" fontId="111" fillId="0" borderId="0"/>
    <xf numFmtId="228" fontId="1" fillId="0" borderId="0"/>
    <xf numFmtId="168" fontId="1" fillId="0" borderId="0"/>
    <xf numFmtId="168" fontId="1" fillId="0" borderId="0"/>
    <xf numFmtId="0" fontId="1" fillId="0" borderId="0"/>
    <xf numFmtId="228" fontId="1" fillId="0" borderId="0"/>
    <xf numFmtId="0" fontId="129" fillId="0" borderId="0"/>
    <xf numFmtId="38" fontId="1" fillId="0" borderId="0"/>
    <xf numFmtId="38" fontId="1" fillId="0" borderId="0"/>
    <xf numFmtId="229" fontId="1" fillId="0" borderId="0"/>
    <xf numFmtId="229" fontId="1" fillId="0" borderId="0"/>
    <xf numFmtId="0" fontId="1" fillId="0" borderId="0"/>
    <xf numFmtId="0" fontId="1" fillId="0" borderId="0"/>
    <xf numFmtId="0" fontId="4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42" fillId="0" borderId="0"/>
    <xf numFmtId="0" fontId="211" fillId="0" borderId="0"/>
    <xf numFmtId="172" fontId="211" fillId="0" borderId="0"/>
    <xf numFmtId="0" fontId="41" fillId="0" borderId="0"/>
    <xf numFmtId="172" fontId="211" fillId="0" borderId="0"/>
    <xf numFmtId="172" fontId="211" fillId="0" borderId="0"/>
    <xf numFmtId="172" fontId="21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211" fillId="0" borderId="0"/>
    <xf numFmtId="172" fontId="211" fillId="0" borderId="0"/>
    <xf numFmtId="168" fontId="211" fillId="0" borderId="0"/>
    <xf numFmtId="172" fontId="211" fillId="0" borderId="0"/>
    <xf numFmtId="0" fontId="41" fillId="0" borderId="0"/>
    <xf numFmtId="172" fontId="211" fillId="0" borderId="0"/>
    <xf numFmtId="172" fontId="211" fillId="0" borderId="0"/>
    <xf numFmtId="0" fontId="42" fillId="0" borderId="0"/>
    <xf numFmtId="0" fontId="211" fillId="0" borderId="0"/>
    <xf numFmtId="168" fontId="211" fillId="0" borderId="0"/>
    <xf numFmtId="172" fontId="211" fillId="0" borderId="0"/>
    <xf numFmtId="168" fontId="211" fillId="0" borderId="0"/>
    <xf numFmtId="172" fontId="211" fillId="0" borderId="0"/>
    <xf numFmtId="0" fontId="41" fillId="0" borderId="0"/>
    <xf numFmtId="172" fontId="211" fillId="0" borderId="0"/>
    <xf numFmtId="172" fontId="211" fillId="0" borderId="0"/>
    <xf numFmtId="0" fontId="42" fillId="0" borderId="0"/>
    <xf numFmtId="0" fontId="21" fillId="0" borderId="0" applyAlignment="1">
      <alignment horizontal="left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1" fillId="0" borderId="0"/>
    <xf numFmtId="168" fontId="211" fillId="0" borderId="0"/>
    <xf numFmtId="168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68" fontId="211" fillId="0" borderId="0"/>
    <xf numFmtId="172" fontId="211" fillId="0" borderId="0"/>
    <xf numFmtId="168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1" fillId="0" borderId="0"/>
    <xf numFmtId="168" fontId="211" fillId="0" borderId="0"/>
    <xf numFmtId="168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68" fontId="211" fillId="0" borderId="0"/>
    <xf numFmtId="172" fontId="211" fillId="0" borderId="0"/>
    <xf numFmtId="168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211" fillId="0" borderId="0"/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" fillId="0" borderId="0"/>
    <xf numFmtId="0" fontId="211" fillId="0" borderId="0"/>
    <xf numFmtId="168" fontId="211" fillId="0" borderId="0"/>
    <xf numFmtId="172" fontId="211" fillId="0" borderId="0"/>
    <xf numFmtId="168" fontId="211" fillId="0" borderId="0"/>
    <xf numFmtId="172" fontId="211" fillId="0" borderId="0"/>
    <xf numFmtId="172" fontId="211" fillId="0" borderId="0"/>
    <xf numFmtId="172" fontId="211" fillId="0" borderId="0"/>
    <xf numFmtId="168" fontId="211" fillId="0" borderId="0"/>
    <xf numFmtId="172" fontId="211" fillId="0" borderId="0"/>
    <xf numFmtId="168" fontId="211" fillId="0" borderId="0"/>
    <xf numFmtId="172" fontId="211" fillId="0" borderId="0"/>
    <xf numFmtId="0" fontId="41" fillId="0" borderId="0"/>
    <xf numFmtId="172" fontId="211" fillId="0" borderId="0"/>
    <xf numFmtId="172" fontId="211" fillId="0" borderId="0"/>
    <xf numFmtId="0" fontId="42" fillId="0" borderId="0"/>
    <xf numFmtId="0" fontId="42" fillId="0" borderId="0"/>
    <xf numFmtId="0" fontId="211" fillId="0" borderId="0"/>
    <xf numFmtId="0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4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0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0" fontId="21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211" fillId="0" borderId="0"/>
    <xf numFmtId="172" fontId="1" fillId="0" borderId="0" applyAlignment="1">
      <alignment vertical="center"/>
    </xf>
    <xf numFmtId="0" fontId="211" fillId="0" borderId="0"/>
    <xf numFmtId="0" fontId="211" fillId="0" borderId="0"/>
    <xf numFmtId="168" fontId="1" fillId="0" borderId="0"/>
    <xf numFmtId="0" fontId="211" fillId="0" borderId="0"/>
    <xf numFmtId="172" fontId="1" fillId="0" borderId="0" applyAlignment="1">
      <alignment vertical="center"/>
    </xf>
    <xf numFmtId="0" fontId="211" fillId="0" borderId="0"/>
    <xf numFmtId="172" fontId="1" fillId="0" borderId="0" applyAlignment="1">
      <alignment vertical="center"/>
    </xf>
    <xf numFmtId="0" fontId="21" fillId="0" borderId="0"/>
    <xf numFmtId="0" fontId="211" fillId="0" borderId="0"/>
    <xf numFmtId="172" fontId="1" fillId="0" borderId="0" applyAlignment="1">
      <alignment vertical="center"/>
    </xf>
    <xf numFmtId="0" fontId="211" fillId="0" borderId="0"/>
    <xf numFmtId="0" fontId="211" fillId="0" borderId="0"/>
    <xf numFmtId="0" fontId="21" fillId="0" borderId="0"/>
    <xf numFmtId="0" fontId="1" fillId="0" borderId="0"/>
    <xf numFmtId="0" fontId="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42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1" fillId="0" borderId="0"/>
    <xf numFmtId="0" fontId="211" fillId="0" borderId="0"/>
    <xf numFmtId="168" fontId="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1" fillId="0" borderId="0"/>
    <xf numFmtId="0" fontId="211" fillId="0" borderId="0"/>
    <xf numFmtId="0" fontId="211" fillId="0" borderId="0"/>
    <xf numFmtId="172" fontId="42" fillId="0" borderId="0" applyAlignment="1">
      <alignment vertical="center"/>
    </xf>
    <xf numFmtId="0" fontId="211" fillId="0" borderId="0"/>
    <xf numFmtId="0" fontId="50" fillId="0" borderId="0"/>
    <xf numFmtId="172" fontId="42" fillId="0" borderId="0" applyAlignment="1">
      <alignment vertical="center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1" fillId="0" borderId="0"/>
    <xf numFmtId="172" fontId="42" fillId="0" borderId="0" applyAlignment="1">
      <alignment vertical="center"/>
    </xf>
    <xf numFmtId="0" fontId="112" fillId="0" borderId="0"/>
    <xf numFmtId="0" fontId="112" fillId="0" borderId="0"/>
    <xf numFmtId="0" fontId="73" fillId="0" borderId="0"/>
    <xf numFmtId="0" fontId="1" fillId="0" borderId="0"/>
    <xf numFmtId="0" fontId="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0" fontId="211" fillId="0" borderId="0"/>
    <xf numFmtId="0" fontId="211" fillId="0" borderId="0"/>
    <xf numFmtId="0" fontId="211" fillId="0" borderId="0"/>
    <xf numFmtId="172" fontId="42" fillId="0" borderId="0" applyAlignment="1">
      <alignment vertical="center"/>
    </xf>
    <xf numFmtId="0" fontId="211" fillId="0" borderId="0"/>
    <xf numFmtId="0" fontId="2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68" fontId="1" fillId="0" borderId="0"/>
    <xf numFmtId="0" fontId="1" fillId="0" borderId="0"/>
    <xf numFmtId="0" fontId="130" fillId="0" borderId="0"/>
    <xf numFmtId="0" fontId="1" fillId="0" borderId="0"/>
    <xf numFmtId="172" fontId="42" fillId="0" borderId="0" applyAlignment="1">
      <alignment vertical="center"/>
    </xf>
    <xf numFmtId="0" fontId="130" fillId="0" borderId="0"/>
    <xf numFmtId="172" fontId="42" fillId="0" borderId="0" applyAlignment="1">
      <alignment vertical="center"/>
    </xf>
    <xf numFmtId="0" fontId="21" fillId="0" borderId="0"/>
    <xf numFmtId="0" fontId="1" fillId="0" borderId="0"/>
    <xf numFmtId="172" fontId="42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1" fillId="0" borderId="0"/>
    <xf numFmtId="0" fontId="4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50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50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50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0" fontId="1" fillId="0" borderId="0"/>
    <xf numFmtId="172" fontId="2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211" fillId="0" borderId="0"/>
    <xf numFmtId="0" fontId="1" fillId="0" borderId="0"/>
    <xf numFmtId="0" fontId="1" fillId="0" borderId="0"/>
    <xf numFmtId="168" fontId="1" fillId="0" borderId="0"/>
    <xf numFmtId="172" fontId="211" fillId="0" borderId="0"/>
    <xf numFmtId="172" fontId="2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172" fontId="211" fillId="0" borderId="0"/>
    <xf numFmtId="0" fontId="1" fillId="0" borderId="0"/>
    <xf numFmtId="0" fontId="42" fillId="0" borderId="0"/>
    <xf numFmtId="0" fontId="41" fillId="0" borderId="0"/>
    <xf numFmtId="0" fontId="1" fillId="0" borderId="0"/>
    <xf numFmtId="172" fontId="211" fillId="0" borderId="0"/>
    <xf numFmtId="0" fontId="1" fillId="0" borderId="0"/>
    <xf numFmtId="168" fontId="1" fillId="0" borderId="0"/>
    <xf numFmtId="0" fontId="41" fillId="0" borderId="0"/>
    <xf numFmtId="172" fontId="211" fillId="0" borderId="0"/>
    <xf numFmtId="0" fontId="211" fillId="0" borderId="0"/>
    <xf numFmtId="172" fontId="211" fillId="0" borderId="0"/>
    <xf numFmtId="0" fontId="21" fillId="0" borderId="0"/>
    <xf numFmtId="0" fontId="211" fillId="0" borderId="0"/>
    <xf numFmtId="0" fontId="1" fillId="0" borderId="0"/>
    <xf numFmtId="0" fontId="42" fillId="0" borderId="0"/>
    <xf numFmtId="0" fontId="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211" fillId="0" borderId="0"/>
    <xf numFmtId="0" fontId="1" fillId="0" borderId="0"/>
    <xf numFmtId="0" fontId="1" fillId="0" borderId="0"/>
    <xf numFmtId="0" fontId="211" fillId="0" borderId="0"/>
    <xf numFmtId="0" fontId="1" fillId="0" borderId="0"/>
    <xf numFmtId="168" fontId="1" fillId="0" borderId="0"/>
    <xf numFmtId="172" fontId="211" fillId="0" borderId="0"/>
    <xf numFmtId="0" fontId="41" fillId="0" borderId="0"/>
    <xf numFmtId="172" fontId="211" fillId="0" borderId="0"/>
    <xf numFmtId="172" fontId="211" fillId="0" borderId="0"/>
    <xf numFmtId="172" fontId="211" fillId="0" borderId="0"/>
    <xf numFmtId="0" fontId="42" fillId="0" borderId="0"/>
    <xf numFmtId="0" fontId="41" fillId="0" borderId="0"/>
    <xf numFmtId="0" fontId="1" fillId="0" borderId="0"/>
    <xf numFmtId="172" fontId="211" fillId="0" borderId="0"/>
    <xf numFmtId="0" fontId="1" fillId="0" borderId="0"/>
    <xf numFmtId="168" fontId="1" fillId="0" borderId="0"/>
    <xf numFmtId="0" fontId="42" fillId="0" borderId="0"/>
    <xf numFmtId="172" fontId="211" fillId="0" borderId="0"/>
    <xf numFmtId="0" fontId="211" fillId="0" borderId="0"/>
    <xf numFmtId="172" fontId="211" fillId="0" borderId="0"/>
    <xf numFmtId="0" fontId="21" fillId="0" borderId="0"/>
    <xf numFmtId="172" fontId="211" fillId="0" borderId="0"/>
    <xf numFmtId="0" fontId="2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211" fillId="0" borderId="0"/>
    <xf numFmtId="0" fontId="211" fillId="0" borderId="0"/>
    <xf numFmtId="0" fontId="41" fillId="0" borderId="0"/>
    <xf numFmtId="0" fontId="4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41" fillId="0" borderId="0"/>
    <xf numFmtId="168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42" fillId="0" borderId="0"/>
    <xf numFmtId="168" fontId="1" fillId="0" borderId="0"/>
    <xf numFmtId="0" fontId="42" fillId="0" borderId="0"/>
    <xf numFmtId="172" fontId="211" fillId="0" borderId="0"/>
    <xf numFmtId="0" fontId="21" fillId="0" borderId="0"/>
    <xf numFmtId="172" fontId="211" fillId="0" borderId="0"/>
    <xf numFmtId="172" fontId="211" fillId="0" borderId="0"/>
    <xf numFmtId="172" fontId="211" fillId="0" borderId="0"/>
    <xf numFmtId="0" fontId="73" fillId="0" borderId="0"/>
    <xf numFmtId="0" fontId="42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1" fillId="0" borderId="0"/>
    <xf numFmtId="0" fontId="1" fillId="0" borderId="0"/>
    <xf numFmtId="0" fontId="211" fillId="0" borderId="0"/>
    <xf numFmtId="0" fontId="211" fillId="0" borderId="0"/>
    <xf numFmtId="0" fontId="1" fillId="0" borderId="0"/>
    <xf numFmtId="0" fontId="1" fillId="0" borderId="0"/>
    <xf numFmtId="0" fontId="1" fillId="0" borderId="0"/>
    <xf numFmtId="0" fontId="211" fillId="0" borderId="0"/>
    <xf numFmtId="0" fontId="211" fillId="0" borderId="0"/>
    <xf numFmtId="0" fontId="41" fillId="0" borderId="0"/>
    <xf numFmtId="168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68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42" fillId="0" borderId="0"/>
    <xf numFmtId="0" fontId="211" fillId="0" borderId="0"/>
    <xf numFmtId="0" fontId="131" fillId="0" borderId="0"/>
    <xf numFmtId="0" fontId="131" fillId="0" borderId="0"/>
    <xf numFmtId="0" fontId="211" fillId="0" borderId="0"/>
    <xf numFmtId="0" fontId="1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168" fontId="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168" fontId="1" fillId="0" borderId="0"/>
    <xf numFmtId="172" fontId="211" fillId="0" borderId="0"/>
    <xf numFmtId="0" fontId="73" fillId="0" borderId="0"/>
    <xf numFmtId="172" fontId="211" fillId="0" borderId="0"/>
    <xf numFmtId="172" fontId="211" fillId="0" borderId="0"/>
    <xf numFmtId="172" fontId="211" fillId="0" borderId="0"/>
    <xf numFmtId="0" fontId="73" fillId="0" borderId="0"/>
    <xf numFmtId="0" fontId="211" fillId="0" borderId="0"/>
    <xf numFmtId="0" fontId="211" fillId="0" borderId="0"/>
    <xf numFmtId="0" fontId="2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168" fontId="1" fillId="0" borderId="0"/>
    <xf numFmtId="0" fontId="41" fillId="0" borderId="0"/>
    <xf numFmtId="172" fontId="211" fillId="0" borderId="0"/>
    <xf numFmtId="172" fontId="211" fillId="0" borderId="0"/>
    <xf numFmtId="172" fontId="211" fillId="0" borderId="0"/>
    <xf numFmtId="172" fontId="211" fillId="0" borderId="0"/>
    <xf numFmtId="0" fontId="42" fillId="0" borderId="0"/>
    <xf numFmtId="168" fontId="1" fillId="0" borderId="0"/>
    <xf numFmtId="172" fontId="211" fillId="0" borderId="0"/>
    <xf numFmtId="0" fontId="41" fillId="0" borderId="0"/>
    <xf numFmtId="172" fontId="211" fillId="0" borderId="0"/>
    <xf numFmtId="172" fontId="211" fillId="0" borderId="0"/>
    <xf numFmtId="172" fontId="21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6" fillId="0" borderId="0"/>
    <xf numFmtId="0" fontId="1" fillId="0" borderId="0"/>
    <xf numFmtId="168" fontId="1" fillId="0" borderId="0"/>
    <xf numFmtId="168" fontId="47" fillId="0" borderId="0"/>
    <xf numFmtId="0" fontId="211" fillId="8" borderId="35"/>
    <xf numFmtId="0" fontId="211" fillId="8" borderId="35"/>
    <xf numFmtId="0" fontId="211" fillId="8" borderId="35"/>
    <xf numFmtId="0" fontId="211" fillId="8" borderId="35"/>
    <xf numFmtId="0" fontId="211" fillId="8" borderId="35"/>
    <xf numFmtId="0" fontId="211" fillId="8" borderId="35"/>
    <xf numFmtId="0" fontId="211" fillId="8" borderId="35"/>
    <xf numFmtId="0" fontId="211" fillId="8" borderId="35"/>
    <xf numFmtId="0" fontId="211" fillId="8" borderId="35"/>
    <xf numFmtId="0" fontId="211" fillId="8" borderId="35"/>
    <xf numFmtId="0" fontId="211" fillId="8" borderId="35"/>
    <xf numFmtId="0" fontId="211" fillId="8" borderId="35"/>
    <xf numFmtId="0" fontId="211" fillId="8" borderId="35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0" fontId="211" fillId="8" borderId="35"/>
    <xf numFmtId="172" fontId="73" fillId="8" borderId="7"/>
    <xf numFmtId="168" fontId="1" fillId="8" borderId="7"/>
    <xf numFmtId="172" fontId="73" fillId="8" borderId="7"/>
    <xf numFmtId="168" fontId="1" fillId="8" borderId="7"/>
    <xf numFmtId="168" fontId="1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68" fontId="1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68" fontId="1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68" fontId="1" fillId="8" borderId="7"/>
    <xf numFmtId="168" fontId="1" fillId="8" borderId="7"/>
    <xf numFmtId="168" fontId="1" fillId="8" borderId="7"/>
    <xf numFmtId="168" fontId="1" fillId="8" borderId="7"/>
    <xf numFmtId="168" fontId="1" fillId="8" borderId="7"/>
    <xf numFmtId="172" fontId="73" fillId="8" borderId="7"/>
    <xf numFmtId="168" fontId="1" fillId="8" borderId="7"/>
    <xf numFmtId="168" fontId="1" fillId="8" borderId="7"/>
    <xf numFmtId="168" fontId="1" fillId="8" borderId="7"/>
    <xf numFmtId="172" fontId="73" fillId="8" borderId="7"/>
    <xf numFmtId="168" fontId="1" fillId="8" borderId="7"/>
    <xf numFmtId="172" fontId="73" fillId="8" borderId="7"/>
    <xf numFmtId="168" fontId="1" fillId="8" borderId="7"/>
    <xf numFmtId="172" fontId="73" fillId="8" borderId="7"/>
    <xf numFmtId="168" fontId="1" fillId="8" borderId="7"/>
    <xf numFmtId="168" fontId="1" fillId="8" borderId="7"/>
    <xf numFmtId="172" fontId="73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68" fontId="1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0" fontId="211" fillId="8" borderId="35"/>
    <xf numFmtId="172" fontId="73" fillId="8" borderId="7"/>
    <xf numFmtId="0" fontId="211" fillId="8" borderId="35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0" fontId="211" fillId="8" borderId="35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0" fontId="211" fillId="8" borderId="35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0" fontId="211" fillId="8" borderId="35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0" fontId="211" fillId="8" borderId="35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0" fontId="211" fillId="8" borderId="35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0" fontId="211" fillId="8" borderId="35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72" fontId="73" fillId="8" borderId="7"/>
    <xf numFmtId="168" fontId="1" fillId="0" borderId="0"/>
    <xf numFmtId="168" fontId="1" fillId="0" borderId="0"/>
    <xf numFmtId="0" fontId="211" fillId="8" borderId="35"/>
    <xf numFmtId="2" fontId="72" fillId="0" borderId="0"/>
    <xf numFmtId="0" fontId="1" fillId="0" borderId="0"/>
    <xf numFmtId="168" fontId="1" fillId="0" borderId="0"/>
    <xf numFmtId="168" fontId="1" fillId="0" borderId="0"/>
    <xf numFmtId="168" fontId="133" fillId="0" borderId="0"/>
    <xf numFmtId="168" fontId="134" fillId="20" borderId="36"/>
    <xf numFmtId="0" fontId="135" fillId="68" borderId="37"/>
    <xf numFmtId="168" fontId="134" fillId="20" borderId="36"/>
    <xf numFmtId="168" fontId="134" fillId="20" borderId="36"/>
    <xf numFmtId="168" fontId="134" fillId="20" borderId="36"/>
    <xf numFmtId="168" fontId="134" fillId="20" borderId="36"/>
    <xf numFmtId="168" fontId="134" fillId="20" borderId="36"/>
    <xf numFmtId="168" fontId="134" fillId="20" borderId="36"/>
    <xf numFmtId="168" fontId="134" fillId="20" borderId="36"/>
    <xf numFmtId="168" fontId="134" fillId="20" borderId="36"/>
    <xf numFmtId="168" fontId="134" fillId="20" borderId="36"/>
    <xf numFmtId="168" fontId="134" fillId="20" borderId="36"/>
    <xf numFmtId="168" fontId="134" fillId="20" borderId="36"/>
    <xf numFmtId="168" fontId="134" fillId="20" borderId="36"/>
    <xf numFmtId="168" fontId="134" fillId="20" borderId="36"/>
    <xf numFmtId="172" fontId="134" fillId="20" borderId="36"/>
    <xf numFmtId="0" fontId="135" fillId="68" borderId="37"/>
    <xf numFmtId="172" fontId="134" fillId="20" borderId="36"/>
    <xf numFmtId="230" fontId="1" fillId="0" borderId="0"/>
    <xf numFmtId="230" fontId="1" fillId="0" borderId="0"/>
    <xf numFmtId="231" fontId="93" fillId="0" borderId="0"/>
    <xf numFmtId="232" fontId="93" fillId="0" borderId="0"/>
    <xf numFmtId="177" fontId="82" fillId="0" borderId="38" applyAlignment="1">
      <alignment horizontal="right"/>
    </xf>
    <xf numFmtId="233" fontId="2" fillId="0" borderId="0"/>
    <xf numFmtId="178" fontId="47" fillId="0" borderId="0" applyProtection="1">
      <protection locked="0" hidden="0"/>
    </xf>
    <xf numFmtId="178" fontId="47" fillId="0" borderId="0" applyProtection="1">
      <protection locked="0" hidden="0"/>
    </xf>
    <xf numFmtId="10" fontId="47" fillId="0" borderId="0" applyProtection="1">
      <protection locked="0" hidden="0"/>
    </xf>
    <xf numFmtId="10" fontId="47" fillId="0" borderId="0" applyProtection="1">
      <protection locked="0" hidden="0"/>
    </xf>
    <xf numFmtId="184" fontId="1" fillId="0" borderId="0"/>
    <xf numFmtId="184" fontId="1" fillId="0" borderId="0"/>
    <xf numFmtId="234" fontId="1" fillId="0" borderId="0"/>
    <xf numFmtId="10" fontId="1" fillId="0" borderId="0"/>
    <xf numFmtId="10" fontId="1" fillId="0" borderId="0"/>
    <xf numFmtId="10" fontId="1" fillId="0" borderId="0"/>
    <xf numFmtId="235" fontId="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211" fillId="0" borderId="0"/>
    <xf numFmtId="9" fontId="211" fillId="0" borderId="0"/>
    <xf numFmtId="9" fontId="211" fillId="0" borderId="0"/>
    <xf numFmtId="9" fontId="1" fillId="0" borderId="0"/>
    <xf numFmtId="9" fontId="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9" fontId="131" fillId="0" borderId="0"/>
    <xf numFmtId="9" fontId="131" fillId="0" borderId="0"/>
    <xf numFmtId="9" fontId="131" fillId="0" borderId="0"/>
    <xf numFmtId="9" fontId="41" fillId="0" borderId="0"/>
    <xf numFmtId="9" fontId="1" fillId="0" borderId="0"/>
    <xf numFmtId="9" fontId="1" fillId="0" borderId="0"/>
    <xf numFmtId="9" fontId="211" fillId="0" borderId="0"/>
    <xf numFmtId="9" fontId="41" fillId="0" borderId="0"/>
    <xf numFmtId="9" fontId="42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41" fillId="0" borderId="0"/>
    <xf numFmtId="9" fontId="1" fillId="0" borderId="0"/>
    <xf numFmtId="9" fontId="1" fillId="0" borderId="0"/>
    <xf numFmtId="9" fontId="41" fillId="0" borderId="0"/>
    <xf numFmtId="9" fontId="42" fillId="0" borderId="0"/>
    <xf numFmtId="9" fontId="1" fillId="0" borderId="0"/>
    <xf numFmtId="9" fontId="1" fillId="0" borderId="0"/>
    <xf numFmtId="9" fontId="41" fillId="0" borderId="0"/>
    <xf numFmtId="9" fontId="42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211" fillId="0" borderId="0"/>
    <xf numFmtId="9" fontId="211" fillId="0" borderId="0"/>
    <xf numFmtId="9" fontId="211" fillId="0" borderId="0"/>
    <xf numFmtId="9" fontId="211" fillId="0" borderId="0"/>
    <xf numFmtId="10" fontId="62" fillId="4" borderId="0"/>
    <xf numFmtId="185" fontId="1" fillId="0" borderId="0"/>
    <xf numFmtId="185" fontId="1" fillId="0" borderId="0"/>
    <xf numFmtId="181" fontId="1" fillId="0" borderId="0"/>
    <xf numFmtId="181" fontId="1" fillId="0" borderId="0"/>
    <xf numFmtId="185" fontId="1" fillId="0" borderId="0"/>
    <xf numFmtId="185" fontId="1" fillId="0" borderId="0"/>
    <xf numFmtId="186" fontId="1" fillId="0" borderId="0"/>
    <xf numFmtId="186" fontId="1" fillId="0" borderId="0"/>
    <xf numFmtId="181" fontId="1" fillId="0" borderId="0"/>
    <xf numFmtId="181" fontId="1" fillId="0" borderId="0"/>
    <xf numFmtId="168" fontId="1" fillId="0" borderId="0"/>
    <xf numFmtId="168" fontId="1" fillId="0" borderId="0"/>
    <xf numFmtId="4" fontId="136" fillId="0" borderId="0" applyAlignment="1">
      <alignment horizontal="right" vertical="top" wrapText="1"/>
    </xf>
    <xf numFmtId="9" fontId="3" fillId="0" borderId="0"/>
    <xf numFmtId="0" fontId="3" fillId="0" borderId="0" applyAlignment="1">
      <alignment horizontal="left"/>
    </xf>
    <xf numFmtId="15" fontId="3" fillId="0" borderId="0"/>
    <xf numFmtId="4" fontId="3" fillId="0" borderId="0"/>
    <xf numFmtId="0" fontId="137" fillId="0" borderId="39" applyAlignment="1">
      <alignment horizontal="center"/>
    </xf>
    <xf numFmtId="3" fontId="3" fillId="0" borderId="0"/>
    <xf numFmtId="0" fontId="3" fillId="74" borderId="0"/>
    <xf numFmtId="1" fontId="136" fillId="0" borderId="0" applyAlignment="1">
      <alignment horizontal="center" vertical="top" wrapText="1"/>
    </xf>
    <xf numFmtId="3" fontId="138" fillId="0" borderId="0"/>
    <xf numFmtId="3" fontId="58" fillId="0" borderId="0"/>
    <xf numFmtId="3" fontId="58" fillId="0" borderId="0"/>
    <xf numFmtId="3" fontId="138" fillId="0" borderId="0"/>
    <xf numFmtId="236" fontId="2" fillId="0" borderId="0" applyAlignment="1">
      <alignment horizontal="left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39" fillId="18" borderId="36" applyAlignment="1">
      <alignment vertical="center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4" fontId="1" fillId="1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30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59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6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21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4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60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75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1" fillId="43" borderId="36" applyAlignment="1">
      <alignment horizontal="right" vertical="center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78" fillId="76" borderId="36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1" fillId="2" borderId="40" applyAlignment="1">
      <alignment horizontal="left" vertical="center" indent="1"/>
    </xf>
    <xf numFmtId="4" fontId="97" fillId="77" borderId="0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2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4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38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69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0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39" fillId="8" borderId="36" applyAlignment="1">
      <alignment vertical="center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8" borderId="36" applyAlignment="1">
      <alignment horizontal="left" vertical="center" indent="1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4" fontId="139" fillId="2" borderId="36" applyAlignment="1">
      <alignment horizontal="right" vertical="center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" fillId="28" borderId="36" applyAlignment="1">
      <alignment horizontal="left" vertical="center" indent="1"/>
    </xf>
    <xf numFmtId="0" fontId="140" fillId="0" borderId="0"/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4" fontId="141" fillId="2" borderId="36" applyAlignment="1">
      <alignment horizontal="right" vertical="center"/>
    </xf>
    <xf numFmtId="168" fontId="142" fillId="0" borderId="41"/>
    <xf numFmtId="168" fontId="142" fillId="0" borderId="41"/>
    <xf numFmtId="168" fontId="142" fillId="0" borderId="41"/>
    <xf numFmtId="168" fontId="142" fillId="0" borderId="41"/>
    <xf numFmtId="168" fontId="142" fillId="0" borderId="41"/>
    <xf numFmtId="168" fontId="142" fillId="0" borderId="41"/>
    <xf numFmtId="168" fontId="142" fillId="0" borderId="41"/>
    <xf numFmtId="168" fontId="142" fillId="0" borderId="41"/>
    <xf numFmtId="168" fontId="142" fillId="0" borderId="41"/>
    <xf numFmtId="168" fontId="142" fillId="0" borderId="41"/>
    <xf numFmtId="168" fontId="142" fillId="0" borderId="41"/>
    <xf numFmtId="179" fontId="143" fillId="0" borderId="0"/>
    <xf numFmtId="0" fontId="144" fillId="78" borderId="0"/>
    <xf numFmtId="0" fontId="145" fillId="78" borderId="0"/>
    <xf numFmtId="0" fontId="146" fillId="78" borderId="42"/>
    <xf numFmtId="0" fontId="146" fillId="78" borderId="0"/>
    <xf numFmtId="0" fontId="144" fillId="4" borderId="42" applyProtection="1">
      <protection locked="0" hidden="0"/>
    </xf>
    <xf numFmtId="0" fontId="144" fillId="78" borderId="0"/>
    <xf numFmtId="0" fontId="147" fillId="79" borderId="0"/>
    <xf numFmtId="0" fontId="147" fillId="43" borderId="0"/>
    <xf numFmtId="0" fontId="147" fillId="6" borderId="0"/>
    <xf numFmtId="237" fontId="1" fillId="0" borderId="0"/>
    <xf numFmtId="225" fontId="1" fillId="0" borderId="0"/>
    <xf numFmtId="38" fontId="3" fillId="80" borderId="0"/>
    <xf numFmtId="38" fontId="3" fillId="80" borderId="0"/>
    <xf numFmtId="0" fontId="211" fillId="0" borderId="0"/>
    <xf numFmtId="0" fontId="1" fillId="0" borderId="0"/>
    <xf numFmtId="0" fontId="1" fillId="0" borderId="0"/>
    <xf numFmtId="168" fontId="45" fillId="0" borderId="0"/>
    <xf numFmtId="0" fontId="1" fillId="0" borderId="0"/>
    <xf numFmtId="168" fontId="3" fillId="0" borderId="0"/>
    <xf numFmtId="168" fontId="3" fillId="0" borderId="0"/>
    <xf numFmtId="0" fontId="46" fillId="0" borderId="0"/>
    <xf numFmtId="0" fontId="1" fillId="0" borderId="0"/>
    <xf numFmtId="172" fontId="71" fillId="0" borderId="0" applyAlignment="1">
      <alignment horizontal="center"/>
    </xf>
    <xf numFmtId="168" fontId="148" fillId="8" borderId="0" applyAlignment="1">
      <alignment wrapText="1"/>
    </xf>
    <xf numFmtId="168" fontId="149" fillId="0" borderId="43"/>
    <xf numFmtId="168" fontId="150" fillId="0" borderId="0"/>
    <xf numFmtId="40" fontId="151" fillId="0" borderId="0" applyAlignment="1">
      <alignment horizontal="right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0" fontId="152" fillId="1" borderId="21" applyAlignment="1">
      <alignment horizontal="left" vertical="center" wrapText="1"/>
    </xf>
    <xf numFmtId="38" fontId="153" fillId="0" borderId="0"/>
    <xf numFmtId="235" fontId="1" fillId="0" borderId="0"/>
    <xf numFmtId="38" fontId="154" fillId="0" borderId="31" applyAlignment="1" applyProtection="1">
      <alignment horizontal="right"/>
      <protection locked="0" hidden="0"/>
    </xf>
    <xf numFmtId="168" fontId="74" fillId="80" borderId="0" applyAlignment="1">
      <alignment horizontal="center"/>
    </xf>
    <xf numFmtId="49" fontId="44" fillId="0" borderId="0"/>
    <xf numFmtId="49" fontId="1" fillId="0" borderId="0"/>
    <xf numFmtId="238" fontId="1" fillId="0" borderId="0"/>
    <xf numFmtId="238" fontId="1" fillId="0" borderId="0"/>
    <xf numFmtId="239" fontId="1" fillId="0" borderId="0"/>
    <xf numFmtId="239" fontId="1" fillId="0" borderId="0"/>
    <xf numFmtId="0" fontId="1" fillId="0" borderId="0" applyAlignment="1">
      <alignment horizontal="right"/>
    </xf>
    <xf numFmtId="240" fontId="2" fillId="0" borderId="0"/>
    <xf numFmtId="241" fontId="2" fillId="0" borderId="0"/>
    <xf numFmtId="0" fontId="1" fillId="0" borderId="0" applyAlignment="1">
      <alignment horizontal="right"/>
    </xf>
    <xf numFmtId="0" fontId="1" fillId="0" borderId="0" applyAlignment="1">
      <alignment horizontal="right"/>
    </xf>
    <xf numFmtId="0" fontId="1" fillId="0" borderId="0" applyAlignment="1">
      <alignment horizontal="right"/>
    </xf>
    <xf numFmtId="18" fontId="81" fillId="0" borderId="0" applyAlignment="1">
      <alignment horizontal="left"/>
    </xf>
    <xf numFmtId="168" fontId="155" fillId="0" borderId="0" applyAlignment="1">
      <alignment horizontal="right"/>
    </xf>
    <xf numFmtId="168" fontId="156" fillId="0" borderId="0"/>
    <xf numFmtId="0" fontId="157" fillId="0" borderId="0"/>
    <xf numFmtId="172" fontId="156" fillId="0" borderId="0"/>
    <xf numFmtId="0" fontId="157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0" fontId="158" fillId="0" borderId="0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37" fontId="139" fillId="0" borderId="34"/>
    <xf numFmtId="168" fontId="1" fillId="0" borderId="44"/>
    <xf numFmtId="168" fontId="1" fillId="0" borderId="44"/>
    <xf numFmtId="0" fontId="159" fillId="0" borderId="45"/>
    <xf numFmtId="172" fontId="160" fillId="0" borderId="46"/>
    <xf numFmtId="0" fontId="159" fillId="0" borderId="45"/>
    <xf numFmtId="172" fontId="160" fillId="0" borderId="46"/>
    <xf numFmtId="10" fontId="161" fillId="0" borderId="47"/>
    <xf numFmtId="168" fontId="1" fillId="0" borderId="0"/>
    <xf numFmtId="168" fontId="1" fillId="0" borderId="0"/>
    <xf numFmtId="43" fontId="1" fillId="0" borderId="0"/>
    <xf numFmtId="168" fontId="1" fillId="0" borderId="0" applyAlignment="1">
      <alignment horizontal="center" textRotation="180"/>
    </xf>
    <xf numFmtId="168" fontId="1" fillId="0" borderId="0" applyAlignment="1">
      <alignment horizontal="center" textRotation="180"/>
    </xf>
    <xf numFmtId="242" fontId="1" fillId="0" borderId="0"/>
    <xf numFmtId="243" fontId="1" fillId="0" borderId="0"/>
    <xf numFmtId="242" fontId="1" fillId="0" borderId="0"/>
    <xf numFmtId="243" fontId="1" fillId="0" borderId="0"/>
    <xf numFmtId="244" fontId="1" fillId="0" borderId="0"/>
    <xf numFmtId="245" fontId="1" fillId="0" borderId="0"/>
    <xf numFmtId="168" fontId="24" fillId="0" borderId="0"/>
    <xf numFmtId="0" fontId="162" fillId="0" borderId="0"/>
    <xf numFmtId="172" fontId="24" fillId="0" borderId="0"/>
    <xf numFmtId="0" fontId="162" fillId="0" borderId="0"/>
    <xf numFmtId="0" fontId="1" fillId="0" borderId="0" applyAlignment="1">
      <alignment horizontal="left" wrapText="1"/>
    </xf>
    <xf numFmtId="246" fontId="111" fillId="0" borderId="0"/>
    <xf numFmtId="247" fontId="111" fillId="0" borderId="0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31" fontId="1" fillId="0" borderId="21"/>
    <xf numFmtId="248" fontId="163" fillId="0" borderId="0" applyProtection="1">
      <protection locked="0" hidden="0"/>
    </xf>
    <xf numFmtId="0" fontId="55" fillId="57" borderId="0"/>
    <xf numFmtId="0" fontId="55" fillId="58" borderId="0"/>
    <xf numFmtId="0" fontId="55" fillId="61" borderId="0"/>
    <xf numFmtId="0" fontId="55" fillId="62" borderId="0"/>
    <xf numFmtId="0" fontId="55" fillId="63" borderId="0"/>
    <xf numFmtId="0" fontId="55" fillId="65" borderId="0"/>
    <xf numFmtId="0" fontId="115" fillId="37" borderId="14"/>
    <xf numFmtId="0" fontId="135" fillId="68" borderId="37"/>
    <xf numFmtId="0" fontId="66" fillId="68" borderId="14"/>
    <xf numFmtId="0" fontId="164" fillId="0" borderId="0"/>
    <xf numFmtId="0" fontId="33" fillId="0" borderId="0" applyAlignment="1" applyProtection="1">
      <alignment vertical="top"/>
      <protection locked="0" hidden="0"/>
    </xf>
    <xf numFmtId="0" fontId="109" fillId="0" borderId="0"/>
    <xf numFmtId="0" fontId="33" fillId="0" borderId="0" applyAlignment="1" applyProtection="1">
      <alignment vertical="top"/>
      <protection locked="0" hidden="0"/>
    </xf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44" fontId="211" fillId="0" borderId="0"/>
    <xf numFmtId="0" fontId="100" fillId="0" borderId="25"/>
    <xf numFmtId="0" fontId="102" fillId="0" borderId="27"/>
    <xf numFmtId="0" fontId="165" fillId="0" borderId="0" applyAlignment="1">
      <alignment horizontal="left" vertical="top" wrapText="1"/>
    </xf>
    <xf numFmtId="0" fontId="105" fillId="0" borderId="30"/>
    <xf numFmtId="0" fontId="105" fillId="0" borderId="0"/>
    <xf numFmtId="0" fontId="159" fillId="0" borderId="45"/>
    <xf numFmtId="0" fontId="67" fillId="70" borderId="17"/>
    <xf numFmtId="0" fontId="157" fillId="0" borderId="0"/>
    <xf numFmtId="0" fontId="158" fillId="0" borderId="0"/>
    <xf numFmtId="0" fontId="125" fillId="73" borderId="0"/>
    <xf numFmtId="0" fontId="126" fillId="73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1" fillId="0" borderId="0"/>
    <xf numFmtId="0" fontId="166" fillId="0" borderId="0" applyAlignment="1">
      <alignment vertical="center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3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132" fillId="0" borderId="0"/>
    <xf numFmtId="0" fontId="21" fillId="0" borderId="0" applyAlignment="1">
      <alignment horizontal="left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21" fillId="0" borderId="0" applyAlignment="1">
      <alignment horizontal="left"/>
    </xf>
    <xf numFmtId="0" fontId="111" fillId="0" borderId="0"/>
    <xf numFmtId="0" fontId="211" fillId="0" borderId="0"/>
    <xf numFmtId="0" fontId="211" fillId="0" borderId="0"/>
    <xf numFmtId="0" fontId="211" fillId="0" borderId="0"/>
    <xf numFmtId="0" fontId="111" fillId="0" borderId="0"/>
    <xf numFmtId="0" fontId="111" fillId="0" borderId="0"/>
    <xf numFmtId="0" fontId="111" fillId="0" borderId="0"/>
    <xf numFmtId="0" fontId="73" fillId="0" borderId="0"/>
    <xf numFmtId="0" fontId="21" fillId="0" borderId="0" applyAlignment="1">
      <alignment horizontal="left"/>
    </xf>
    <xf numFmtId="0" fontId="132" fillId="0" borderId="0"/>
    <xf numFmtId="0" fontId="211" fillId="0" borderId="0"/>
    <xf numFmtId="0" fontId="1" fillId="0" borderId="0"/>
    <xf numFmtId="0" fontId="211" fillId="0" borderId="0"/>
    <xf numFmtId="0" fontId="211" fillId="0" borderId="0"/>
    <xf numFmtId="0" fontId="1" fillId="0" borderId="0"/>
    <xf numFmtId="0" fontId="211" fillId="0" borderId="0"/>
    <xf numFmtId="0" fontId="211" fillId="0" borderId="0" applyAlignment="1">
      <alignment vertical="center"/>
    </xf>
    <xf numFmtId="0" fontId="167" fillId="0" borderId="0" applyAlignment="1">
      <alignment horizontal="left"/>
    </xf>
    <xf numFmtId="0" fontId="21" fillId="0" borderId="0" applyAlignment="1">
      <alignment horizontal="left"/>
    </xf>
    <xf numFmtId="0" fontId="1" fillId="0" borderId="0"/>
    <xf numFmtId="0" fontId="167" fillId="0" borderId="0" applyAlignment="1">
      <alignment horizontal="left"/>
    </xf>
    <xf numFmtId="0" fontId="132" fillId="0" borderId="0"/>
    <xf numFmtId="0" fontId="211" fillId="0" borderId="0"/>
    <xf numFmtId="0" fontId="1" fillId="0" borderId="0"/>
    <xf numFmtId="0" fontId="211" fillId="0" borderId="0"/>
    <xf numFmtId="0" fontId="211" fillId="0" borderId="0"/>
    <xf numFmtId="0" fontId="211" fillId="0" borderId="0"/>
    <xf numFmtId="0" fontId="1" fillId="0" borderId="0"/>
    <xf numFmtId="0" fontId="132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42" fillId="0" borderId="0"/>
    <xf numFmtId="0" fontId="211" fillId="0" borderId="0" applyAlignment="1">
      <alignment vertical="center"/>
    </xf>
    <xf numFmtId="0" fontId="211" fillId="0" borderId="0"/>
    <xf numFmtId="0" fontId="211" fillId="0" borderId="0" applyAlignment="1">
      <alignment vertical="center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0" fillId="66" borderId="0"/>
    <xf numFmtId="0" fontId="87" fillId="0" borderId="0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50" fillId="8" borderId="35"/>
    <xf numFmtId="0" fontId="211" fillId="8" borderId="35"/>
    <xf numFmtId="9" fontId="211" fillId="0" borderId="0"/>
    <xf numFmtId="9" fontId="211" fillId="0" borderId="0"/>
    <xf numFmtId="9" fontId="211" fillId="0" borderId="0"/>
    <xf numFmtId="9" fontId="73" fillId="0" borderId="0"/>
    <xf numFmtId="9" fontId="132" fillId="0" borderId="0"/>
    <xf numFmtId="9" fontId="42" fillId="0" borderId="0"/>
    <xf numFmtId="9" fontId="211" fillId="0" borderId="0"/>
    <xf numFmtId="0" fontId="123" fillId="0" borderId="33"/>
    <xf numFmtId="0" fontId="46" fillId="0" borderId="0"/>
    <xf numFmtId="0" fontId="46" fillId="0" borderId="0"/>
    <xf numFmtId="0" fontId="46" fillId="0" borderId="0"/>
    <xf numFmtId="0" fontId="46" fillId="0" borderId="0"/>
    <xf numFmtId="0" fontId="162" fillId="0" borderId="0"/>
    <xf numFmtId="249" fontId="111" fillId="0" borderId="0"/>
    <xf numFmtId="250" fontId="11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90" fontId="211" fillId="0" borderId="0"/>
    <xf numFmtId="43" fontId="21" fillId="0" borderId="0"/>
    <xf numFmtId="43" fontId="21" fillId="0" borderId="0"/>
    <xf numFmtId="190" fontId="21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192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189" fontId="1" fillId="0" borderId="0"/>
    <xf numFmtId="43" fontId="21" fillId="0" borderId="0"/>
    <xf numFmtId="43" fontId="21" fillId="0" borderId="0"/>
    <xf numFmtId="189" fontId="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43" fontId="21" fillId="0" borderId="0"/>
    <xf numFmtId="0" fontId="95" fillId="72" borderId="0"/>
    <xf numFmtId="168" fontId="168" fillId="0" borderId="0"/>
    <xf numFmtId="168" fontId="168" fillId="0" borderId="0"/>
    <xf numFmtId="168" fontId="44" fillId="0" borderId="0" applyAlignment="1">
      <alignment vertical="center"/>
    </xf>
    <xf numFmtId="40" fontId="169" fillId="0" borderId="0"/>
    <xf numFmtId="38" fontId="169" fillId="0" borderId="0"/>
    <xf numFmtId="168" fontId="169" fillId="0" borderId="0"/>
    <xf numFmtId="168" fontId="169" fillId="0" borderId="0"/>
    <xf numFmtId="9" fontId="170" fillId="0" borderId="0"/>
    <xf numFmtId="168" fontId="171" fillId="0" borderId="0"/>
    <xf numFmtId="41" fontId="1" fillId="0" borderId="0" applyAlignment="1">
      <alignment vertical="center"/>
    </xf>
    <xf numFmtId="251" fontId="172" fillId="0" borderId="0"/>
    <xf numFmtId="252" fontId="173" fillId="0" borderId="0"/>
    <xf numFmtId="253" fontId="170" fillId="0" borderId="0"/>
    <xf numFmtId="254" fontId="170" fillId="0" borderId="0"/>
    <xf numFmtId="168" fontId="174" fillId="0" borderId="0"/>
    <xf numFmtId="0" fontId="48" fillId="0" borderId="0" applyAlignment="1">
      <alignment vertical="center"/>
    </xf>
    <xf numFmtId="168" fontId="175" fillId="0" borderId="31" applyAlignment="1">
      <alignment horizontal="center"/>
    </xf>
    <xf numFmtId="176" fontId="51" fillId="0" borderId="0"/>
    <xf numFmtId="255" fontId="73" fillId="0" borderId="0" applyAlignment="1">
      <alignment vertical="center"/>
    </xf>
    <xf numFmtId="176" fontId="211" fillId="0" borderId="0"/>
    <xf numFmtId="176" fontId="51" fillId="0" borderId="0"/>
    <xf numFmtId="176" fontId="211" fillId="0" borderId="0"/>
    <xf numFmtId="176" fontId="51" fillId="0" borderId="0"/>
    <xf numFmtId="176" fontId="211" fillId="0" borderId="0"/>
    <xf numFmtId="176" fontId="211" fillId="0" borderId="0"/>
    <xf numFmtId="176" fontId="51" fillId="0" borderId="0"/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176" fontId="51" fillId="0" borderId="0"/>
    <xf numFmtId="176" fontId="51" fillId="0" borderId="0"/>
    <xf numFmtId="255" fontId="73" fillId="0" borderId="0" applyAlignment="1">
      <alignment vertical="center"/>
    </xf>
    <xf numFmtId="176" fontId="51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176" fontId="211" fillId="0" borderId="0"/>
    <xf numFmtId="176" fontId="51" fillId="0" borderId="0"/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176" fontId="51" fillId="0" borderId="0"/>
    <xf numFmtId="176" fontId="51" fillId="0" borderId="0"/>
    <xf numFmtId="255" fontId="73" fillId="0" borderId="0" applyAlignment="1">
      <alignment vertical="center"/>
    </xf>
    <xf numFmtId="176" fontId="51" fillId="0" borderId="0"/>
    <xf numFmtId="176" fontId="211" fillId="0" borderId="0"/>
    <xf numFmtId="255" fontId="73" fillId="0" borderId="0" applyAlignment="1">
      <alignment vertical="center"/>
    </xf>
    <xf numFmtId="176" fontId="211" fillId="0" borderId="0"/>
    <xf numFmtId="255" fontId="73" fillId="0" borderId="0" applyAlignment="1">
      <alignment vertical="center"/>
    </xf>
    <xf numFmtId="176" fontId="51" fillId="0" borderId="0"/>
    <xf numFmtId="176" fontId="51" fillId="0" borderId="0"/>
    <xf numFmtId="172" fontId="73" fillId="0" borderId="0"/>
    <xf numFmtId="176" fontId="51" fillId="0" borderId="0"/>
    <xf numFmtId="176" fontId="51" fillId="0" borderId="0"/>
    <xf numFmtId="255" fontId="73" fillId="0" borderId="0" applyAlignment="1">
      <alignment vertical="center"/>
    </xf>
    <xf numFmtId="176" fontId="211" fillId="0" borderId="0"/>
    <xf numFmtId="176" fontId="51" fillId="0" borderId="0"/>
    <xf numFmtId="176" fontId="51" fillId="0" borderId="0"/>
    <xf numFmtId="43" fontId="73" fillId="0" borderId="0" applyAlignment="1">
      <alignment vertical="center"/>
    </xf>
    <xf numFmtId="176" fontId="51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176" fontId="51" fillId="0" borderId="0"/>
    <xf numFmtId="176" fontId="51" fillId="0" borderId="0"/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176" fontId="51" fillId="0" borderId="0"/>
    <xf numFmtId="43" fontId="73" fillId="0" borderId="0" applyAlignment="1">
      <alignment vertical="center"/>
    </xf>
    <xf numFmtId="255" fontId="73" fillId="0" borderId="0" applyAlignment="1">
      <alignment vertical="center"/>
    </xf>
    <xf numFmtId="43" fontId="73" fillId="0" borderId="0" applyAlignment="1">
      <alignment vertical="center"/>
    </xf>
    <xf numFmtId="176" fontId="211" fillId="0" borderId="0"/>
    <xf numFmtId="255" fontId="73" fillId="0" borderId="0" applyAlignment="1">
      <alignment vertical="center"/>
    </xf>
    <xf numFmtId="176" fontId="211" fillId="0" borderId="0"/>
    <xf numFmtId="43" fontId="73" fillId="0" borderId="0" applyAlignment="1">
      <alignment vertical="center"/>
    </xf>
    <xf numFmtId="43" fontId="73" fillId="0" borderId="0" applyAlignment="1">
      <alignment vertical="center"/>
    </xf>
    <xf numFmtId="176" fontId="211" fillId="0" borderId="0"/>
    <xf numFmtId="255" fontId="73" fillId="0" borderId="0" applyAlignment="1">
      <alignment vertical="center"/>
    </xf>
    <xf numFmtId="43" fontId="73" fillId="0" borderId="0" applyAlignment="1">
      <alignment vertical="center"/>
    </xf>
    <xf numFmtId="43" fontId="73" fillId="0" borderId="0" applyAlignment="1">
      <alignment vertical="center"/>
    </xf>
    <xf numFmtId="172" fontId="73" fillId="0" borderId="0"/>
    <xf numFmtId="43" fontId="73" fillId="0" borderId="0" applyAlignment="1">
      <alignment vertical="center"/>
    </xf>
    <xf numFmtId="43" fontId="73" fillId="0" borderId="0" applyAlignment="1">
      <alignment vertical="center"/>
    </xf>
    <xf numFmtId="255" fontId="73" fillId="0" borderId="0" applyAlignment="1">
      <alignment vertical="center"/>
    </xf>
    <xf numFmtId="176" fontId="211" fillId="0" borderId="0"/>
    <xf numFmtId="43" fontId="73" fillId="0" borderId="0" applyAlignment="1">
      <alignment vertical="center"/>
    </xf>
    <xf numFmtId="43" fontId="73" fillId="0" borderId="0" applyAlignment="1">
      <alignment vertical="center"/>
    </xf>
    <xf numFmtId="176" fontId="51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176" fontId="51" fillId="0" borderId="0"/>
    <xf numFmtId="176" fontId="51" fillId="0" borderId="0"/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176" fontId="51" fillId="0" borderId="0"/>
    <xf numFmtId="176" fontId="211" fillId="0" borderId="0"/>
    <xf numFmtId="255" fontId="73" fillId="0" borderId="0" applyAlignment="1">
      <alignment vertical="center"/>
    </xf>
    <xf numFmtId="176" fontId="211" fillId="0" borderId="0"/>
    <xf numFmtId="255" fontId="73" fillId="0" borderId="0" applyAlignment="1">
      <alignment vertical="center"/>
    </xf>
    <xf numFmtId="176" fontId="51" fillId="0" borderId="0"/>
    <xf numFmtId="176" fontId="51" fillId="0" borderId="0"/>
    <xf numFmtId="255" fontId="73" fillId="0" borderId="0" applyAlignment="1">
      <alignment vertical="center"/>
    </xf>
    <xf numFmtId="176" fontId="51" fillId="0" borderId="0"/>
    <xf numFmtId="176" fontId="51" fillId="0" borderId="0"/>
    <xf numFmtId="172" fontId="73" fillId="0" borderId="0"/>
    <xf numFmtId="176" fontId="51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172" fontId="73" fillId="0" borderId="0"/>
    <xf numFmtId="255" fontId="73" fillId="0" borderId="0" applyAlignment="1">
      <alignment vertical="center"/>
    </xf>
    <xf numFmtId="255" fontId="73" fillId="0" borderId="0" applyAlignment="1">
      <alignment vertical="center"/>
    </xf>
    <xf numFmtId="255" fontId="73" fillId="0" borderId="0" applyAlignment="1">
      <alignment vertical="center"/>
    </xf>
    <xf numFmtId="172" fontId="73" fillId="0" borderId="0"/>
    <xf numFmtId="41" fontId="1" fillId="0" borderId="0"/>
    <xf numFmtId="43" fontId="1" fillId="0" borderId="0"/>
    <xf numFmtId="41" fontId="120" fillId="0" borderId="0"/>
    <xf numFmtId="0" fontId="1" fillId="0" borderId="0"/>
    <xf numFmtId="168" fontId="176" fillId="0" borderId="0" applyAlignment="1" applyProtection="1">
      <alignment vertical="top"/>
      <protection locked="0" hidden="0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0" fontId="177" fillId="32" borderId="0" applyAlignment="1">
      <alignment vertical="center"/>
    </xf>
    <xf numFmtId="172" fontId="178" fillId="72" borderId="0" applyAlignment="1">
      <alignment vertical="center"/>
    </xf>
    <xf numFmtId="172" fontId="178" fillId="72" borderId="0" applyAlignment="1">
      <alignment vertical="center"/>
    </xf>
    <xf numFmtId="172" fontId="73" fillId="0" borderId="0"/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0" fontId="179" fillId="30" borderId="0" applyAlignment="1">
      <alignment vertical="center"/>
    </xf>
    <xf numFmtId="172" fontId="180" fillId="66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 applyAlignment="1">
      <alignment vertical="center"/>
    </xf>
    <xf numFmtId="0" fontId="73" fillId="0" borderId="0"/>
    <xf numFmtId="0" fontId="73" fillId="0" borderId="0"/>
    <xf numFmtId="0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211" fillId="0" borderId="0" applyAlignment="1">
      <alignment vertical="center"/>
    </xf>
    <xf numFmtId="172" fontId="73" fillId="0" borderId="0"/>
    <xf numFmtId="0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 applyAlignment="1">
      <alignment vertical="center"/>
    </xf>
    <xf numFmtId="0" fontId="73" fillId="0" borderId="0"/>
    <xf numFmtId="0" fontId="211" fillId="0" borderId="0" applyAlignment="1">
      <alignment vertical="center"/>
    </xf>
    <xf numFmtId="172" fontId="73" fillId="0" borderId="0"/>
    <xf numFmtId="0" fontId="211" fillId="0" borderId="0" applyAlignment="1">
      <alignment vertical="center"/>
    </xf>
    <xf numFmtId="0" fontId="73" fillId="0" borderId="0"/>
    <xf numFmtId="172" fontId="73" fillId="0" borderId="0"/>
    <xf numFmtId="0" fontId="73" fillId="0" borderId="0"/>
    <xf numFmtId="0" fontId="211" fillId="0" borderId="0" applyAlignment="1">
      <alignment vertical="center"/>
    </xf>
    <xf numFmtId="172" fontId="73" fillId="0" borderId="0"/>
    <xf numFmtId="0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73" fillId="0" borderId="0"/>
    <xf numFmtId="0" fontId="73" fillId="0" borderId="0"/>
    <xf numFmtId="0" fontId="211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73" fillId="0" borderId="0"/>
    <xf numFmtId="0" fontId="211" fillId="0" borderId="0"/>
    <xf numFmtId="0" fontId="211" fillId="0" borderId="0"/>
    <xf numFmtId="0" fontId="181" fillId="0" borderId="0"/>
    <xf numFmtId="0" fontId="73" fillId="0" borderId="0"/>
    <xf numFmtId="0" fontId="181" fillId="0" borderId="0"/>
    <xf numFmtId="0" fontId="181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0" fontId="73" fillId="0" borderId="0"/>
    <xf numFmtId="0" fontId="211" fillId="0" borderId="0"/>
    <xf numFmtId="0" fontId="73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0" fontId="73" fillId="0" borderId="0"/>
    <xf numFmtId="0" fontId="73" fillId="0" borderId="0"/>
    <xf numFmtId="0" fontId="211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21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73" fillId="0" borderId="0"/>
    <xf numFmtId="0" fontId="211" fillId="0" borderId="0"/>
    <xf numFmtId="0" fontId="211" fillId="0" borderId="0"/>
    <xf numFmtId="0" fontId="73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0" fontId="18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18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18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18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211" fillId="0" borderId="0"/>
    <xf numFmtId="0" fontId="211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181" fillId="0" borderId="0"/>
    <xf numFmtId="172" fontId="211" fillId="0" borderId="0" applyAlignment="1">
      <alignment vertical="center"/>
    </xf>
    <xf numFmtId="0" fontId="181" fillId="0" borderId="0"/>
    <xf numFmtId="0" fontId="181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211" fillId="0" borderId="0" applyAlignment="1">
      <alignment vertical="center"/>
    </xf>
    <xf numFmtId="0" fontId="73" fillId="0" borderId="0" applyAlignment="1">
      <alignment vertical="center"/>
    </xf>
    <xf numFmtId="0" fontId="211" fillId="0" borderId="0"/>
    <xf numFmtId="0" fontId="21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21" fillId="0" borderId="0"/>
    <xf numFmtId="0" fontId="211" fillId="0" borderId="0"/>
    <xf numFmtId="0" fontId="181" fillId="0" borderId="0"/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21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0" fontId="73" fillId="0" borderId="0"/>
    <xf numFmtId="0" fontId="211" fillId="0" borderId="0" applyAlignment="1">
      <alignment vertical="center"/>
    </xf>
    <xf numFmtId="0" fontId="73" fillId="0" borderId="0"/>
    <xf numFmtId="0" fontId="73" fillId="0" borderId="0"/>
    <xf numFmtId="0" fontId="211" fillId="0" borderId="0" applyAlignment="1">
      <alignment vertical="center"/>
    </xf>
    <xf numFmtId="172" fontId="5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0" fillId="0" borderId="0"/>
    <xf numFmtId="172" fontId="130" fillId="0" borderId="0"/>
    <xf numFmtId="0" fontId="50" fillId="0" borderId="0"/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73" fillId="0" borderId="0"/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73" fillId="0" borderId="0"/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172" fontId="50" fillId="0" borderId="0"/>
    <xf numFmtId="0" fontId="166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 applyAlignment="1">
      <alignment vertical="top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211" fillId="0" borderId="0"/>
    <xf numFmtId="0" fontId="211" fillId="0" borderId="0"/>
    <xf numFmtId="172" fontId="73" fillId="0" borderId="0" applyAlignment="1">
      <alignment vertical="center"/>
    </xf>
    <xf numFmtId="0" fontId="211" fillId="0" borderId="0"/>
    <xf numFmtId="0" fontId="211" fillId="0" borderId="0"/>
    <xf numFmtId="172" fontId="73" fillId="0" borderId="0" applyAlignment="1">
      <alignment vertical="center"/>
    </xf>
    <xf numFmtId="0" fontId="211" fillId="0" borderId="0"/>
    <xf numFmtId="0" fontId="211" fillId="0" borderId="0"/>
    <xf numFmtId="172" fontId="73" fillId="0" borderId="0" applyAlignment="1">
      <alignment vertical="center"/>
    </xf>
    <xf numFmtId="0" fontId="211" fillId="0" borderId="0"/>
    <xf numFmtId="172" fontId="73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73" fillId="0" borderId="0" applyAlignment="1">
      <alignment vertical="center"/>
    </xf>
    <xf numFmtId="0" fontId="211" fillId="0" borderId="0"/>
    <xf numFmtId="0" fontId="21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 applyAlignment="1">
      <alignment vertical="center"/>
    </xf>
    <xf numFmtId="172" fontId="73" fillId="0" borderId="0" applyAlignment="1">
      <alignment vertical="center"/>
    </xf>
    <xf numFmtId="0" fontId="211" fillId="0" borderId="0" applyAlignment="1">
      <alignment vertical="center"/>
    </xf>
    <xf numFmtId="0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172" fontId="211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1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1" fillId="0" borderId="0"/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172" fontId="5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172" fontId="211" fillId="0" borderId="0" applyAlignment="1">
      <alignment vertical="center"/>
    </xf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0" fontId="211" fillId="0" borderId="0"/>
    <xf numFmtId="172" fontId="211" fillId="0" borderId="0" applyAlignment="1">
      <alignment vertical="center"/>
    </xf>
    <xf numFmtId="0" fontId="211" fillId="0" borderId="0"/>
    <xf numFmtId="0" fontId="21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172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0" fontId="73" fillId="0" borderId="0"/>
    <xf numFmtId="172" fontId="211" fillId="0" borderId="0" applyAlignment="1">
      <alignment vertical="center"/>
    </xf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172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72" fontId="73" fillId="0" borderId="0" applyAlignment="1">
      <alignment vertical="center"/>
    </xf>
    <xf numFmtId="0" fontId="73" fillId="0" borderId="0"/>
    <xf numFmtId="172" fontId="73" fillId="0" borderId="0" applyAlignment="1">
      <alignment vertical="center"/>
    </xf>
    <xf numFmtId="0" fontId="73" fillId="0" borderId="0"/>
    <xf numFmtId="0" fontId="73" fillId="0" borderId="0"/>
    <xf numFmtId="168" fontId="1" fillId="0" borderId="0"/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6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59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60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1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53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0" fontId="53" fillId="64" borderId="0" applyAlignment="1">
      <alignment vertical="center"/>
    </xf>
    <xf numFmtId="168" fontId="182" fillId="0" borderId="48" applyAlignment="1">
      <alignment horizontal="center" vertical="center"/>
    </xf>
    <xf numFmtId="168" fontId="175" fillId="0" borderId="0"/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3" fillId="0" borderId="26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4" fillId="0" borderId="28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29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5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0" fontId="186" fillId="0" borderId="0" applyAlignment="1">
      <alignment vertical="center"/>
    </xf>
    <xf numFmtId="43" fontId="1" fillId="0" borderId="0"/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187" fillId="69" borderId="16" applyAlignment="1">
      <alignment vertical="center"/>
    </xf>
    <xf numFmtId="0" fontId="211" fillId="0" borderId="0"/>
    <xf numFmtId="0" fontId="49" fillId="0" borderId="0"/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188" fillId="0" borderId="46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73" fillId="8" borderId="7" applyAlignment="1">
      <alignment vertical="center"/>
    </xf>
    <xf numFmtId="0" fontId="1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0" fontId="1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/>
    <xf numFmtId="0" fontId="1" fillId="0" borderId="0"/>
    <xf numFmtId="9" fontId="73" fillId="0" borderId="0"/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 applyAlignment="1">
      <alignment vertical="center"/>
    </xf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9" fontId="73" fillId="0" borderId="0"/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89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0" fillId="0" borderId="0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0" fontId="191" fillId="20" borderId="8" applyAlignment="1">
      <alignment vertical="center"/>
    </xf>
    <xf numFmtId="42" fontId="120" fillId="0" borderId="0"/>
    <xf numFmtId="169" fontId="175" fillId="0" borderId="0"/>
    <xf numFmtId="170" fontId="120" fillId="0" borderId="0"/>
    <xf numFmtId="170" fontId="1" fillId="0" borderId="0"/>
    <xf numFmtId="215" fontId="51" fillId="0" borderId="0"/>
    <xf numFmtId="215" fontId="51" fillId="0" borderId="0"/>
    <xf numFmtId="215" fontId="211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211" fillId="0" borderId="0"/>
    <xf numFmtId="215" fontId="51" fillId="0" borderId="0"/>
    <xf numFmtId="215" fontId="51" fillId="0" borderId="0"/>
    <xf numFmtId="215" fontId="211" fillId="0" borderId="0"/>
    <xf numFmtId="215" fontId="51" fillId="0" borderId="0"/>
    <xf numFmtId="215" fontId="51" fillId="0" borderId="0"/>
    <xf numFmtId="215" fontId="51" fillId="0" borderId="0"/>
    <xf numFmtId="215" fontId="211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211" fillId="0" borderId="0"/>
    <xf numFmtId="256" fontId="73" fillId="0" borderId="0"/>
    <xf numFmtId="215" fontId="211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211" fillId="0" borderId="0"/>
    <xf numFmtId="215" fontId="51" fillId="0" borderId="0"/>
    <xf numFmtId="215" fontId="51" fillId="0" borderId="0"/>
    <xf numFmtId="215" fontId="211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211" fillId="0" borderId="0"/>
    <xf numFmtId="172" fontId="73" fillId="0" borderId="0"/>
    <xf numFmtId="215" fontId="211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211" fillId="0" borderId="0"/>
    <xf numFmtId="215" fontId="51" fillId="0" borderId="0"/>
    <xf numFmtId="215" fontId="51" fillId="0" borderId="0"/>
    <xf numFmtId="215" fontId="211" fillId="0" borderId="0"/>
    <xf numFmtId="215" fontId="51" fillId="0" borderId="0"/>
    <xf numFmtId="215" fontId="51" fillId="0" borderId="0"/>
    <xf numFmtId="215" fontId="51" fillId="0" borderId="0"/>
    <xf numFmtId="215" fontId="51" fillId="0" borderId="0"/>
    <xf numFmtId="215" fontId="211" fillId="0" borderId="0"/>
    <xf numFmtId="215" fontId="51" fillId="0" borderId="0"/>
    <xf numFmtId="215" fontId="51" fillId="0" borderId="0"/>
    <xf numFmtId="215" fontId="211" fillId="0" borderId="0"/>
    <xf numFmtId="215" fontId="51" fillId="0" borderId="0"/>
    <xf numFmtId="215" fontId="51" fillId="0" borderId="0"/>
    <xf numFmtId="215" fontId="51" fillId="0" borderId="0"/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7" fontId="73" fillId="0" borderId="0" applyAlignment="1">
      <alignment vertical="center"/>
    </xf>
    <xf numFmtId="256" fontId="73" fillId="0" borderId="0"/>
    <xf numFmtId="170" fontId="1" fillId="0" borderId="0"/>
    <xf numFmtId="42" fontId="1" fillId="0" borderId="0"/>
    <xf numFmtId="170" fontId="1" fillId="0" borderId="0"/>
    <xf numFmtId="168" fontId="192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73" fillId="0" borderId="0"/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73" fillId="0" borderId="0"/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73" fillId="0" borderId="0"/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193" fillId="0" borderId="0" applyAlignment="1" applyProtection="1">
      <alignment vertical="top"/>
      <protection locked="0" hidden="0"/>
    </xf>
    <xf numFmtId="172" fontId="73" fillId="0" borderId="0"/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4" fillId="37" borderId="8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5" fillId="20" borderId="36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6" fillId="18" borderId="0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  <xf numFmtId="0" fontId="197" fillId="0" borderId="32" applyAlignment="1">
      <alignment vertical="center"/>
    </xf>
  </cellStyleXfs>
  <cellXfs count="920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81" borderId="0" applyAlignment="1" pivotButton="0" quotePrefix="0" xfId="0">
      <alignment vertical="center" wrapText="1"/>
    </xf>
    <xf numFmtId="2" fontId="164" fillId="82" borderId="0" pivotButton="0" quotePrefix="0" xfId="27723"/>
    <xf numFmtId="0" fontId="198" fillId="83" borderId="0" applyAlignment="1" pivotButton="0" quotePrefix="0" xfId="0">
      <alignment horizontal="left" vertical="center"/>
    </xf>
    <xf numFmtId="0" fontId="199" fillId="0" borderId="0" applyAlignment="1" pivotButton="0" quotePrefix="0" xfId="0">
      <alignment horizontal="right" vertical="center"/>
    </xf>
    <xf numFmtId="14" fontId="200" fillId="79" borderId="0" applyAlignment="1" pivotButton="0" quotePrefix="0" xfId="0">
      <alignment horizontal="center" vertical="center"/>
    </xf>
    <xf numFmtId="0" fontId="198" fillId="85" borderId="0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/>
    </xf>
    <xf numFmtId="164" fontId="201" fillId="88" borderId="19" applyAlignment="1" pivotButton="0" quotePrefix="0" xfId="25429">
      <alignment vertical="center" wrapText="1"/>
    </xf>
    <xf numFmtId="0" fontId="199" fillId="0" borderId="18" applyAlignment="1" pivotButton="0" quotePrefix="0" xfId="0">
      <alignment horizontal="center" vertical="center"/>
    </xf>
    <xf numFmtId="0" fontId="199" fillId="0" borderId="19" applyAlignment="1" pivotButton="0" quotePrefix="0" xfId="0">
      <alignment horizontal="center" vertical="center"/>
    </xf>
    <xf numFmtId="0" fontId="199" fillId="0" borderId="0" applyAlignment="1" pivotButton="0" quotePrefix="0" xfId="0">
      <alignment vertical="center"/>
    </xf>
    <xf numFmtId="0" fontId="199" fillId="94" borderId="19" applyAlignment="1" pivotButton="0" quotePrefix="0" xfId="0">
      <alignment horizontal="left" vertical="center"/>
    </xf>
    <xf numFmtId="0" fontId="0" fillId="94" borderId="19" applyAlignment="1" pivotButton="0" quotePrefix="0" xfId="0">
      <alignment horizontal="left" vertical="center"/>
    </xf>
    <xf numFmtId="0" fontId="0" fillId="94" borderId="19" applyAlignment="1" pivotButton="0" quotePrefix="0" xfId="0">
      <alignment horizontal="center" vertical="center"/>
    </xf>
    <xf numFmtId="0" fontId="198" fillId="94" borderId="19" applyAlignment="1" pivotButton="0" quotePrefix="0" xfId="0">
      <alignment horizontal="left" vertical="center" wrapText="1"/>
    </xf>
    <xf numFmtId="165" fontId="0" fillId="94" borderId="19" applyAlignment="1" pivotButton="0" quotePrefix="0" xfId="0">
      <alignment horizontal="right" vertical="center" wrapText="1"/>
    </xf>
    <xf numFmtId="165" fontId="0" fillId="0" borderId="19" applyAlignment="1" pivotButton="0" quotePrefix="0" xfId="0">
      <alignment horizontal="right" vertical="center" wrapText="1"/>
    </xf>
    <xf numFmtId="165" fontId="0" fillId="0" borderId="19" applyAlignment="1" pivotButton="0" quotePrefix="0" xfId="0">
      <alignment horizontal="center" vertical="center" wrapText="1"/>
    </xf>
    <xf numFmtId="165" fontId="198" fillId="94" borderId="19" applyAlignment="1" pivotButton="0" quotePrefix="0" xfId="0">
      <alignment horizontal="center" vertical="center" wrapText="1"/>
    </xf>
    <xf numFmtId="0" fontId="0" fillId="107" borderId="19" applyAlignment="1" pivotButton="0" quotePrefix="0" xfId="0">
      <alignment horizontal="center" vertical="center" wrapText="1"/>
    </xf>
    <xf numFmtId="0" fontId="0" fillId="109" borderId="19" applyAlignment="1" pivotButton="0" quotePrefix="0" xfId="0">
      <alignment horizontal="center" vertical="center" wrapText="1"/>
    </xf>
    <xf numFmtId="0" fontId="0" fillId="105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64" fontId="201" fillId="107" borderId="19" applyAlignment="1" pivotButton="0" quotePrefix="0" xfId="25429">
      <alignment horizontal="center" vertical="center" wrapText="1"/>
    </xf>
    <xf numFmtId="164" fontId="201" fillId="0" borderId="19" applyAlignment="1" pivotButton="0" quotePrefix="0" xfId="25429">
      <alignment horizontal="center" vertical="center" wrapText="1"/>
    </xf>
    <xf numFmtId="164" fontId="201" fillId="0" borderId="19" applyAlignment="1" pivotButton="0" quotePrefix="0" xfId="25429">
      <alignment vertical="center" wrapText="1"/>
    </xf>
    <xf numFmtId="164" fontId="201" fillId="105" borderId="19" applyAlignment="1" pivotButton="0" quotePrefix="0" xfId="25429">
      <alignment horizontal="center" vertical="center" wrapText="1"/>
    </xf>
    <xf numFmtId="164" fontId="201" fillId="105" borderId="19" applyAlignment="1" pivotButton="0" quotePrefix="0" xfId="25429">
      <alignment vertical="center" wrapText="1"/>
    </xf>
    <xf numFmtId="164" fontId="201" fillId="107" borderId="19" applyAlignment="1" pivotButton="0" quotePrefix="0" xfId="25429">
      <alignment horizontal="center" vertical="center"/>
    </xf>
    <xf numFmtId="0" fontId="198" fillId="94" borderId="19" applyAlignment="1" pivotButton="0" quotePrefix="0" xfId="0">
      <alignment horizontal="left" vertical="center"/>
    </xf>
    <xf numFmtId="2" fontId="0" fillId="0" borderId="19" applyAlignment="1" pivotButton="0" quotePrefix="0" xfId="0">
      <alignment horizontal="right" vertical="center" wrapText="1"/>
    </xf>
    <xf numFmtId="0" fontId="199" fillId="94" borderId="19" applyAlignment="1" pivotButton="0" quotePrefix="0" xfId="0">
      <alignment horizontal="center" vertical="center"/>
    </xf>
    <xf numFmtId="0" fontId="202" fillId="94" borderId="19" applyAlignment="1" pivotButton="0" quotePrefix="0" xfId="0">
      <alignment horizontal="left" vertical="center" wrapText="1"/>
    </xf>
    <xf numFmtId="165" fontId="202" fillId="94" borderId="19" applyAlignment="1" pivotButton="0" quotePrefix="0" xfId="0">
      <alignment horizontal="right" vertical="center" wrapText="1"/>
    </xf>
    <xf numFmtId="165" fontId="202" fillId="0" borderId="19" applyAlignment="1" pivotButton="0" quotePrefix="0" xfId="0">
      <alignment horizontal="right" vertical="center" wrapText="1"/>
    </xf>
    <xf numFmtId="3" fontId="201" fillId="88" borderId="19" applyAlignment="1" pivotButton="0" quotePrefix="0" xfId="25429">
      <alignment vertical="center" wrapText="1"/>
    </xf>
    <xf numFmtId="3" fontId="199" fillId="107" borderId="19" applyAlignment="1" pivotButton="0" quotePrefix="0" xfId="0">
      <alignment vertical="center" wrapText="1"/>
    </xf>
    <xf numFmtId="3" fontId="199" fillId="109" borderId="19" applyAlignment="1" pivotButton="0" quotePrefix="0" xfId="0">
      <alignment vertical="center" wrapText="1"/>
    </xf>
    <xf numFmtId="3" fontId="199" fillId="105" borderId="19" applyAlignment="1" pivotButton="0" quotePrefix="0" xfId="0">
      <alignment vertical="center" wrapText="1"/>
    </xf>
    <xf numFmtId="0" fontId="199" fillId="109" borderId="19" applyAlignment="1" pivotButton="0" quotePrefix="0" xfId="0">
      <alignment horizontal="center" vertical="center" wrapText="1"/>
    </xf>
    <xf numFmtId="3" fontId="199" fillId="0" borderId="0" applyAlignment="1" pivotButton="0" quotePrefix="0" xfId="0">
      <alignment horizontal="right" vertical="center"/>
    </xf>
    <xf numFmtId="0" fontId="199" fillId="110" borderId="19" applyAlignment="1" pivotButton="0" quotePrefix="0" xfId="0">
      <alignment horizontal="left" vertical="center"/>
    </xf>
    <xf numFmtId="3" fontId="199" fillId="111" borderId="19" applyAlignment="1" pivotButton="0" quotePrefix="0" xfId="0">
      <alignment horizontal="left" vertical="center"/>
    </xf>
    <xf numFmtId="3" fontId="199" fillId="111" borderId="19" applyAlignment="1" pivotButton="0" quotePrefix="0" xfId="0">
      <alignment horizontal="center" vertical="center"/>
    </xf>
    <xf numFmtId="3" fontId="202" fillId="111" borderId="19" applyAlignment="1" pivotButton="0" quotePrefix="0" xfId="0">
      <alignment horizontal="left" vertical="center"/>
    </xf>
    <xf numFmtId="3" fontId="202" fillId="111" borderId="18" applyAlignment="1" pivotButton="0" quotePrefix="0" xfId="0">
      <alignment horizontal="right" vertical="center" wrapText="1"/>
    </xf>
    <xf numFmtId="3" fontId="202" fillId="111" borderId="19" applyAlignment="1" pivotButton="0" quotePrefix="0" xfId="0">
      <alignment horizontal="right" vertical="center" wrapText="1"/>
    </xf>
    <xf numFmtId="3" fontId="203" fillId="88" borderId="19" applyAlignment="1" pivotButton="0" quotePrefix="0" xfId="25429">
      <alignment horizontal="right" vertical="center" wrapText="1"/>
    </xf>
    <xf numFmtId="164" fontId="203" fillId="88" borderId="19" applyAlignment="1" pivotButton="0" quotePrefix="0" xfId="25429">
      <alignment horizontal="right" vertical="center" wrapText="1"/>
    </xf>
    <xf numFmtId="0" fontId="202" fillId="94" borderId="19" applyAlignment="1" pivotButton="0" quotePrefix="0" xfId="0">
      <alignment horizontal="left" vertical="center"/>
    </xf>
    <xf numFmtId="0" fontId="198" fillId="0" borderId="19" applyAlignment="1" pivotButton="0" quotePrefix="0" xfId="0">
      <alignment horizontal="left" vertical="center"/>
    </xf>
    <xf numFmtId="0" fontId="198" fillId="0" borderId="19" applyAlignment="1" pivotButton="0" quotePrefix="0" xfId="0">
      <alignment horizontal="left" vertical="center" wrapText="1"/>
    </xf>
    <xf numFmtId="0" fontId="199" fillId="0" borderId="19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/>
    </xf>
    <xf numFmtId="0" fontId="199" fillId="0" borderId="19" applyAlignment="1" pivotButton="0" quotePrefix="0" xfId="30294">
      <alignment horizontal="left" vertical="center"/>
    </xf>
    <xf numFmtId="3" fontId="199" fillId="111" borderId="18" applyAlignment="1" pivotButton="0" quotePrefix="0" xfId="0">
      <alignment horizontal="center" vertical="center"/>
    </xf>
    <xf numFmtId="3" fontId="202" fillId="111" borderId="18" applyAlignment="1" pivotButton="0" quotePrefix="0" xfId="0">
      <alignment horizontal="left" vertical="center"/>
    </xf>
    <xf numFmtId="164" fontId="202" fillId="111" borderId="18" applyAlignment="1" pivotButton="0" quotePrefix="0" xfId="0">
      <alignment horizontal="right" vertical="center" wrapText="1"/>
    </xf>
    <xf numFmtId="164" fontId="199" fillId="111" borderId="19" applyAlignment="1" pivotButton="0" quotePrefix="0" xfId="0">
      <alignment horizontal="right" vertical="center" wrapText="1"/>
    </xf>
    <xf numFmtId="3" fontId="199" fillId="110" borderId="19" applyAlignment="1" pivotButton="0" quotePrefix="0" xfId="0">
      <alignment horizontal="right" vertical="center"/>
    </xf>
    <xf numFmtId="0" fontId="199" fillId="110" borderId="19" applyAlignment="1" pivotButton="0" quotePrefix="0" xfId="0">
      <alignment vertical="center"/>
    </xf>
    <xf numFmtId="0" fontId="199" fillId="110" borderId="19" applyAlignment="1" pivotButton="0" quotePrefix="0" xfId="0">
      <alignment horizontal="right" vertical="center"/>
    </xf>
    <xf numFmtId="0" fontId="199" fillId="110" borderId="19" applyAlignment="1" pivotButton="0" quotePrefix="0" xfId="0">
      <alignment horizontal="right" vertical="center" wrapText="1"/>
    </xf>
    <xf numFmtId="164" fontId="199" fillId="110" borderId="19" applyAlignment="1" pivotButton="0" quotePrefix="0" xfId="0">
      <alignment horizontal="right" vertical="center" wrapText="1"/>
    </xf>
    <xf numFmtId="3" fontId="199" fillId="110" borderId="19" applyAlignment="1" pivotButton="0" quotePrefix="0" xfId="0">
      <alignment horizontal="right" vertical="center" wrapText="1"/>
    </xf>
    <xf numFmtId="3" fontId="199" fillId="113" borderId="19" applyAlignment="1" pivotButton="0" quotePrefix="0" xfId="0">
      <alignment horizontal="right" vertical="center"/>
    </xf>
    <xf numFmtId="3" fontId="199" fillId="113" borderId="19" applyAlignment="1" pivotButton="0" quotePrefix="0" xfId="0">
      <alignment horizontal="center" vertical="center"/>
    </xf>
    <xf numFmtId="3" fontId="199" fillId="113" borderId="19" applyAlignment="1" pivotButton="0" quotePrefix="0" xfId="0">
      <alignment horizontal="right" vertical="center" wrapText="1"/>
    </xf>
    <xf numFmtId="164" fontId="199" fillId="113" borderId="19" applyAlignment="1" pivotButton="0" quotePrefix="0" xfId="0">
      <alignment horizontal="right" vertical="center" wrapText="1"/>
    </xf>
    <xf numFmtId="164" fontId="199" fillId="114" borderId="19" applyAlignment="1" pivotButton="0" quotePrefix="0" xfId="0">
      <alignment horizontal="right" vertical="center" wrapText="1"/>
    </xf>
    <xf numFmtId="164" fontId="199" fillId="114" borderId="19" applyAlignment="1" pivotButton="0" quotePrefix="0" xfId="0">
      <alignment horizontal="right" vertical="center"/>
    </xf>
    <xf numFmtId="164" fontId="199" fillId="113" borderId="19" applyAlignment="1" pivotButton="0" quotePrefix="0" xfId="0">
      <alignment horizontal="right" vertical="center"/>
    </xf>
    <xf numFmtId="3" fontId="199" fillId="114" borderId="19" applyAlignment="1" pivotButton="0" quotePrefix="0" xfId="0">
      <alignment horizontal="right" vertical="center" wrapText="1"/>
    </xf>
    <xf numFmtId="3" fontId="0" fillId="115" borderId="19" applyAlignment="1" pivotButton="0" quotePrefix="0" xfId="0">
      <alignment horizontal="right" vertical="center"/>
    </xf>
    <xf numFmtId="0" fontId="199" fillId="115" borderId="19" applyAlignment="1" pivotButton="0" quotePrefix="0" xfId="0">
      <alignment vertical="center"/>
    </xf>
    <xf numFmtId="0" fontId="0" fillId="115" borderId="19" applyAlignment="1" pivotButton="0" quotePrefix="0" xfId="0">
      <alignment horizontal="right" vertical="center"/>
    </xf>
    <xf numFmtId="0" fontId="199" fillId="115" borderId="19" applyAlignment="1" pivotButton="0" quotePrefix="0" xfId="0">
      <alignment horizontal="right" vertical="center" wrapText="1"/>
    </xf>
    <xf numFmtId="164" fontId="199" fillId="115" borderId="19" applyAlignment="1" pivotButton="0" quotePrefix="0" xfId="0">
      <alignment horizontal="right" vertical="center" wrapText="1"/>
    </xf>
    <xf numFmtId="164" fontId="0" fillId="115" borderId="19" applyAlignment="1" pivotButton="0" quotePrefix="0" xfId="0">
      <alignment horizontal="right" vertical="center" wrapText="1"/>
    </xf>
    <xf numFmtId="164" fontId="199" fillId="116" borderId="19" applyAlignment="1" pivotButton="0" quotePrefix="0" xfId="0">
      <alignment horizontal="right" vertical="center" wrapText="1"/>
    </xf>
    <xf numFmtId="164" fontId="0" fillId="116" borderId="19" applyAlignment="1" pivotButton="0" quotePrefix="0" xfId="0">
      <alignment horizontal="right" vertical="center"/>
    </xf>
    <xf numFmtId="164" fontId="0" fillId="115" borderId="19" applyAlignment="1" pivotButton="0" quotePrefix="0" xfId="0">
      <alignment horizontal="right" vertical="center"/>
    </xf>
    <xf numFmtId="3" fontId="199" fillId="115" borderId="19" applyAlignment="1" pivotButton="0" quotePrefix="0" xfId="0">
      <alignment horizontal="right" vertical="center" wrapText="1"/>
    </xf>
    <xf numFmtId="3" fontId="199" fillId="116" borderId="19" applyAlignment="1" pivotButton="0" quotePrefix="0" xfId="0">
      <alignment horizontal="right" vertical="center" wrapText="1"/>
    </xf>
    <xf numFmtId="3" fontId="0" fillId="117" borderId="19" applyAlignment="1" pivotButton="0" quotePrefix="0" xfId="0">
      <alignment horizontal="right" vertical="center"/>
    </xf>
    <xf numFmtId="0" fontId="199" fillId="117" borderId="19" applyAlignment="1" pivotButton="0" quotePrefix="0" xfId="0">
      <alignment horizontal="center" vertical="center"/>
    </xf>
    <xf numFmtId="0" fontId="0" fillId="117" borderId="19" applyAlignment="1" pivotButton="0" quotePrefix="0" xfId="0">
      <alignment horizontal="right" vertical="center"/>
    </xf>
    <xf numFmtId="0" fontId="199" fillId="117" borderId="19" applyAlignment="1" pivotButton="0" quotePrefix="0" xfId="0">
      <alignment horizontal="right" vertical="center" wrapText="1"/>
    </xf>
    <xf numFmtId="164" fontId="199" fillId="117" borderId="19" applyAlignment="1" pivotButton="0" quotePrefix="0" xfId="0">
      <alignment horizontal="right" vertical="center" wrapText="1"/>
    </xf>
    <xf numFmtId="164" fontId="0" fillId="117" borderId="19" applyAlignment="1" pivotButton="0" quotePrefix="0" xfId="0">
      <alignment horizontal="right" vertical="center" wrapText="1"/>
    </xf>
    <xf numFmtId="164" fontId="199" fillId="118" borderId="19" applyAlignment="1" pivotButton="0" quotePrefix="0" xfId="0">
      <alignment horizontal="right" vertical="center" wrapText="1"/>
    </xf>
    <xf numFmtId="164" fontId="0" fillId="118" borderId="19" applyAlignment="1" pivotButton="0" quotePrefix="0" xfId="0">
      <alignment horizontal="right" vertical="center"/>
    </xf>
    <xf numFmtId="164" fontId="0" fillId="117" borderId="19" applyAlignment="1" pivotButton="0" quotePrefix="0" xfId="0">
      <alignment horizontal="right" vertical="center"/>
    </xf>
    <xf numFmtId="3" fontId="199" fillId="117" borderId="19" applyAlignment="1" pivotButton="0" quotePrefix="0" xfId="0">
      <alignment horizontal="right" vertical="center" wrapText="1"/>
    </xf>
    <xf numFmtId="3" fontId="199" fillId="118" borderId="19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/>
    </xf>
    <xf numFmtId="164" fontId="203" fillId="88" borderId="0" applyAlignment="1" pivotButton="0" quotePrefix="0" xfId="25429">
      <alignment horizontal="center" vertical="center" wrapText="1"/>
    </xf>
    <xf numFmtId="0" fontId="0" fillId="81" borderId="0" applyAlignment="1" pivotButton="0" quotePrefix="0" xfId="0">
      <alignment vertical="center"/>
    </xf>
    <xf numFmtId="164" fontId="203" fillId="88" borderId="19" applyAlignment="1" pivotButton="0" quotePrefix="0" xfId="25429">
      <alignment horizontal="center" vertical="center" wrapText="1"/>
    </xf>
    <xf numFmtId="0" fontId="0" fillId="0" borderId="0" applyAlignment="1" pivotButton="0" quotePrefix="0" xfId="0">
      <alignment vertical="top"/>
    </xf>
    <xf numFmtId="14" fontId="199" fillId="103" borderId="19" applyAlignment="1" pivotButton="0" quotePrefix="0" xfId="0">
      <alignment horizontal="center" vertical="top" wrapText="1"/>
    </xf>
    <xf numFmtId="14" fontId="199" fillId="0" borderId="19" applyAlignment="1" pivotButton="0" quotePrefix="0" xfId="0">
      <alignment horizontal="center" vertical="top" wrapText="1"/>
    </xf>
    <xf numFmtId="0" fontId="199" fillId="105" borderId="19" applyAlignment="1" pivotButton="0" quotePrefix="0" xfId="0">
      <alignment horizontal="center" vertical="top" wrapText="1"/>
    </xf>
    <xf numFmtId="14" fontId="199" fillId="62" borderId="19" applyAlignment="1" pivotButton="0" quotePrefix="0" xfId="0">
      <alignment horizontal="center" vertical="top" wrapText="1"/>
    </xf>
    <xf numFmtId="0" fontId="0" fillId="109" borderId="19" applyAlignment="1" pivotButton="0" quotePrefix="0" xfId="0">
      <alignment vertical="center" wrapText="1"/>
    </xf>
    <xf numFmtId="0" fontId="201" fillId="105" borderId="19" applyAlignment="1" pivotButton="0" quotePrefix="0" xfId="25429">
      <alignment horizontal="center" vertical="center" wrapText="1"/>
    </xf>
    <xf numFmtId="164" fontId="201" fillId="107" borderId="19" applyAlignment="1" pivotButton="0" quotePrefix="0" xfId="25429">
      <alignment vertical="center" wrapText="1"/>
    </xf>
    <xf numFmtId="0" fontId="202" fillId="0" borderId="19" applyAlignment="1" pivotButton="0" quotePrefix="0" xfId="0">
      <alignment horizontal="left" vertical="center" wrapText="1"/>
    </xf>
    <xf numFmtId="165" fontId="198" fillId="0" borderId="19" applyAlignment="1" pivotButton="0" quotePrefix="0" xfId="0">
      <alignment horizontal="right" vertical="center" wrapText="1"/>
    </xf>
    <xf numFmtId="165" fontId="198" fillId="0" borderId="19" applyAlignment="1" pivotButton="0" quotePrefix="0" xfId="0">
      <alignment horizontal="center" vertical="center" wrapText="1"/>
    </xf>
    <xf numFmtId="0" fontId="202" fillId="105" borderId="19" applyAlignment="1" pivotButton="0" quotePrefix="0" xfId="30494">
      <alignment horizontal="center" vertical="center" wrapText="1"/>
    </xf>
    <xf numFmtId="0" fontId="203" fillId="105" borderId="19" applyAlignment="1" pivotButton="0" quotePrefix="0" xfId="25429">
      <alignment horizontal="center" vertical="center" wrapText="1"/>
    </xf>
    <xf numFmtId="3" fontId="199" fillId="81" borderId="0" applyAlignment="1" pivotButton="0" quotePrefix="0" xfId="0">
      <alignment horizontal="right" vertical="center"/>
    </xf>
    <xf numFmtId="3" fontId="199" fillId="111" borderId="19" applyAlignment="1" pivotButton="0" quotePrefix="0" xfId="0">
      <alignment horizontal="right" vertical="center"/>
    </xf>
    <xf numFmtId="0" fontId="199" fillId="111" borderId="19" applyAlignment="1" pivotButton="0" quotePrefix="0" xfId="0">
      <alignment horizontal="center" vertical="center"/>
    </xf>
    <xf numFmtId="3" fontId="202" fillId="111" borderId="19" applyAlignment="1" pivotButton="0" quotePrefix="0" xfId="0">
      <alignment horizontal="left" vertical="center" wrapText="1"/>
    </xf>
    <xf numFmtId="3" fontId="202" fillId="111" borderId="19" applyAlignment="1" pivotButton="0" quotePrefix="0" xfId="0">
      <alignment horizontal="center" vertical="center" wrapText="1"/>
    </xf>
    <xf numFmtId="3" fontId="199" fillId="111" borderId="19" applyAlignment="1" pivotButton="0" quotePrefix="0" xfId="0">
      <alignment horizontal="right" vertical="center" wrapText="1"/>
    </xf>
    <xf numFmtId="164" fontId="203" fillId="88" borderId="19" applyAlignment="1" pivotButton="0" quotePrefix="0" xfId="25429">
      <alignment vertical="center" wrapText="1"/>
    </xf>
    <xf numFmtId="0" fontId="0" fillId="121" borderId="19" applyAlignment="1" pivotButton="0" quotePrefix="0" xfId="0">
      <alignment horizontal="center" vertical="center"/>
    </xf>
    <xf numFmtId="0" fontId="198" fillId="121" borderId="19" applyAlignment="1" pivotButton="0" quotePrefix="0" xfId="0">
      <alignment horizontal="left" vertical="center" wrapText="1"/>
    </xf>
    <xf numFmtId="165" fontId="198" fillId="122" borderId="19" applyAlignment="1" pivotButton="0" quotePrefix="0" xfId="0">
      <alignment horizontal="right" vertical="center" wrapText="1"/>
    </xf>
    <xf numFmtId="165" fontId="198" fillId="122" borderId="19" applyAlignment="1" pivotButton="0" quotePrefix="0" xfId="0">
      <alignment horizontal="center" vertical="center" wrapText="1"/>
    </xf>
    <xf numFmtId="0" fontId="198" fillId="122" borderId="19" applyAlignment="1" pivotButton="0" quotePrefix="0" xfId="0">
      <alignment horizontal="left" vertical="center" wrapText="1"/>
    </xf>
    <xf numFmtId="0" fontId="198" fillId="123" borderId="19" applyAlignment="1" pivotButton="0" quotePrefix="0" xfId="0">
      <alignment horizontal="left" vertical="center" wrapText="1"/>
    </xf>
    <xf numFmtId="0" fontId="198" fillId="89" borderId="19" applyAlignment="1" pivotButton="0" quotePrefix="0" xfId="0">
      <alignment horizontal="left" vertical="center" wrapText="1"/>
    </xf>
    <xf numFmtId="0" fontId="207" fillId="109" borderId="19" applyAlignment="1" pivotButton="0" quotePrefix="0" xfId="30294">
      <alignment horizontal="center" vertical="center" wrapText="1"/>
    </xf>
    <xf numFmtId="0" fontId="198" fillId="125" borderId="19" applyAlignment="1" pivotButton="0" quotePrefix="0" xfId="0">
      <alignment horizontal="left" vertical="center" wrapText="1"/>
    </xf>
    <xf numFmtId="0" fontId="199" fillId="94" borderId="19" applyAlignment="1" pivotButton="0" quotePrefix="0" xfId="30294">
      <alignment vertical="center"/>
    </xf>
    <xf numFmtId="0" fontId="199" fillId="111" borderId="18" applyAlignment="1" pivotButton="0" quotePrefix="0" xfId="0">
      <alignment horizontal="center" vertical="center"/>
    </xf>
    <xf numFmtId="3" fontId="199" fillId="111" borderId="18" applyAlignment="1" pivotButton="0" quotePrefix="0" xfId="0">
      <alignment horizontal="right" vertical="center"/>
    </xf>
    <xf numFmtId="3" fontId="202" fillId="111" borderId="18" applyAlignment="1" pivotButton="0" quotePrefix="0" xfId="0">
      <alignment horizontal="left" vertical="center" wrapText="1"/>
    </xf>
    <xf numFmtId="3" fontId="202" fillId="111" borderId="18" applyAlignment="1" pivotButton="0" quotePrefix="0" xfId="0">
      <alignment horizontal="center" vertical="center" wrapText="1"/>
    </xf>
    <xf numFmtId="0" fontId="199" fillId="110" borderId="19" applyAlignment="1" pivotButton="0" quotePrefix="0" xfId="0">
      <alignment horizontal="left" vertical="center" wrapText="1"/>
    </xf>
    <xf numFmtId="3" fontId="199" fillId="110" borderId="19" applyAlignment="1" pivotButton="0" quotePrefix="0" xfId="0">
      <alignment horizontal="center" vertical="center" wrapText="1"/>
    </xf>
    <xf numFmtId="3" fontId="199" fillId="113" borderId="19" applyAlignment="1" pivotButton="0" quotePrefix="0" xfId="0">
      <alignment horizontal="left" vertical="center" wrapText="1"/>
    </xf>
    <xf numFmtId="3" fontId="199" fillId="113" borderId="19" applyAlignment="1" pivotButton="0" quotePrefix="0" xfId="0">
      <alignment horizontal="center" vertical="center" wrapText="1"/>
    </xf>
    <xf numFmtId="0" fontId="0" fillId="115" borderId="19" applyAlignment="1" pivotButton="0" quotePrefix="0" xfId="0">
      <alignment horizontal="left" vertical="center" wrapText="1"/>
    </xf>
    <xf numFmtId="3" fontId="0" fillId="115" borderId="19" applyAlignment="1" pivotButton="0" quotePrefix="0" xfId="0">
      <alignment horizontal="center" vertical="center" wrapText="1"/>
    </xf>
    <xf numFmtId="0" fontId="0" fillId="117" borderId="19" applyAlignment="1" pivotButton="0" quotePrefix="0" xfId="0">
      <alignment horizontal="left" vertical="center" wrapText="1"/>
    </xf>
    <xf numFmtId="3" fontId="0" fillId="117" borderId="19" applyAlignment="1" pivotButton="0" quotePrefix="0" xfId="0">
      <alignment horizontal="center" vertical="center" wrapText="1"/>
    </xf>
    <xf numFmtId="0" fontId="207" fillId="0" borderId="0" applyAlignment="1" pivotButton="0" quotePrefix="0" xfId="30294">
      <alignment vertical="center"/>
    </xf>
    <xf numFmtId="0" fontId="207" fillId="0" borderId="0" applyAlignment="1" pivotButton="0" quotePrefix="0" xfId="30294">
      <alignment vertical="center" wrapText="1"/>
    </xf>
    <xf numFmtId="0" fontId="207" fillId="0" borderId="0" applyAlignment="1" pivotButton="0" quotePrefix="0" xfId="30294">
      <alignment horizontal="center" vertical="center" wrapText="1"/>
    </xf>
    <xf numFmtId="0" fontId="199" fillId="0" borderId="0" applyAlignment="1" pivotButton="0" quotePrefix="0" xfId="30294">
      <alignment horizontal="right" vertical="center"/>
    </xf>
    <xf numFmtId="14" fontId="200" fillId="0" borderId="0" applyAlignment="1" pivotButton="0" quotePrefix="0" xfId="30294">
      <alignment horizontal="center" vertical="center"/>
    </xf>
    <xf numFmtId="0" fontId="207" fillId="0" borderId="13" applyAlignment="1" pivotButton="0" quotePrefix="0" xfId="30294">
      <alignment vertical="center"/>
    </xf>
    <xf numFmtId="2" fontId="199" fillId="126" borderId="13" applyAlignment="1" pivotButton="0" quotePrefix="0" xfId="30294">
      <alignment horizontal="right" vertical="center"/>
    </xf>
    <xf numFmtId="0" fontId="198" fillId="65" borderId="13" applyAlignment="1" pivotButton="0" quotePrefix="0" xfId="30294">
      <alignment vertical="center"/>
    </xf>
    <xf numFmtId="0" fontId="198" fillId="0" borderId="13" applyAlignment="1" pivotButton="0" quotePrefix="0" xfId="30294">
      <alignment vertical="center"/>
    </xf>
    <xf numFmtId="2" fontId="199" fillId="86" borderId="13" applyAlignment="1" pivotButton="0" quotePrefix="0" xfId="30294">
      <alignment horizontal="right" vertical="center"/>
    </xf>
    <xf numFmtId="0" fontId="198" fillId="87" borderId="13" applyAlignment="1" pivotButton="0" quotePrefix="0" xfId="30294">
      <alignment horizontal="left" vertical="center"/>
    </xf>
    <xf numFmtId="0" fontId="207" fillId="0" borderId="38" applyAlignment="1" pivotButton="0" quotePrefix="0" xfId="30294">
      <alignment vertical="center"/>
    </xf>
    <xf numFmtId="0" fontId="207" fillId="0" borderId="19" applyAlignment="1" pivotButton="0" quotePrefix="0" xfId="30294">
      <alignment vertical="center" wrapText="1"/>
    </xf>
    <xf numFmtId="0" fontId="207" fillId="119" borderId="19" applyAlignment="1" pivotButton="0" quotePrefix="0" xfId="30294">
      <alignment horizontal="center" vertical="center" wrapText="1"/>
    </xf>
    <xf numFmtId="0" fontId="199" fillId="0" borderId="38" applyAlignment="1" pivotButton="0" quotePrefix="0" xfId="30294">
      <alignment horizontal="center" vertical="center"/>
    </xf>
    <xf numFmtId="0" fontId="199" fillId="0" borderId="50" applyAlignment="1" pivotButton="0" quotePrefix="0" xfId="30294">
      <alignment horizontal="center" vertical="center" wrapText="1"/>
    </xf>
    <xf numFmtId="0" fontId="199" fillId="0" borderId="50" applyAlignment="1" pivotButton="0" quotePrefix="0" xfId="30294">
      <alignment horizontal="center" vertical="center"/>
    </xf>
    <xf numFmtId="0" fontId="199" fillId="94" borderId="50" applyAlignment="1" pivotButton="0" quotePrefix="0" xfId="30294">
      <alignment horizontal="center" vertical="center" wrapText="1"/>
    </xf>
    <xf numFmtId="14" fontId="199" fillId="103" borderId="50" applyAlignment="1" pivotButton="0" quotePrefix="0" xfId="30294">
      <alignment horizontal="center" vertical="center" wrapText="1"/>
    </xf>
    <xf numFmtId="14" fontId="199" fillId="0" borderId="50" applyAlignment="1" pivotButton="0" quotePrefix="0" xfId="30294">
      <alignment horizontal="center" vertical="center" wrapText="1"/>
    </xf>
    <xf numFmtId="0" fontId="199" fillId="105" borderId="50" applyAlignment="1" pivotButton="0" quotePrefix="0" xfId="30294">
      <alignment horizontal="center" vertical="center" wrapText="1"/>
    </xf>
    <xf numFmtId="14" fontId="199" fillId="62" borderId="50" applyAlignment="1" pivotButton="0" quotePrefix="0" xfId="30294">
      <alignment horizontal="center" vertical="center" wrapText="1"/>
    </xf>
    <xf numFmtId="14" fontId="199" fillId="104" borderId="19" applyAlignment="1" applyProtection="1" pivotButton="0" quotePrefix="0" xfId="0">
      <alignment horizontal="center" vertical="center" wrapText="1"/>
      <protection locked="0" hidden="0"/>
    </xf>
    <xf numFmtId="14" fontId="199" fillId="104" borderId="50" applyAlignment="1" applyProtection="1" pivotButton="0" quotePrefix="0" xfId="0">
      <alignment horizontal="center" vertical="center" wrapText="1"/>
      <protection locked="0" hidden="0"/>
    </xf>
    <xf numFmtId="14" fontId="199" fillId="104" borderId="50" applyAlignment="1" pivotButton="0" quotePrefix="0" xfId="0">
      <alignment horizontal="center" vertical="center" wrapText="1"/>
    </xf>
    <xf numFmtId="0" fontId="199" fillId="105" borderId="51" applyAlignment="1" pivotButton="0" quotePrefix="0" xfId="30294">
      <alignment horizontal="center" vertical="center" wrapText="1"/>
    </xf>
    <xf numFmtId="0" fontId="199" fillId="0" borderId="49" applyAlignment="1" pivotButton="0" quotePrefix="0" xfId="30294">
      <alignment horizontal="center" vertical="center"/>
    </xf>
    <xf numFmtId="0" fontId="199" fillId="0" borderId="19" applyAlignment="1" pivotButton="0" quotePrefix="0" xfId="30294">
      <alignment vertical="center" wrapText="1"/>
    </xf>
    <xf numFmtId="0" fontId="207" fillId="0" borderId="19" applyAlignment="1" pivotButton="0" quotePrefix="0" xfId="30294">
      <alignment vertical="center"/>
    </xf>
    <xf numFmtId="0" fontId="207" fillId="0" borderId="19" applyAlignment="1" pivotButton="0" quotePrefix="0" xfId="30294">
      <alignment horizontal="center" vertical="center"/>
    </xf>
    <xf numFmtId="0" fontId="198" fillId="0" borderId="19" applyAlignment="1" pivotButton="0" quotePrefix="0" xfId="30294">
      <alignment horizontal="center" vertical="center"/>
    </xf>
    <xf numFmtId="0" fontId="198" fillId="0" borderId="19" applyAlignment="1" pivotButton="0" quotePrefix="0" xfId="30294">
      <alignment horizontal="left" vertical="center" wrapText="1"/>
    </xf>
    <xf numFmtId="165" fontId="198" fillId="94" borderId="19" applyAlignment="1" pivotButton="0" quotePrefix="0" xfId="30294">
      <alignment vertical="center" wrapText="1"/>
    </xf>
    <xf numFmtId="0" fontId="207" fillId="107" borderId="19" applyAlignment="1" pivotButton="0" quotePrefix="0" xfId="30294">
      <alignment horizontal="center" vertical="center" wrapText="1"/>
    </xf>
    <xf numFmtId="0" fontId="207" fillId="105" borderId="19" applyAlignment="1" pivotButton="0" quotePrefix="0" xfId="30294">
      <alignment horizontal="center" vertical="center" wrapText="1"/>
    </xf>
    <xf numFmtId="0" fontId="201" fillId="107" borderId="19" applyAlignment="1" pivotButton="0" quotePrefix="0" xfId="25429">
      <alignment horizontal="center" vertical="center" wrapText="1"/>
    </xf>
    <xf numFmtId="3" fontId="201" fillId="107" borderId="19" applyAlignment="1" pivotButton="0" quotePrefix="0" xfId="25429">
      <alignment horizontal="right" vertical="center" wrapText="1"/>
    </xf>
    <xf numFmtId="3" fontId="207" fillId="109" borderId="19" applyAlignment="1" pivotButton="0" quotePrefix="0" xfId="30294">
      <alignment vertical="center" wrapText="1"/>
    </xf>
    <xf numFmtId="3" fontId="201" fillId="105" borderId="19" applyAlignment="1" pivotButton="0" quotePrefix="0" xfId="25429">
      <alignment vertical="center" wrapText="1"/>
    </xf>
    <xf numFmtId="0" fontId="207" fillId="108" borderId="19" applyAlignment="1" pivotButton="0" quotePrefix="0" xfId="30294">
      <alignment horizontal="center" vertical="center" wrapText="1"/>
    </xf>
    <xf numFmtId="0" fontId="201" fillId="108" borderId="19" applyAlignment="1" pivotButton="0" quotePrefix="0" xfId="25429">
      <alignment horizontal="center" vertical="center" wrapText="1"/>
    </xf>
    <xf numFmtId="3" fontId="201" fillId="108" borderId="19" applyAlignment="1" pivotButton="0" quotePrefix="0" xfId="25429">
      <alignment horizontal="right" vertical="center" wrapText="1"/>
    </xf>
    <xf numFmtId="3" fontId="207" fillId="109" borderId="19" applyAlignment="1" pivotButton="0" quotePrefix="0" xfId="30294">
      <alignment horizontal="right" vertical="center" wrapText="1"/>
    </xf>
    <xf numFmtId="3" fontId="201" fillId="105" borderId="15" applyAlignment="1" pivotButton="0" quotePrefix="0" xfId="25429">
      <alignment horizontal="right" vertical="center" wrapText="1"/>
    </xf>
    <xf numFmtId="165" fontId="198" fillId="0" borderId="19" applyAlignment="1" pivotButton="0" quotePrefix="0" xfId="30294">
      <alignment vertical="center" wrapText="1"/>
    </xf>
    <xf numFmtId="0" fontId="207" fillId="122" borderId="19" applyAlignment="1" pivotButton="0" quotePrefix="0" xfId="30294">
      <alignment horizontal="center" vertical="center"/>
    </xf>
    <xf numFmtId="0" fontId="198" fillId="122" borderId="19" applyAlignment="1" pivotButton="0" quotePrefix="0" xfId="30294">
      <alignment horizontal="center" vertical="center"/>
    </xf>
    <xf numFmtId="0" fontId="198" fillId="122" borderId="19" applyAlignment="1" pivotButton="0" quotePrefix="0" xfId="30294">
      <alignment horizontal="left" vertical="center" wrapText="1"/>
    </xf>
    <xf numFmtId="0" fontId="207" fillId="120" borderId="19" applyAlignment="1" pivotButton="0" quotePrefix="0" xfId="30294">
      <alignment horizontal="center" vertical="center" wrapText="1"/>
    </xf>
    <xf numFmtId="0" fontId="198" fillId="120" borderId="19" applyAlignment="1" pivotButton="0" quotePrefix="0" xfId="30294">
      <alignment horizontal="center" vertical="center" wrapText="1"/>
    </xf>
    <xf numFmtId="0" fontId="207" fillId="95" borderId="19" applyAlignment="1" pivotButton="0" quotePrefix="0" xfId="30294">
      <alignment horizontal="center" vertical="center"/>
    </xf>
    <xf numFmtId="0" fontId="198" fillId="95" borderId="19" applyAlignment="1" pivotButton="0" quotePrefix="0" xfId="30294">
      <alignment horizontal="center" vertical="center"/>
    </xf>
    <xf numFmtId="0" fontId="198" fillId="95" borderId="19" applyAlignment="1" pivotButton="0" quotePrefix="0" xfId="30294">
      <alignment horizontal="left" vertical="center" wrapText="1"/>
    </xf>
    <xf numFmtId="0" fontId="207" fillId="112" borderId="19" applyAlignment="1" pivotButton="0" quotePrefix="0" xfId="30294">
      <alignment horizontal="center" vertical="center"/>
    </xf>
    <xf numFmtId="0" fontId="198" fillId="112" borderId="19" applyAlignment="1" pivotButton="0" quotePrefix="0" xfId="30294">
      <alignment horizontal="center" vertical="center"/>
    </xf>
    <xf numFmtId="0" fontId="198" fillId="112" borderId="19" applyAlignment="1" pivotButton="0" quotePrefix="0" xfId="30294">
      <alignment horizontal="left" vertical="center" wrapText="1"/>
    </xf>
    <xf numFmtId="0" fontId="207" fillId="57" borderId="19" applyAlignment="1" pivotButton="0" quotePrefix="0" xfId="30294">
      <alignment horizontal="center" vertical="center"/>
    </xf>
    <xf numFmtId="0" fontId="198" fillId="57" borderId="19" applyAlignment="1" pivotButton="0" quotePrefix="0" xfId="30294">
      <alignment horizontal="center" vertical="center"/>
    </xf>
    <xf numFmtId="0" fontId="198" fillId="57" borderId="19" applyAlignment="1" pivotButton="0" quotePrefix="0" xfId="30294">
      <alignment horizontal="left" vertical="center" wrapText="1"/>
    </xf>
    <xf numFmtId="0" fontId="207" fillId="127" borderId="19" applyAlignment="1" pivotButton="0" quotePrefix="0" xfId="30294">
      <alignment horizontal="center" vertical="center"/>
    </xf>
    <xf numFmtId="0" fontId="198" fillId="127" borderId="19" applyAlignment="1" pivotButton="0" quotePrefix="0" xfId="30294">
      <alignment horizontal="center" vertical="center"/>
    </xf>
    <xf numFmtId="0" fontId="198" fillId="127" borderId="19" applyAlignment="1" pivotButton="0" quotePrefix="0" xfId="30294">
      <alignment horizontal="left" vertical="center" wrapText="1"/>
    </xf>
    <xf numFmtId="0" fontId="199" fillId="0" borderId="52" applyAlignment="1" pivotButton="0" quotePrefix="0" xfId="0">
      <alignment horizontal="center" vertical="center"/>
    </xf>
    <xf numFmtId="0" fontId="199" fillId="0" borderId="18" applyAlignment="1" pivotButton="0" quotePrefix="0" xfId="0">
      <alignment vertical="center" wrapText="1"/>
    </xf>
    <xf numFmtId="0" fontId="199" fillId="0" borderId="18" applyAlignment="1" pivotButton="0" quotePrefix="0" xfId="0">
      <alignment vertical="center"/>
    </xf>
    <xf numFmtId="0" fontId="202" fillId="0" borderId="18" applyAlignment="1" pivotButton="0" quotePrefix="0" xfId="0">
      <alignment horizontal="center" vertical="center"/>
    </xf>
    <xf numFmtId="0" fontId="202" fillId="0" borderId="18" applyAlignment="1" pivotButton="0" quotePrefix="0" xfId="0">
      <alignment horizontal="right" vertical="center" wrapText="1"/>
    </xf>
    <xf numFmtId="3" fontId="202" fillId="0" borderId="18" applyAlignment="1" pivotButton="0" quotePrefix="0" xfId="0">
      <alignment vertical="center" wrapText="1"/>
    </xf>
    <xf numFmtId="3" fontId="202" fillId="94" borderId="18" applyAlignment="1" pivotButton="0" quotePrefix="0" xfId="0">
      <alignment vertical="center" wrapText="1"/>
    </xf>
    <xf numFmtId="3" fontId="199" fillId="107" borderId="18" applyAlignment="1" pivotButton="0" quotePrefix="0" xfId="0">
      <alignment horizontal="center" vertical="center" wrapText="1"/>
    </xf>
    <xf numFmtId="3" fontId="199" fillId="109" borderId="18" applyAlignment="1" pivotButton="0" quotePrefix="0" xfId="0">
      <alignment horizontal="center" vertical="center" wrapText="1"/>
    </xf>
    <xf numFmtId="3" fontId="199" fillId="105" borderId="18" applyAlignment="1" pivotButton="0" quotePrefix="0" xfId="0">
      <alignment horizontal="center" vertical="center" wrapText="1"/>
    </xf>
    <xf numFmtId="3" fontId="203" fillId="105" borderId="18" applyAlignment="1" pivotButton="0" quotePrefix="0" xfId="0">
      <alignment horizontal="center" vertical="center" wrapText="1"/>
    </xf>
    <xf numFmtId="3" fontId="203" fillId="107" borderId="18" applyAlignment="1" pivotButton="0" quotePrefix="0" xfId="0">
      <alignment horizontal="center" vertical="center" wrapText="1"/>
    </xf>
    <xf numFmtId="3" fontId="199" fillId="108" borderId="18" applyAlignment="1" pivotButton="0" quotePrefix="0" xfId="0">
      <alignment horizontal="center" vertical="center" wrapText="1"/>
    </xf>
    <xf numFmtId="3" fontId="203" fillId="105" borderId="53" applyAlignment="1" pivotButton="0" quotePrefix="0" xfId="0">
      <alignment horizontal="center" vertical="center" wrapText="1"/>
    </xf>
    <xf numFmtId="0" fontId="199" fillId="59" borderId="49" applyAlignment="1" pivotButton="0" quotePrefix="0" xfId="30294">
      <alignment horizontal="center" vertical="center"/>
    </xf>
    <xf numFmtId="165" fontId="207" fillId="0" borderId="19" applyAlignment="1" pivotButton="0" quotePrefix="0" xfId="30294">
      <alignment horizontal="right" vertical="center" wrapText="1"/>
    </xf>
    <xf numFmtId="165" fontId="198" fillId="94" borderId="19" applyAlignment="1" pivotButton="0" quotePrefix="0" xfId="30294">
      <alignment horizontal="right" vertical="center" wrapText="1"/>
    </xf>
    <xf numFmtId="3" fontId="201" fillId="105" borderId="19" applyAlignment="1" pivotButton="0" quotePrefix="0" xfId="25429">
      <alignment horizontal="right" vertical="center" wrapText="1"/>
    </xf>
    <xf numFmtId="0" fontId="198" fillId="128" borderId="19" applyAlignment="1" pivotButton="0" quotePrefix="0" xfId="30294">
      <alignment horizontal="center" vertical="center"/>
    </xf>
    <xf numFmtId="0" fontId="198" fillId="128" borderId="19" applyAlignment="1" pivotButton="0" quotePrefix="0" xfId="30294">
      <alignment horizontal="left" vertical="center" wrapText="1"/>
    </xf>
    <xf numFmtId="165" fontId="198" fillId="0" borderId="19" applyAlignment="1" pivotButton="0" quotePrefix="0" xfId="30294">
      <alignment horizontal="right" vertical="center" wrapText="1"/>
    </xf>
    <xf numFmtId="0" fontId="199" fillId="120" borderId="19" applyAlignment="1" pivotButton="0" quotePrefix="0" xfId="30294">
      <alignment horizontal="center" vertical="center" wrapText="1"/>
    </xf>
    <xf numFmtId="0" fontId="199" fillId="94" borderId="19" applyAlignment="1" pivotButton="0" quotePrefix="0" xfId="30294">
      <alignment horizontal="center" vertical="center"/>
    </xf>
    <xf numFmtId="0" fontId="202" fillId="94" borderId="19" applyAlignment="1" pivotButton="0" quotePrefix="0" xfId="30294">
      <alignment horizontal="center" vertical="center"/>
    </xf>
    <xf numFmtId="0" fontId="202" fillId="94" borderId="19" applyAlignment="1" pivotButton="0" quotePrefix="0" xfId="30294">
      <alignment horizontal="left" vertical="center" wrapText="1"/>
    </xf>
    <xf numFmtId="165" fontId="202" fillId="94" borderId="19" applyAlignment="1" pivotButton="0" quotePrefix="0" xfId="30294">
      <alignment horizontal="right" vertical="center" wrapText="1"/>
    </xf>
    <xf numFmtId="0" fontId="199" fillId="107" borderId="19" applyAlignment="1" pivotButton="0" quotePrefix="0" xfId="30294">
      <alignment horizontal="center" vertical="center" wrapText="1"/>
    </xf>
    <xf numFmtId="0" fontId="199" fillId="109" borderId="19" applyAlignment="1" pivotButton="0" quotePrefix="0" xfId="30294">
      <alignment horizontal="center" vertical="center" wrapText="1"/>
    </xf>
    <xf numFmtId="0" fontId="199" fillId="105" borderId="19" applyAlignment="1" pivotButton="0" quotePrefix="0" xfId="30294">
      <alignment horizontal="center" vertical="center" wrapText="1"/>
    </xf>
    <xf numFmtId="0" fontId="202" fillId="94" borderId="19" applyAlignment="1" pivotButton="0" quotePrefix="0" xfId="30494">
      <alignment horizontal="center" vertical="center" wrapText="1"/>
    </xf>
    <xf numFmtId="0" fontId="202" fillId="0" borderId="19" applyAlignment="1" pivotButton="0" quotePrefix="0" xfId="30494">
      <alignment horizontal="center" vertical="center" wrapText="1"/>
    </xf>
    <xf numFmtId="3" fontId="199" fillId="107" borderId="19" applyAlignment="1" pivotButton="0" quotePrefix="0" xfId="30294">
      <alignment horizontal="right" vertical="center" wrapText="1"/>
    </xf>
    <xf numFmtId="3" fontId="202" fillId="0" borderId="19" applyAlignment="1" pivotButton="0" quotePrefix="0" xfId="30494">
      <alignment horizontal="right" vertical="center" wrapText="1"/>
    </xf>
    <xf numFmtId="3" fontId="203" fillId="105" borderId="19" applyAlignment="1" pivotButton="0" quotePrefix="0" xfId="25429">
      <alignment horizontal="right" vertical="center" wrapText="1"/>
    </xf>
    <xf numFmtId="0" fontId="199" fillId="108" borderId="19" applyAlignment="1" pivotButton="0" quotePrefix="0" xfId="30294">
      <alignment horizontal="center" vertical="center" wrapText="1"/>
    </xf>
    <xf numFmtId="3" fontId="199" fillId="108" borderId="19" applyAlignment="1" pivotButton="0" quotePrefix="0" xfId="30294">
      <alignment horizontal="right" vertical="center" wrapText="1"/>
    </xf>
    <xf numFmtId="0" fontId="199" fillId="111" borderId="19" applyAlignment="1" pivotButton="0" quotePrefix="0" xfId="30294">
      <alignment vertical="center" wrapText="1"/>
    </xf>
    <xf numFmtId="0" fontId="207" fillId="111" borderId="19" applyAlignment="1" pivotButton="0" quotePrefix="0" xfId="30294">
      <alignment vertical="center"/>
    </xf>
    <xf numFmtId="0" fontId="207" fillId="111" borderId="19" applyAlignment="1" pivotButton="0" quotePrefix="0" xfId="30294">
      <alignment horizontal="center" vertical="center"/>
    </xf>
    <xf numFmtId="0" fontId="198" fillId="111" borderId="19" applyAlignment="1" pivotButton="0" quotePrefix="0" xfId="30294">
      <alignment horizontal="center" vertical="center"/>
    </xf>
    <xf numFmtId="0" fontId="198" fillId="111" borderId="19" applyAlignment="1" pivotButton="0" quotePrefix="0" xfId="30294">
      <alignment horizontal="center" vertical="center" wrapText="1"/>
    </xf>
    <xf numFmtId="165" fontId="198" fillId="111" borderId="19" applyAlignment="1" pivotButton="0" quotePrefix="0" xfId="30294">
      <alignment horizontal="right" vertical="center" wrapText="1"/>
    </xf>
    <xf numFmtId="0" fontId="207" fillId="111" borderId="19" applyAlignment="1" pivotButton="0" quotePrefix="0" xfId="30294">
      <alignment horizontal="center" vertical="center" wrapText="1"/>
    </xf>
    <xf numFmtId="0" fontId="198" fillId="111" borderId="19" applyAlignment="1" pivotButton="0" quotePrefix="0" xfId="30494">
      <alignment horizontal="center" vertical="center" wrapText="1"/>
    </xf>
    <xf numFmtId="3" fontId="198" fillId="111" borderId="19" applyAlignment="1" pivotButton="0" quotePrefix="0" xfId="30494">
      <alignment horizontal="right" vertical="center" wrapText="1"/>
    </xf>
    <xf numFmtId="3" fontId="201" fillId="109" borderId="19" applyAlignment="1" pivotButton="0" quotePrefix="0" xfId="25429">
      <alignment horizontal="center" vertical="center" wrapText="1"/>
    </xf>
    <xf numFmtId="3" fontId="199" fillId="109" borderId="19" applyAlignment="1" pivotButton="0" quotePrefix="0" xfId="30294">
      <alignment horizontal="right" vertical="center" wrapText="1"/>
    </xf>
    <xf numFmtId="3" fontId="199" fillId="105" borderId="19" applyAlignment="1" pivotButton="0" quotePrefix="0" xfId="30294">
      <alignment horizontal="right" vertical="center" wrapText="1"/>
    </xf>
    <xf numFmtId="0" fontId="199" fillId="0" borderId="0" applyAlignment="1" pivotButton="0" quotePrefix="0" xfId="30294">
      <alignment vertical="center"/>
    </xf>
    <xf numFmtId="0" fontId="199" fillId="79" borderId="49" applyAlignment="1" pivotButton="0" quotePrefix="0" xfId="30294">
      <alignment horizontal="center" vertical="center"/>
    </xf>
    <xf numFmtId="3" fontId="207" fillId="107" borderId="19" applyAlignment="1" pivotButton="0" quotePrefix="0" xfId="30294">
      <alignment horizontal="right" vertical="center" wrapText="1"/>
    </xf>
    <xf numFmtId="3" fontId="207" fillId="105" borderId="19" applyAlignment="1" pivotButton="0" quotePrefix="0" xfId="30294">
      <alignment horizontal="right" vertical="center" wrapText="1"/>
    </xf>
    <xf numFmtId="3" fontId="207" fillId="108" borderId="19" applyAlignment="1" pivotButton="0" quotePrefix="0" xfId="30294">
      <alignment horizontal="right" vertical="center" wrapText="1"/>
    </xf>
    <xf numFmtId="0" fontId="199" fillId="129" borderId="49" applyAlignment="1" pivotButton="0" quotePrefix="0" xfId="30294">
      <alignment horizontal="center" vertical="center"/>
    </xf>
    <xf numFmtId="0" fontId="199" fillId="130" borderId="19" applyAlignment="1" pivotButton="0" quotePrefix="0" xfId="30294">
      <alignment vertical="center" wrapText="1"/>
    </xf>
    <xf numFmtId="0" fontId="199" fillId="131" borderId="49" applyAlignment="1" pivotButton="0" quotePrefix="0" xfId="30294">
      <alignment horizontal="center" vertical="center"/>
    </xf>
    <xf numFmtId="0" fontId="199" fillId="128" borderId="19" applyAlignment="1" pivotButton="0" quotePrefix="0" xfId="30294">
      <alignment vertical="center" wrapText="1"/>
    </xf>
    <xf numFmtId="0" fontId="199" fillId="132" borderId="19" applyAlignment="1" pivotButton="0" quotePrefix="0" xfId="30294">
      <alignment vertical="center" wrapText="1"/>
    </xf>
    <xf numFmtId="0" fontId="199" fillId="85" borderId="49" applyAlignment="1" pivotButton="0" quotePrefix="0" xfId="30294">
      <alignment horizontal="center" vertical="center"/>
    </xf>
    <xf numFmtId="0" fontId="199" fillId="133" borderId="19" applyAlignment="1" pivotButton="0" quotePrefix="0" xfId="30294">
      <alignment vertical="center" wrapText="1"/>
    </xf>
    <xf numFmtId="0" fontId="199" fillId="84" borderId="19" applyAlignment="1" pivotButton="0" quotePrefix="0" xfId="30294">
      <alignment vertical="center" wrapText="1"/>
    </xf>
    <xf numFmtId="0" fontId="199" fillId="0" borderId="38" applyAlignment="1" pivotButton="0" quotePrefix="0" xfId="30294">
      <alignment horizontal="center" vertical="top" wrapText="1"/>
    </xf>
    <xf numFmtId="0" fontId="199" fillId="0" borderId="50" applyAlignment="1" pivotButton="0" quotePrefix="0" xfId="30294">
      <alignment horizontal="center" vertical="top" wrapText="1"/>
    </xf>
    <xf numFmtId="0" fontId="206" fillId="81" borderId="50" applyAlignment="1" pivotButton="0" quotePrefix="0" xfId="30294">
      <alignment horizontal="center" vertical="top" wrapText="1"/>
    </xf>
    <xf numFmtId="0" fontId="206" fillId="81" borderId="51" applyAlignment="1" pivotButton="0" quotePrefix="0" xfId="30294">
      <alignment horizontal="center" vertical="top" wrapText="1"/>
    </xf>
    <xf numFmtId="0" fontId="199" fillId="0" borderId="38" applyAlignment="1" pivotButton="0" quotePrefix="0" xfId="30294">
      <alignment horizontal="center" vertical="center" wrapText="1"/>
    </xf>
    <xf numFmtId="0" fontId="0" fillId="79" borderId="49" applyAlignment="1" pivotButton="0" quotePrefix="0" xfId="0">
      <alignment horizontal="center" vertical="center"/>
    </xf>
    <xf numFmtId="0" fontId="198" fillId="79" borderId="19" applyAlignment="1" pivotButton="0" quotePrefix="0" xfId="0">
      <alignment horizontal="left" vertical="center"/>
    </xf>
    <xf numFmtId="3" fontId="0" fillId="0" borderId="19" applyAlignment="1" pivotButton="0" quotePrefix="0" xfId="0">
      <alignment vertical="center"/>
    </xf>
    <xf numFmtId="3" fontId="199" fillId="0" borderId="19" applyAlignment="1" pivotButton="0" quotePrefix="0" xfId="0">
      <alignment vertical="center"/>
    </xf>
    <xf numFmtId="0" fontId="0" fillId="79" borderId="19" applyAlignment="1" pivotButton="0" quotePrefix="0" xfId="0">
      <alignment horizontal="left" vertical="center"/>
    </xf>
    <xf numFmtId="0" fontId="0" fillId="0" borderId="19" applyAlignment="1" pivotButton="0" quotePrefix="0" xfId="0">
      <alignment horizontal="left" vertical="center" wrapText="1"/>
    </xf>
    <xf numFmtId="0" fontId="205" fillId="79" borderId="18" applyAlignment="1" pivotButton="0" quotePrefix="0" xfId="0">
      <alignment horizontal="center" vertical="center"/>
    </xf>
    <xf numFmtId="3" fontId="211" fillId="0" borderId="15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79" borderId="56" applyAlignment="1" pivotButton="0" quotePrefix="0" xfId="0">
      <alignment horizontal="center" vertical="center"/>
    </xf>
    <xf numFmtId="0" fontId="0" fillId="79" borderId="54" applyAlignment="1" pivotButton="0" quotePrefix="0" xfId="0">
      <alignment horizontal="left" vertical="center"/>
    </xf>
    <xf numFmtId="0" fontId="0" fillId="0" borderId="54" applyAlignment="1" pivotButton="0" quotePrefix="0" xfId="0">
      <alignment horizontal="center" vertical="center"/>
    </xf>
    <xf numFmtId="0" fontId="0" fillId="0" borderId="54" applyAlignment="1" pivotButton="0" quotePrefix="0" xfId="0">
      <alignment vertical="center"/>
    </xf>
    <xf numFmtId="0" fontId="0" fillId="0" borderId="54" applyAlignment="1" pivotButton="0" quotePrefix="0" xfId="0">
      <alignment horizontal="left" vertical="center" wrapText="1"/>
    </xf>
    <xf numFmtId="3" fontId="0" fillId="0" borderId="54" applyAlignment="1" pivotButton="0" quotePrefix="0" xfId="0">
      <alignment vertical="center"/>
    </xf>
    <xf numFmtId="3" fontId="199" fillId="0" borderId="54" applyAlignment="1" pivotButton="0" quotePrefix="0" xfId="0">
      <alignment vertical="center"/>
    </xf>
    <xf numFmtId="3" fontId="0" fillId="0" borderId="58" applyAlignment="1" pivotButton="0" quotePrefix="0" xfId="0">
      <alignment vertical="center"/>
    </xf>
    <xf numFmtId="0" fontId="0" fillId="79" borderId="57" applyAlignment="1" pivotButton="0" quotePrefix="0" xfId="0">
      <alignment horizontal="center" vertical="center"/>
    </xf>
    <xf numFmtId="0" fontId="0" fillId="79" borderId="59" applyAlignment="1" pivotButton="0" quotePrefix="0" xfId="0">
      <alignment horizontal="left" vertical="center"/>
    </xf>
    <xf numFmtId="0" fontId="0" fillId="0" borderId="59" applyAlignment="1" pivotButton="0" quotePrefix="0" xfId="0">
      <alignment horizontal="center" vertical="center"/>
    </xf>
    <xf numFmtId="0" fontId="0" fillId="0" borderId="59" applyAlignment="1" pivotButton="0" quotePrefix="0" xfId="0">
      <alignment vertical="center"/>
    </xf>
    <xf numFmtId="0" fontId="0" fillId="0" borderId="59" applyAlignment="1" pivotButton="0" quotePrefix="0" xfId="0">
      <alignment horizontal="left" vertical="center" wrapText="1"/>
    </xf>
    <xf numFmtId="3" fontId="0" fillId="0" borderId="59" applyAlignment="1" pivotButton="0" quotePrefix="0" xfId="0">
      <alignment vertical="center"/>
    </xf>
    <xf numFmtId="3" fontId="199" fillId="0" borderId="59" applyAlignment="1" pivotButton="0" quotePrefix="0" xfId="0">
      <alignment vertical="center"/>
    </xf>
    <xf numFmtId="3" fontId="0" fillId="0" borderId="55" applyAlignment="1" pivotButton="0" quotePrefix="0" xfId="0">
      <alignment vertical="center"/>
    </xf>
    <xf numFmtId="3" fontId="0" fillId="0" borderId="15" applyAlignment="1" pivotButton="0" quotePrefix="0" xfId="0">
      <alignment vertical="center"/>
    </xf>
    <xf numFmtId="3" fontId="211" fillId="0" borderId="55" applyAlignment="1" pivotButton="0" quotePrefix="0" xfId="0">
      <alignment vertical="center"/>
    </xf>
    <xf numFmtId="3" fontId="211" fillId="0" borderId="58" applyAlignment="1" pivotButton="0" quotePrefix="0" xfId="0">
      <alignment vertical="center"/>
    </xf>
    <xf numFmtId="0" fontId="198" fillId="79" borderId="54" applyAlignment="1" pivotButton="0" quotePrefix="0" xfId="0">
      <alignment horizontal="left" vertical="center"/>
    </xf>
    <xf numFmtId="0" fontId="207" fillId="0" borderId="54" applyAlignment="1" pivotButton="0" quotePrefix="0" xfId="30294">
      <alignment horizontal="center" vertical="center"/>
    </xf>
    <xf numFmtId="0" fontId="207" fillId="0" borderId="59" applyAlignment="1" pivotButton="0" quotePrefix="0" xfId="30294">
      <alignment horizontal="center" vertical="center"/>
    </xf>
    <xf numFmtId="0" fontId="198" fillId="0" borderId="54" applyAlignment="1" pivotButton="0" quotePrefix="0" xfId="0">
      <alignment horizontal="left" vertical="center" wrapText="1"/>
    </xf>
    <xf numFmtId="164" fontId="203" fillId="88" borderId="54" applyAlignment="1" pivotButton="0" quotePrefix="0" xfId="25429">
      <alignment horizontal="center" vertical="center" wrapText="1"/>
    </xf>
    <xf numFmtId="0" fontId="199" fillId="109" borderId="54" applyAlignment="1" pivotButton="0" quotePrefix="0" xfId="0">
      <alignment horizontal="center" vertical="center" wrapText="1"/>
    </xf>
    <xf numFmtId="0" fontId="0" fillId="105" borderId="54" applyAlignment="1" pivotButton="0" quotePrefix="0" xfId="0">
      <alignment horizontal="center" vertical="center" wrapText="1"/>
    </xf>
    <xf numFmtId="164" fontId="203" fillId="88" borderId="54" applyAlignment="1" pivotButton="0" quotePrefix="0" xfId="25429">
      <alignment vertical="center" wrapText="1"/>
    </xf>
    <xf numFmtId="0" fontId="207" fillId="0" borderId="56" applyAlignment="1" pivotButton="0" quotePrefix="0" xfId="30294">
      <alignment horizontal="center" vertical="center"/>
    </xf>
    <xf numFmtId="14" fontId="207" fillId="0" borderId="54" applyAlignment="1" pivotButton="0" quotePrefix="0" xfId="30294">
      <alignment horizontal="center" vertical="center"/>
    </xf>
    <xf numFmtId="0" fontId="207" fillId="0" borderId="54" applyAlignment="1" pivotButton="0" quotePrefix="0" xfId="30294">
      <alignment vertical="center"/>
    </xf>
    <xf numFmtId="0" fontId="199" fillId="127" borderId="54" applyAlignment="1" pivotButton="0" quotePrefix="0" xfId="30294">
      <alignment horizontal="center" vertical="center"/>
    </xf>
    <xf numFmtId="0" fontId="207" fillId="0" borderId="54" applyAlignment="1" pivotButton="0" quotePrefix="0" xfId="30294">
      <alignment horizontal="right" vertical="center"/>
    </xf>
    <xf numFmtId="0" fontId="207" fillId="0" borderId="57" applyAlignment="1" pivotButton="0" quotePrefix="0" xfId="30294">
      <alignment horizontal="center" vertical="center"/>
    </xf>
    <xf numFmtId="14" fontId="207" fillId="0" borderId="59" applyAlignment="1" pivotButton="0" quotePrefix="0" xfId="30294">
      <alignment horizontal="center" vertical="center"/>
    </xf>
    <xf numFmtId="0" fontId="207" fillId="0" borderId="59" applyAlignment="1" pivotButton="0" quotePrefix="0" xfId="30294">
      <alignment vertical="center"/>
    </xf>
    <xf numFmtId="0" fontId="207" fillId="0" borderId="59" applyAlignment="1" pivotButton="0" quotePrefix="0" xfId="30294">
      <alignment horizontal="right" vertical="center"/>
    </xf>
    <xf numFmtId="0" fontId="0" fillId="121" borderId="54" applyAlignment="1" pivotButton="0" quotePrefix="0" xfId="0">
      <alignment horizontal="center" vertical="center"/>
    </xf>
    <xf numFmtId="0" fontId="198" fillId="121" borderId="54" applyAlignment="1" pivotButton="0" quotePrefix="0" xfId="0">
      <alignment horizontal="left" vertical="center" wrapText="1"/>
    </xf>
    <xf numFmtId="165" fontId="198" fillId="122" borderId="54" applyAlignment="1" pivotButton="0" quotePrefix="0" xfId="0">
      <alignment horizontal="right" vertical="center" wrapText="1"/>
    </xf>
    <xf numFmtId="165" fontId="198" fillId="122" borderId="54" applyAlignment="1" pivotButton="0" quotePrefix="0" xfId="0">
      <alignment horizontal="center" vertical="center" wrapText="1"/>
    </xf>
    <xf numFmtId="0" fontId="0" fillId="107" borderId="54" applyAlignment="1" pivotButton="0" quotePrefix="0" xfId="0">
      <alignment horizontal="center" vertical="center" wrapText="1"/>
    </xf>
    <xf numFmtId="164" fontId="201" fillId="107" borderId="54" applyAlignment="1" pivotButton="0" quotePrefix="0" xfId="25429">
      <alignment horizontal="center" vertical="center" wrapText="1"/>
    </xf>
    <xf numFmtId="164" fontId="201" fillId="0" borderId="54" applyAlignment="1" pivotButton="0" quotePrefix="0" xfId="25429">
      <alignment horizontal="center" vertical="center" wrapText="1"/>
    </xf>
    <xf numFmtId="164" fontId="201" fillId="0" borderId="54" applyAlignment="1" pivotButton="0" quotePrefix="0" xfId="25429">
      <alignment vertical="center" wrapText="1"/>
    </xf>
    <xf numFmtId="164" fontId="201" fillId="105" borderId="54" applyAlignment="1" pivotButton="0" quotePrefix="0" xfId="25429">
      <alignment horizontal="center" vertical="center" wrapText="1"/>
    </xf>
    <xf numFmtId="164" fontId="201" fillId="105" borderId="54" applyAlignment="1" pivotButton="0" quotePrefix="0" xfId="25429">
      <alignment vertical="center" wrapText="1"/>
    </xf>
    <xf numFmtId="164" fontId="201" fillId="107" borderId="54" applyAlignment="1" pivotButton="0" quotePrefix="0" xfId="25429">
      <alignment horizontal="center" vertical="center"/>
    </xf>
    <xf numFmtId="164" fontId="201" fillId="88" borderId="54" applyAlignment="1" pivotButton="0" quotePrefix="0" xfId="25429">
      <alignment vertical="center" wrapText="1"/>
    </xf>
    <xf numFmtId="0" fontId="0" fillId="122" borderId="54" applyAlignment="1" pivotButton="0" quotePrefix="0" xfId="0">
      <alignment horizontal="center" vertical="center"/>
    </xf>
    <xf numFmtId="0" fontId="198" fillId="122" borderId="54" applyAlignment="1" pivotButton="0" quotePrefix="0" xfId="0">
      <alignment horizontal="left" vertical="center" wrapText="1"/>
    </xf>
    <xf numFmtId="165" fontId="198" fillId="0" borderId="54" applyAlignment="1" pivotButton="0" quotePrefix="0" xfId="0">
      <alignment horizontal="right" vertical="center" wrapText="1"/>
    </xf>
    <xf numFmtId="165" fontId="198" fillId="0" borderId="54" applyAlignment="1" pivotButton="0" quotePrefix="0" xfId="0">
      <alignment horizontal="center" vertical="center" wrapText="1"/>
    </xf>
    <xf numFmtId="0" fontId="0" fillId="109" borderId="54" applyAlignment="1" pivotButton="0" quotePrefix="0" xfId="0">
      <alignment vertical="center" wrapText="1"/>
    </xf>
    <xf numFmtId="3" fontId="203" fillId="88" borderId="54" applyAlignment="1" pivotButton="0" quotePrefix="0" xfId="25429">
      <alignment horizontal="right" vertical="center" wrapText="1"/>
    </xf>
    <xf numFmtId="164" fontId="199" fillId="110" borderId="54" applyAlignment="1" pivotButton="0" quotePrefix="0" xfId="0">
      <alignment horizontal="right" vertical="center" wrapText="1"/>
    </xf>
    <xf numFmtId="164" fontId="199" fillId="113" borderId="54" applyAlignment="1" pivotButton="0" quotePrefix="0" xfId="0">
      <alignment horizontal="right" vertical="center" wrapText="1"/>
    </xf>
    <xf numFmtId="164" fontId="199" fillId="115" borderId="54" applyAlignment="1" pivotButton="0" quotePrefix="0" xfId="0">
      <alignment horizontal="right" vertical="center" wrapText="1"/>
    </xf>
    <xf numFmtId="164" fontId="199" fillId="117" borderId="54" applyAlignment="1" pivotButton="0" quotePrefix="0" xfId="0">
      <alignment horizontal="right" vertical="center" wrapText="1"/>
    </xf>
    <xf numFmtId="0" fontId="0" fillId="88" borderId="54" applyAlignment="1" pivotButton="0" quotePrefix="0" xfId="0">
      <alignment horizontal="center" vertical="center" wrapText="1"/>
    </xf>
    <xf numFmtId="0" fontId="199" fillId="88" borderId="54" applyAlignment="1" pivotButton="0" quotePrefix="0" xfId="0">
      <alignment horizontal="center" vertical="center" wrapText="1"/>
    </xf>
    <xf numFmtId="164" fontId="203" fillId="88" borderId="54" applyAlignment="1" pivotButton="0" quotePrefix="0" xfId="25429">
      <alignment horizontal="right" vertical="center" wrapText="1"/>
    </xf>
    <xf numFmtId="3" fontId="199" fillId="81" borderId="54" applyAlignment="1" pivotButton="0" quotePrefix="0" xfId="0">
      <alignment horizontal="right" vertical="center"/>
    </xf>
    <xf numFmtId="164" fontId="199" fillId="114" borderId="54" applyAlignment="1" pivotButton="0" quotePrefix="0" xfId="0">
      <alignment horizontal="right" vertical="center" wrapText="1"/>
    </xf>
    <xf numFmtId="164" fontId="199" fillId="116" borderId="54" applyAlignment="1" pivotButton="0" quotePrefix="0" xfId="0">
      <alignment horizontal="right" vertical="center" wrapText="1"/>
    </xf>
    <xf numFmtId="164" fontId="199" fillId="118" borderId="54" applyAlignment="1" pivotButton="0" quotePrefix="0" xfId="0">
      <alignment horizontal="right" vertical="center" wrapText="1"/>
    </xf>
    <xf numFmtId="0" fontId="0" fillId="0" borderId="19" applyAlignment="1" pivotButton="0" quotePrefix="0" xfId="0">
      <alignment vertical="top"/>
    </xf>
    <xf numFmtId="0" fontId="0" fillId="0" borderId="19" applyAlignment="1" pivotButton="0" quotePrefix="0" xfId="0">
      <alignment horizontal="right" vertical="top"/>
    </xf>
    <xf numFmtId="0" fontId="199" fillId="0" borderId="19" applyAlignment="1" pivotButton="0" quotePrefix="0" xfId="0">
      <alignment horizontal="left" vertical="top"/>
    </xf>
    <xf numFmtId="0" fontId="0" fillId="0" borderId="19" applyAlignment="1" pivotButton="0" quotePrefix="0" xfId="0">
      <alignment horizontal="center" vertical="top"/>
    </xf>
    <xf numFmtId="0" fontId="0" fillId="0" borderId="19" applyAlignment="1" pivotButton="0" quotePrefix="0" xfId="0">
      <alignment vertical="top" wrapText="1"/>
    </xf>
    <xf numFmtId="0" fontId="199" fillId="0" borderId="19" applyAlignment="1" pivotButton="0" quotePrefix="0" xfId="0">
      <alignment horizontal="right" vertical="top"/>
    </xf>
    <xf numFmtId="164" fontId="201" fillId="88" borderId="54" applyAlignment="1" pivotButton="0" quotePrefix="0" xfId="25429">
      <alignment horizontal="center" vertical="center" wrapText="1"/>
    </xf>
    <xf numFmtId="0" fontId="0" fillId="135" borderId="54" applyAlignment="1" pivotButton="0" quotePrefix="0" xfId="0">
      <alignment vertical="top"/>
    </xf>
    <xf numFmtId="0" fontId="199" fillId="130" borderId="58" applyAlignment="1" pivotButton="0" quotePrefix="0" xfId="0">
      <alignment vertical="top" wrapText="1"/>
    </xf>
    <xf numFmtId="3" fontId="199" fillId="111" borderId="54" applyAlignment="1" pivotButton="0" quotePrefix="0" xfId="0">
      <alignment horizontal="right" vertical="center" wrapText="1"/>
    </xf>
    <xf numFmtId="14" fontId="199" fillId="0" borderId="54" applyAlignment="1" pivotButton="0" quotePrefix="0" xfId="0">
      <alignment horizontal="center" vertical="top" wrapText="1"/>
    </xf>
    <xf numFmtId="0" fontId="199" fillId="105" borderId="54" applyAlignment="1" pivotButton="0" quotePrefix="0" xfId="0">
      <alignment horizontal="center" vertical="top" wrapText="1"/>
    </xf>
    <xf numFmtId="0" fontId="0" fillId="135" borderId="0" applyAlignment="1" pivotButton="0" quotePrefix="0" xfId="0">
      <alignment vertical="center"/>
    </xf>
    <xf numFmtId="0" fontId="199" fillId="135" borderId="54" applyAlignment="1" pivotButton="0" quotePrefix="0" xfId="0">
      <alignment vertical="center"/>
    </xf>
    <xf numFmtId="0" fontId="0" fillId="135" borderId="54" applyAlignment="1" pivotButton="0" quotePrefix="0" xfId="0">
      <alignment vertical="center"/>
    </xf>
    <xf numFmtId="164" fontId="201" fillId="88" borderId="54" applyAlignment="1" pivotButton="0" quotePrefix="0" xfId="25429">
      <alignment horizontal="center" vertical="center"/>
    </xf>
    <xf numFmtId="164" fontId="212" fillId="88" borderId="54" applyAlignment="1" pivotButton="0" quotePrefix="0" xfId="25429">
      <alignment horizontal="center" vertical="center" wrapText="1"/>
    </xf>
    <xf numFmtId="164" fontId="203" fillId="138" borderId="19" applyAlignment="1" pivotButton="0" quotePrefix="0" xfId="25429">
      <alignment horizontal="center" vertical="center" wrapText="1"/>
    </xf>
    <xf numFmtId="164" fontId="203" fillId="138" borderId="54" applyAlignment="1" pivotButton="0" quotePrefix="0" xfId="25429">
      <alignment horizontal="center" vertical="center" wrapText="1"/>
    </xf>
    <xf numFmtId="164" fontId="203" fillId="139" borderId="19" applyAlignment="1" pivotButton="0" quotePrefix="0" xfId="25429">
      <alignment horizontal="center" vertical="center" wrapText="1"/>
    </xf>
    <xf numFmtId="164" fontId="203" fillId="139" borderId="54" applyAlignment="1" pivotButton="0" quotePrefix="0" xfId="25429">
      <alignment horizontal="center" vertical="center" wrapText="1"/>
    </xf>
    <xf numFmtId="164" fontId="203" fillId="140" borderId="19" applyAlignment="1" pivotButton="0" quotePrefix="0" xfId="25429">
      <alignment horizontal="center" vertical="center" wrapText="1"/>
    </xf>
    <xf numFmtId="164" fontId="203" fillId="140" borderId="54" applyAlignment="1" pivotButton="0" quotePrefix="0" xfId="25429">
      <alignment horizontal="center" vertical="center" wrapText="1"/>
    </xf>
    <xf numFmtId="3" fontId="199" fillId="135" borderId="54" applyAlignment="1" pivotButton="0" quotePrefix="0" xfId="0">
      <alignment horizontal="right" vertical="center"/>
    </xf>
    <xf numFmtId="164" fontId="210" fillId="110" borderId="54" applyAlignment="1" pivotButton="0" quotePrefix="0" xfId="0">
      <alignment horizontal="center" vertical="center" wrapText="1"/>
    </xf>
    <xf numFmtId="164" fontId="210" fillId="113" borderId="54" applyAlignment="1" pivotButton="0" quotePrefix="0" xfId="0">
      <alignment horizontal="center" vertical="center" wrapText="1"/>
    </xf>
    <xf numFmtId="164" fontId="210" fillId="115" borderId="54" applyAlignment="1" pivotButton="0" quotePrefix="0" xfId="0">
      <alignment horizontal="center" vertical="center" wrapText="1"/>
    </xf>
    <xf numFmtId="164" fontId="210" fillId="117" borderId="54" applyAlignment="1" pivotButton="0" quotePrefix="0" xfId="0">
      <alignment horizontal="center" vertical="center" wrapText="1"/>
    </xf>
    <xf numFmtId="0" fontId="199" fillId="0" borderId="54" applyAlignment="1" pivotButton="0" quotePrefix="0" xfId="0">
      <alignment horizontal="left" vertical="center"/>
    </xf>
    <xf numFmtId="0" fontId="199" fillId="0" borderId="54" applyAlignment="1" pivotButton="0" quotePrefix="0" xfId="0">
      <alignment vertical="center"/>
    </xf>
    <xf numFmtId="0" fontId="207" fillId="58" borderId="54" applyAlignment="1" pivotButton="0" quotePrefix="0" xfId="30294">
      <alignment horizontal="left" vertical="center"/>
    </xf>
    <xf numFmtId="0" fontId="207" fillId="58" borderId="54" applyAlignment="1" pivotButton="0" quotePrefix="0" xfId="30294">
      <alignment horizontal="left" vertical="center" wrapText="1"/>
    </xf>
    <xf numFmtId="0" fontId="205" fillId="135" borderId="18" applyAlignment="1" pivotButton="0" quotePrefix="0" xfId="0">
      <alignment horizontal="center" vertical="center"/>
    </xf>
    <xf numFmtId="0" fontId="0" fillId="135" borderId="18" applyAlignment="1" pivotButton="0" quotePrefix="0" xfId="0">
      <alignment vertical="center"/>
    </xf>
    <xf numFmtId="0" fontId="211" fillId="0" borderId="54" applyAlignment="1" pivotButton="0" quotePrefix="0" xfId="0">
      <alignment horizontal="right" vertical="center" wrapText="1"/>
    </xf>
    <xf numFmtId="0" fontId="211" fillId="142" borderId="54" applyAlignment="1" pivotButton="0" quotePrefix="0" xfId="0">
      <alignment horizontal="center" vertical="center"/>
    </xf>
    <xf numFmtId="0" fontId="211" fillId="0" borderId="54" applyAlignment="1" pivotButton="0" quotePrefix="0" xfId="0">
      <alignment horizontal="center" vertical="center"/>
    </xf>
    <xf numFmtId="0" fontId="211" fillId="143" borderId="54" applyAlignment="1" pivotButton="0" quotePrefix="0" xfId="0">
      <alignment horizontal="center" vertical="center"/>
    </xf>
    <xf numFmtId="165" fontId="0" fillId="0" borderId="54" applyAlignment="1" pivotButton="0" quotePrefix="0" xfId="0">
      <alignment horizontal="right" vertical="center" wrapText="1"/>
    </xf>
    <xf numFmtId="0" fontId="0" fillId="0" borderId="54" applyAlignment="1" pivotButton="0" quotePrefix="0" xfId="0">
      <alignment horizontal="center" vertical="center" wrapText="1"/>
    </xf>
    <xf numFmtId="0" fontId="211" fillId="0" borderId="19" applyAlignment="1" pivotButton="0" quotePrefix="0" xfId="0">
      <alignment horizontal="left" vertical="center"/>
    </xf>
    <xf numFmtId="3" fontId="211" fillId="111" borderId="19" applyAlignment="1" pivotButton="0" quotePrefix="0" xfId="0">
      <alignment horizontal="left" vertical="center"/>
    </xf>
    <xf numFmtId="0" fontId="211" fillId="0" borderId="54" applyAlignment="1" pivotButton="0" quotePrefix="0" xfId="0">
      <alignment horizontal="left" vertical="center"/>
    </xf>
    <xf numFmtId="0" fontId="211" fillId="94" borderId="19" applyAlignment="1" pivotButton="0" quotePrefix="0" xfId="0">
      <alignment horizontal="left" vertical="center"/>
    </xf>
    <xf numFmtId="0" fontId="211" fillId="0" borderId="56" applyAlignment="1" pivotButton="0" quotePrefix="0" xfId="30294">
      <alignment horizontal="center" vertical="center"/>
    </xf>
    <xf numFmtId="0" fontId="211" fillId="0" borderId="54" applyAlignment="1" pivotButton="0" quotePrefix="0" xfId="30294">
      <alignment vertical="center"/>
    </xf>
    <xf numFmtId="0" fontId="211" fillId="0" borderId="54" applyAlignment="1" pivotButton="0" quotePrefix="0" xfId="30294">
      <alignment horizontal="left" vertical="center"/>
    </xf>
    <xf numFmtId="0" fontId="211" fillId="0" borderId="54" applyAlignment="1" pivotButton="0" quotePrefix="0" xfId="30294">
      <alignment horizontal="left" vertical="center" wrapText="1"/>
    </xf>
    <xf numFmtId="0" fontId="210" fillId="127" borderId="54" applyAlignment="1" pivotButton="0" quotePrefix="0" xfId="30294">
      <alignment horizontal="center" vertical="center"/>
    </xf>
    <xf numFmtId="14" fontId="211" fillId="0" borderId="54" applyAlignment="1" pivotButton="0" quotePrefix="0" xfId="30294">
      <alignment horizontal="center" vertical="center"/>
    </xf>
    <xf numFmtId="0" fontId="211" fillId="0" borderId="54" applyAlignment="1" pivotButton="0" quotePrefix="0" xfId="30294">
      <alignment horizontal="center" vertical="center"/>
    </xf>
    <xf numFmtId="0" fontId="211" fillId="0" borderId="54" applyAlignment="1" pivotButton="0" quotePrefix="0" xfId="30294">
      <alignment horizontal="right" vertical="center"/>
    </xf>
    <xf numFmtId="0" fontId="207" fillId="0" borderId="54" applyAlignment="1" pivotButton="0" quotePrefix="0" xfId="30294">
      <alignment horizontal="left" vertical="center"/>
    </xf>
    <xf numFmtId="0" fontId="207" fillId="58" borderId="54" applyAlignment="1" pivotButton="0" quotePrefix="0" xfId="30294">
      <alignment horizontal="center" vertical="center"/>
    </xf>
    <xf numFmtId="0" fontId="207" fillId="58" borderId="54" applyAlignment="1" pivotButton="0" quotePrefix="0" xfId="30294">
      <alignment vertical="center"/>
    </xf>
    <xf numFmtId="0" fontId="199" fillId="58" borderId="54" applyAlignment="1" pivotButton="0" quotePrefix="0" xfId="30294">
      <alignment horizontal="center" vertical="center"/>
    </xf>
    <xf numFmtId="0" fontId="198" fillId="123" borderId="54" applyAlignment="1" pivotButton="0" quotePrefix="0" xfId="0">
      <alignment horizontal="left" vertical="center" wrapText="1"/>
    </xf>
    <xf numFmtId="0" fontId="207" fillId="145" borderId="54" applyAlignment="1" pivotButton="0" quotePrefix="0" xfId="30294">
      <alignment vertical="center"/>
    </xf>
    <xf numFmtId="0" fontId="207" fillId="146" borderId="54" applyAlignment="1" pivotButton="0" quotePrefix="0" xfId="30294">
      <alignment horizontal="left" vertical="center"/>
    </xf>
    <xf numFmtId="0" fontId="211" fillId="0" borderId="19" applyAlignment="1" pivotButton="0" quotePrefix="0" xfId="0">
      <alignment horizontal="center" vertical="center" wrapText="1"/>
    </xf>
    <xf numFmtId="0" fontId="198" fillId="144" borderId="19" applyAlignment="1" pivotButton="0" quotePrefix="0" xfId="0">
      <alignment horizontal="left" vertical="center" wrapText="1"/>
    </xf>
    <xf numFmtId="0" fontId="0" fillId="109" borderId="54" applyAlignment="1" pivotButton="0" quotePrefix="0" xfId="0">
      <alignment horizontal="center" vertical="center" wrapText="1"/>
    </xf>
    <xf numFmtId="0" fontId="198" fillId="147" borderId="19" applyAlignment="1" pivotButton="0" quotePrefix="0" xfId="0">
      <alignment horizontal="left" vertical="center"/>
    </xf>
    <xf numFmtId="0" fontId="198" fillId="147" borderId="19" applyAlignment="1" pivotButton="0" quotePrefix="0" xfId="0">
      <alignment horizontal="left" vertical="center" wrapText="1"/>
    </xf>
    <xf numFmtId="0" fontId="199" fillId="147" borderId="19" applyAlignment="1" pivotButton="0" quotePrefix="0" xfId="0">
      <alignment horizontal="left" vertical="center"/>
    </xf>
    <xf numFmtId="0" fontId="0" fillId="147" borderId="19" applyAlignment="1" pivotButton="0" quotePrefix="0" xfId="0">
      <alignment horizontal="center" vertical="center"/>
    </xf>
    <xf numFmtId="0" fontId="199" fillId="147" borderId="54" applyAlignment="1" pivotButton="0" quotePrefix="0" xfId="0">
      <alignment horizontal="left" vertical="center"/>
    </xf>
    <xf numFmtId="0" fontId="0" fillId="147" borderId="54" applyAlignment="1" pivotButton="0" quotePrefix="0" xfId="0">
      <alignment horizontal="center" vertical="center"/>
    </xf>
    <xf numFmtId="0" fontId="198" fillId="147" borderId="54" applyAlignment="1" pivotButton="0" quotePrefix="0" xfId="0">
      <alignment horizontal="left" vertical="center"/>
    </xf>
    <xf numFmtId="0" fontId="198" fillId="147" borderId="54" applyAlignment="1" pivotButton="0" quotePrefix="0" xfId="0">
      <alignment horizontal="left" vertical="center" wrapText="1"/>
    </xf>
    <xf numFmtId="0" fontId="0" fillId="147" borderId="19" applyAlignment="1" pivotButton="0" quotePrefix="0" xfId="0">
      <alignment horizontal="left" vertical="center"/>
    </xf>
    <xf numFmtId="0" fontId="199" fillId="147" borderId="19" applyAlignment="1" pivotButton="0" quotePrefix="0" xfId="30294">
      <alignment horizontal="left" vertical="center"/>
    </xf>
    <xf numFmtId="0" fontId="0" fillId="147" borderId="54" applyAlignment="1" pivotButton="0" quotePrefix="0" xfId="0">
      <alignment horizontal="left" vertical="center"/>
    </xf>
    <xf numFmtId="0" fontId="199" fillId="147" borderId="54" applyAlignment="1" pivotButton="0" quotePrefix="0" xfId="30294">
      <alignment horizontal="left" vertical="center"/>
    </xf>
    <xf numFmtId="0" fontId="199" fillId="0" borderId="54" applyAlignment="1" pivotButton="0" quotePrefix="0" xfId="30294">
      <alignment horizontal="left" vertical="center"/>
    </xf>
    <xf numFmtId="0" fontId="207" fillId="0" borderId="19" applyAlignment="1" pivotButton="0" quotePrefix="0" xfId="0">
      <alignment horizontal="center" vertical="top"/>
    </xf>
    <xf numFmtId="0" fontId="0" fillId="0" borderId="54" applyAlignment="1" pivotButton="0" quotePrefix="0" xfId="30294">
      <alignment vertical="center"/>
    </xf>
    <xf numFmtId="0" fontId="0" fillId="0" borderId="59" applyAlignment="1" pivotButton="0" quotePrefix="0" xfId="30294">
      <alignment vertical="center"/>
    </xf>
    <xf numFmtId="0" fontId="0" fillId="0" borderId="56" applyAlignment="1" pivotButton="0" quotePrefix="0" xfId="30294">
      <alignment horizontal="center" vertical="center"/>
    </xf>
    <xf numFmtId="14" fontId="0" fillId="0" borderId="54" applyAlignment="1" pivotButton="0" quotePrefix="0" xfId="30294">
      <alignment horizontal="center" vertical="center"/>
    </xf>
    <xf numFmtId="0" fontId="0" fillId="0" borderId="54" applyAlignment="1" pivotButton="0" quotePrefix="0" xfId="30294">
      <alignment horizontal="center" vertical="center"/>
    </xf>
    <xf numFmtId="0" fontId="0" fillId="0" borderId="54" applyAlignment="1" pivotButton="0" quotePrefix="0" xfId="30294">
      <alignment horizontal="right" vertical="center"/>
    </xf>
    <xf numFmtId="0" fontId="0" fillId="0" borderId="57" applyAlignment="1" pivotButton="0" quotePrefix="0" xfId="30294">
      <alignment horizontal="center" vertical="center"/>
    </xf>
    <xf numFmtId="0" fontId="0" fillId="0" borderId="59" applyAlignment="1" pivotButton="0" quotePrefix="0" xfId="30294">
      <alignment horizontal="center" vertical="center"/>
    </xf>
    <xf numFmtId="0" fontId="0" fillId="0" borderId="59" applyAlignment="1" pivotButton="0" quotePrefix="0" xfId="30294">
      <alignment horizontal="right" vertical="center"/>
    </xf>
    <xf numFmtId="0" fontId="207" fillId="0" borderId="54" applyAlignment="1" pivotButton="0" quotePrefix="0" xfId="0">
      <alignment vertical="center"/>
    </xf>
    <xf numFmtId="3" fontId="213" fillId="0" borderId="19" applyAlignment="1" pivotButton="0" quotePrefix="0" xfId="0">
      <alignment vertical="center"/>
    </xf>
    <xf numFmtId="0" fontId="0" fillId="0" borderId="19" applyAlignment="1" pivotButton="0" quotePrefix="0" xfId="0">
      <alignment vertical="center" wrapText="1"/>
    </xf>
    <xf numFmtId="0" fontId="207" fillId="0" borderId="54" applyAlignment="1" pivotButton="0" quotePrefix="0" xfId="30294">
      <alignment horizontal="left" vertical="center" wrapText="1"/>
    </xf>
    <xf numFmtId="0" fontId="199" fillId="0" borderId="54" applyAlignment="1" pivotButton="0" quotePrefix="0" xfId="30294">
      <alignment horizontal="center" vertical="center" wrapText="1"/>
    </xf>
    <xf numFmtId="3" fontId="213" fillId="0" borderId="54" applyAlignment="1" pivotButton="0" quotePrefix="0" xfId="0">
      <alignment vertical="center"/>
    </xf>
    <xf numFmtId="0" fontId="211" fillId="79" borderId="57" applyAlignment="1" pivotButton="0" quotePrefix="0" xfId="0">
      <alignment horizontal="center" vertical="center"/>
    </xf>
    <xf numFmtId="0" fontId="211" fillId="79" borderId="59" applyAlignment="1" pivotButton="0" quotePrefix="0" xfId="0">
      <alignment horizontal="left" vertical="center"/>
    </xf>
    <xf numFmtId="0" fontId="211" fillId="0" borderId="59" applyAlignment="1" pivotButton="0" quotePrefix="0" xfId="0">
      <alignment vertical="center"/>
    </xf>
    <xf numFmtId="0" fontId="211" fillId="0" borderId="59" applyAlignment="1" pivotButton="0" quotePrefix="0" xfId="0">
      <alignment horizontal="left" vertical="center" wrapText="1"/>
    </xf>
    <xf numFmtId="3" fontId="211" fillId="0" borderId="59" applyAlignment="1" pivotButton="0" quotePrefix="0" xfId="0">
      <alignment vertical="center"/>
    </xf>
    <xf numFmtId="3" fontId="210" fillId="0" borderId="59" applyAlignment="1" pivotButton="0" quotePrefix="0" xfId="0">
      <alignment vertical="center"/>
    </xf>
    <xf numFmtId="0" fontId="211" fillId="147" borderId="54" applyAlignment="1" pivotButton="0" quotePrefix="0" xfId="0">
      <alignment horizontal="left" vertical="center"/>
    </xf>
    <xf numFmtId="0" fontId="199" fillId="94" borderId="54" applyAlignment="1" pivotButton="0" quotePrefix="0" xfId="0">
      <alignment horizontal="left" vertical="center"/>
    </xf>
    <xf numFmtId="0" fontId="211" fillId="94" borderId="54" applyAlignment="1" pivotButton="0" quotePrefix="0" xfId="0">
      <alignment horizontal="left" vertical="center"/>
    </xf>
    <xf numFmtId="0" fontId="0" fillId="93" borderId="54" applyAlignment="1" pivotButton="0" quotePrefix="0" xfId="0">
      <alignment horizontal="center" vertical="center"/>
    </xf>
    <xf numFmtId="0" fontId="211" fillId="147" borderId="19" applyAlignment="1" pivotButton="0" quotePrefix="0" xfId="0">
      <alignment horizontal="left" vertical="center"/>
    </xf>
    <xf numFmtId="0" fontId="199" fillId="0" borderId="50" applyAlignment="1" pivotButton="0" quotePrefix="0" xfId="0">
      <alignment horizontal="center" vertical="top" wrapText="1"/>
    </xf>
    <xf numFmtId="3" fontId="199" fillId="135" borderId="19" applyAlignment="1" pivotButton="0" quotePrefix="0" xfId="0">
      <alignment horizontal="center" vertical="center"/>
    </xf>
    <xf numFmtId="3" fontId="213" fillId="135" borderId="19" applyAlignment="1" pivotButton="0" quotePrefix="0" xfId="0">
      <alignment horizontal="center" vertical="center"/>
    </xf>
    <xf numFmtId="3" fontId="199" fillId="135" borderId="59" applyAlignment="1" pivotButton="0" quotePrefix="0" xfId="0">
      <alignment horizontal="center" vertical="center"/>
    </xf>
    <xf numFmtId="3" fontId="199" fillId="135" borderId="54" applyAlignment="1" pivotButton="0" quotePrefix="0" xfId="0">
      <alignment horizontal="center" vertical="center"/>
    </xf>
    <xf numFmtId="3" fontId="210" fillId="135" borderId="59" applyAlignment="1" pivotButton="0" quotePrefix="0" xfId="0">
      <alignment horizontal="center" vertical="center"/>
    </xf>
    <xf numFmtId="3" fontId="213" fillId="135" borderId="54" applyAlignment="1" pivotButton="0" quotePrefix="0" xfId="0">
      <alignment horizontal="center" vertical="center"/>
    </xf>
    <xf numFmtId="0" fontId="199" fillId="0" borderId="38" applyAlignment="1" pivotButton="0" quotePrefix="0" xfId="0">
      <alignment horizontal="center" vertical="top" wrapText="1"/>
    </xf>
    <xf numFmtId="0" fontId="199" fillId="135" borderId="50" applyAlignment="1" pivotButton="0" quotePrefix="0" xfId="0">
      <alignment horizontal="center" vertical="top" wrapText="1"/>
    </xf>
    <xf numFmtId="0" fontId="199" fillId="105" borderId="50" applyAlignment="1" pivotButton="0" quotePrefix="0" xfId="0">
      <alignment horizontal="center" vertical="top" wrapText="1"/>
    </xf>
    <xf numFmtId="0" fontId="211" fillId="0" borderId="51" applyAlignment="1" pivotButton="0" quotePrefix="0" xfId="0">
      <alignment horizontal="center" vertical="top"/>
    </xf>
    <xf numFmtId="0" fontId="0" fillId="135" borderId="0" applyAlignment="1" pivotButton="0" quotePrefix="0" xfId="0">
      <alignment horizontal="center" vertical="center"/>
    </xf>
    <xf numFmtId="0" fontId="199" fillId="135" borderId="19" applyAlignment="1" pivotButton="0" quotePrefix="0" xfId="0">
      <alignment horizontal="center" vertical="center"/>
    </xf>
    <xf numFmtId="0" fontId="199" fillId="135" borderId="59" applyAlignment="1" pivotButton="0" quotePrefix="0" xfId="0">
      <alignment horizontal="center" vertical="center"/>
    </xf>
    <xf numFmtId="0" fontId="199" fillId="135" borderId="54" applyAlignment="1" pivotButton="0" quotePrefix="0" xfId="0">
      <alignment horizontal="center" vertical="center"/>
    </xf>
    <xf numFmtId="0" fontId="211" fillId="0" borderId="54" applyAlignment="1" pivotButton="0" quotePrefix="0" xfId="0">
      <alignment horizontal="center" vertical="center" wrapText="1"/>
    </xf>
    <xf numFmtId="165" fontId="198" fillId="145" borderId="54" applyAlignment="1" pivotButton="0" quotePrefix="0" xfId="0">
      <alignment horizontal="center" vertical="center" wrapText="1"/>
    </xf>
    <xf numFmtId="164" fontId="201" fillId="107" borderId="19" applyAlignment="1" pivotButton="0" quotePrefix="0" xfId="25429">
      <alignment vertical="center"/>
    </xf>
    <xf numFmtId="164" fontId="201" fillId="107" borderId="54" applyAlignment="1" pivotButton="0" quotePrefix="0" xfId="25429">
      <alignment vertical="center"/>
    </xf>
    <xf numFmtId="164" fontId="199" fillId="110" borderId="19" applyAlignment="1" pivotButton="0" quotePrefix="0" xfId="0">
      <alignment vertical="center" wrapText="1"/>
    </xf>
    <xf numFmtId="164" fontId="199" fillId="113" borderId="19" applyAlignment="1" pivotButton="0" quotePrefix="0" xfId="0">
      <alignment vertical="center" wrapText="1"/>
    </xf>
    <xf numFmtId="164" fontId="199" fillId="115" borderId="19" applyAlignment="1" pivotButton="0" quotePrefix="0" xfId="0">
      <alignment vertical="center" wrapText="1"/>
    </xf>
    <xf numFmtId="164" fontId="199" fillId="117" borderId="19" applyAlignment="1" pivotButton="0" quotePrefix="0" xfId="0">
      <alignment vertical="center" wrapText="1"/>
    </xf>
    <xf numFmtId="14" fontId="199" fillId="103" borderId="50" applyAlignment="1" pivotButton="0" quotePrefix="0" xfId="0">
      <alignment horizontal="center" vertical="top" wrapText="1"/>
    </xf>
    <xf numFmtId="0" fontId="199" fillId="115" borderId="54" applyAlignment="1" pivotButton="0" quotePrefix="0" xfId="0">
      <alignment vertical="center"/>
    </xf>
    <xf numFmtId="0" fontId="0" fillId="115" borderId="54" applyAlignment="1" pivotButton="0" quotePrefix="0" xfId="0">
      <alignment horizontal="right" vertical="center"/>
    </xf>
    <xf numFmtId="0" fontId="199" fillId="115" borderId="54" applyAlignment="1" pivotButton="0" quotePrefix="0" xfId="0">
      <alignment horizontal="right" vertical="center" wrapText="1"/>
    </xf>
    <xf numFmtId="164" fontId="0" fillId="115" borderId="54" applyAlignment="1" pivotButton="0" quotePrefix="0" xfId="0">
      <alignment horizontal="right" vertical="center" wrapText="1"/>
    </xf>
    <xf numFmtId="164" fontId="199" fillId="115" borderId="54" applyAlignment="1" pivotButton="0" quotePrefix="0" xfId="0">
      <alignment vertical="center" wrapText="1"/>
    </xf>
    <xf numFmtId="164" fontId="0" fillId="116" borderId="54" applyAlignment="1" pivotButton="0" quotePrefix="0" xfId="0">
      <alignment horizontal="right" vertical="center"/>
    </xf>
    <xf numFmtId="164" fontId="0" fillId="115" borderId="54" applyAlignment="1" pivotButton="0" quotePrefix="0" xfId="0">
      <alignment horizontal="right" vertical="center"/>
    </xf>
    <xf numFmtId="3" fontId="199" fillId="115" borderId="54" applyAlignment="1" pivotButton="0" quotePrefix="0" xfId="0">
      <alignment horizontal="right" vertical="center" wrapText="1"/>
    </xf>
    <xf numFmtId="3" fontId="199" fillId="116" borderId="54" applyAlignment="1" pivotButton="0" quotePrefix="0" xfId="0">
      <alignment horizontal="right" vertical="center" wrapText="1"/>
    </xf>
    <xf numFmtId="3" fontId="0" fillId="115" borderId="54" applyAlignment="1" pivotButton="0" quotePrefix="0" xfId="0">
      <alignment horizontal="right" vertical="center"/>
    </xf>
    <xf numFmtId="0" fontId="199" fillId="110" borderId="54" applyAlignment="1" pivotButton="0" quotePrefix="0" xfId="0">
      <alignment vertical="center"/>
    </xf>
    <xf numFmtId="0" fontId="199" fillId="110" borderId="54" applyAlignment="1" pivotButton="0" quotePrefix="0" xfId="0">
      <alignment horizontal="right" vertical="center"/>
    </xf>
    <xf numFmtId="164" fontId="199" fillId="110" borderId="54" applyAlignment="1" pivotButton="0" quotePrefix="0" xfId="0">
      <alignment vertical="center" wrapText="1"/>
    </xf>
    <xf numFmtId="3" fontId="199" fillId="110" borderId="54" applyAlignment="1" pivotButton="0" quotePrefix="0" xfId="0">
      <alignment horizontal="right" vertical="center" wrapText="1"/>
    </xf>
    <xf numFmtId="3" fontId="199" fillId="110" borderId="54" applyAlignment="1" pivotButton="0" quotePrefix="0" xfId="0">
      <alignment horizontal="right" vertical="center"/>
    </xf>
    <xf numFmtId="3" fontId="199" fillId="107" borderId="54" applyAlignment="1" pivotButton="0" quotePrefix="0" xfId="0">
      <alignment vertical="center" wrapText="1"/>
    </xf>
    <xf numFmtId="3" fontId="199" fillId="109" borderId="54" applyAlignment="1" pivotButton="0" quotePrefix="0" xfId="0">
      <alignment vertical="center" wrapText="1"/>
    </xf>
    <xf numFmtId="3" fontId="199" fillId="105" borderId="54" applyAlignment="1" pivotButton="0" quotePrefix="0" xfId="0">
      <alignment vertical="center" wrapText="1"/>
    </xf>
    <xf numFmtId="3" fontId="199" fillId="149" borderId="54" applyAlignment="1" pivotButton="0" quotePrefix="0" xfId="0">
      <alignment horizontal="center" vertical="center"/>
    </xf>
    <xf numFmtId="3" fontId="199" fillId="149" borderId="54" applyAlignment="1" pivotButton="0" quotePrefix="0" xfId="0">
      <alignment horizontal="right" vertical="center"/>
    </xf>
    <xf numFmtId="3" fontId="199" fillId="149" borderId="54" applyAlignment="1" pivotButton="0" quotePrefix="0" xfId="0">
      <alignment horizontal="left" vertical="center" wrapText="1"/>
    </xf>
    <xf numFmtId="3" fontId="199" fillId="149" borderId="54" applyAlignment="1" pivotButton="0" quotePrefix="0" xfId="0">
      <alignment horizontal="center" vertical="center" wrapText="1"/>
    </xf>
    <xf numFmtId="164" fontId="203" fillId="150" borderId="54" applyAlignment="1" pivotButton="0" quotePrefix="0" xfId="25429">
      <alignment horizontal="center" vertical="center" wrapText="1"/>
    </xf>
    <xf numFmtId="164" fontId="199" fillId="149" borderId="54" applyAlignment="1" pivotButton="0" quotePrefix="0" xfId="0">
      <alignment horizontal="right" vertical="center" wrapText="1"/>
    </xf>
    <xf numFmtId="164" fontId="199" fillId="151" borderId="54" applyAlignment="1" pivotButton="0" quotePrefix="0" xfId="0">
      <alignment horizontal="right" vertical="center" wrapText="1"/>
    </xf>
    <xf numFmtId="0" fontId="207" fillId="109" borderId="54" applyAlignment="1" pivotButton="0" quotePrefix="0" xfId="0">
      <alignment horizontal="center" vertical="center" wrapText="1"/>
    </xf>
    <xf numFmtId="0" fontId="207" fillId="153" borderId="0" applyAlignment="1" pivotButton="0" quotePrefix="0" xfId="0">
      <alignment horizontal="center" vertical="center" wrapText="1"/>
    </xf>
    <xf numFmtId="0" fontId="207" fillId="153" borderId="0" applyAlignment="1" pivotButton="0" quotePrefix="0" xfId="0">
      <alignment vertical="center"/>
    </xf>
    <xf numFmtId="0" fontId="198" fillId="89" borderId="54" applyAlignment="1" pivotButton="0" quotePrefix="0" xfId="0">
      <alignment horizontal="left" vertical="center" wrapText="1"/>
    </xf>
    <xf numFmtId="0" fontId="199" fillId="110" borderId="54" applyAlignment="1" pivotButton="0" quotePrefix="0" xfId="0">
      <alignment horizontal="left" vertical="center"/>
    </xf>
    <xf numFmtId="3" fontId="199" fillId="111" borderId="54" applyAlignment="1" pivotButton="0" quotePrefix="0" xfId="0">
      <alignment horizontal="left" vertical="center"/>
    </xf>
    <xf numFmtId="3" fontId="199" fillId="111" borderId="54" applyAlignment="1" pivotButton="0" quotePrefix="0" xfId="0">
      <alignment horizontal="center" vertical="center"/>
    </xf>
    <xf numFmtId="3" fontId="202" fillId="111" borderId="54" applyAlignment="1" pivotButton="0" quotePrefix="0" xfId="0">
      <alignment horizontal="left" vertical="center"/>
    </xf>
    <xf numFmtId="3" fontId="202" fillId="111" borderId="59" applyAlignment="1" pivotButton="0" quotePrefix="0" xfId="0">
      <alignment horizontal="right" vertical="center" wrapText="1"/>
    </xf>
    <xf numFmtId="3" fontId="202" fillId="111" borderId="54" applyAlignment="1" pivotButton="0" quotePrefix="0" xfId="0">
      <alignment horizontal="right" vertical="center" wrapText="1"/>
    </xf>
    <xf numFmtId="0" fontId="199" fillId="110" borderId="19" applyAlignment="1" pivotButton="0" quotePrefix="0" xfId="0">
      <alignment horizontal="center" vertical="center"/>
    </xf>
    <xf numFmtId="0" fontId="199" fillId="110" borderId="54" applyAlignment="1" pivotButton="0" quotePrefix="0" xfId="0">
      <alignment horizontal="center" vertical="center"/>
    </xf>
    <xf numFmtId="0" fontId="0" fillId="115" borderId="19" applyAlignment="1" pivotButton="0" quotePrefix="0" xfId="0">
      <alignment horizontal="center" vertical="center"/>
    </xf>
    <xf numFmtId="0" fontId="0" fillId="115" borderId="54" applyAlignment="1" pivotButton="0" quotePrefix="0" xfId="0">
      <alignment horizontal="center" vertical="center"/>
    </xf>
    <xf numFmtId="0" fontId="0" fillId="117" borderId="19" applyAlignment="1" pivotButton="0" quotePrefix="0" xfId="0">
      <alignment horizontal="center" vertical="center"/>
    </xf>
    <xf numFmtId="0" fontId="199" fillId="113" borderId="19" applyAlignment="1" pivotButton="0" quotePrefix="0" xfId="0">
      <alignment horizontal="center" vertical="center"/>
    </xf>
    <xf numFmtId="0" fontId="199" fillId="149" borderId="54" applyAlignment="1" pivotButton="0" quotePrefix="0" xfId="0">
      <alignment horizontal="center" vertical="center"/>
    </xf>
    <xf numFmtId="1" fontId="0" fillId="142" borderId="54" applyAlignment="1" pivotButton="0" quotePrefix="0" xfId="0">
      <alignment horizontal="center" vertical="center"/>
    </xf>
    <xf numFmtId="1" fontId="0" fillId="0" borderId="54" applyAlignment="1" pivotButton="0" quotePrefix="0" xfId="0">
      <alignment horizontal="center" vertical="center"/>
    </xf>
    <xf numFmtId="1" fontId="0" fillId="143" borderId="54" applyAlignment="1" pivotButton="0" quotePrefix="0" xfId="0">
      <alignment horizontal="center" vertical="center"/>
    </xf>
    <xf numFmtId="0" fontId="207" fillId="141" borderId="50" applyAlignment="1" pivotButton="0" quotePrefix="0" xfId="0">
      <alignment horizontal="center" vertical="top"/>
    </xf>
    <xf numFmtId="3" fontId="0" fillId="135" borderId="19" applyAlignment="1" pivotButton="0" quotePrefix="0" xfId="0">
      <alignment vertical="center"/>
    </xf>
    <xf numFmtId="3" fontId="0" fillId="135" borderId="54" applyAlignment="1" pivotButton="0" quotePrefix="0" xfId="0">
      <alignment vertical="center"/>
    </xf>
    <xf numFmtId="3" fontId="0" fillId="135" borderId="59" applyAlignment="1" pivotButton="0" quotePrefix="0" xfId="0">
      <alignment vertical="center"/>
    </xf>
    <xf numFmtId="3" fontId="211" fillId="135" borderId="59" applyAlignment="1" pivotButton="0" quotePrefix="0" xfId="0">
      <alignment vertical="center"/>
    </xf>
    <xf numFmtId="0" fontId="199" fillId="154" borderId="19" applyAlignment="1" pivotButton="0" quotePrefix="0" xfId="0">
      <alignment horizontal="left" vertical="center"/>
    </xf>
    <xf numFmtId="0" fontId="0" fillId="154" borderId="19" applyAlignment="1" pivotButton="0" quotePrefix="0" xfId="0">
      <alignment vertical="center"/>
    </xf>
    <xf numFmtId="0" fontId="0" fillId="154" borderId="19" applyAlignment="1" pivotButton="0" quotePrefix="0" xfId="0">
      <alignment horizontal="center" vertical="center"/>
    </xf>
    <xf numFmtId="0" fontId="0" fillId="154" borderId="19" applyAlignment="1" pivotButton="0" quotePrefix="0" xfId="0">
      <alignment horizontal="left" vertical="center" wrapText="1"/>
    </xf>
    <xf numFmtId="0" fontId="0" fillId="154" borderId="19" applyAlignment="1" pivotButton="0" quotePrefix="0" xfId="0">
      <alignment vertical="center" wrapText="1"/>
    </xf>
    <xf numFmtId="0" fontId="0" fillId="154" borderId="19" applyAlignment="1" pivotButton="0" quotePrefix="0" xfId="0">
      <alignment horizontal="center" vertical="center" wrapText="1"/>
    </xf>
    <xf numFmtId="164" fontId="203" fillId="155" borderId="19" applyAlignment="1" pivotButton="0" quotePrefix="0" xfId="25429">
      <alignment horizontal="center" vertical="center" wrapText="1"/>
    </xf>
    <xf numFmtId="164" fontId="203" fillId="155" borderId="54" applyAlignment="1" pivotButton="0" quotePrefix="0" xfId="25429">
      <alignment horizontal="center" vertical="center" wrapText="1"/>
    </xf>
    <xf numFmtId="0" fontId="0" fillId="154" borderId="54" applyAlignment="1" pivotButton="0" quotePrefix="0" xfId="0">
      <alignment vertical="center" wrapText="1"/>
    </xf>
    <xf numFmtId="164" fontId="0" fillId="154" borderId="19" applyAlignment="1" pivotButton="0" quotePrefix="0" xfId="0">
      <alignment vertical="center" wrapText="1"/>
    </xf>
    <xf numFmtId="164" fontId="201" fillId="155" borderId="19" applyAlignment="1" pivotButton="0" quotePrefix="0" xfId="25429">
      <alignment vertical="center" wrapText="1"/>
    </xf>
    <xf numFmtId="164" fontId="201" fillId="155" borderId="54" applyAlignment="1" pivotButton="0" quotePrefix="0" xfId="25429">
      <alignment vertical="center" wrapText="1"/>
    </xf>
    <xf numFmtId="164" fontId="0" fillId="154" borderId="19" applyAlignment="1" pivotButton="0" quotePrefix="0" xfId="0">
      <alignment horizontal="right" vertical="center" wrapText="1"/>
    </xf>
    <xf numFmtId="164" fontId="210" fillId="154" borderId="54" applyAlignment="1" pivotButton="0" quotePrefix="0" xfId="0">
      <alignment horizontal="center" vertical="center" wrapText="1"/>
    </xf>
    <xf numFmtId="164" fontId="0" fillId="156" borderId="19" applyAlignment="1" pivotButton="0" quotePrefix="0" xfId="0">
      <alignment vertical="center"/>
    </xf>
    <xf numFmtId="164" fontId="0" fillId="154" borderId="19" applyAlignment="1" pivotButton="0" quotePrefix="0" xfId="0">
      <alignment vertical="center"/>
    </xf>
    <xf numFmtId="0" fontId="207" fillId="79" borderId="49" applyAlignment="1" pivotButton="0" quotePrefix="0" xfId="0">
      <alignment horizontal="center" vertical="center"/>
    </xf>
    <xf numFmtId="0" fontId="207" fillId="79" borderId="19" applyAlignment="1" pivotButton="0" quotePrefix="0" xfId="0">
      <alignment horizontal="left" vertical="center"/>
    </xf>
    <xf numFmtId="0" fontId="207" fillId="0" borderId="19" applyAlignment="1" pivotButton="0" quotePrefix="0" xfId="0">
      <alignment vertical="center"/>
    </xf>
    <xf numFmtId="0" fontId="207" fillId="0" borderId="19" applyAlignment="1" pivotButton="0" quotePrefix="0" xfId="0">
      <alignment horizontal="left" vertical="center" wrapText="1"/>
    </xf>
    <xf numFmtId="3" fontId="207" fillId="0" borderId="19" applyAlignment="1" pivotButton="0" quotePrefix="0" xfId="0">
      <alignment vertical="center"/>
    </xf>
    <xf numFmtId="3" fontId="207" fillId="135" borderId="19" applyAlignment="1" pivotButton="0" quotePrefix="0" xfId="0">
      <alignment vertical="center"/>
    </xf>
    <xf numFmtId="3" fontId="207" fillId="0" borderId="15" applyAlignment="1" pivotButton="0" quotePrefix="0" xfId="0">
      <alignment vertical="center"/>
    </xf>
    <xf numFmtId="0" fontId="207" fillId="146" borderId="54" applyAlignment="1" pivotButton="0" quotePrefix="0" xfId="30294">
      <alignment horizontal="left" vertical="center" wrapText="1"/>
    </xf>
    <xf numFmtId="0" fontId="0" fillId="0" borderId="54" applyAlignment="1" pivotButton="0" quotePrefix="0" xfId="0">
      <alignment vertical="center" wrapText="1"/>
    </xf>
    <xf numFmtId="0" fontId="0" fillId="145" borderId="54" applyAlignment="1" pivotButton="0" quotePrefix="0" xfId="0">
      <alignment vertical="center"/>
    </xf>
    <xf numFmtId="0" fontId="0" fillId="157" borderId="54" applyAlignment="1" pivotButton="0" quotePrefix="0" xfId="0">
      <alignment vertical="center"/>
    </xf>
    <xf numFmtId="0" fontId="0" fillId="157" borderId="54" applyAlignment="1" pivotButton="0" quotePrefix="0" xfId="0">
      <alignment vertical="center" wrapText="1"/>
    </xf>
    <xf numFmtId="0" fontId="0" fillId="157" borderId="54" applyAlignment="1" pivotButton="0" quotePrefix="0" xfId="0">
      <alignment horizontal="center" vertical="center"/>
    </xf>
    <xf numFmtId="0" fontId="0" fillId="157" borderId="0" applyAlignment="1" pivotButton="0" quotePrefix="0" xfId="0">
      <alignment vertical="center"/>
    </xf>
    <xf numFmtId="0" fontId="207" fillId="79" borderId="56" applyAlignment="1" pivotButton="0" quotePrefix="0" xfId="0">
      <alignment horizontal="center" vertical="center"/>
    </xf>
    <xf numFmtId="0" fontId="207" fillId="79" borderId="54" applyAlignment="1" pivotButton="0" quotePrefix="0" xfId="0">
      <alignment horizontal="left" vertical="center"/>
    </xf>
    <xf numFmtId="0" fontId="207" fillId="0" borderId="54" applyAlignment="1" pivotButton="0" quotePrefix="0" xfId="0">
      <alignment horizontal="left" vertical="center" wrapText="1"/>
    </xf>
    <xf numFmtId="3" fontId="207" fillId="0" borderId="54" applyAlignment="1" pivotButton="0" quotePrefix="0" xfId="0">
      <alignment vertical="center"/>
    </xf>
    <xf numFmtId="3" fontId="207" fillId="135" borderId="54" applyAlignment="1" pivotButton="0" quotePrefix="0" xfId="0">
      <alignment vertical="center"/>
    </xf>
    <xf numFmtId="3" fontId="207" fillId="0" borderId="58" applyAlignment="1" pivotButton="0" quotePrefix="0" xfId="0">
      <alignment vertical="center"/>
    </xf>
    <xf numFmtId="3" fontId="199" fillId="113" borderId="54" applyAlignment="1" pivotButton="0" quotePrefix="0" xfId="0">
      <alignment horizontal="center" vertical="center"/>
    </xf>
    <xf numFmtId="3" fontId="199" fillId="113" borderId="54" applyAlignment="1" pivotButton="0" quotePrefix="0" xfId="0">
      <alignment horizontal="right" vertical="center"/>
    </xf>
    <xf numFmtId="0" fontId="199" fillId="113" borderId="54" applyAlignment="1" pivotButton="0" quotePrefix="0" xfId="0">
      <alignment horizontal="center" vertical="center"/>
    </xf>
    <xf numFmtId="3" fontId="199" fillId="113" borderId="54" applyAlignment="1" pivotButton="0" quotePrefix="0" xfId="0">
      <alignment horizontal="left" vertical="center" wrapText="1"/>
    </xf>
    <xf numFmtId="3" fontId="199" fillId="113" borderId="54" applyAlignment="1" pivotButton="0" quotePrefix="0" xfId="0">
      <alignment horizontal="center" vertical="center" wrapText="1"/>
    </xf>
    <xf numFmtId="14" fontId="0" fillId="0" borderId="59" applyAlignment="1" pivotButton="0" quotePrefix="0" xfId="30294">
      <alignment horizontal="center" vertical="center"/>
    </xf>
    <xf numFmtId="0" fontId="207" fillId="0" borderId="19" applyAlignment="1" pivotButton="0" quotePrefix="0" xfId="0">
      <alignment horizontal="left" vertical="center"/>
    </xf>
    <xf numFmtId="0" fontId="207" fillId="0" borderId="19" applyAlignment="1" pivotButton="0" quotePrefix="0" xfId="0">
      <alignment horizontal="center" vertical="center"/>
    </xf>
    <xf numFmtId="0" fontId="207" fillId="121" borderId="19" applyAlignment="1" pivotButton="0" quotePrefix="0" xfId="0">
      <alignment horizontal="center" vertical="center"/>
    </xf>
    <xf numFmtId="164" fontId="201" fillId="88" borderId="19" applyAlignment="1" pivotButton="0" quotePrefix="0" xfId="25429">
      <alignment horizontal="center" vertical="center" wrapText="1"/>
    </xf>
    <xf numFmtId="0" fontId="207" fillId="107" borderId="19" applyAlignment="1" pivotButton="0" quotePrefix="0" xfId="0">
      <alignment horizontal="center" vertical="center" wrapText="1"/>
    </xf>
    <xf numFmtId="0" fontId="207" fillId="109" borderId="19" applyAlignment="1" pivotButton="0" quotePrefix="0" xfId="0">
      <alignment horizontal="center" vertical="center" wrapText="1"/>
    </xf>
    <xf numFmtId="0" fontId="207" fillId="105" borderId="19" applyAlignment="1" pivotButton="0" quotePrefix="0" xfId="0">
      <alignment horizontal="center" vertical="center" wrapText="1"/>
    </xf>
    <xf numFmtId="0" fontId="207" fillId="88" borderId="54" applyAlignment="1" pivotButton="0" quotePrefix="0" xfId="0">
      <alignment horizontal="center" vertical="center" wrapText="1"/>
    </xf>
    <xf numFmtId="0" fontId="207" fillId="135" borderId="54" applyAlignment="1" pivotButton="0" quotePrefix="0" xfId="0">
      <alignment vertical="center"/>
    </xf>
    <xf numFmtId="0" fontId="207" fillId="0" borderId="0" applyAlignment="1" pivotButton="0" quotePrefix="0" xfId="0">
      <alignment vertical="center"/>
    </xf>
    <xf numFmtId="0" fontId="207" fillId="0" borderId="54" applyAlignment="1" pivotButton="0" quotePrefix="0" xfId="0">
      <alignment horizontal="left" vertical="center"/>
    </xf>
    <xf numFmtId="0" fontId="207" fillId="0" borderId="54" applyAlignment="1" pivotButton="0" quotePrefix="0" xfId="0">
      <alignment horizontal="center" vertical="center"/>
    </xf>
    <xf numFmtId="0" fontId="207" fillId="121" borderId="54" applyAlignment="1" pivotButton="0" quotePrefix="0" xfId="0">
      <alignment horizontal="center" vertical="center"/>
    </xf>
    <xf numFmtId="0" fontId="207" fillId="107" borderId="54" applyAlignment="1" pivotButton="0" quotePrefix="0" xfId="0">
      <alignment horizontal="center" vertical="center" wrapText="1"/>
    </xf>
    <xf numFmtId="0" fontId="207" fillId="105" borderId="54" applyAlignment="1" pivotButton="0" quotePrefix="0" xfId="0">
      <alignment horizontal="center" vertical="center" wrapText="1"/>
    </xf>
    <xf numFmtId="0" fontId="207" fillId="147" borderId="54" applyAlignment="1" pivotButton="0" quotePrefix="0" xfId="0">
      <alignment horizontal="left" vertical="center"/>
    </xf>
    <xf numFmtId="3" fontId="207" fillId="107" borderId="54" applyAlignment="1" pivotButton="0" quotePrefix="0" xfId="0">
      <alignment vertical="center" wrapText="1"/>
    </xf>
    <xf numFmtId="3" fontId="207" fillId="109" borderId="54" applyAlignment="1" pivotButton="0" quotePrefix="0" xfId="0">
      <alignment vertical="center" wrapText="1"/>
    </xf>
    <xf numFmtId="3" fontId="207" fillId="105" borderId="54" applyAlignment="1" pivotButton="0" quotePrefix="0" xfId="0">
      <alignment vertical="center" wrapText="1"/>
    </xf>
    <xf numFmtId="0" fontId="207" fillId="147" borderId="19" applyAlignment="1" pivotButton="0" quotePrefix="0" xfId="0">
      <alignment horizontal="center" vertical="center"/>
    </xf>
    <xf numFmtId="165" fontId="198" fillId="121" borderId="54" applyAlignment="1" pivotButton="0" quotePrefix="0" xfId="0">
      <alignment horizontal="center" vertical="center" wrapText="1"/>
    </xf>
    <xf numFmtId="0" fontId="207" fillId="147" borderId="54" applyAlignment="1" pivotButton="0" quotePrefix="0" xfId="30294">
      <alignment horizontal="left" vertical="center"/>
    </xf>
    <xf numFmtId="0" fontId="207" fillId="147" borderId="54" applyAlignment="1" pivotButton="0" quotePrefix="0" xfId="0">
      <alignment vertical="center"/>
    </xf>
    <xf numFmtId="0" fontId="207" fillId="147" borderId="54" applyAlignment="1" pivotButton="0" quotePrefix="0" xfId="0">
      <alignment horizontal="center" vertical="center"/>
    </xf>
    <xf numFmtId="0" fontId="207" fillId="147" borderId="19" applyAlignment="1" pivotButton="0" quotePrefix="0" xfId="0">
      <alignment horizontal="left" vertical="center"/>
    </xf>
    <xf numFmtId="0" fontId="207" fillId="147" borderId="19" applyAlignment="1" pivotButton="0" quotePrefix="0" xfId="0">
      <alignment vertical="center"/>
    </xf>
    <xf numFmtId="0" fontId="198" fillId="134" borderId="19" applyAlignment="1" pivotButton="0" quotePrefix="0" xfId="0">
      <alignment horizontal="left" vertical="center" wrapText="1"/>
    </xf>
    <xf numFmtId="0" fontId="207" fillId="147" borderId="54" applyAlignment="1" pivotButton="0" quotePrefix="0" xfId="30294">
      <alignment vertical="center"/>
    </xf>
    <xf numFmtId="0" fontId="198" fillId="152" borderId="54" applyAlignment="1" pivotButton="0" quotePrefix="0" xfId="0">
      <alignment horizontal="left" vertical="center" wrapText="1"/>
    </xf>
    <xf numFmtId="0" fontId="207" fillId="147" borderId="19" applyAlignment="1" pivotButton="0" quotePrefix="0" xfId="30294">
      <alignment vertical="center"/>
    </xf>
    <xf numFmtId="0" fontId="207" fillId="0" borderId="19" applyAlignment="1" pivotButton="0" quotePrefix="0" xfId="30294">
      <alignment horizontal="left" vertical="center"/>
    </xf>
    <xf numFmtId="0" fontId="211" fillId="145" borderId="54" applyAlignment="1" pivotButton="0" quotePrefix="0" xfId="30294">
      <alignment horizontal="left" vertical="center" wrapText="1"/>
    </xf>
    <xf numFmtId="164" fontId="199" fillId="113" borderId="54" applyAlignment="1" pivotButton="0" quotePrefix="0" xfId="0">
      <alignment horizontal="right" vertical="center"/>
    </xf>
    <xf numFmtId="164" fontId="199" fillId="149" borderId="54" applyAlignment="1" pivotButton="0" quotePrefix="0" xfId="0">
      <alignment horizontal="right" vertical="center"/>
    </xf>
    <xf numFmtId="0" fontId="207" fillId="158" borderId="19" applyAlignment="1" pivotButton="0" quotePrefix="0" xfId="0">
      <alignment horizontal="center" vertical="center" wrapText="1"/>
    </xf>
    <xf numFmtId="0" fontId="0" fillId="0" borderId="54" applyAlignment="1" pivotButton="0" quotePrefix="0" xfId="30294">
      <alignment horizontal="left" vertical="center"/>
    </xf>
    <xf numFmtId="0" fontId="0" fillId="0" borderId="54" applyAlignment="1" pivotButton="0" quotePrefix="0" xfId="30294">
      <alignment horizontal="left" vertical="center" wrapText="1"/>
    </xf>
    <xf numFmtId="0" fontId="198" fillId="0" borderId="54" applyAlignment="1" pivotButton="0" quotePrefix="0" xfId="0">
      <alignment horizontal="left" vertical="center"/>
    </xf>
    <xf numFmtId="0" fontId="198" fillId="121" borderId="54" applyAlignment="1" pivotButton="0" quotePrefix="0" xfId="0">
      <alignment horizontal="left" vertical="center"/>
    </xf>
    <xf numFmtId="0" fontId="198" fillId="121" borderId="19" applyAlignment="1" pivotButton="0" quotePrefix="0" xfId="0">
      <alignment horizontal="left" vertical="center"/>
    </xf>
    <xf numFmtId="0" fontId="198" fillId="122" borderId="19" applyAlignment="1" pivotButton="0" quotePrefix="0" xfId="0">
      <alignment horizontal="left" vertical="center"/>
    </xf>
    <xf numFmtId="0" fontId="198" fillId="122" borderId="54" applyAlignment="1" pivotButton="0" quotePrefix="0" xfId="0">
      <alignment horizontal="left" vertical="center"/>
    </xf>
    <xf numFmtId="0" fontId="202" fillId="0" borderId="19" applyAlignment="1" pivotButton="0" quotePrefix="0" xfId="0">
      <alignment horizontal="left" vertical="center"/>
    </xf>
    <xf numFmtId="3" fontId="202" fillId="111" borderId="18" applyAlignment="1" pivotButton="0" quotePrefix="0" xfId="0">
      <alignment horizontal="right" vertical="center"/>
    </xf>
    <xf numFmtId="0" fontId="198" fillId="134" borderId="19" applyAlignment="1" pivotButton="0" quotePrefix="0" xfId="0">
      <alignment horizontal="left" vertical="center"/>
    </xf>
    <xf numFmtId="0" fontId="198" fillId="89" borderId="19" applyAlignment="1" pivotButton="0" quotePrefix="0" xfId="0">
      <alignment horizontal="left" vertical="center"/>
    </xf>
    <xf numFmtId="0" fontId="198" fillId="89" borderId="54" applyAlignment="1" pivotButton="0" quotePrefix="0" xfId="0">
      <alignment horizontal="left" vertical="center"/>
    </xf>
    <xf numFmtId="0" fontId="198" fillId="123" borderId="19" applyAlignment="1" pivotButton="0" quotePrefix="0" xfId="0">
      <alignment horizontal="left" vertical="center"/>
    </xf>
    <xf numFmtId="0" fontId="198" fillId="123" borderId="54" applyAlignment="1" pivotButton="0" quotePrefix="0" xfId="0">
      <alignment horizontal="left" vertical="center"/>
    </xf>
    <xf numFmtId="0" fontId="199" fillId="115" borderId="19" applyAlignment="1" pivotButton="0" quotePrefix="0" xfId="0">
      <alignment horizontal="right" vertical="center"/>
    </xf>
    <xf numFmtId="0" fontId="199" fillId="117" borderId="19" applyAlignment="1" pivotButton="0" quotePrefix="0" xfId="0">
      <alignment horizontal="right" vertical="center"/>
    </xf>
    <xf numFmtId="4" fontId="198" fillId="0" borderId="54" applyAlignment="1" pivotButton="0" quotePrefix="0" xfId="0">
      <alignment horizontal="right" vertical="center" wrapText="1"/>
    </xf>
    <xf numFmtId="4" fontId="198" fillId="0" borderId="19" applyAlignment="1" pivotButton="0" quotePrefix="0" xfId="0">
      <alignment horizontal="right" vertical="center" wrapText="1"/>
    </xf>
    <xf numFmtId="4" fontId="198" fillId="122" borderId="19" applyAlignment="1" pivotButton="0" quotePrefix="0" xfId="0">
      <alignment horizontal="right" vertical="center" wrapText="1"/>
    </xf>
    <xf numFmtId="4" fontId="198" fillId="122" borderId="54" applyAlignment="1" pivotButton="0" quotePrefix="0" xfId="0">
      <alignment horizontal="right" vertical="center" wrapText="1"/>
    </xf>
    <xf numFmtId="4" fontId="202" fillId="111" borderId="19" applyAlignment="1" pivotButton="0" quotePrefix="0" xfId="0">
      <alignment horizontal="right" vertical="center" wrapText="1"/>
    </xf>
    <xf numFmtId="4" fontId="198" fillId="152" borderId="19" applyAlignment="1" pivotButton="0" quotePrefix="0" xfId="0">
      <alignment horizontal="right" vertical="center" wrapText="1"/>
    </xf>
    <xf numFmtId="4" fontId="198" fillId="152" borderId="54" applyAlignment="1" pivotButton="0" quotePrefix="0" xfId="0">
      <alignment horizontal="right" vertical="center" wrapText="1"/>
    </xf>
    <xf numFmtId="4" fontId="198" fillId="147" borderId="54" applyAlignment="1" pivotButton="0" quotePrefix="0" xfId="0">
      <alignment horizontal="right" vertical="center" wrapText="1"/>
    </xf>
    <xf numFmtId="4" fontId="0" fillId="106" borderId="19" applyAlignment="1" pivotButton="0" quotePrefix="0" xfId="0">
      <alignment horizontal="right" vertical="center" wrapText="1"/>
    </xf>
    <xf numFmtId="4" fontId="0" fillId="94" borderId="19" applyAlignment="1" pivotButton="0" quotePrefix="0" xfId="0">
      <alignment horizontal="right" vertical="center" wrapText="1"/>
    </xf>
    <xf numFmtId="4" fontId="202" fillId="94" borderId="19" applyAlignment="1" pivotButton="0" quotePrefix="0" xfId="0">
      <alignment horizontal="right" vertical="center" wrapText="1"/>
    </xf>
    <xf numFmtId="4" fontId="0" fillId="58" borderId="19" applyAlignment="1" pivotButton="0" quotePrefix="0" xfId="0">
      <alignment horizontal="right" vertical="center" wrapText="1"/>
    </xf>
    <xf numFmtId="4" fontId="0" fillId="144" borderId="19" applyAlignment="1" pivotButton="0" quotePrefix="0" xfId="0">
      <alignment horizontal="right" vertical="center" wrapText="1"/>
    </xf>
    <xf numFmtId="4" fontId="0" fillId="0" borderId="19" applyAlignment="1" pivotButton="0" quotePrefix="0" xfId="0">
      <alignment horizontal="right" vertical="center" wrapText="1"/>
    </xf>
    <xf numFmtId="4" fontId="202" fillId="111" borderId="54" applyAlignment="1" pivotButton="0" quotePrefix="0" xfId="0">
      <alignment horizontal="right" vertical="center" wrapText="1"/>
    </xf>
    <xf numFmtId="4" fontId="0" fillId="147" borderId="54" applyAlignment="1" pivotButton="0" quotePrefix="0" xfId="0">
      <alignment horizontal="right" vertical="center" wrapText="1"/>
    </xf>
    <xf numFmtId="4" fontId="202" fillId="111" borderId="18" applyAlignment="1" pivotButton="0" quotePrefix="0" xfId="0">
      <alignment horizontal="right" vertical="center" wrapText="1"/>
    </xf>
    <xf numFmtId="4" fontId="207" fillId="153" borderId="0" applyAlignment="1" pivotButton="0" quotePrefix="0" xfId="0">
      <alignment horizontal="center" vertical="center" wrapText="1"/>
    </xf>
    <xf numFmtId="4" fontId="0" fillId="154" borderId="19" applyAlignment="1" pivotButton="0" quotePrefix="0" xfId="0">
      <alignment horizontal="right" vertical="center" wrapText="1"/>
    </xf>
    <xf numFmtId="4" fontId="199" fillId="110" borderId="19" applyAlignment="1" pivotButton="0" quotePrefix="0" xfId="0">
      <alignment horizontal="right" vertical="center" wrapText="1"/>
    </xf>
    <xf numFmtId="4" fontId="199" fillId="113" borderId="19" applyAlignment="1" pivotButton="0" quotePrefix="0" xfId="0">
      <alignment horizontal="right" vertical="center" wrapText="1"/>
    </xf>
    <xf numFmtId="4" fontId="0" fillId="115" borderId="19" applyAlignment="1" pivotButton="0" quotePrefix="0" xfId="0">
      <alignment horizontal="right" vertical="center" wrapText="1"/>
    </xf>
    <xf numFmtId="4" fontId="0" fillId="117" borderId="19" applyAlignment="1" pivotButton="0" quotePrefix="0" xfId="0">
      <alignment horizontal="right" vertical="center" wrapText="1"/>
    </xf>
    <xf numFmtId="4" fontId="199" fillId="113" borderId="54" applyAlignment="1" pivotButton="0" quotePrefix="0" xfId="0">
      <alignment horizontal="right" vertical="center" wrapText="1"/>
    </xf>
    <xf numFmtId="4" fontId="199" fillId="149" borderId="54" applyAlignment="1" pivotButton="0" quotePrefix="0" xfId="0">
      <alignment horizontal="right" vertical="center" wrapText="1"/>
    </xf>
    <xf numFmtId="4" fontId="0" fillId="0" borderId="0" applyAlignment="1" pivotButton="0" quotePrefix="0" xfId="0">
      <alignment horizontal="center" vertical="center" wrapText="1"/>
    </xf>
    <xf numFmtId="4" fontId="198" fillId="121" borderId="54" applyAlignment="1" pivotButton="0" quotePrefix="0" xfId="0">
      <alignment horizontal="right" vertical="center" wrapText="1"/>
    </xf>
    <xf numFmtId="4" fontId="198" fillId="94" borderId="19" applyAlignment="1" pivotButton="0" quotePrefix="0" xfId="0">
      <alignment horizontal="right" vertical="center" wrapText="1"/>
    </xf>
    <xf numFmtId="4" fontId="207" fillId="159" borderId="0" applyAlignment="1" pivotButton="0" quotePrefix="0" xfId="0">
      <alignment horizontal="center" vertical="center" wrapText="1"/>
    </xf>
    <xf numFmtId="0" fontId="207" fillId="159" borderId="0" applyAlignment="1" pivotButton="0" quotePrefix="0" xfId="0">
      <alignment vertical="center"/>
    </xf>
    <xf numFmtId="0" fontId="211" fillId="0" borderId="57" applyAlignment="1" pivotButton="0" quotePrefix="0" xfId="30294">
      <alignment horizontal="center" vertical="center"/>
    </xf>
    <xf numFmtId="0" fontId="211" fillId="0" borderId="59" applyAlignment="1" pivotButton="0" quotePrefix="0" xfId="30294">
      <alignment vertical="center"/>
    </xf>
    <xf numFmtId="0" fontId="211" fillId="0" borderId="59" applyAlignment="1" pivotButton="0" quotePrefix="0" xfId="30294">
      <alignment horizontal="center" vertical="center"/>
    </xf>
    <xf numFmtId="0" fontId="211" fillId="0" borderId="59" applyAlignment="1" pivotButton="0" quotePrefix="0" xfId="30294">
      <alignment horizontal="right" vertical="center"/>
    </xf>
    <xf numFmtId="3" fontId="207" fillId="111" borderId="19" applyAlignment="1" pivotButton="0" quotePrefix="0" xfId="0">
      <alignment horizontal="right" vertical="center"/>
    </xf>
    <xf numFmtId="3" fontId="207" fillId="111" borderId="19" applyAlignment="1" pivotButton="0" quotePrefix="0" xfId="0">
      <alignment horizontal="left" vertical="center"/>
    </xf>
    <xf numFmtId="0" fontId="207" fillId="94" borderId="54" applyAlignment="1" pivotButton="0" quotePrefix="0" xfId="0">
      <alignment vertical="center"/>
    </xf>
    <xf numFmtId="0" fontId="207" fillId="148" borderId="54" applyAlignment="1" pivotButton="0" quotePrefix="0" xfId="0">
      <alignment horizontal="left" vertical="center"/>
    </xf>
    <xf numFmtId="0" fontId="207" fillId="154" borderId="19" applyAlignment="1" pivotButton="0" quotePrefix="0" xfId="0">
      <alignment vertical="center"/>
    </xf>
    <xf numFmtId="0" fontId="207" fillId="110" borderId="19" applyAlignment="1" pivotButton="0" quotePrefix="0" xfId="0">
      <alignment horizontal="right" vertical="center"/>
    </xf>
    <xf numFmtId="3" fontId="207" fillId="113" borderId="19" applyAlignment="1" pivotButton="0" quotePrefix="0" xfId="0">
      <alignment horizontal="right" vertical="center"/>
    </xf>
    <xf numFmtId="0" fontId="207" fillId="115" borderId="19" applyAlignment="1" pivotButton="0" quotePrefix="0" xfId="0">
      <alignment horizontal="right" vertical="center"/>
    </xf>
    <xf numFmtId="0" fontId="207" fillId="117" borderId="19" applyAlignment="1" pivotButton="0" quotePrefix="0" xfId="0">
      <alignment horizontal="right" vertical="center"/>
    </xf>
    <xf numFmtId="3" fontId="207" fillId="113" borderId="54" applyAlignment="1" pivotButton="0" quotePrefix="0" xfId="0">
      <alignment horizontal="right" vertical="center"/>
    </xf>
    <xf numFmtId="3" fontId="207" fillId="149" borderId="54" applyAlignment="1" pivotButton="0" quotePrefix="0" xfId="0">
      <alignment horizontal="right" vertical="center"/>
    </xf>
    <xf numFmtId="4" fontId="198" fillId="144" borderId="54" applyAlignment="1" pivotButton="0" quotePrefix="0" xfId="0">
      <alignment horizontal="right" vertical="center" wrapText="1"/>
    </xf>
    <xf numFmtId="4" fontId="198" fillId="124" borderId="19" applyAlignment="1" pivotButton="0" quotePrefix="0" xfId="0">
      <alignment horizontal="right" vertical="center" wrapText="1"/>
    </xf>
    <xf numFmtId="4" fontId="198" fillId="147" borderId="19" applyAlignment="1" pivotButton="0" quotePrefix="0" xfId="0">
      <alignment horizontal="right" vertical="center" wrapText="1"/>
    </xf>
    <xf numFmtId="0" fontId="198" fillId="144" borderId="54" applyAlignment="1" pivotButton="0" quotePrefix="0" xfId="0">
      <alignment horizontal="left" vertical="center" wrapText="1"/>
    </xf>
    <xf numFmtId="0" fontId="198" fillId="106" borderId="54" applyAlignment="1" pivotButton="0" quotePrefix="0" xfId="0">
      <alignment horizontal="left" vertical="center"/>
    </xf>
    <xf numFmtId="0" fontId="198" fillId="160" borderId="54" applyAlignment="1" pivotButton="0" quotePrefix="0" xfId="0">
      <alignment horizontal="left" vertical="center"/>
    </xf>
    <xf numFmtId="4" fontId="198" fillId="58" borderId="19" applyAlignment="1" pivotButton="0" quotePrefix="0" xfId="0">
      <alignment horizontal="right" vertical="center" wrapText="1"/>
    </xf>
    <xf numFmtId="2" fontId="164" fillId="84" borderId="0" pivotButton="0" quotePrefix="0" xfId="27723"/>
    <xf numFmtId="0" fontId="0" fillId="152" borderId="19" applyAlignment="1" pivotButton="0" quotePrefix="0" xfId="0">
      <alignment horizontal="center" vertical="center"/>
    </xf>
    <xf numFmtId="0" fontId="0" fillId="152" borderId="54" applyAlignment="1" pivotButton="0" quotePrefix="0" xfId="0">
      <alignment horizontal="center" vertical="center"/>
    </xf>
    <xf numFmtId="0" fontId="207" fillId="152" borderId="19" applyAlignment="1" pivotButton="0" quotePrefix="0" xfId="0">
      <alignment horizontal="center" vertical="center"/>
    </xf>
    <xf numFmtId="0" fontId="207" fillId="152" borderId="54" applyAlignment="1" pivotButton="0" quotePrefix="0" xfId="0">
      <alignment horizontal="center" vertical="center"/>
    </xf>
    <xf numFmtId="0" fontId="198" fillId="160" borderId="54" applyAlignment="1" pivotButton="0" quotePrefix="0" xfId="0">
      <alignment horizontal="left" vertical="center" wrapText="1"/>
    </xf>
    <xf numFmtId="0" fontId="0" fillId="161" borderId="19" applyAlignment="1" pivotButton="0" quotePrefix="0" xfId="0">
      <alignment horizontal="center" vertical="center" wrapText="1"/>
    </xf>
    <xf numFmtId="0" fontId="0" fillId="161" borderId="54" applyAlignment="1" pivotButton="0" quotePrefix="0" xfId="0">
      <alignment horizontal="center" vertical="center" wrapText="1"/>
    </xf>
    <xf numFmtId="0" fontId="207" fillId="161" borderId="54" applyAlignment="1" pivotButton="0" quotePrefix="0" xfId="0">
      <alignment horizontal="center" vertical="center" wrapText="1"/>
    </xf>
    <xf numFmtId="0" fontId="0" fillId="143" borderId="54" applyAlignment="1" pivotButton="0" quotePrefix="0" xfId="0">
      <alignment horizontal="center" vertical="center"/>
    </xf>
    <xf numFmtId="0" fontId="207" fillId="162" borderId="19" applyAlignment="1" pivotButton="0" quotePrefix="0" xfId="30294">
      <alignment horizontal="left" vertical="center"/>
    </xf>
    <xf numFmtId="0" fontId="207" fillId="162" borderId="19" applyAlignment="1" pivotButton="0" quotePrefix="0" xfId="0">
      <alignment horizontal="left" vertical="center"/>
    </xf>
    <xf numFmtId="0" fontId="207" fillId="162" borderId="19" applyAlignment="1" pivotButton="0" quotePrefix="0" xfId="0">
      <alignment horizontal="center" vertical="center"/>
    </xf>
    <xf numFmtId="0" fontId="207" fillId="163" borderId="19" applyAlignment="1" pivotButton="0" quotePrefix="0" xfId="0">
      <alignment horizontal="center" vertical="center"/>
    </xf>
    <xf numFmtId="4" fontId="198" fillId="164" borderId="19" applyAlignment="1" pivotButton="0" quotePrefix="0" xfId="0">
      <alignment horizontal="right" vertical="center" wrapText="1"/>
    </xf>
    <xf numFmtId="4" fontId="198" fillId="124" borderId="54" applyAlignment="1" pivotButton="0" quotePrefix="0" xfId="0">
      <alignment horizontal="right" vertical="center" wrapText="1"/>
    </xf>
    <xf numFmtId="0" fontId="207" fillId="162" borderId="56" applyAlignment="1" pivotButton="0" quotePrefix="0" xfId="30294">
      <alignment horizontal="center" vertical="center"/>
    </xf>
    <xf numFmtId="14" fontId="207" fillId="162" borderId="54" applyAlignment="1" pivotButton="0" quotePrefix="0" xfId="30294">
      <alignment horizontal="center" vertical="center"/>
    </xf>
    <xf numFmtId="0" fontId="207" fillId="162" borderId="54" applyAlignment="1" pivotButton="0" quotePrefix="0" xfId="30294">
      <alignment vertical="center"/>
    </xf>
    <xf numFmtId="0" fontId="207" fillId="162" borderId="54" applyAlignment="1" pivotButton="0" quotePrefix="0" xfId="30294">
      <alignment horizontal="center" vertical="center"/>
    </xf>
    <xf numFmtId="0" fontId="207" fillId="162" borderId="54" applyAlignment="1" pivotButton="0" quotePrefix="0" xfId="30294">
      <alignment horizontal="right" vertical="center"/>
    </xf>
    <xf numFmtId="0" fontId="199" fillId="165" borderId="54" applyAlignment="1" pivotButton="0" quotePrefix="0" xfId="30294">
      <alignment horizontal="center" vertical="center"/>
    </xf>
    <xf numFmtId="14" fontId="211" fillId="0" borderId="59" applyAlignment="1" pivotButton="0" quotePrefix="0" xfId="30294">
      <alignment horizontal="center" vertical="center"/>
    </xf>
    <xf numFmtId="0" fontId="207" fillId="166" borderId="54" applyAlignment="1" pivotButton="0" quotePrefix="0" xfId="30294">
      <alignment horizontal="left" vertical="center"/>
    </xf>
    <xf numFmtId="0" fontId="207" fillId="166" borderId="54" applyAlignment="1" pivotButton="0" quotePrefix="0" xfId="30294">
      <alignment horizontal="left" vertical="center" wrapText="1"/>
    </xf>
    <xf numFmtId="0" fontId="207" fillId="162" borderId="19" applyAlignment="1" pivotButton="0" quotePrefix="0" xfId="0">
      <alignment vertical="center"/>
    </xf>
    <xf numFmtId="0" fontId="198" fillId="163" borderId="19" applyAlignment="1" pivotButton="0" quotePrefix="0" xfId="0">
      <alignment horizontal="left" vertical="center" wrapText="1"/>
    </xf>
    <xf numFmtId="0" fontId="198" fillId="163" borderId="19" applyAlignment="1" pivotButton="0" quotePrefix="0" xfId="0">
      <alignment horizontal="left" vertical="center"/>
    </xf>
    <xf numFmtId="165" fontId="198" fillId="163" borderId="19" applyAlignment="1" pivotButton="0" quotePrefix="0" xfId="0">
      <alignment horizontal="center" vertical="center" wrapText="1"/>
    </xf>
    <xf numFmtId="4" fontId="198" fillId="163" borderId="19" applyAlignment="1" pivotButton="0" quotePrefix="0" xfId="0">
      <alignment horizontal="right" vertical="center" wrapText="1"/>
    </xf>
    <xf numFmtId="0" fontId="198" fillId="152" borderId="54" applyAlignment="1" pivotButton="0" quotePrefix="0" xfId="0">
      <alignment horizontal="left" vertical="center"/>
    </xf>
    <xf numFmtId="0" fontId="199" fillId="0" borderId="54" applyAlignment="1" pivotButton="0" quotePrefix="0" xfId="30294">
      <alignment horizontal="center" vertical="center"/>
    </xf>
    <xf numFmtId="0" fontId="199" fillId="0" borderId="58" applyAlignment="1" pivotButton="0" quotePrefix="0" xfId="30294">
      <alignment horizontal="center" vertical="center"/>
    </xf>
    <xf numFmtId="0" fontId="199" fillId="167" borderId="50" applyAlignment="1" pivotButton="0" quotePrefix="0" xfId="30294">
      <alignment horizontal="center" vertical="top" wrapText="1"/>
    </xf>
    <xf numFmtId="0" fontId="206" fillId="167" borderId="50" applyAlignment="1" pivotButton="0" quotePrefix="0" xfId="30294">
      <alignment horizontal="center" vertical="top" wrapText="1"/>
    </xf>
    <xf numFmtId="0" fontId="213" fillId="0" borderId="54" applyAlignment="1" pivotButton="0" quotePrefix="0" xfId="30294">
      <alignment horizontal="center" vertical="center"/>
    </xf>
    <xf numFmtId="0" fontId="0" fillId="0" borderId="59" applyAlignment="1" pivotButton="0" quotePrefix="0" xfId="30294">
      <alignment horizontal="left" vertical="center"/>
    </xf>
    <xf numFmtId="0" fontId="207" fillId="0" borderId="59" applyAlignment="1" pivotButton="0" quotePrefix="0" xfId="30294">
      <alignment horizontal="left" vertical="center"/>
    </xf>
    <xf numFmtId="0" fontId="213" fillId="0" borderId="59" applyAlignment="1" pivotButton="0" quotePrefix="0" xfId="30294">
      <alignment horizontal="center" vertical="center"/>
    </xf>
    <xf numFmtId="0" fontId="199" fillId="0" borderId="59" applyAlignment="1" pivotButton="0" quotePrefix="0" xfId="30294">
      <alignment horizontal="center" vertical="center"/>
    </xf>
    <xf numFmtId="0" fontId="199" fillId="0" borderId="55" applyAlignment="1" pivotButton="0" quotePrefix="0" xfId="30294">
      <alignment horizontal="center" vertical="center"/>
    </xf>
    <xf numFmtId="0" fontId="216" fillId="0" borderId="54" applyAlignment="1" pivotButton="0" quotePrefix="0" xfId="30294">
      <alignment horizontal="center" vertical="center"/>
    </xf>
    <xf numFmtId="0" fontId="210" fillId="0" borderId="54" applyAlignment="1" pivotButton="0" quotePrefix="0" xfId="30294">
      <alignment horizontal="center" vertical="center"/>
    </xf>
    <xf numFmtId="0" fontId="210" fillId="0" borderId="58" applyAlignment="1" pivotButton="0" quotePrefix="0" xfId="30294">
      <alignment horizontal="center" vertical="center"/>
    </xf>
    <xf numFmtId="0" fontId="211" fillId="0" borderId="59" applyAlignment="1" pivotButton="0" quotePrefix="0" xfId="30294">
      <alignment horizontal="left" vertical="center"/>
    </xf>
    <xf numFmtId="0" fontId="210" fillId="0" borderId="59" applyAlignment="1" pivotButton="0" quotePrefix="0" xfId="30294">
      <alignment horizontal="center" vertical="center"/>
    </xf>
    <xf numFmtId="0" fontId="210" fillId="0" borderId="55" applyAlignment="1" pivotButton="0" quotePrefix="0" xfId="30294">
      <alignment horizontal="center" vertical="center"/>
    </xf>
    <xf numFmtId="0" fontId="207" fillId="145" borderId="54" applyAlignment="1" pivotButton="0" quotePrefix="0" xfId="30294">
      <alignment horizontal="left" vertical="center" wrapText="1"/>
    </xf>
    <xf numFmtId="0" fontId="207" fillId="145" borderId="54" applyAlignment="1" pivotButton="0" quotePrefix="0" xfId="30294">
      <alignment vertical="center" wrapText="1"/>
    </xf>
    <xf numFmtId="0" fontId="207" fillId="0" borderId="19" applyAlignment="1" pivotButton="0" quotePrefix="0" xfId="0">
      <alignment horizontal="center" vertical="center" wrapText="1"/>
    </xf>
    <xf numFmtId="0" fontId="207" fillId="0" borderId="54" applyAlignment="1" pivotButton="0" quotePrefix="0" xfId="0">
      <alignment horizontal="center" vertical="center" wrapText="1"/>
    </xf>
    <xf numFmtId="165" fontId="198" fillId="152" borderId="19" applyAlignment="1" pivotButton="0" quotePrefix="0" xfId="0">
      <alignment horizontal="center" vertical="center" wrapText="1"/>
    </xf>
    <xf numFmtId="0" fontId="198" fillId="152" borderId="19" applyAlignment="1" pivotButton="0" quotePrefix="0" xfId="0">
      <alignment horizontal="left" vertical="center" wrapText="1"/>
    </xf>
    <xf numFmtId="0" fontId="198" fillId="152" borderId="19" applyAlignment="1" pivotButton="0" quotePrefix="0" xfId="0">
      <alignment horizontal="left" vertical="center"/>
    </xf>
    <xf numFmtId="165" fontId="198" fillId="147" borderId="54" applyAlignment="1" pivotButton="0" quotePrefix="0" xfId="0">
      <alignment horizontal="center" vertical="center" wrapText="1"/>
    </xf>
    <xf numFmtId="0" fontId="0" fillId="145" borderId="0" applyAlignment="1" pivotButton="0" quotePrefix="0" xfId="0">
      <alignment vertical="center"/>
    </xf>
    <xf numFmtId="0" fontId="207" fillId="0" borderId="54" applyAlignment="1" pivotButton="0" quotePrefix="0" xfId="30294">
      <alignment vertical="center" wrapText="1"/>
    </xf>
    <xf numFmtId="0" fontId="211" fillId="145" borderId="59" applyAlignment="1" pivotButton="0" quotePrefix="0" xfId="30294">
      <alignment horizontal="left" vertical="center"/>
    </xf>
    <xf numFmtId="0" fontId="207" fillId="145" borderId="59" applyAlignment="1" pivotButton="0" quotePrefix="0" xfId="30294">
      <alignment vertical="center"/>
    </xf>
    <xf numFmtId="0" fontId="210" fillId="127" borderId="59" applyAlignment="1" pivotButton="0" quotePrefix="0" xfId="30294">
      <alignment horizontal="center" vertical="center"/>
    </xf>
    <xf numFmtId="166" fontId="199" fillId="101" borderId="51" applyAlignment="1" applyProtection="1" pivotButton="0" quotePrefix="0" xfId="0">
      <alignment horizontal="center" vertical="top"/>
      <protection locked="0" hidden="0"/>
    </xf>
    <xf numFmtId="166" fontId="199" fillId="101" borderId="13" applyAlignment="1" applyProtection="1" pivotButton="0" quotePrefix="0" xfId="0">
      <alignment horizontal="center" vertical="top"/>
      <protection locked="0" hidden="0"/>
    </xf>
    <xf numFmtId="166" fontId="199" fillId="101" borderId="38" applyAlignment="1" applyProtection="1" pivotButton="0" quotePrefix="0" xfId="0">
      <alignment horizontal="center" vertical="top"/>
      <protection locked="0" hidden="0"/>
    </xf>
    <xf numFmtId="0" fontId="199" fillId="102" borderId="50" applyAlignment="1" applyProtection="1" pivotButton="0" quotePrefix="0" xfId="0">
      <alignment horizontal="center" vertical="top"/>
      <protection locked="0" hidden="0"/>
    </xf>
    <xf numFmtId="166" fontId="199" fillId="97" borderId="58" applyAlignment="1" applyProtection="1" pivotButton="0" quotePrefix="0" xfId="0">
      <alignment horizontal="center" vertical="top"/>
      <protection locked="0" hidden="0"/>
    </xf>
    <xf numFmtId="166" fontId="199" fillId="97" borderId="21" applyAlignment="1" applyProtection="1" pivotButton="0" quotePrefix="0" xfId="0">
      <alignment horizontal="center" vertical="top"/>
      <protection locked="0" hidden="0"/>
    </xf>
    <xf numFmtId="166" fontId="199" fillId="97" borderId="56" applyAlignment="1" applyProtection="1" pivotButton="0" quotePrefix="0" xfId="0">
      <alignment horizontal="center" vertical="top"/>
      <protection locked="0" hidden="0"/>
    </xf>
    <xf numFmtId="164" fontId="212" fillId="88" borderId="59" applyAlignment="1" pivotButton="0" quotePrefix="0" xfId="25429">
      <alignment horizontal="center" vertical="top" wrapText="1"/>
    </xf>
    <xf numFmtId="164" fontId="212" fillId="88" borderId="50" applyAlignment="1" pivotButton="0" quotePrefix="0" xfId="25429">
      <alignment horizontal="center" vertical="top" wrapText="1"/>
    </xf>
    <xf numFmtId="0" fontId="199" fillId="137" borderId="59" applyAlignment="1" applyProtection="1" pivotButton="0" quotePrefix="0" xfId="0">
      <alignment horizontal="center" vertical="top"/>
      <protection locked="0" hidden="0"/>
    </xf>
    <xf numFmtId="0" fontId="199" fillId="137" borderId="50" applyAlignment="1" applyProtection="1" pivotButton="0" quotePrefix="0" xfId="0">
      <alignment horizontal="center" vertical="top"/>
      <protection locked="0" hidden="0"/>
    </xf>
    <xf numFmtId="166" fontId="199" fillId="136" borderId="59" applyAlignment="1" applyProtection="1" pivotButton="0" quotePrefix="0" xfId="0">
      <alignment horizontal="center" vertical="top"/>
      <protection locked="0" hidden="0"/>
    </xf>
    <xf numFmtId="166" fontId="199" fillId="136" borderId="50" applyAlignment="1" applyProtection="1" pivotButton="0" quotePrefix="0" xfId="0">
      <alignment horizontal="center" vertical="top"/>
      <protection locked="0" hidden="0"/>
    </xf>
    <xf numFmtId="0" fontId="199" fillId="98" borderId="54" applyAlignment="1" applyProtection="1" pivotButton="0" quotePrefix="0" xfId="0">
      <alignment horizontal="center" vertical="top"/>
      <protection locked="0" hidden="0"/>
    </xf>
    <xf numFmtId="0" fontId="199" fillId="0" borderId="18" applyAlignment="1" pivotButton="0" quotePrefix="0" xfId="0">
      <alignment horizontal="center" vertical="top"/>
    </xf>
    <xf numFmtId="0" fontId="199" fillId="0" borderId="50" applyAlignment="1" pivotButton="0" quotePrefix="0" xfId="0">
      <alignment horizontal="center" vertical="top"/>
    </xf>
    <xf numFmtId="0" fontId="199" fillId="0" borderId="18" applyAlignment="1" pivotButton="0" quotePrefix="0" xfId="0">
      <alignment horizontal="center" vertical="top" wrapText="1"/>
    </xf>
    <xf numFmtId="0" fontId="199" fillId="0" borderId="50" applyAlignment="1" pivotButton="0" quotePrefix="0" xfId="0">
      <alignment horizontal="center" vertical="top" wrapText="1"/>
    </xf>
    <xf numFmtId="0" fontId="199" fillId="0" borderId="19" applyAlignment="1" pivotButton="0" quotePrefix="0" xfId="0">
      <alignment horizontal="center" vertical="top"/>
    </xf>
    <xf numFmtId="0" fontId="199" fillId="93" borderId="19" applyAlignment="1" pivotButton="0" quotePrefix="0" xfId="0">
      <alignment horizontal="center" vertical="top" wrapText="1"/>
    </xf>
    <xf numFmtId="0" fontId="199" fillId="0" borderId="19" applyAlignment="1" pivotButton="0" quotePrefix="0" xfId="0">
      <alignment horizontal="center" vertical="top" wrapText="1"/>
    </xf>
    <xf numFmtId="0" fontId="0" fillId="135" borderId="59" applyAlignment="1" pivotButton="0" quotePrefix="0" xfId="0">
      <alignment horizontal="center" vertical="top"/>
    </xf>
    <xf numFmtId="0" fontId="0" fillId="135" borderId="50" applyAlignment="1" pivotButton="0" quotePrefix="0" xfId="0">
      <alignment horizontal="center" vertical="top"/>
    </xf>
    <xf numFmtId="0" fontId="199" fillId="90" borderId="54" applyAlignment="1" applyProtection="1" pivotButton="0" quotePrefix="0" xfId="0">
      <alignment horizontal="center" vertical="top"/>
      <protection locked="0" hidden="0"/>
    </xf>
    <xf numFmtId="0" fontId="199" fillId="91" borderId="58" applyAlignment="1" applyProtection="1" pivotButton="0" quotePrefix="0" xfId="0">
      <alignment horizontal="center" vertical="top"/>
      <protection locked="0" hidden="0"/>
    </xf>
    <xf numFmtId="0" fontId="199" fillId="91" borderId="21" applyAlignment="1" applyProtection="1" pivotButton="0" quotePrefix="0" xfId="0">
      <alignment horizontal="center" vertical="top"/>
      <protection locked="0" hidden="0"/>
    </xf>
    <xf numFmtId="0" fontId="199" fillId="91" borderId="56" applyAlignment="1" applyProtection="1" pivotButton="0" quotePrefix="0" xfId="0">
      <alignment horizontal="center" vertical="top"/>
      <protection locked="0" hidden="0"/>
    </xf>
    <xf numFmtId="0" fontId="199" fillId="92" borderId="54" applyAlignment="1" applyProtection="1" pivotButton="0" quotePrefix="0" xfId="0">
      <alignment horizontal="center" vertical="top"/>
      <protection locked="0" hidden="0"/>
    </xf>
    <xf numFmtId="166" fontId="199" fillId="99" borderId="58" applyAlignment="1" applyProtection="1" pivotButton="0" quotePrefix="0" xfId="0">
      <alignment horizontal="center" vertical="top"/>
      <protection locked="0" hidden="0"/>
    </xf>
    <xf numFmtId="166" fontId="199" fillId="99" borderId="21" applyAlignment="1" applyProtection="1" pivotButton="0" quotePrefix="0" xfId="0">
      <alignment horizontal="center" vertical="top"/>
      <protection locked="0" hidden="0"/>
    </xf>
    <xf numFmtId="166" fontId="199" fillId="99" borderId="56" applyAlignment="1" applyProtection="1" pivotButton="0" quotePrefix="0" xfId="0">
      <alignment horizontal="center" vertical="top"/>
      <protection locked="0" hidden="0"/>
    </xf>
    <xf numFmtId="164" fontId="201" fillId="88" borderId="59" applyAlignment="1" pivotButton="0" quotePrefix="0" xfId="25429">
      <alignment horizontal="center" vertical="top" wrapText="1"/>
    </xf>
    <xf numFmtId="164" fontId="201" fillId="88" borderId="50" applyAlignment="1" pivotButton="0" quotePrefix="0" xfId="25429">
      <alignment horizontal="center" vertical="top" wrapText="1"/>
    </xf>
    <xf numFmtId="0" fontId="199" fillId="100" borderId="19" applyAlignment="1" applyProtection="1" pivotButton="0" quotePrefix="0" xfId="0">
      <alignment horizontal="center" vertical="top"/>
      <protection locked="0" hidden="0"/>
    </xf>
    <xf numFmtId="164" fontId="203" fillId="88" borderId="59" applyAlignment="1" pivotButton="0" quotePrefix="0" xfId="25429">
      <alignment horizontal="center" vertical="top" wrapText="1"/>
    </xf>
    <xf numFmtId="164" fontId="203" fillId="88" borderId="50" applyAlignment="1" pivotButton="0" quotePrefix="0" xfId="25429">
      <alignment horizontal="center" vertical="top" wrapText="1"/>
    </xf>
    <xf numFmtId="4" fontId="199" fillId="0" borderId="19" applyAlignment="1" pivotButton="0" quotePrefix="0" xfId="0">
      <alignment horizontal="center" vertical="top" wrapText="1"/>
    </xf>
    <xf numFmtId="0" fontId="199" fillId="90" borderId="58" applyAlignment="1" applyProtection="1" pivotButton="0" quotePrefix="0" xfId="0">
      <alignment horizontal="center" vertical="top"/>
      <protection locked="0" hidden="0"/>
    </xf>
    <xf numFmtId="0" fontId="199" fillId="90" borderId="21" applyAlignment="1" applyProtection="1" pivotButton="0" quotePrefix="0" xfId="0">
      <alignment horizontal="center" vertical="top"/>
      <protection locked="0" hidden="0"/>
    </xf>
    <xf numFmtId="0" fontId="199" fillId="90" borderId="56" applyAlignment="1" applyProtection="1" pivotButton="0" quotePrefix="0" xfId="0">
      <alignment horizontal="center" vertical="top"/>
      <protection locked="0" hidden="0"/>
    </xf>
    <xf numFmtId="166" fontId="199" fillId="95" borderId="19" applyAlignment="1" pivotButton="0" quotePrefix="0" xfId="30294">
      <alignment horizontal="center" vertical="center" wrapText="1"/>
    </xf>
    <xf numFmtId="0" fontId="199" fillId="96" borderId="19" applyAlignment="1" pivotButton="0" quotePrefix="0" xfId="30294">
      <alignment horizontal="center" vertical="center" wrapText="1"/>
    </xf>
    <xf numFmtId="0" fontId="204" fillId="79" borderId="19" applyAlignment="1" pivotButton="0" quotePrefix="0" xfId="30294">
      <alignment horizontal="center" vertical="center"/>
    </xf>
    <xf numFmtId="0" fontId="199" fillId="89" borderId="19" applyAlignment="1" pivotButton="0" quotePrefix="0" xfId="30294">
      <alignment horizontal="center" vertical="center" wrapText="1"/>
    </xf>
    <xf numFmtId="0" fontId="0" fillId="0" borderId="15" applyAlignment="1" pivotButton="0" quotePrefix="0" xfId="0">
      <alignment horizontal="right" vertical="center"/>
    </xf>
    <xf numFmtId="0" fontId="0" fillId="0" borderId="21" applyAlignment="1" pivotButton="0" quotePrefix="0" xfId="0">
      <alignment horizontal="right" vertical="center"/>
    </xf>
    <xf numFmtId="0" fontId="0" fillId="0" borderId="49" applyAlignment="1" pivotButton="0" quotePrefix="0" xfId="0">
      <alignment horizontal="right" vertical="center"/>
    </xf>
    <xf numFmtId="49" fontId="199" fillId="95" borderId="19" applyAlignment="1" pivotButton="0" quotePrefix="0" xfId="30294">
      <alignment horizontal="center" vertical="center" wrapText="1"/>
    </xf>
    <xf numFmtId="0" fontId="205" fillId="0" borderId="18" applyAlignment="1" pivotButton="0" quotePrefix="0" xfId="0">
      <alignment horizontal="right" vertical="center"/>
    </xf>
    <xf numFmtId="0" fontId="205" fillId="0" borderId="18" applyAlignment="1" pivotButton="0" quotePrefix="0" xfId="0">
      <alignment horizontal="center" vertical="center"/>
    </xf>
    <xf numFmtId="0" fontId="205" fillId="105" borderId="18" applyAlignment="1" pivotButton="0" quotePrefix="0" xfId="0">
      <alignment horizontal="center" vertical="center"/>
    </xf>
    <xf numFmtId="0" fontId="199" fillId="0" borderId="54" applyAlignment="1" pivotButton="0" quotePrefix="0" xfId="0">
      <alignment horizontal="center" vertical="center"/>
    </xf>
    <xf numFmtId="166" fontId="199" fillId="97" borderId="19" applyAlignment="1" applyProtection="1" pivotButton="0" quotePrefix="0" xfId="0">
      <alignment horizontal="center" vertical="top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7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0" fontId="199" fillId="91" borderId="19" applyAlignment="1" applyProtection="1" pivotButton="0" quotePrefix="0" xfId="0">
      <alignment horizontal="center" vertical="top"/>
      <protection locked="0" hidden="0"/>
    </xf>
    <xf numFmtId="0" fontId="0" fillId="135" borderId="54" applyAlignment="1" pivotButton="0" quotePrefix="0" xfId="0">
      <alignment horizontal="center" vertical="top"/>
    </xf>
    <xf numFmtId="164" fontId="212" fillId="88" borderId="54" applyAlignment="1" pivotButton="0" quotePrefix="0" xfId="25429">
      <alignment horizontal="center" vertical="top" wrapText="1"/>
    </xf>
    <xf numFmtId="166" fontId="199" fillId="136" borderId="54" applyAlignment="1" applyProtection="1" pivotButton="0" quotePrefix="0" xfId="0">
      <alignment horizontal="center" vertical="top"/>
      <protection locked="0" hidden="0"/>
    </xf>
    <xf numFmtId="0" fontId="199" fillId="137" borderId="54" applyAlignment="1" applyProtection="1" pivotButton="0" quotePrefix="0" xfId="0">
      <alignment horizontal="center" vertical="top"/>
      <protection locked="0" hidden="0"/>
    </xf>
    <xf numFmtId="166" fontId="199" fillId="99" borderId="19" applyAlignment="1" applyProtection="1" pivotButton="0" quotePrefix="0" xfId="0">
      <alignment horizontal="center" vertical="top"/>
      <protection locked="0" hidden="0"/>
    </xf>
    <xf numFmtId="164" fontId="201" fillId="88" borderId="54" applyAlignment="1" pivotButton="0" quotePrefix="0" xfId="25429">
      <alignment horizontal="center" vertical="top" wrapText="1"/>
    </xf>
    <xf numFmtId="166" fontId="199" fillId="101" borderId="50" applyAlignment="1" applyProtection="1" pivotButton="0" quotePrefix="0" xfId="0">
      <alignment horizontal="center" vertical="top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0" fillId="0" borderId="50" pivotButton="0" quotePrefix="0" xfId="0"/>
    <xf numFmtId="0" fontId="0" fillId="0" borderId="63" pivotButton="0" quotePrefix="0" xfId="0"/>
    <xf numFmtId="0" fontId="0" fillId="0" borderId="63" applyProtection="1" pivotButton="0" quotePrefix="0" xfId="0">
      <protection locked="0" hidden="0"/>
    </xf>
    <xf numFmtId="165" fontId="0" fillId="0" borderId="19" applyAlignment="1" pivotButton="0" quotePrefix="0" xfId="0">
      <alignment horizontal="right" vertical="center" wrapText="1"/>
    </xf>
    <xf numFmtId="165" fontId="0" fillId="0" borderId="19" applyAlignment="1" pivotButton="0" quotePrefix="0" xfId="0">
      <alignment horizontal="center" vertical="center" wrapText="1"/>
    </xf>
    <xf numFmtId="165" fontId="198" fillId="94" borderId="19" applyAlignment="1" pivotButton="0" quotePrefix="0" xfId="0">
      <alignment horizontal="center" vertical="center" wrapText="1"/>
    </xf>
    <xf numFmtId="164" fontId="201" fillId="88" borderId="19" applyAlignment="1" pivotButton="0" quotePrefix="0" xfId="25429">
      <alignment vertical="center" wrapText="1"/>
    </xf>
    <xf numFmtId="164" fontId="212" fillId="88" borderId="54" applyAlignment="1" pivotButton="0" quotePrefix="0" xfId="25429">
      <alignment horizontal="center" vertical="center" wrapText="1"/>
    </xf>
    <xf numFmtId="164" fontId="201" fillId="107" borderId="19" applyAlignment="1" pivotButton="0" quotePrefix="0" xfId="25429">
      <alignment horizontal="center" vertical="center"/>
    </xf>
    <xf numFmtId="164" fontId="201" fillId="107" borderId="19" applyAlignment="1" pivotButton="0" quotePrefix="0" xfId="25429">
      <alignment vertical="center"/>
    </xf>
    <xf numFmtId="164" fontId="201" fillId="0" borderId="19" applyAlignment="1" pivotButton="0" quotePrefix="0" xfId="25429">
      <alignment horizontal="center" vertical="center" wrapText="1"/>
    </xf>
    <xf numFmtId="164" fontId="201" fillId="0" borderId="19" applyAlignment="1" pivotButton="0" quotePrefix="0" xfId="25429">
      <alignment vertical="center" wrapText="1"/>
    </xf>
    <xf numFmtId="164" fontId="201" fillId="105" borderId="19" applyAlignment="1" pivotButton="0" quotePrefix="0" xfId="25429">
      <alignment horizontal="center" vertical="center" wrapText="1"/>
    </xf>
    <xf numFmtId="164" fontId="201" fillId="105" borderId="19" applyAlignment="1" pivotButton="0" quotePrefix="0" xfId="25429">
      <alignment vertical="center" wrapText="1"/>
    </xf>
    <xf numFmtId="164" fontId="201" fillId="88" borderId="54" applyAlignment="1" pivotButton="0" quotePrefix="0" xfId="25429">
      <alignment horizontal="center" vertical="center"/>
    </xf>
    <xf numFmtId="165" fontId="202" fillId="0" borderId="19" applyAlignment="1" pivotButton="0" quotePrefix="0" xfId="0">
      <alignment horizontal="right" vertical="center" wrapText="1"/>
    </xf>
    <xf numFmtId="164" fontId="201" fillId="107" borderId="19" applyAlignment="1" pivotButton="0" quotePrefix="0" xfId="25429">
      <alignment horizontal="center" vertical="center" wrapText="1"/>
    </xf>
    <xf numFmtId="164" fontId="201" fillId="107" borderId="19" applyAlignment="1" pivotButton="0" quotePrefix="0" xfId="25429">
      <alignment vertical="center" wrapText="1"/>
    </xf>
    <xf numFmtId="164" fontId="201" fillId="88" borderId="54" applyAlignment="1" pivotButton="0" quotePrefix="0" xfId="25429">
      <alignment horizontal="center" vertical="center" wrapText="1"/>
    </xf>
    <xf numFmtId="164" fontId="203" fillId="88" borderId="19" applyAlignment="1" pivotButton="0" quotePrefix="0" xfId="25429">
      <alignment horizontal="right" vertical="center" wrapText="1"/>
    </xf>
    <xf numFmtId="164" fontId="203" fillId="88" borderId="19" applyAlignment="1" pivotButton="0" quotePrefix="0" xfId="25429">
      <alignment vertical="center" wrapText="1"/>
    </xf>
    <xf numFmtId="164" fontId="203" fillId="88" borderId="54" applyAlignment="1" pivotButton="0" quotePrefix="0" xfId="25429">
      <alignment horizontal="right" vertical="center" wrapText="1"/>
    </xf>
    <xf numFmtId="164" fontId="203" fillId="88" borderId="54" applyAlignment="1" pivotButton="0" quotePrefix="0" xfId="25429">
      <alignment vertical="center" wrapText="1"/>
    </xf>
    <xf numFmtId="165" fontId="0" fillId="0" borderId="54" applyAlignment="1" pivotButton="0" quotePrefix="0" xfId="0">
      <alignment horizontal="right" vertical="center" wrapText="1"/>
    </xf>
    <xf numFmtId="164" fontId="201" fillId="88" borderId="54" applyAlignment="1" pivotButton="0" quotePrefix="0" xfId="25429">
      <alignment vertical="center" wrapText="1"/>
    </xf>
    <xf numFmtId="164" fontId="201" fillId="107" borderId="54" applyAlignment="1" pivotButton="0" quotePrefix="0" xfId="25429">
      <alignment horizontal="center" vertical="center"/>
    </xf>
    <xf numFmtId="164" fontId="201" fillId="107" borderId="54" applyAlignment="1" pivotButton="0" quotePrefix="0" xfId="25429">
      <alignment vertical="center"/>
    </xf>
    <xf numFmtId="164" fontId="201" fillId="0" borderId="54" applyAlignment="1" pivotButton="0" quotePrefix="0" xfId="25429">
      <alignment horizontal="center" vertical="center" wrapText="1"/>
    </xf>
    <xf numFmtId="164" fontId="201" fillId="0" borderId="54" applyAlignment="1" pivotButton="0" quotePrefix="0" xfId="25429">
      <alignment vertical="center" wrapText="1"/>
    </xf>
    <xf numFmtId="164" fontId="201" fillId="105" borderId="54" applyAlignment="1" pivotButton="0" quotePrefix="0" xfId="25429">
      <alignment horizontal="center" vertical="center" wrapText="1"/>
    </xf>
    <xf numFmtId="164" fontId="201" fillId="105" borderId="54" applyAlignment="1" pivotButton="0" quotePrefix="0" xfId="25429">
      <alignment vertical="center" wrapText="1"/>
    </xf>
    <xf numFmtId="165" fontId="0" fillId="94" borderId="19" applyAlignment="1" pivotButton="0" quotePrefix="0" xfId="0">
      <alignment horizontal="right" vertical="center" wrapText="1"/>
    </xf>
    <xf numFmtId="165" fontId="202" fillId="94" borderId="19" applyAlignment="1" pivotButton="0" quotePrefix="0" xfId="0">
      <alignment horizontal="right" vertical="center" wrapText="1"/>
    </xf>
    <xf numFmtId="164" fontId="202" fillId="111" borderId="18" applyAlignment="1" pivotButton="0" quotePrefix="0" xfId="0">
      <alignment horizontal="right" vertical="center" wrapText="1"/>
    </xf>
    <xf numFmtId="164" fontId="199" fillId="111" borderId="19" applyAlignment="1" pivotButton="0" quotePrefix="0" xfId="0">
      <alignment horizontal="right" vertical="center" wrapText="1"/>
    </xf>
    <xf numFmtId="164" fontId="0" fillId="154" borderId="19" applyAlignment="1" pivotButton="0" quotePrefix="0" xfId="0">
      <alignment horizontal="right" vertical="center" wrapText="1"/>
    </xf>
    <xf numFmtId="164" fontId="210" fillId="154" borderId="54" applyAlignment="1" pivotButton="0" quotePrefix="0" xfId="0">
      <alignment horizontal="center" vertical="center" wrapText="1"/>
    </xf>
    <xf numFmtId="164" fontId="0" fillId="154" borderId="19" applyAlignment="1" pivotButton="0" quotePrefix="0" xfId="0">
      <alignment vertical="center" wrapText="1"/>
    </xf>
    <xf numFmtId="164" fontId="0" fillId="156" borderId="19" applyAlignment="1" pivotButton="0" quotePrefix="0" xfId="0">
      <alignment vertical="center"/>
    </xf>
    <xf numFmtId="164" fontId="0" fillId="154" borderId="19" applyAlignment="1" pivotButton="0" quotePrefix="0" xfId="0">
      <alignment vertical="center"/>
    </xf>
    <xf numFmtId="164" fontId="201" fillId="155" borderId="19" applyAlignment="1" pivotButton="0" quotePrefix="0" xfId="25429">
      <alignment vertical="center" wrapText="1"/>
    </xf>
    <xf numFmtId="164" fontId="199" fillId="110" borderId="19" applyAlignment="1" pivotButton="0" quotePrefix="0" xfId="0">
      <alignment horizontal="right" vertical="center" wrapText="1"/>
    </xf>
    <xf numFmtId="164" fontId="210" fillId="110" borderId="54" applyAlignment="1" pivotButton="0" quotePrefix="0" xfId="0">
      <alignment horizontal="center" vertical="center" wrapText="1"/>
    </xf>
    <xf numFmtId="164" fontId="199" fillId="110" borderId="19" applyAlignment="1" pivotButton="0" quotePrefix="0" xfId="0">
      <alignment vertical="center" wrapText="1"/>
    </xf>
    <xf numFmtId="164" fontId="199" fillId="110" borderId="54" applyAlignment="1" pivotButton="0" quotePrefix="0" xfId="0">
      <alignment horizontal="right" vertical="center" wrapText="1"/>
    </xf>
    <xf numFmtId="164" fontId="199" fillId="110" borderId="54" applyAlignment="1" pivotButton="0" quotePrefix="0" xfId="0">
      <alignment vertical="center" wrapText="1"/>
    </xf>
    <xf numFmtId="164" fontId="199" fillId="113" borderId="19" applyAlignment="1" pivotButton="0" quotePrefix="0" xfId="0">
      <alignment horizontal="right" vertical="center" wrapText="1"/>
    </xf>
    <xf numFmtId="164" fontId="210" fillId="113" borderId="54" applyAlignment="1" pivotButton="0" quotePrefix="0" xfId="0">
      <alignment horizontal="center" vertical="center" wrapText="1"/>
    </xf>
    <xf numFmtId="164" fontId="199" fillId="113" borderId="19" applyAlignment="1" pivotButton="0" quotePrefix="0" xfId="0">
      <alignment vertical="center" wrapText="1"/>
    </xf>
    <xf numFmtId="164" fontId="199" fillId="114" borderId="19" applyAlignment="1" pivotButton="0" quotePrefix="0" xfId="0">
      <alignment horizontal="right" vertical="center"/>
    </xf>
    <xf numFmtId="164" fontId="199" fillId="113" borderId="19" applyAlignment="1" pivotButton="0" quotePrefix="0" xfId="0">
      <alignment horizontal="right" vertical="center"/>
    </xf>
    <xf numFmtId="164" fontId="199" fillId="114" borderId="19" applyAlignment="1" pivotButton="0" quotePrefix="0" xfId="0">
      <alignment horizontal="right" vertical="center" wrapText="1"/>
    </xf>
    <xf numFmtId="164" fontId="0" fillId="115" borderId="19" applyAlignment="1" pivotButton="0" quotePrefix="0" xfId="0">
      <alignment horizontal="right" vertical="center" wrapText="1"/>
    </xf>
    <xf numFmtId="164" fontId="210" fillId="115" borderId="54" applyAlignment="1" pivotButton="0" quotePrefix="0" xfId="0">
      <alignment horizontal="center" vertical="center" wrapText="1"/>
    </xf>
    <xf numFmtId="164" fontId="199" fillId="115" borderId="19" applyAlignment="1" pivotButton="0" quotePrefix="0" xfId="0">
      <alignment horizontal="right" vertical="center" wrapText="1"/>
    </xf>
    <xf numFmtId="164" fontId="199" fillId="115" borderId="19" applyAlignment="1" pivotButton="0" quotePrefix="0" xfId="0">
      <alignment vertical="center" wrapText="1"/>
    </xf>
    <xf numFmtId="164" fontId="0" fillId="116" borderId="19" applyAlignment="1" pivotButton="0" quotePrefix="0" xfId="0">
      <alignment horizontal="right" vertical="center"/>
    </xf>
    <xf numFmtId="164" fontId="0" fillId="115" borderId="19" applyAlignment="1" pivotButton="0" quotePrefix="0" xfId="0">
      <alignment horizontal="right" vertical="center"/>
    </xf>
    <xf numFmtId="164" fontId="199" fillId="116" borderId="19" applyAlignment="1" pivotButton="0" quotePrefix="0" xfId="0">
      <alignment horizontal="right" vertical="center" wrapText="1"/>
    </xf>
    <xf numFmtId="164" fontId="0" fillId="115" borderId="54" applyAlignment="1" pivotButton="0" quotePrefix="0" xfId="0">
      <alignment horizontal="right" vertical="center" wrapText="1"/>
    </xf>
    <xf numFmtId="164" fontId="199" fillId="115" borderId="54" applyAlignment="1" pivotButton="0" quotePrefix="0" xfId="0">
      <alignment horizontal="right" vertical="center" wrapText="1"/>
    </xf>
    <xf numFmtId="164" fontId="199" fillId="115" borderId="54" applyAlignment="1" pivotButton="0" quotePrefix="0" xfId="0">
      <alignment vertical="center" wrapText="1"/>
    </xf>
    <xf numFmtId="164" fontId="0" fillId="116" borderId="54" applyAlignment="1" pivotButton="0" quotePrefix="0" xfId="0">
      <alignment horizontal="right" vertical="center"/>
    </xf>
    <xf numFmtId="164" fontId="0" fillId="115" borderId="54" applyAlignment="1" pivotButton="0" quotePrefix="0" xfId="0">
      <alignment horizontal="right" vertical="center"/>
    </xf>
    <xf numFmtId="164" fontId="199" fillId="116" borderId="54" applyAlignment="1" pivotButton="0" quotePrefix="0" xfId="0">
      <alignment horizontal="right" vertical="center" wrapText="1"/>
    </xf>
    <xf numFmtId="164" fontId="0" fillId="117" borderId="19" applyAlignment="1" pivotButton="0" quotePrefix="0" xfId="0">
      <alignment horizontal="right" vertical="center" wrapText="1"/>
    </xf>
    <xf numFmtId="164" fontId="210" fillId="117" borderId="54" applyAlignment="1" pivotButton="0" quotePrefix="0" xfId="0">
      <alignment horizontal="center" vertical="center" wrapText="1"/>
    </xf>
    <xf numFmtId="164" fontId="199" fillId="117" borderId="19" applyAlignment="1" pivotButton="0" quotePrefix="0" xfId="0">
      <alignment horizontal="right" vertical="center" wrapText="1"/>
    </xf>
    <xf numFmtId="164" fontId="199" fillId="117" borderId="19" applyAlignment="1" pivotButton="0" quotePrefix="0" xfId="0">
      <alignment vertical="center" wrapText="1"/>
    </xf>
    <xf numFmtId="164" fontId="0" fillId="118" borderId="19" applyAlignment="1" pivotButton="0" quotePrefix="0" xfId="0">
      <alignment horizontal="right" vertical="center"/>
    </xf>
    <xf numFmtId="164" fontId="0" fillId="117" borderId="19" applyAlignment="1" pivotButton="0" quotePrefix="0" xfId="0">
      <alignment horizontal="right" vertical="center"/>
    </xf>
    <xf numFmtId="164" fontId="199" fillId="118" borderId="19" applyAlignment="1" pivotButton="0" quotePrefix="0" xfId="0">
      <alignment horizontal="right" vertical="center" wrapText="1"/>
    </xf>
    <xf numFmtId="164" fontId="203" fillId="88" borderId="0" applyAlignment="1" pivotButton="0" quotePrefix="0" xfId="25429">
      <alignment horizontal="center" vertical="center" wrapText="1"/>
    </xf>
    <xf numFmtId="0" fontId="199" fillId="90" borderId="19" applyAlignment="1" applyProtection="1" pivotButton="0" quotePrefix="0" xfId="0">
      <alignment horizontal="center" vertical="top"/>
      <protection locked="0" hidden="0"/>
    </xf>
    <xf numFmtId="164" fontId="203" fillId="88" borderId="54" applyAlignment="1" pivotButton="0" quotePrefix="0" xfId="25429">
      <alignment horizontal="center" vertical="top" wrapText="1"/>
    </xf>
    <xf numFmtId="165" fontId="198" fillId="0" borderId="54" applyAlignment="1" pivotButton="0" quotePrefix="0" xfId="0">
      <alignment horizontal="center" vertical="center" wrapText="1"/>
    </xf>
    <xf numFmtId="164" fontId="203" fillId="88" borderId="54" applyAlignment="1" pivotButton="0" quotePrefix="0" xfId="25429">
      <alignment horizontal="center" vertical="center" wrapText="1"/>
    </xf>
    <xf numFmtId="165" fontId="198" fillId="0" borderId="19" applyAlignment="1" pivotButton="0" quotePrefix="0" xfId="0">
      <alignment horizontal="center" vertical="center" wrapText="1"/>
    </xf>
    <xf numFmtId="164" fontId="203" fillId="88" borderId="19" applyAlignment="1" pivotButton="0" quotePrefix="0" xfId="25429">
      <alignment horizontal="center" vertical="center" wrapText="1"/>
    </xf>
    <xf numFmtId="165" fontId="198" fillId="122" borderId="19" applyAlignment="1" pivotButton="0" quotePrefix="0" xfId="0">
      <alignment horizontal="center" vertical="center" wrapText="1"/>
    </xf>
    <xf numFmtId="164" fontId="201" fillId="88" borderId="19" applyAlignment="1" pivotButton="0" quotePrefix="0" xfId="25429">
      <alignment horizontal="center" vertical="center" wrapText="1"/>
    </xf>
    <xf numFmtId="165" fontId="198" fillId="122" borderId="54" applyAlignment="1" pivotButton="0" quotePrefix="0" xfId="0">
      <alignment horizontal="center" vertical="center" wrapText="1"/>
    </xf>
    <xf numFmtId="165" fontId="198" fillId="145" borderId="54" applyAlignment="1" pivotButton="0" quotePrefix="0" xfId="0">
      <alignment horizontal="center" vertical="center" wrapText="1"/>
    </xf>
    <xf numFmtId="165" fontId="198" fillId="0" borderId="19" applyAlignment="1" pivotButton="0" quotePrefix="0" xfId="0">
      <alignment horizontal="right" vertical="center" wrapText="1"/>
    </xf>
    <xf numFmtId="164" fontId="201" fillId="107" borderId="54" applyAlignment="1" pivotButton="0" quotePrefix="0" xfId="25429">
      <alignment horizontal="center" vertical="center" wrapText="1"/>
    </xf>
    <xf numFmtId="165" fontId="198" fillId="0" borderId="54" applyAlignment="1" pivotButton="0" quotePrefix="0" xfId="0">
      <alignment horizontal="right" vertical="center" wrapText="1"/>
    </xf>
    <xf numFmtId="165" fontId="198" fillId="122" borderId="54" applyAlignment="1" pivotButton="0" quotePrefix="0" xfId="0">
      <alignment horizontal="right" vertical="center" wrapText="1"/>
    </xf>
    <xf numFmtId="165" fontId="198" fillId="122" borderId="19" applyAlignment="1" pivotButton="0" quotePrefix="0" xfId="0">
      <alignment horizontal="right" vertical="center" wrapText="1"/>
    </xf>
    <xf numFmtId="165" fontId="198" fillId="163" borderId="19" applyAlignment="1" pivotButton="0" quotePrefix="0" xfId="0">
      <alignment horizontal="center" vertical="center" wrapText="1"/>
    </xf>
    <xf numFmtId="165" fontId="198" fillId="121" borderId="54" applyAlignment="1" pivotButton="0" quotePrefix="0" xfId="0">
      <alignment horizontal="center" vertical="center" wrapText="1"/>
    </xf>
    <xf numFmtId="165" fontId="198" fillId="147" borderId="54" applyAlignment="1" pivotButton="0" quotePrefix="0" xfId="0">
      <alignment horizontal="center" vertical="center" wrapText="1"/>
    </xf>
    <xf numFmtId="165" fontId="198" fillId="152" borderId="19" applyAlignment="1" pivotButton="0" quotePrefix="0" xfId="0">
      <alignment horizontal="center" vertical="center" wrapText="1"/>
    </xf>
    <xf numFmtId="164" fontId="203" fillId="155" borderId="19" applyAlignment="1" pivotButton="0" quotePrefix="0" xfId="25429">
      <alignment horizontal="center" vertical="center" wrapText="1"/>
    </xf>
    <xf numFmtId="164" fontId="203" fillId="155" borderId="54" applyAlignment="1" pivotButton="0" quotePrefix="0" xfId="25429">
      <alignment horizontal="center" vertical="center" wrapText="1"/>
    </xf>
    <xf numFmtId="164" fontId="201" fillId="155" borderId="54" applyAlignment="1" pivotButton="0" quotePrefix="0" xfId="25429">
      <alignment vertical="center" wrapText="1"/>
    </xf>
    <xf numFmtId="164" fontId="203" fillId="138" borderId="19" applyAlignment="1" pivotButton="0" quotePrefix="0" xfId="25429">
      <alignment horizontal="center" vertical="center" wrapText="1"/>
    </xf>
    <xf numFmtId="164" fontId="203" fillId="138" borderId="54" applyAlignment="1" pivotButton="0" quotePrefix="0" xfId="25429">
      <alignment horizontal="center" vertical="center" wrapText="1"/>
    </xf>
    <xf numFmtId="164" fontId="199" fillId="113" borderId="54" applyAlignment="1" pivotButton="0" quotePrefix="0" xfId="0">
      <alignment horizontal="right" vertical="center" wrapText="1"/>
    </xf>
    <xf numFmtId="164" fontId="199" fillId="114" borderId="54" applyAlignment="1" pivotButton="0" quotePrefix="0" xfId="0">
      <alignment horizontal="right" vertical="center" wrapText="1"/>
    </xf>
    <xf numFmtId="164" fontId="203" fillId="139" borderId="19" applyAlignment="1" pivotButton="0" quotePrefix="0" xfId="25429">
      <alignment horizontal="center" vertical="center" wrapText="1"/>
    </xf>
    <xf numFmtId="164" fontId="203" fillId="139" borderId="54" applyAlignment="1" pivotButton="0" quotePrefix="0" xfId="25429">
      <alignment horizontal="center" vertical="center" wrapText="1"/>
    </xf>
    <xf numFmtId="164" fontId="203" fillId="140" borderId="19" applyAlignment="1" pivotButton="0" quotePrefix="0" xfId="25429">
      <alignment horizontal="center" vertical="center" wrapText="1"/>
    </xf>
    <xf numFmtId="164" fontId="203" fillId="140" borderId="54" applyAlignment="1" pivotButton="0" quotePrefix="0" xfId="25429">
      <alignment horizontal="center" vertical="center" wrapText="1"/>
    </xf>
    <xf numFmtId="164" fontId="199" fillId="117" borderId="54" applyAlignment="1" pivotButton="0" quotePrefix="0" xfId="0">
      <alignment horizontal="right" vertical="center" wrapText="1"/>
    </xf>
    <xf numFmtId="164" fontId="199" fillId="118" borderId="54" applyAlignment="1" pivotButton="0" quotePrefix="0" xfId="0">
      <alignment horizontal="right" vertical="center" wrapText="1"/>
    </xf>
    <xf numFmtId="164" fontId="199" fillId="113" borderId="54" applyAlignment="1" pivotButton="0" quotePrefix="0" xfId="0">
      <alignment horizontal="right" vertical="center"/>
    </xf>
    <xf numFmtId="164" fontId="199" fillId="149" borderId="54" applyAlignment="1" pivotButton="0" quotePrefix="0" xfId="0">
      <alignment horizontal="right" vertical="center"/>
    </xf>
    <xf numFmtId="164" fontId="203" fillId="150" borderId="54" applyAlignment="1" pivotButton="0" quotePrefix="0" xfId="25429">
      <alignment horizontal="center" vertical="center" wrapText="1"/>
    </xf>
    <xf numFmtId="164" fontId="199" fillId="149" borderId="54" applyAlignment="1" pivotButton="0" quotePrefix="0" xfId="0">
      <alignment horizontal="right" vertical="center" wrapText="1"/>
    </xf>
    <xf numFmtId="164" fontId="199" fillId="151" borderId="54" applyAlignment="1" pivotButton="0" quotePrefix="0" xfId="0">
      <alignment horizontal="right" vertical="center" wrapText="1"/>
    </xf>
    <xf numFmtId="0" fontId="0" fillId="0" borderId="21" pivotButton="0" quotePrefix="0" xfId="0"/>
    <xf numFmtId="0" fontId="0" fillId="0" borderId="56" pivotButton="0" quotePrefix="0" xfId="0"/>
    <xf numFmtId="0" fontId="0" fillId="0" borderId="19" applyAlignment="1" pivotButton="0" quotePrefix="0" xfId="0">
      <alignment horizontal="right" vertical="center"/>
    </xf>
    <xf numFmtId="166" fontId="199" fillId="95" borderId="19" applyAlignment="1" pivotButton="0" quotePrefix="0" xfId="30294">
      <alignment horizontal="center" vertical="center" wrapText="1"/>
    </xf>
    <xf numFmtId="165" fontId="198" fillId="94" borderId="19" applyAlignment="1" pivotButton="0" quotePrefix="0" xfId="30294">
      <alignment vertical="center" wrapText="1"/>
    </xf>
    <xf numFmtId="165" fontId="198" fillId="0" borderId="19" applyAlignment="1" pivotButton="0" quotePrefix="0" xfId="30294">
      <alignment vertical="center" wrapText="1"/>
    </xf>
    <xf numFmtId="165" fontId="207" fillId="0" borderId="19" applyAlignment="1" pivotButton="0" quotePrefix="0" xfId="30294">
      <alignment horizontal="right" vertical="center" wrapText="1"/>
    </xf>
    <xf numFmtId="165" fontId="198" fillId="94" borderId="19" applyAlignment="1" pivotButton="0" quotePrefix="0" xfId="30294">
      <alignment horizontal="right" vertical="center" wrapText="1"/>
    </xf>
    <xf numFmtId="165" fontId="198" fillId="0" borderId="19" applyAlignment="1" pivotButton="0" quotePrefix="0" xfId="30294">
      <alignment horizontal="right" vertical="center" wrapText="1"/>
    </xf>
    <xf numFmtId="165" fontId="202" fillId="94" borderId="19" applyAlignment="1" pivotButton="0" quotePrefix="0" xfId="30294">
      <alignment horizontal="right" vertical="center" wrapText="1"/>
    </xf>
    <xf numFmtId="165" fontId="198" fillId="111" borderId="19" applyAlignment="1" pivotButton="0" quotePrefix="0" xfId="30294">
      <alignment horizontal="right" vertical="center" wrapText="1"/>
    </xf>
    <xf numFmtId="0" fontId="0" fillId="0" borderId="34" pivotButton="0" quotePrefix="0" xfId="0"/>
    <xf numFmtId="0" fontId="0" fillId="0" borderId="52" pivotButton="0" quotePrefix="0" xfId="0"/>
    <xf numFmtId="0" fontId="0" fillId="0" borderId="67" pivotButton="0" quotePrefix="0" xfId="0"/>
    <xf numFmtId="0" fontId="0" fillId="0" borderId="68" pivotButton="0" quotePrefix="0" xfId="0"/>
  </cellXfs>
  <cellStyles count="51650">
    <cellStyle name="Обычный" xfId="0" builtinId="0"/>
    <cellStyle name=" 1" xfId="1"/>
    <cellStyle name=" 1 2" xfId="2"/>
    <cellStyle name="_x000a_386grabber=m" xfId="3"/>
    <cellStyle name="$1000s (0)" xfId="4"/>
    <cellStyle name="%" xfId="5"/>
    <cellStyle name="%_BS_Separation_TaxResIndem_Q12412 tf" xfId="6"/>
    <cellStyle name="%_BS_Separation_TaxResIndem_Q12412 tf_Guidance" xfId="7"/>
    <cellStyle name="%_BS_Separation_TaxResIndem_Q12412 tf_Guidance 2" xfId="8"/>
    <cellStyle name="%_BS_Separation_TaxResIndem_Q12412 tf_Guidance_BS retrieve" xfId="9"/>
    <cellStyle name="%_BS_Separation_TaxResIndem_Q12412 tf_Guidance_Free CF" xfId="10"/>
    <cellStyle name="%_BS_Separation_TaxResIndem_Q12412 tf_Guidance_P&amp;L Rec Qtr" xfId="11"/>
    <cellStyle name="%_BS_Separation_TaxResIndem_Q12412 tf_Guidance_Sheet1" xfId="12"/>
    <cellStyle name="%_BS_Separation_TaxResIndem_Q12412 tf_Guidance_Sheet2" xfId="13"/>
    <cellStyle name="%_BS_Separation_TaxResIndem_Q12412 tf_Guidance_Sheet3" xfId="14"/>
    <cellStyle name="%_BS_Separation_TaxResIndem_Q12412 tf_Guidance_Sheet4" xfId="15"/>
    <cellStyle name="%_BS_Separation_TaxResIndem_Q12412 tf_II.7. Sep&amp;Discrete" xfId="16"/>
    <cellStyle name="%_BS_Separation_TaxResIndem_Q12412 tf_II.7. Sep&amp;Discrete_Guidance" xfId="17"/>
    <cellStyle name="%_BS_Separation_TaxResIndem_Q12412 tf_II.7. Sep&amp;Discrete_Guidance 2" xfId="18"/>
    <cellStyle name="%_BS_Separation_TaxResIndem_Q12412 tf_II.7. Sep&amp;Discrete_Guidance_BS retrieve" xfId="19"/>
    <cellStyle name="%_BS_Separation_TaxResIndem_Q12412 tf_II.7. Sep&amp;Discrete_Guidance_Free CF" xfId="20"/>
    <cellStyle name="%_BS_Separation_TaxResIndem_Q12412 tf_II.7. Sep&amp;Discrete_Guidance_P&amp;L Rec Qtr" xfId="21"/>
    <cellStyle name="%_BS_Separation_TaxResIndem_Q12412 tf_II.7. Sep&amp;Discrete_Guidance_Sheet1" xfId="22"/>
    <cellStyle name="%_BS_Separation_TaxResIndem_Q12412 tf_II.7. Sep&amp;Discrete_Guidance_Sheet2" xfId="23"/>
    <cellStyle name="%_BS_Separation_TaxResIndem_Q12412 tf_II.7. Sep&amp;Discrete_Guidance_Sheet3" xfId="24"/>
    <cellStyle name="%_BS_Separation_TaxResIndem_Q12412 tf_II.7. Sep&amp;Discrete_Guidance_Sheet4" xfId="25"/>
    <cellStyle name="%_BS_Separation_TaxResIndem_Q12412 tf_Restructuring &amp; Separation" xfId="26"/>
    <cellStyle name="%_BS_Separation_TaxResIndem_Q12412 tf_Restructuring &amp; Separation_Guidance" xfId="27"/>
    <cellStyle name="%_BS_Separation_TaxResIndem_Q12412 tf_Restructuring &amp; Separation_Guidance 2" xfId="28"/>
    <cellStyle name="%_BS_Separation_TaxResIndem_Q12412 tf_Restructuring &amp; Separation_Guidance_BS retrieve" xfId="29"/>
    <cellStyle name="%_BS_Separation_TaxResIndem_Q12412 tf_Restructuring &amp; Separation_Guidance_Free CF" xfId="30"/>
    <cellStyle name="%_BS_Separation_TaxResIndem_Q12412 tf_Restructuring &amp; Separation_Guidance_P&amp;L Rec Qtr" xfId="31"/>
    <cellStyle name="%_BS_Separation_TaxResIndem_Q12412 tf_Restructuring &amp; Separation_Guidance_Sheet1" xfId="32"/>
    <cellStyle name="%_BS_Separation_TaxResIndem_Q12412 tf_Restructuring &amp; Separation_Guidance_Sheet2" xfId="33"/>
    <cellStyle name="%_BS_Separation_TaxResIndem_Q12412 tf_Restructuring &amp; Separation_Guidance_Sheet3" xfId="34"/>
    <cellStyle name="%_BS_Separation_TaxResIndem_Q12412 tf_Restructuring &amp; Separation_Guidance_Sheet4" xfId="35"/>
    <cellStyle name="%_BS_Separation_TaxResIndem_Q12412 tf_Restructuring &amp; Separation_II.7. Sep&amp;Discrete" xfId="36"/>
    <cellStyle name="%_BS_Separation_TaxResIndem_Q12412 tf_Restructuring &amp; Separation_II.7. Sep&amp;Discrete_Guidance" xfId="37"/>
    <cellStyle name="%_BS_Separation_TaxResIndem_Q12412 tf_Restructuring &amp; Separation_II.7. Sep&amp;Discrete_Guidance 2" xfId="38"/>
    <cellStyle name="%_BS_Separation_TaxResIndem_Q12412 tf_Restructuring &amp; Separation_II.7. Sep&amp;Discrete_Guidance_BS retrieve" xfId="39"/>
    <cellStyle name="%_BS_Separation_TaxResIndem_Q12412 tf_Restructuring &amp; Separation_II.7. Sep&amp;Discrete_Guidance_Free CF" xfId="40"/>
    <cellStyle name="%_BS_Separation_TaxResIndem_Q12412 tf_Restructuring &amp; Separation_II.7. Sep&amp;Discrete_Guidance_P&amp;L Rec Qtr" xfId="41"/>
    <cellStyle name="%_BS_Separation_TaxResIndem_Q12412 tf_Restructuring &amp; Separation_II.7. Sep&amp;Discrete_Guidance_Sheet1" xfId="42"/>
    <cellStyle name="%_BS_Separation_TaxResIndem_Q12412 tf_Restructuring &amp; Separation_II.7. Sep&amp;Discrete_Guidance_Sheet2" xfId="43"/>
    <cellStyle name="%_BS_Separation_TaxResIndem_Q12412 tf_Restructuring &amp; Separation_II.7. Sep&amp;Discrete_Guidance_Sheet3" xfId="44"/>
    <cellStyle name="%_BS_Separation_TaxResIndem_Q12412 tf_Restructuring &amp; Separation_II.7. Sep&amp;Discrete_Guidance_Sheet4" xfId="45"/>
    <cellStyle name="%_Guidance" xfId="46"/>
    <cellStyle name="%_Guidance 2" xfId="47"/>
    <cellStyle name="%_Guidance_BS retrieve" xfId="48"/>
    <cellStyle name="%_Guidance_Free CF" xfId="49"/>
    <cellStyle name="%_Guidance_P&amp;L Rec Qtr" xfId="50"/>
    <cellStyle name="%_Guidance_Sheet1" xfId="51"/>
    <cellStyle name="%_Guidance_Sheet2" xfId="52"/>
    <cellStyle name="%_Guidance_Sheet3" xfId="53"/>
    <cellStyle name="%_Guidance_Sheet4" xfId="54"/>
    <cellStyle name="%_II.7. Sep&amp;Discrete" xfId="55"/>
    <cellStyle name="%_II.7. Sep&amp;Discrete_Guidance" xfId="56"/>
    <cellStyle name="%_II.7. Sep&amp;Discrete_Guidance 2" xfId="57"/>
    <cellStyle name="%_II.7. Sep&amp;Discrete_Guidance_BS retrieve" xfId="58"/>
    <cellStyle name="%_II.7. Sep&amp;Discrete_Guidance_Free CF" xfId="59"/>
    <cellStyle name="%_II.7. Sep&amp;Discrete_Guidance_P&amp;L Rec Qtr" xfId="60"/>
    <cellStyle name="%_II.7. Sep&amp;Discrete_Guidance_Sheet1" xfId="61"/>
    <cellStyle name="%_II.7. Sep&amp;Discrete_Guidance_Sheet2" xfId="62"/>
    <cellStyle name="%_II.7. Sep&amp;Discrete_Guidance_Sheet3" xfId="63"/>
    <cellStyle name="%_II.7. Sep&amp;Discrete_Guidance_Sheet4" xfId="64"/>
    <cellStyle name="%_II.8. Sep&amp;Discrete" xfId="65"/>
    <cellStyle name="%_II.8. Sep&amp;Discrete_Guidance" xfId="66"/>
    <cellStyle name="%_II.8. Sep&amp;Discrete_Guidance 2" xfId="67"/>
    <cellStyle name="%_II.8. Sep&amp;Discrete_Guidance_BS retrieve" xfId="68"/>
    <cellStyle name="%_II.8. Sep&amp;Discrete_Guidance_Free CF" xfId="69"/>
    <cellStyle name="%_II.8. Sep&amp;Discrete_Guidance_P&amp;L Rec Qtr" xfId="70"/>
    <cellStyle name="%_II.8. Sep&amp;Discrete_Guidance_Sheet1" xfId="71"/>
    <cellStyle name="%_II.8. Sep&amp;Discrete_Guidance_Sheet2" xfId="72"/>
    <cellStyle name="%_II.8. Sep&amp;Discrete_Guidance_Sheet3" xfId="73"/>
    <cellStyle name="%_II.8. Sep&amp;Discrete_Guidance_Sheet4" xfId="74"/>
    <cellStyle name="%_Restructuring &amp; Separation" xfId="75"/>
    <cellStyle name="%_Restructuring &amp; Separation_Guidance" xfId="76"/>
    <cellStyle name="%_Restructuring &amp; Separation_Guidance 2" xfId="77"/>
    <cellStyle name="%_Restructuring &amp; Separation_Guidance_BS retrieve" xfId="78"/>
    <cellStyle name="%_Restructuring &amp; Separation_Guidance_Free CF" xfId="79"/>
    <cellStyle name="%_Restructuring &amp; Separation_Guidance_P&amp;L Rec Qtr" xfId="80"/>
    <cellStyle name="%_Restructuring &amp; Separation_Guidance_Sheet1" xfId="81"/>
    <cellStyle name="%_Restructuring &amp; Separation_Guidance_Sheet2" xfId="82"/>
    <cellStyle name="%_Restructuring &amp; Separation_Guidance_Sheet3" xfId="83"/>
    <cellStyle name="%_Restructuring &amp; Separation_Guidance_Sheet4" xfId="84"/>
    <cellStyle name="%_Restructuring &amp; Separation_II.7. Sep&amp;Discrete" xfId="85"/>
    <cellStyle name="%_Restructuring &amp; Separation_II.7. Sep&amp;Discrete_Guidance" xfId="86"/>
    <cellStyle name="%_Restructuring &amp; Separation_II.7. Sep&amp;Discrete_Guidance 2" xfId="87"/>
    <cellStyle name="%_Restructuring &amp; Separation_II.7. Sep&amp;Discrete_Guidance_BS retrieve" xfId="88"/>
    <cellStyle name="%_Restructuring &amp; Separation_II.7. Sep&amp;Discrete_Guidance_Free CF" xfId="89"/>
    <cellStyle name="%_Restructuring &amp; Separation_II.7. Sep&amp;Discrete_Guidance_P&amp;L Rec Qtr" xfId="90"/>
    <cellStyle name="%_Restructuring &amp; Separation_II.7. Sep&amp;Discrete_Guidance_Sheet1" xfId="91"/>
    <cellStyle name="%_Restructuring &amp; Separation_II.7. Sep&amp;Discrete_Guidance_Sheet2" xfId="92"/>
    <cellStyle name="%_Restructuring &amp; Separation_II.7. Sep&amp;Discrete_Guidance_Sheet3" xfId="93"/>
    <cellStyle name="%_Restructuring &amp; Separation_II.7. Sep&amp;Discrete_Guidance_Sheet4" xfId="94"/>
    <cellStyle name="??" xfId="95"/>
    <cellStyle name="?? [0]_Apr AcFc_WKI" xfId="96"/>
    <cellStyle name="?? 1- " xfId="97"/>
    <cellStyle name="?? 1-  2" xfId="98"/>
    <cellStyle name="?? 1-  3" xfId="99"/>
    <cellStyle name="?? 1-  3 2" xfId="100"/>
    <cellStyle name="?? 1-  4" xfId="101"/>
    <cellStyle name="?? 10" xfId="102"/>
    <cellStyle name="?? 10 2" xfId="103"/>
    <cellStyle name="?? 11" xfId="104"/>
    <cellStyle name="?? 11 2" xfId="105"/>
    <cellStyle name="?? 12" xfId="106"/>
    <cellStyle name="?? 12 2" xfId="107"/>
    <cellStyle name="?? 13" xfId="108"/>
    <cellStyle name="?? 13 2" xfId="109"/>
    <cellStyle name="?? 14" xfId="110"/>
    <cellStyle name="?? 14 2" xfId="111"/>
    <cellStyle name="?? 15" xfId="112"/>
    <cellStyle name="?? 15 2" xfId="113"/>
    <cellStyle name="?? 16" xfId="114"/>
    <cellStyle name="?? 17" xfId="115"/>
    <cellStyle name="?? 18" xfId="116"/>
    <cellStyle name="?? 19" xfId="117"/>
    <cellStyle name="?? 2" xfId="118"/>
    <cellStyle name="?? 2- " xfId="119"/>
    <cellStyle name="?? 2-  2" xfId="120"/>
    <cellStyle name="?? 2-  3" xfId="121"/>
    <cellStyle name="?? 2-  3 2" xfId="122"/>
    <cellStyle name="?? 2-  4" xfId="123"/>
    <cellStyle name="?? 2 2" xfId="124"/>
    <cellStyle name="?? 2 3" xfId="125"/>
    <cellStyle name="?? 2 4" xfId="126"/>
    <cellStyle name="?? 2 5" xfId="127"/>
    <cellStyle name="?? 20" xfId="128"/>
    <cellStyle name="?? 21" xfId="129"/>
    <cellStyle name="?? 22" xfId="130"/>
    <cellStyle name="?? 23" xfId="131"/>
    <cellStyle name="?? 24" xfId="132"/>
    <cellStyle name="?? 3" xfId="133"/>
    <cellStyle name="?? 3- " xfId="134"/>
    <cellStyle name="?? 3-  2" xfId="135"/>
    <cellStyle name="?? 3-  3" xfId="136"/>
    <cellStyle name="?? 3-  3 2" xfId="137"/>
    <cellStyle name="?? 3-  4" xfId="138"/>
    <cellStyle name="?? 3 2" xfId="139"/>
    <cellStyle name="?? 3 3" xfId="140"/>
    <cellStyle name="?? 3 4" xfId="141"/>
    <cellStyle name="?? 3 5" xfId="142"/>
    <cellStyle name="?? 4" xfId="143"/>
    <cellStyle name="?? 4- " xfId="144"/>
    <cellStyle name="?? 4-  2" xfId="145"/>
    <cellStyle name="?? 4-  3" xfId="146"/>
    <cellStyle name="?? 4-  3 2" xfId="147"/>
    <cellStyle name="?? 4-  4" xfId="148"/>
    <cellStyle name="?? 4 10" xfId="149"/>
    <cellStyle name="?? 4 10 2" xfId="150"/>
    <cellStyle name="?? 4 10 3" xfId="151"/>
    <cellStyle name="?? 4 10 4" xfId="152"/>
    <cellStyle name="?? 4 10 5" xfId="153"/>
    <cellStyle name="?? 4 10 6" xfId="154"/>
    <cellStyle name="?? 4 11" xfId="155"/>
    <cellStyle name="?? 4 11 2" xfId="156"/>
    <cellStyle name="?? 4 11 3" xfId="157"/>
    <cellStyle name="?? 4 11 4" xfId="158"/>
    <cellStyle name="?? 4 12" xfId="159"/>
    <cellStyle name="?? 4 12 2" xfId="160"/>
    <cellStyle name="?? 4 12 3" xfId="161"/>
    <cellStyle name="?? 4 12 4" xfId="162"/>
    <cellStyle name="?? 4 13" xfId="163"/>
    <cellStyle name="?? 4 13 2" xfId="164"/>
    <cellStyle name="?? 4 13 3" xfId="165"/>
    <cellStyle name="?? 4 14" xfId="166"/>
    <cellStyle name="?? 4 14 2" xfId="167"/>
    <cellStyle name="?? 4 14 3" xfId="168"/>
    <cellStyle name="?? 4 15" xfId="169"/>
    <cellStyle name="?? 4 15 2" xfId="170"/>
    <cellStyle name="?? 4 15 3" xfId="171"/>
    <cellStyle name="?? 4 16" xfId="172"/>
    <cellStyle name="?? 4 16 2" xfId="173"/>
    <cellStyle name="?? 4 16 3" xfId="174"/>
    <cellStyle name="?? 4 16 4" xfId="175"/>
    <cellStyle name="?? 4 17" xfId="176"/>
    <cellStyle name="?? 4 17 2" xfId="177"/>
    <cellStyle name="?? 4 17 3" xfId="178"/>
    <cellStyle name="?? 4 17 4" xfId="179"/>
    <cellStyle name="?? 4 18" xfId="180"/>
    <cellStyle name="?? 4 18 2" xfId="181"/>
    <cellStyle name="?? 4 19" xfId="182"/>
    <cellStyle name="?? 4 19 2" xfId="183"/>
    <cellStyle name="?? 4 2" xfId="184"/>
    <cellStyle name="?? 4 2 2" xfId="185"/>
    <cellStyle name="?? 4 2 2 2" xfId="186"/>
    <cellStyle name="?? 4 2 2 2 2" xfId="187"/>
    <cellStyle name="?? 4 2 2 2 3" xfId="188"/>
    <cellStyle name="?? 4 2 2 3" xfId="189"/>
    <cellStyle name="?? 4 2 2 3 2" xfId="190"/>
    <cellStyle name="?? 4 2 2 3 3" xfId="191"/>
    <cellStyle name="?? 4 2 2 4" xfId="192"/>
    <cellStyle name="?? 4 2 2 5" xfId="193"/>
    <cellStyle name="?? 4 2 2 6" xfId="194"/>
    <cellStyle name="?? 4 2 3" xfId="195"/>
    <cellStyle name="?? 4 2 3 2" xfId="196"/>
    <cellStyle name="?? 4 2 3 3" xfId="197"/>
    <cellStyle name="?? 4 2 4" xfId="198"/>
    <cellStyle name="?? 4 2 5" xfId="199"/>
    <cellStyle name="?? 4 2 6" xfId="200"/>
    <cellStyle name="?? 4 2 7" xfId="201"/>
    <cellStyle name="?? 4 20" xfId="202"/>
    <cellStyle name="?? 4 20 2" xfId="203"/>
    <cellStyle name="?? 4 21" xfId="204"/>
    <cellStyle name="?? 4 21 2" xfId="205"/>
    <cellStyle name="?? 4 21 3" xfId="206"/>
    <cellStyle name="?? 4 22" xfId="207"/>
    <cellStyle name="?? 4 22 2" xfId="208"/>
    <cellStyle name="?? 4 22 3" xfId="209"/>
    <cellStyle name="?? 4 23" xfId="210"/>
    <cellStyle name="?? 4 23 2" xfId="211"/>
    <cellStyle name="?? 4 24" xfId="212"/>
    <cellStyle name="?? 4 24 2" xfId="213"/>
    <cellStyle name="?? 4 25" xfId="214"/>
    <cellStyle name="?? 4 25 2" xfId="215"/>
    <cellStyle name="?? 4 26" xfId="216"/>
    <cellStyle name="?? 4 27" xfId="217"/>
    <cellStyle name="?? 4 3" xfId="218"/>
    <cellStyle name="?? 4 3 2" xfId="219"/>
    <cellStyle name="?? 4 3 2 2" xfId="220"/>
    <cellStyle name="?? 4 3 2 2 2" xfId="221"/>
    <cellStyle name="?? 4 3 2 2 3" xfId="222"/>
    <cellStyle name="?? 4 3 2 3" xfId="223"/>
    <cellStyle name="?? 4 3 2 3 2" xfId="224"/>
    <cellStyle name="?? 4 3 2 3 3" xfId="225"/>
    <cellStyle name="?? 4 3 2 4" xfId="226"/>
    <cellStyle name="?? 4 3 2 5" xfId="227"/>
    <cellStyle name="?? 4 3 2 6" xfId="228"/>
    <cellStyle name="?? 4 3 3" xfId="229"/>
    <cellStyle name="?? 4 3 3 2" xfId="230"/>
    <cellStyle name="?? 4 3 3 3" xfId="231"/>
    <cellStyle name="?? 4 3 4" xfId="232"/>
    <cellStyle name="?? 4 3 5" xfId="233"/>
    <cellStyle name="?? 4 3 6" xfId="234"/>
    <cellStyle name="?? 4 3 7" xfId="235"/>
    <cellStyle name="?? 4 4" xfId="236"/>
    <cellStyle name="?? 4 4 2" xfId="237"/>
    <cellStyle name="?? 4 4 2 2" xfId="238"/>
    <cellStyle name="?? 4 4 2 2 2" xfId="239"/>
    <cellStyle name="?? 4 4 2 2 3" xfId="240"/>
    <cellStyle name="?? 4 4 2 3" xfId="241"/>
    <cellStyle name="?? 4 4 2 3 2" xfId="242"/>
    <cellStyle name="?? 4 4 2 3 3" xfId="243"/>
    <cellStyle name="?? 4 4 2 4" xfId="244"/>
    <cellStyle name="?? 4 4 2 5" xfId="245"/>
    <cellStyle name="?? 4 4 2 6" xfId="246"/>
    <cellStyle name="?? 4 4 3" xfId="247"/>
    <cellStyle name="?? 4 4 3 2" xfId="248"/>
    <cellStyle name="?? 4 4 3 3" xfId="249"/>
    <cellStyle name="?? 4 4 4" xfId="250"/>
    <cellStyle name="?? 4 4 5" xfId="251"/>
    <cellStyle name="?? 4 4 6" xfId="252"/>
    <cellStyle name="?? 4 4 7" xfId="253"/>
    <cellStyle name="?? 4 5" xfId="254"/>
    <cellStyle name="?? 4 5 2" xfId="255"/>
    <cellStyle name="?? 4 5 2 2" xfId="256"/>
    <cellStyle name="?? 4 5 2 2 2" xfId="257"/>
    <cellStyle name="?? 4 5 2 2 2 2" xfId="258"/>
    <cellStyle name="?? 4 5 2 2 2 3" xfId="259"/>
    <cellStyle name="?? 4 5 2 2 3" xfId="260"/>
    <cellStyle name="?? 4 5 2 2 3 2" xfId="261"/>
    <cellStyle name="?? 4 5 2 2 3 3" xfId="262"/>
    <cellStyle name="?? 4 5 2 2 4" xfId="263"/>
    <cellStyle name="?? 4 5 2 2 5" xfId="264"/>
    <cellStyle name="?? 4 5 2 3" xfId="265"/>
    <cellStyle name="?? 4 5 2 3 2" xfId="266"/>
    <cellStyle name="?? 4 5 2 3 3" xfId="267"/>
    <cellStyle name="?? 4 5 2 4" xfId="268"/>
    <cellStyle name="?? 4 5 2 4 2" xfId="269"/>
    <cellStyle name="?? 4 5 2 4 3" xfId="270"/>
    <cellStyle name="?? 4 5 2 5" xfId="271"/>
    <cellStyle name="?? 4 5 2 6" xfId="272"/>
    <cellStyle name="?? 4 5 2 7" xfId="273"/>
    <cellStyle name="?? 4 5 3" xfId="274"/>
    <cellStyle name="?? 4 5 3 2" xfId="275"/>
    <cellStyle name="?? 4 5 3 3" xfId="276"/>
    <cellStyle name="?? 4 5 4" xfId="277"/>
    <cellStyle name="?? 4 5 5" xfId="278"/>
    <cellStyle name="?? 4 5 6" xfId="279"/>
    <cellStyle name="?? 4 5 7" xfId="280"/>
    <cellStyle name="?? 4 6" xfId="281"/>
    <cellStyle name="?? 4 6 2" xfId="282"/>
    <cellStyle name="?? 4 6 2 2" xfId="283"/>
    <cellStyle name="?? 4 6 2 2 2" xfId="284"/>
    <cellStyle name="?? 4 6 2 2 3" xfId="285"/>
    <cellStyle name="?? 4 6 2 3" xfId="286"/>
    <cellStyle name="?? 4 6 2 3 2" xfId="287"/>
    <cellStyle name="?? 4 6 2 3 3" xfId="288"/>
    <cellStyle name="?? 4 6 2 4" xfId="289"/>
    <cellStyle name="?? 4 6 2 5" xfId="290"/>
    <cellStyle name="?? 4 6 2 6" xfId="291"/>
    <cellStyle name="?? 4 6 3" xfId="292"/>
    <cellStyle name="?? 4 6 3 2" xfId="293"/>
    <cellStyle name="?? 4 6 3 3" xfId="294"/>
    <cellStyle name="?? 4 6 4" xfId="295"/>
    <cellStyle name="?? 4 6 5" xfId="296"/>
    <cellStyle name="?? 4 6 6" xfId="297"/>
    <cellStyle name="?? 4 6 7" xfId="298"/>
    <cellStyle name="?? 4 7" xfId="299"/>
    <cellStyle name="?? 4 7 2" xfId="300"/>
    <cellStyle name="?? 4 7 2 2" xfId="301"/>
    <cellStyle name="?? 4 7 2 3" xfId="302"/>
    <cellStyle name="?? 4 7 2 4" xfId="303"/>
    <cellStyle name="?? 4 7 3" xfId="304"/>
    <cellStyle name="?? 4 7 3 2" xfId="305"/>
    <cellStyle name="?? 4 7 3 3" xfId="306"/>
    <cellStyle name="?? 4 7 4" xfId="307"/>
    <cellStyle name="?? 4 7 5" xfId="308"/>
    <cellStyle name="?? 4 7 6" xfId="309"/>
    <cellStyle name="?? 4 7 7" xfId="310"/>
    <cellStyle name="?? 4 7 8" xfId="311"/>
    <cellStyle name="?? 4 8" xfId="312"/>
    <cellStyle name="?? 4 8 2" xfId="313"/>
    <cellStyle name="?? 4 8 2 2" xfId="314"/>
    <cellStyle name="?? 4 8 3" xfId="315"/>
    <cellStyle name="?? 4 8 4" xfId="316"/>
    <cellStyle name="?? 4 8 5" xfId="317"/>
    <cellStyle name="?? 4 8 6" xfId="318"/>
    <cellStyle name="?? 4 9" xfId="319"/>
    <cellStyle name="?? 4 9 2" xfId="320"/>
    <cellStyle name="?? 4 9 2 2" xfId="321"/>
    <cellStyle name="?? 4 9 3" xfId="322"/>
    <cellStyle name="?? 4 9 4" xfId="323"/>
    <cellStyle name="?? 4 9 5" xfId="324"/>
    <cellStyle name="?? 4 9 6" xfId="325"/>
    <cellStyle name="?? 5" xfId="326"/>
    <cellStyle name="?? 5 2" xfId="327"/>
    <cellStyle name="?? 5 3" xfId="328"/>
    <cellStyle name="?? 6" xfId="329"/>
    <cellStyle name="?? 6 2" xfId="330"/>
    <cellStyle name="?? 6 3" xfId="331"/>
    <cellStyle name="?? 6i" xfId="332"/>
    <cellStyle name="?? 6i 10" xfId="333"/>
    <cellStyle name="?? 6i 11" xfId="334"/>
    <cellStyle name="?? 6i 12" xfId="335"/>
    <cellStyle name="?? 6i 2" xfId="336"/>
    <cellStyle name="?? 6i 2 2" xfId="337"/>
    <cellStyle name="?? 6i 2 2 2" xfId="338"/>
    <cellStyle name="?? 6i 2 2 2 2" xfId="339"/>
    <cellStyle name="?? 6i 2 2 2 3" xfId="340"/>
    <cellStyle name="?? 6i 2 2 3" xfId="341"/>
    <cellStyle name="?? 6i 2 2 3 2" xfId="342"/>
    <cellStyle name="?? 6i 2 2 3 3" xfId="343"/>
    <cellStyle name="?? 6i 2 2 4" xfId="344"/>
    <cellStyle name="?? 6i 2 2 5" xfId="345"/>
    <cellStyle name="?? 6i 2 2 6" xfId="346"/>
    <cellStyle name="?? 6i 2 3" xfId="347"/>
    <cellStyle name="?? 6i 2 3 2" xfId="348"/>
    <cellStyle name="?? 6i 2 3 3" xfId="349"/>
    <cellStyle name="?? 6i 2 4" xfId="350"/>
    <cellStyle name="?? 6i 2 5" xfId="351"/>
    <cellStyle name="?? 6i 2 6" xfId="352"/>
    <cellStyle name="?? 6i 2 7" xfId="353"/>
    <cellStyle name="?? 6i 3" xfId="354"/>
    <cellStyle name="?? 6i 3 2" xfId="355"/>
    <cellStyle name="?? 6i 3 2 2" xfId="356"/>
    <cellStyle name="?? 6i 3 2 2 2" xfId="357"/>
    <cellStyle name="?? 6i 3 2 2 3" xfId="358"/>
    <cellStyle name="?? 6i 3 2 3" xfId="359"/>
    <cellStyle name="?? 6i 3 2 3 2" xfId="360"/>
    <cellStyle name="?? 6i 3 2 3 3" xfId="361"/>
    <cellStyle name="?? 6i 3 2 4" xfId="362"/>
    <cellStyle name="?? 6i 3 2 5" xfId="363"/>
    <cellStyle name="?? 6i 3 2 6" xfId="364"/>
    <cellStyle name="?? 6i 3 3" xfId="365"/>
    <cellStyle name="?? 6i 3 3 2" xfId="366"/>
    <cellStyle name="?? 6i 3 3 3" xfId="367"/>
    <cellStyle name="?? 6i 3 4" xfId="368"/>
    <cellStyle name="?? 6i 3 4 2" xfId="369"/>
    <cellStyle name="?? 6i 3 4 3" xfId="370"/>
    <cellStyle name="?? 6i 3 5" xfId="371"/>
    <cellStyle name="?? 6i 3 6" xfId="372"/>
    <cellStyle name="?? 6i 3 7" xfId="373"/>
    <cellStyle name="?? 6i 3 8" xfId="374"/>
    <cellStyle name="?? 6i 3 9" xfId="375"/>
    <cellStyle name="?? 6i 4" xfId="376"/>
    <cellStyle name="?? 6i 4 2" xfId="377"/>
    <cellStyle name="?? 6i 4 2 2" xfId="378"/>
    <cellStyle name="?? 6i 4 3" xfId="379"/>
    <cellStyle name="?? 6i 4 4" xfId="380"/>
    <cellStyle name="?? 6i 4 5" xfId="381"/>
    <cellStyle name="?? 6i 4 6" xfId="382"/>
    <cellStyle name="?? 6i 5" xfId="383"/>
    <cellStyle name="?? 6i 5 2" xfId="384"/>
    <cellStyle name="?? 6i 5 3" xfId="385"/>
    <cellStyle name="?? 6i 5 4" xfId="386"/>
    <cellStyle name="?? 6i 5 5" xfId="387"/>
    <cellStyle name="?? 6i 6" xfId="388"/>
    <cellStyle name="?? 6i 6 2" xfId="389"/>
    <cellStyle name="?? 6i 6 3" xfId="390"/>
    <cellStyle name="?? 6i 6 4" xfId="391"/>
    <cellStyle name="?? 6i 7" xfId="392"/>
    <cellStyle name="?? 6i 7 2" xfId="393"/>
    <cellStyle name="?? 6i 7 3" xfId="394"/>
    <cellStyle name="?? 6i 8" xfId="395"/>
    <cellStyle name="?? 6i 8 2" xfId="396"/>
    <cellStyle name="?? 6i 8 3" xfId="397"/>
    <cellStyle name="?? 6i 9" xfId="398"/>
    <cellStyle name="?? 6i 9 2" xfId="399"/>
    <cellStyle name="?? 6i 9 3" xfId="400"/>
    <cellStyle name="?? 7" xfId="401"/>
    <cellStyle name="?? 7 2" xfId="402"/>
    <cellStyle name="?? 7 3" xfId="403"/>
    <cellStyle name="?? 8" xfId="404"/>
    <cellStyle name="?? 8 2" xfId="405"/>
    <cellStyle name="?? 9" xfId="406"/>
    <cellStyle name="?? 9 2" xfId="407"/>
    <cellStyle name="??% " xfId="408"/>
    <cellStyle name="??%  2" xfId="409"/>
    <cellStyle name="??%  3" xfId="410"/>
    <cellStyle name="??%  3 2" xfId="411"/>
    <cellStyle name="??%  4" xfId="412"/>
    <cellStyle name="??? ???" xfId="413"/>
    <cellStyle name="??? ??? 2" xfId="414"/>
    <cellStyle name="??? ??? 3" xfId="415"/>
    <cellStyle name="??? ??? 3 2" xfId="416"/>
    <cellStyle name="??? ??? 4" xfId="417"/>
    <cellStyle name="????" xfId="418"/>
    <cellStyle name="???? 10" xfId="419"/>
    <cellStyle name="???? 11" xfId="420"/>
    <cellStyle name="???? 2" xfId="421"/>
    <cellStyle name="???? 2 2" xfId="422"/>
    <cellStyle name="???? 2 2 2" xfId="423"/>
    <cellStyle name="???? 2 2 2 2" xfId="424"/>
    <cellStyle name="???? 2 2 2 3" xfId="425"/>
    <cellStyle name="???? 2 2 3" xfId="426"/>
    <cellStyle name="???? 2 2 3 2" xfId="427"/>
    <cellStyle name="???? 2 2 3 3" xfId="428"/>
    <cellStyle name="???? 2 2 4" xfId="429"/>
    <cellStyle name="???? 2 2 5" xfId="430"/>
    <cellStyle name="???? 2 2 6" xfId="431"/>
    <cellStyle name="???? 2 3" xfId="432"/>
    <cellStyle name="???? 2 3 2" xfId="433"/>
    <cellStyle name="???? 2 3 3" xfId="434"/>
    <cellStyle name="???? 2 4" xfId="435"/>
    <cellStyle name="???? 2 5" xfId="436"/>
    <cellStyle name="???? 2 6" xfId="437"/>
    <cellStyle name="???? 2 7" xfId="438"/>
    <cellStyle name="???? 3" xfId="439"/>
    <cellStyle name="???? 3 2" xfId="440"/>
    <cellStyle name="???? 3 2 2" xfId="441"/>
    <cellStyle name="???? 3 2 2 2" xfId="442"/>
    <cellStyle name="???? 3 2 2 3" xfId="443"/>
    <cellStyle name="???? 3 2 3" xfId="444"/>
    <cellStyle name="???? 3 2 3 2" xfId="445"/>
    <cellStyle name="???? 3 2 3 3" xfId="446"/>
    <cellStyle name="???? 3 2 4" xfId="447"/>
    <cellStyle name="???? 3 2 5" xfId="448"/>
    <cellStyle name="???? 3 2 6" xfId="449"/>
    <cellStyle name="???? 3 3" xfId="450"/>
    <cellStyle name="???? 3 3 2" xfId="451"/>
    <cellStyle name="???? 3 3 3" xfId="452"/>
    <cellStyle name="???? 3 4" xfId="453"/>
    <cellStyle name="???? 3 4 2" xfId="454"/>
    <cellStyle name="???? 3 4 3" xfId="455"/>
    <cellStyle name="???? 3 5" xfId="456"/>
    <cellStyle name="???? 3 6" xfId="457"/>
    <cellStyle name="???? 3 7" xfId="458"/>
    <cellStyle name="???? 3 8" xfId="459"/>
    <cellStyle name="???? 3 9" xfId="460"/>
    <cellStyle name="???? 4" xfId="461"/>
    <cellStyle name="???? 4 2" xfId="462"/>
    <cellStyle name="???? 4 2 2" xfId="463"/>
    <cellStyle name="???? 4 3" xfId="464"/>
    <cellStyle name="???? 4 4" xfId="465"/>
    <cellStyle name="???? 4 5" xfId="466"/>
    <cellStyle name="???? 5" xfId="467"/>
    <cellStyle name="???? 5 2" xfId="468"/>
    <cellStyle name="???? 5 3" xfId="469"/>
    <cellStyle name="???? 5 4" xfId="470"/>
    <cellStyle name="???? 5 5" xfId="471"/>
    <cellStyle name="???? 5 6" xfId="472"/>
    <cellStyle name="???? 6" xfId="473"/>
    <cellStyle name="???? 6 2" xfId="474"/>
    <cellStyle name="???? 6 3" xfId="475"/>
    <cellStyle name="???? 6 4" xfId="476"/>
    <cellStyle name="???? 7" xfId="477"/>
    <cellStyle name="???? 7 2" xfId="478"/>
    <cellStyle name="???? 7 3" xfId="479"/>
    <cellStyle name="???? 8" xfId="480"/>
    <cellStyle name="???? 8 2" xfId="481"/>
    <cellStyle name="???? 8 3" xfId="482"/>
    <cellStyle name="???? 9" xfId="483"/>
    <cellStyle name="????? " xfId="484"/>
    <cellStyle name="?????  ??" xfId="485"/>
    <cellStyle name="?????  ?? 2" xfId="486"/>
    <cellStyle name="?????  ?? 3" xfId="487"/>
    <cellStyle name="?????  ?? 3 2" xfId="488"/>
    <cellStyle name="?????  ?? 4" xfId="489"/>
    <cellStyle name="?????  ???" xfId="490"/>
    <cellStyle name="?????  ??? " xfId="491"/>
    <cellStyle name="?????  ???  2" xfId="492"/>
    <cellStyle name="?????  ???  3" xfId="493"/>
    <cellStyle name="?????  ???  3 2" xfId="494"/>
    <cellStyle name="?????  ???  4" xfId="495"/>
    <cellStyle name="?????  ??? 10" xfId="496"/>
    <cellStyle name="?????  ??? 10 2" xfId="497"/>
    <cellStyle name="?????  ??? 10 2 2" xfId="498"/>
    <cellStyle name="?????  ??? 10 2 3" xfId="499"/>
    <cellStyle name="?????  ??? 10 2 4" xfId="500"/>
    <cellStyle name="?????  ??? 10 3" xfId="501"/>
    <cellStyle name="?????  ??? 10 3 2" xfId="502"/>
    <cellStyle name="?????  ??? 10 3 3" xfId="503"/>
    <cellStyle name="?????  ??? 10 4" xfId="504"/>
    <cellStyle name="?????  ??? 10 5" xfId="505"/>
    <cellStyle name="?????  ??? 10 6" xfId="506"/>
    <cellStyle name="?????  ??? 10 7" xfId="507"/>
    <cellStyle name="?????  ??? 10 8" xfId="508"/>
    <cellStyle name="?????  ??? 11" xfId="509"/>
    <cellStyle name="?????  ??? 11 2" xfId="510"/>
    <cellStyle name="?????  ??? 11 3" xfId="511"/>
    <cellStyle name="?????  ??? 11 4" xfId="512"/>
    <cellStyle name="?????  ??? 11 5" xfId="513"/>
    <cellStyle name="?????  ??? 11 6" xfId="514"/>
    <cellStyle name="?????  ??? 12" xfId="515"/>
    <cellStyle name="?????  ??? 12 2" xfId="516"/>
    <cellStyle name="?????  ??? 12 3" xfId="517"/>
    <cellStyle name="?????  ??? 12 4" xfId="518"/>
    <cellStyle name="?????  ??? 12 5" xfId="519"/>
    <cellStyle name="?????  ??? 12 6" xfId="520"/>
    <cellStyle name="?????  ??? 13" xfId="521"/>
    <cellStyle name="?????  ??? 13 2" xfId="522"/>
    <cellStyle name="?????  ??? 13 3" xfId="523"/>
    <cellStyle name="?????  ??? 13 4" xfId="524"/>
    <cellStyle name="?????  ??? 13 5" xfId="525"/>
    <cellStyle name="?????  ??? 13 6" xfId="526"/>
    <cellStyle name="?????  ??? 14" xfId="527"/>
    <cellStyle name="?????  ??? 14 2" xfId="528"/>
    <cellStyle name="?????  ??? 14 3" xfId="529"/>
    <cellStyle name="?????  ??? 14 4" xfId="530"/>
    <cellStyle name="?????  ??? 15" xfId="531"/>
    <cellStyle name="?????  ??? 15 2" xfId="532"/>
    <cellStyle name="?????  ??? 15 3" xfId="533"/>
    <cellStyle name="?????  ??? 15 4" xfId="534"/>
    <cellStyle name="?????  ??? 16" xfId="535"/>
    <cellStyle name="?????  ??? 16 2" xfId="536"/>
    <cellStyle name="?????  ??? 16 3" xfId="537"/>
    <cellStyle name="?????  ??? 17" xfId="538"/>
    <cellStyle name="?????  ??? 17 2" xfId="539"/>
    <cellStyle name="?????  ??? 17 3" xfId="540"/>
    <cellStyle name="?????  ??? 18" xfId="541"/>
    <cellStyle name="?????  ??? 18 2" xfId="542"/>
    <cellStyle name="?????  ??? 18 3" xfId="543"/>
    <cellStyle name="?????  ??? 19" xfId="544"/>
    <cellStyle name="?????  ??? 19 2" xfId="545"/>
    <cellStyle name="?????  ??? 19 3" xfId="546"/>
    <cellStyle name="?????  ??? 2" xfId="547"/>
    <cellStyle name="?????  ??? 2 10" xfId="548"/>
    <cellStyle name="?????  ??? 2 11" xfId="549"/>
    <cellStyle name="?????  ??? 2 2" xfId="550"/>
    <cellStyle name="?????  ??? 2 2 2" xfId="551"/>
    <cellStyle name="?????  ??? 2 2 2 2" xfId="552"/>
    <cellStyle name="?????  ??? 2 2 2 2 2" xfId="553"/>
    <cellStyle name="?????  ??? 2 2 2 2 3" xfId="554"/>
    <cellStyle name="?????  ??? 2 2 2 3" xfId="555"/>
    <cellStyle name="?????  ??? 2 2 2 3 2" xfId="556"/>
    <cellStyle name="?????  ??? 2 2 2 3 3" xfId="557"/>
    <cellStyle name="?????  ??? 2 2 2 4" xfId="558"/>
    <cellStyle name="?????  ??? 2 2 2 5" xfId="559"/>
    <cellStyle name="?????  ??? 2 2 2 6" xfId="560"/>
    <cellStyle name="?????  ??? 2 2 3" xfId="561"/>
    <cellStyle name="?????  ??? 2 2 3 2" xfId="562"/>
    <cellStyle name="?????  ??? 2 2 3 3" xfId="563"/>
    <cellStyle name="?????  ??? 2 2 4" xfId="564"/>
    <cellStyle name="?????  ??? 2 2 5" xfId="565"/>
    <cellStyle name="?????  ??? 2 2 6" xfId="566"/>
    <cellStyle name="?????  ??? 2 2 7" xfId="567"/>
    <cellStyle name="?????  ??? 2 3" xfId="568"/>
    <cellStyle name="?????  ??? 2 3 2" xfId="569"/>
    <cellStyle name="?????  ??? 2 3 2 2" xfId="570"/>
    <cellStyle name="?????  ??? 2 3 2 2 2" xfId="571"/>
    <cellStyle name="?????  ??? 2 3 2 2 3" xfId="572"/>
    <cellStyle name="?????  ??? 2 3 2 3" xfId="573"/>
    <cellStyle name="?????  ??? 2 3 2 3 2" xfId="574"/>
    <cellStyle name="?????  ??? 2 3 2 3 3" xfId="575"/>
    <cellStyle name="?????  ??? 2 3 2 4" xfId="576"/>
    <cellStyle name="?????  ??? 2 3 2 5" xfId="577"/>
    <cellStyle name="?????  ??? 2 3 2 6" xfId="578"/>
    <cellStyle name="?????  ??? 2 3 3" xfId="579"/>
    <cellStyle name="?????  ??? 2 3 3 2" xfId="580"/>
    <cellStyle name="?????  ??? 2 3 3 3" xfId="581"/>
    <cellStyle name="?????  ??? 2 3 4" xfId="582"/>
    <cellStyle name="?????  ??? 2 3 4 2" xfId="583"/>
    <cellStyle name="?????  ??? 2 3 4 3" xfId="584"/>
    <cellStyle name="?????  ??? 2 3 5" xfId="585"/>
    <cellStyle name="?????  ??? 2 3 6" xfId="586"/>
    <cellStyle name="?????  ??? 2 3 7" xfId="587"/>
    <cellStyle name="?????  ??? 2 3 8" xfId="588"/>
    <cellStyle name="?????  ??? 2 3 9" xfId="589"/>
    <cellStyle name="?????  ??? 2 4" xfId="590"/>
    <cellStyle name="?????  ??? 2 4 2" xfId="591"/>
    <cellStyle name="?????  ??? 2 4 3" xfId="592"/>
    <cellStyle name="?????  ??? 2 4 4" xfId="593"/>
    <cellStyle name="?????  ??? 2 4 5" xfId="594"/>
    <cellStyle name="?????  ??? 2 4 6" xfId="595"/>
    <cellStyle name="?????  ??? 2 5" xfId="596"/>
    <cellStyle name="?????  ??? 2 5 2" xfId="597"/>
    <cellStyle name="?????  ??? 2 5 3" xfId="598"/>
    <cellStyle name="?????  ??? 2 5 4" xfId="599"/>
    <cellStyle name="?????  ??? 2 6" xfId="600"/>
    <cellStyle name="?????  ??? 2 6 2" xfId="601"/>
    <cellStyle name="?????  ??? 2 6 3" xfId="602"/>
    <cellStyle name="?????  ??? 2 7" xfId="603"/>
    <cellStyle name="?????  ??? 2 7 2" xfId="604"/>
    <cellStyle name="?????  ??? 2 7 3" xfId="605"/>
    <cellStyle name="?????  ??? 2 8" xfId="606"/>
    <cellStyle name="?????  ??? 2 8 2" xfId="607"/>
    <cellStyle name="?????  ??? 2 8 3" xfId="608"/>
    <cellStyle name="?????  ??? 2 9" xfId="609"/>
    <cellStyle name="?????  ??? 20" xfId="610"/>
    <cellStyle name="?????  ??? 20 2" xfId="611"/>
    <cellStyle name="?????  ??? 20 3" xfId="612"/>
    <cellStyle name="?????  ??? 20 4" xfId="613"/>
    <cellStyle name="?????  ??? 21" xfId="614"/>
    <cellStyle name="?????  ??? 21 2" xfId="615"/>
    <cellStyle name="?????  ??? 21 3" xfId="616"/>
    <cellStyle name="?????  ??? 21 4" xfId="617"/>
    <cellStyle name="?????  ??? 22" xfId="618"/>
    <cellStyle name="?????  ??? 22 2" xfId="619"/>
    <cellStyle name="?????  ??? 22 3" xfId="620"/>
    <cellStyle name="?????  ??? 23" xfId="621"/>
    <cellStyle name="?????  ??? 23 2" xfId="622"/>
    <cellStyle name="?????  ??? 23 3" xfId="623"/>
    <cellStyle name="?????  ??? 24" xfId="624"/>
    <cellStyle name="?????  ??? 24 2" xfId="625"/>
    <cellStyle name="?????  ??? 25" xfId="626"/>
    <cellStyle name="?????  ??? 25 2" xfId="627"/>
    <cellStyle name="?????  ??? 26" xfId="628"/>
    <cellStyle name="?????  ??? 26 2" xfId="629"/>
    <cellStyle name="?????  ??? 27" xfId="630"/>
    <cellStyle name="?????  ??? 27 2" xfId="631"/>
    <cellStyle name="?????  ??? 28" xfId="632"/>
    <cellStyle name="?????  ??? 28 2" xfId="633"/>
    <cellStyle name="?????  ??? 29" xfId="634"/>
    <cellStyle name="?????  ??? 29 2" xfId="635"/>
    <cellStyle name="?????  ??? 3" xfId="636"/>
    <cellStyle name="?????  ??? 3 2" xfId="637"/>
    <cellStyle name="?????  ??? 3 2 2" xfId="638"/>
    <cellStyle name="?????  ??? 3 2 2 2" xfId="639"/>
    <cellStyle name="?????  ??? 3 2 2 2 2" xfId="640"/>
    <cellStyle name="?????  ??? 3 2 2 2 3" xfId="641"/>
    <cellStyle name="?????  ??? 3 2 2 3" xfId="642"/>
    <cellStyle name="?????  ??? 3 2 2 3 2" xfId="643"/>
    <cellStyle name="?????  ??? 3 2 2 3 3" xfId="644"/>
    <cellStyle name="?????  ??? 3 2 2 4" xfId="645"/>
    <cellStyle name="?????  ??? 3 2 2 5" xfId="646"/>
    <cellStyle name="?????  ??? 3 2 3" xfId="647"/>
    <cellStyle name="?????  ??? 3 2 3 2" xfId="648"/>
    <cellStyle name="?????  ??? 3 2 3 3" xfId="649"/>
    <cellStyle name="?????  ??? 3 2 4" xfId="650"/>
    <cellStyle name="?????  ??? 3 2 4 2" xfId="651"/>
    <cellStyle name="?????  ??? 3 2 4 3" xfId="652"/>
    <cellStyle name="?????  ??? 3 2 5" xfId="653"/>
    <cellStyle name="?????  ??? 3 2 6" xfId="654"/>
    <cellStyle name="?????  ??? 3 2 7" xfId="655"/>
    <cellStyle name="?????  ??? 3 2 8" xfId="656"/>
    <cellStyle name="?????  ??? 3 2 9" xfId="657"/>
    <cellStyle name="?????  ??? 3 3" xfId="658"/>
    <cellStyle name="?????  ??? 3 3 2" xfId="659"/>
    <cellStyle name="?????  ??? 3 3 3" xfId="660"/>
    <cellStyle name="?????  ??? 3 3 4" xfId="661"/>
    <cellStyle name="?????  ??? 3 3 5" xfId="662"/>
    <cellStyle name="?????  ??? 3 3 6" xfId="663"/>
    <cellStyle name="?????  ??? 3 4" xfId="664"/>
    <cellStyle name="?????  ??? 3 5" xfId="665"/>
    <cellStyle name="?????  ??? 3 6" xfId="666"/>
    <cellStyle name="?????  ??? 3 7" xfId="667"/>
    <cellStyle name="?????  ??? 30" xfId="668"/>
    <cellStyle name="?????  ??? 31" xfId="669"/>
    <cellStyle name="?????  ??? 4" xfId="670"/>
    <cellStyle name="?????  ??? 4 2" xfId="671"/>
    <cellStyle name="?????  ??? 4 2 2" xfId="672"/>
    <cellStyle name="?????  ??? 4 2 2 2" xfId="673"/>
    <cellStyle name="?????  ??? 4 2 2 2 2" xfId="674"/>
    <cellStyle name="?????  ??? 4 2 2 2 3" xfId="675"/>
    <cellStyle name="?????  ??? 4 2 2 3" xfId="676"/>
    <cellStyle name="?????  ??? 4 2 2 3 2" xfId="677"/>
    <cellStyle name="?????  ??? 4 2 2 3 3" xfId="678"/>
    <cellStyle name="?????  ??? 4 2 2 4" xfId="679"/>
    <cellStyle name="?????  ??? 4 2 2 5" xfId="680"/>
    <cellStyle name="?????  ??? 4 2 3" xfId="681"/>
    <cellStyle name="?????  ??? 4 2 3 2" xfId="682"/>
    <cellStyle name="?????  ??? 4 2 3 3" xfId="683"/>
    <cellStyle name="?????  ??? 4 2 4" xfId="684"/>
    <cellStyle name="?????  ??? 4 2 4 2" xfId="685"/>
    <cellStyle name="?????  ??? 4 2 4 3" xfId="686"/>
    <cellStyle name="?????  ??? 4 2 5" xfId="687"/>
    <cellStyle name="?????  ??? 4 2 6" xfId="688"/>
    <cellStyle name="?????  ??? 4 2 7" xfId="689"/>
    <cellStyle name="?????  ??? 4 2 8" xfId="690"/>
    <cellStyle name="?????  ??? 4 2 9" xfId="691"/>
    <cellStyle name="?????  ??? 4 3" xfId="692"/>
    <cellStyle name="?????  ??? 4 3 2" xfId="693"/>
    <cellStyle name="?????  ??? 4 3 3" xfId="694"/>
    <cellStyle name="?????  ??? 4 3 4" xfId="695"/>
    <cellStyle name="?????  ??? 4 3 5" xfId="696"/>
    <cellStyle name="?????  ??? 4 3 6" xfId="697"/>
    <cellStyle name="?????  ??? 4 4" xfId="698"/>
    <cellStyle name="?????  ??? 4 5" xfId="699"/>
    <cellStyle name="?????  ??? 4 6" xfId="700"/>
    <cellStyle name="?????  ??? 4 7" xfId="701"/>
    <cellStyle name="?????  ??? 5" xfId="702"/>
    <cellStyle name="?????  ??? 5 2" xfId="703"/>
    <cellStyle name="?????  ??? 5 2 2" xfId="704"/>
    <cellStyle name="?????  ??? 5 2 2 2" xfId="705"/>
    <cellStyle name="?????  ??? 5 2 2 2 2" xfId="706"/>
    <cellStyle name="?????  ??? 5 2 2 2 3" xfId="707"/>
    <cellStyle name="?????  ??? 5 2 2 3" xfId="708"/>
    <cellStyle name="?????  ??? 5 2 2 3 2" xfId="709"/>
    <cellStyle name="?????  ??? 5 2 2 3 3" xfId="710"/>
    <cellStyle name="?????  ??? 5 2 2 4" xfId="711"/>
    <cellStyle name="?????  ??? 5 2 2 5" xfId="712"/>
    <cellStyle name="?????  ??? 5 2 3" xfId="713"/>
    <cellStyle name="?????  ??? 5 2 3 2" xfId="714"/>
    <cellStyle name="?????  ??? 5 2 3 3" xfId="715"/>
    <cellStyle name="?????  ??? 5 2 4" xfId="716"/>
    <cellStyle name="?????  ??? 5 2 4 2" xfId="717"/>
    <cellStyle name="?????  ??? 5 2 4 3" xfId="718"/>
    <cellStyle name="?????  ??? 5 2 5" xfId="719"/>
    <cellStyle name="?????  ??? 5 2 6" xfId="720"/>
    <cellStyle name="?????  ??? 5 2 7" xfId="721"/>
    <cellStyle name="?????  ??? 5 2 8" xfId="722"/>
    <cellStyle name="?????  ??? 5 2 9" xfId="723"/>
    <cellStyle name="?????  ??? 5 3" xfId="724"/>
    <cellStyle name="?????  ??? 5 3 2" xfId="725"/>
    <cellStyle name="?????  ??? 5 3 3" xfId="726"/>
    <cellStyle name="?????  ??? 5 3 4" xfId="727"/>
    <cellStyle name="?????  ??? 5 3 5" xfId="728"/>
    <cellStyle name="?????  ??? 5 3 6" xfId="729"/>
    <cellStyle name="?????  ??? 5 4" xfId="730"/>
    <cellStyle name="?????  ??? 5 5" xfId="731"/>
    <cellStyle name="?????  ??? 5 6" xfId="732"/>
    <cellStyle name="?????  ??? 5 7" xfId="733"/>
    <cellStyle name="?????  ??? 6" xfId="734"/>
    <cellStyle name="?????  ??? 6 2" xfId="735"/>
    <cellStyle name="?????  ??? 6 2 2" xfId="736"/>
    <cellStyle name="?????  ??? 6 2 2 2" xfId="737"/>
    <cellStyle name="?????  ??? 6 2 2 2 2" xfId="738"/>
    <cellStyle name="?????  ??? 6 2 2 2 3" xfId="739"/>
    <cellStyle name="?????  ??? 6 2 2 3" xfId="740"/>
    <cellStyle name="?????  ??? 6 2 2 3 2" xfId="741"/>
    <cellStyle name="?????  ??? 6 2 2 3 3" xfId="742"/>
    <cellStyle name="?????  ??? 6 2 2 4" xfId="743"/>
    <cellStyle name="?????  ??? 6 2 2 5" xfId="744"/>
    <cellStyle name="?????  ??? 6 2 3" xfId="745"/>
    <cellStyle name="?????  ??? 6 2 3 2" xfId="746"/>
    <cellStyle name="?????  ??? 6 2 3 3" xfId="747"/>
    <cellStyle name="?????  ??? 6 2 4" xfId="748"/>
    <cellStyle name="?????  ??? 6 2 4 2" xfId="749"/>
    <cellStyle name="?????  ??? 6 2 4 3" xfId="750"/>
    <cellStyle name="?????  ??? 6 2 5" xfId="751"/>
    <cellStyle name="?????  ??? 6 2 6" xfId="752"/>
    <cellStyle name="?????  ??? 6 2 7" xfId="753"/>
    <cellStyle name="?????  ??? 6 2 8" xfId="754"/>
    <cellStyle name="?????  ??? 6 2 9" xfId="755"/>
    <cellStyle name="?????  ??? 6 3" xfId="756"/>
    <cellStyle name="?????  ??? 6 3 2" xfId="757"/>
    <cellStyle name="?????  ??? 6 3 3" xfId="758"/>
    <cellStyle name="?????  ??? 6 3 4" xfId="759"/>
    <cellStyle name="?????  ??? 6 3 5" xfId="760"/>
    <cellStyle name="?????  ??? 6 3 6" xfId="761"/>
    <cellStyle name="?????  ??? 6 4" xfId="762"/>
    <cellStyle name="?????  ??? 6 5" xfId="763"/>
    <cellStyle name="?????  ??? 6 6" xfId="764"/>
    <cellStyle name="?????  ??? 6 7" xfId="765"/>
    <cellStyle name="?????  ??? 7" xfId="766"/>
    <cellStyle name="?????  ??? 7 2" xfId="767"/>
    <cellStyle name="?????  ??? 7 2 2" xfId="768"/>
    <cellStyle name="?????  ??? 7 2 2 2" xfId="769"/>
    <cellStyle name="?????  ??? 7 2 2 3" xfId="770"/>
    <cellStyle name="?????  ??? 7 2 3" xfId="771"/>
    <cellStyle name="?????  ??? 7 2 3 2" xfId="772"/>
    <cellStyle name="?????  ??? 7 2 3 3" xfId="773"/>
    <cellStyle name="?????  ??? 7 2 4" xfId="774"/>
    <cellStyle name="?????  ??? 7 2 5" xfId="775"/>
    <cellStyle name="?????  ??? 7 2 6" xfId="776"/>
    <cellStyle name="?????  ??? 7 2 7" xfId="777"/>
    <cellStyle name="?????  ??? 7 2 8" xfId="778"/>
    <cellStyle name="?????  ??? 7 3" xfId="779"/>
    <cellStyle name="?????  ??? 7 3 2" xfId="780"/>
    <cellStyle name="?????  ??? 7 3 3" xfId="781"/>
    <cellStyle name="?????  ??? 7 4" xfId="782"/>
    <cellStyle name="?????  ??? 7 5" xfId="783"/>
    <cellStyle name="?????  ??? 7 6" xfId="784"/>
    <cellStyle name="?????  ??? 7 7" xfId="785"/>
    <cellStyle name="?????  ??? 8" xfId="786"/>
    <cellStyle name="?????  ??? 8 2" xfId="787"/>
    <cellStyle name="?????  ??? 8 2 2" xfId="788"/>
    <cellStyle name="?????  ??? 8 2 2 2" xfId="789"/>
    <cellStyle name="?????  ??? 8 2 2 3" xfId="790"/>
    <cellStyle name="?????  ??? 8 2 3" xfId="791"/>
    <cellStyle name="?????  ??? 8 2 3 2" xfId="792"/>
    <cellStyle name="?????  ??? 8 2 3 3" xfId="793"/>
    <cellStyle name="?????  ??? 8 2 4" xfId="794"/>
    <cellStyle name="?????  ??? 8 2 5" xfId="795"/>
    <cellStyle name="?????  ??? 8 2 6" xfId="796"/>
    <cellStyle name="?????  ??? 8 3" xfId="797"/>
    <cellStyle name="?????  ??? 8 3 2" xfId="798"/>
    <cellStyle name="?????  ??? 8 3 3" xfId="799"/>
    <cellStyle name="?????  ??? 8 4" xfId="800"/>
    <cellStyle name="?????  ??? 8 5" xfId="801"/>
    <cellStyle name="?????  ??? 8 6" xfId="802"/>
    <cellStyle name="?????  ??? 8 7" xfId="803"/>
    <cellStyle name="?????  ??? 9" xfId="804"/>
    <cellStyle name="?????  ??? 9 2" xfId="805"/>
    <cellStyle name="?????  ??? 9 2 2" xfId="806"/>
    <cellStyle name="?????  ??? 9 2 2 2" xfId="807"/>
    <cellStyle name="?????  ??? 9 2 2 3" xfId="808"/>
    <cellStyle name="?????  ??? 9 2 3" xfId="809"/>
    <cellStyle name="?????  ??? 9 2 3 2" xfId="810"/>
    <cellStyle name="?????  ??? 9 2 3 3" xfId="811"/>
    <cellStyle name="?????  ??? 9 2 4" xfId="812"/>
    <cellStyle name="?????  ??? 9 2 5" xfId="813"/>
    <cellStyle name="?????  ??? 9 2 6" xfId="814"/>
    <cellStyle name="?????  ??? 9 3" xfId="815"/>
    <cellStyle name="?????  ??? 9 3 2" xfId="816"/>
    <cellStyle name="?????  ??? 9 3 3" xfId="817"/>
    <cellStyle name="?????  ??? 9 4" xfId="818"/>
    <cellStyle name="?????  ??? 9 4 2" xfId="819"/>
    <cellStyle name="?????  ??? 9 4 3" xfId="820"/>
    <cellStyle name="?????  ??? 9 5" xfId="821"/>
    <cellStyle name="?????  ??? 9 6" xfId="822"/>
    <cellStyle name="?????  ??? 9 7" xfId="823"/>
    <cellStyle name="?????  ??? 9 8" xfId="824"/>
    <cellStyle name="?????  ??? 9 9" xfId="825"/>
    <cellStyle name="?????  10" xfId="826"/>
    <cellStyle name="?????  11" xfId="827"/>
    <cellStyle name="?????  12" xfId="828"/>
    <cellStyle name="?????  12 2" xfId="829"/>
    <cellStyle name="?????  13" xfId="830"/>
    <cellStyle name="?????  13 2" xfId="831"/>
    <cellStyle name="?????  14" xfId="832"/>
    <cellStyle name="?????  14 2" xfId="833"/>
    <cellStyle name="?????  15" xfId="834"/>
    <cellStyle name="?????  16" xfId="835"/>
    <cellStyle name="?????  17" xfId="836"/>
    <cellStyle name="?????  18" xfId="837"/>
    <cellStyle name="?????  19" xfId="838"/>
    <cellStyle name="?????  2" xfId="839"/>
    <cellStyle name="?????  20" xfId="840"/>
    <cellStyle name="?????  21" xfId="841"/>
    <cellStyle name="?????  22" xfId="842"/>
    <cellStyle name="?????  23" xfId="843"/>
    <cellStyle name="?????  3" xfId="844"/>
    <cellStyle name="?????  3 2" xfId="845"/>
    <cellStyle name="?????  3 3" xfId="846"/>
    <cellStyle name="?????  4" xfId="847"/>
    <cellStyle name="?????  4 2" xfId="848"/>
    <cellStyle name="?????  4 3" xfId="849"/>
    <cellStyle name="?????  5" xfId="850"/>
    <cellStyle name="?????  5 2" xfId="851"/>
    <cellStyle name="?????  5 3" xfId="852"/>
    <cellStyle name="?????  6" xfId="853"/>
    <cellStyle name="?????  6 2" xfId="854"/>
    <cellStyle name="?????  6 3" xfId="855"/>
    <cellStyle name="?????  7" xfId="856"/>
    <cellStyle name="?????  8" xfId="857"/>
    <cellStyle name="?????  8 2" xfId="858"/>
    <cellStyle name="?????  9" xfId="859"/>
    <cellStyle name="????? ??" xfId="860"/>
    <cellStyle name="????? ?? 2" xfId="861"/>
    <cellStyle name="????? ?? 3" xfId="862"/>
    <cellStyle name="????? ?? 3 2" xfId="863"/>
    <cellStyle name="????? ?? 4" xfId="864"/>
    <cellStyle name="????? ???  tTex" xfId="865"/>
    <cellStyle name="????? ???  tTex 2" xfId="866"/>
    <cellStyle name="????? ???  tTex 3" xfId="867"/>
    <cellStyle name="????? ???  tTex 3 2" xfId="868"/>
    <cellStyle name="????? ???  tTex 4" xfId="869"/>
    <cellStyle name="????? ??? ??? x" xfId="870"/>
    <cellStyle name="????? ??? ??? x 2" xfId="871"/>
    <cellStyle name="????? ??? ??? x 3" xfId="872"/>
    <cellStyle name="????? ??? ??? x 3 2" xfId="873"/>
    <cellStyle name="????? ??? ??? x 4" xfId="874"/>
    <cellStyle name="????? ????" xfId="875"/>
    <cellStyle name="????? ???? 2" xfId="876"/>
    <cellStyle name="????? ???? 3" xfId="877"/>
    <cellStyle name="????? ???? 3 2" xfId="878"/>
    <cellStyle name="????? ???? 4" xfId="879"/>
    <cellStyle name="????? g Tex" xfId="880"/>
    <cellStyle name="????? g Tex 2" xfId="881"/>
    <cellStyle name="????? g Tex 3" xfId="882"/>
    <cellStyle name="????? g Tex 3 2" xfId="883"/>
    <cellStyle name="????? g Tex 4" xfId="884"/>
    <cellStyle name="??????" xfId="885"/>
    <cellStyle name="?????? ?" xfId="886"/>
    <cellStyle name="?????? ? 2" xfId="887"/>
    <cellStyle name="?????? ? 3" xfId="888"/>
    <cellStyle name="?????? ? 3 2" xfId="889"/>
    <cellStyle name="?????? ? 4" xfId="890"/>
    <cellStyle name="?????? ??? tTextt\" xfId="891"/>
    <cellStyle name="?????? ??? tTextt\ 2" xfId="892"/>
    <cellStyle name="?????? ??? tTextt\ 3" xfId="893"/>
    <cellStyle name="?????? ??? tTextt\ 3 2" xfId="894"/>
    <cellStyle name="?????? ??? tTextt\ 4" xfId="895"/>
    <cellStyle name="?????? ??? tTextt\ 5" xfId="896"/>
    <cellStyle name="?????? 1???? 6" xfId="897"/>
    <cellStyle name="?????? 1???? 6 2" xfId="898"/>
    <cellStyle name="?????? 1???? 6 3" xfId="899"/>
    <cellStyle name="?????? 1???? 6 3 2" xfId="900"/>
    <cellStyle name="?????? 1???? 6 4" xfId="901"/>
    <cellStyle name="?????? 10" xfId="902"/>
    <cellStyle name="?????? 11" xfId="903"/>
    <cellStyle name="?????? 12" xfId="904"/>
    <cellStyle name="?????? 12 2" xfId="905"/>
    <cellStyle name="?????? 13" xfId="906"/>
    <cellStyle name="?????? 13 2" xfId="907"/>
    <cellStyle name="?????? 14" xfId="908"/>
    <cellStyle name="?????? 14 2" xfId="909"/>
    <cellStyle name="?????? 15" xfId="910"/>
    <cellStyle name="?????? 16" xfId="911"/>
    <cellStyle name="?????? 17" xfId="912"/>
    <cellStyle name="?????? 18" xfId="913"/>
    <cellStyle name="?????? 19" xfId="914"/>
    <cellStyle name="?????? 2" xfId="915"/>
    <cellStyle name="?????? 2???? 6" xfId="916"/>
    <cellStyle name="?????? 2???? 6 2" xfId="917"/>
    <cellStyle name="?????? 2???? 6 3" xfId="918"/>
    <cellStyle name="?????? 2???? 6 3 2" xfId="919"/>
    <cellStyle name="?????? 2???? 6 4" xfId="920"/>
    <cellStyle name="?????? 20" xfId="921"/>
    <cellStyle name="?????? 21" xfId="922"/>
    <cellStyle name="?????? 22" xfId="923"/>
    <cellStyle name="?????? 23" xfId="924"/>
    <cellStyle name="?????? 3" xfId="925"/>
    <cellStyle name="?????? 3 2" xfId="926"/>
    <cellStyle name="?????? 3 3" xfId="927"/>
    <cellStyle name="?????? 3???? 6" xfId="928"/>
    <cellStyle name="?????? 3???? 6 2" xfId="929"/>
    <cellStyle name="?????? 3???? 6 3" xfId="930"/>
    <cellStyle name="?????? 3???? 6 3 2" xfId="931"/>
    <cellStyle name="?????? 3???? 6 4" xfId="932"/>
    <cellStyle name="?????? 4" xfId="933"/>
    <cellStyle name="?????? 4 2" xfId="934"/>
    <cellStyle name="?????? 4 3" xfId="935"/>
    <cellStyle name="?????? 4???? 6" xfId="936"/>
    <cellStyle name="?????? 4???? 6 2" xfId="937"/>
    <cellStyle name="?????? 4???? 6 3" xfId="938"/>
    <cellStyle name="?????? 4???? 6 3 2" xfId="939"/>
    <cellStyle name="?????? 4???? 6 4" xfId="940"/>
    <cellStyle name="?????? 5" xfId="941"/>
    <cellStyle name="?????? 5 2" xfId="942"/>
    <cellStyle name="?????? 5 3" xfId="943"/>
    <cellStyle name="?????? 5???? 6" xfId="944"/>
    <cellStyle name="?????? 5???? 6 2" xfId="945"/>
    <cellStyle name="?????? 5???? 6 3" xfId="946"/>
    <cellStyle name="?????? 5???? 6 3 2" xfId="947"/>
    <cellStyle name="?????? 5???? 6 4" xfId="948"/>
    <cellStyle name="?????? 6" xfId="949"/>
    <cellStyle name="?????? 6 2" xfId="950"/>
    <cellStyle name="?????? 6 3" xfId="951"/>
    <cellStyle name="?????? 6???? 6" xfId="952"/>
    <cellStyle name="?????? 6???? 6 2" xfId="953"/>
    <cellStyle name="?????? 6???? 6 3" xfId="954"/>
    <cellStyle name="?????? 6???? 6 3 2" xfId="955"/>
    <cellStyle name="?????? 6???? 6 4" xfId="956"/>
    <cellStyle name="?????? 7" xfId="957"/>
    <cellStyle name="?????? 8" xfId="958"/>
    <cellStyle name="?????? 8 2" xfId="959"/>
    <cellStyle name="?????? 9" xfId="960"/>
    <cellStyle name="??????? ?" xfId="961"/>
    <cellStyle name="??????? ? 2" xfId="962"/>
    <cellStyle name="??????? ? 3" xfId="963"/>
    <cellStyle name="??????? ? 3 2" xfId="964"/>
    <cellStyle name="??????? ? 4" xfId="965"/>
    <cellStyle name="??????? ??" xfId="966"/>
    <cellStyle name="??????? ?? 10" xfId="967"/>
    <cellStyle name="??????? ?? 11" xfId="968"/>
    <cellStyle name="??????? ?? 12" xfId="969"/>
    <cellStyle name="??????? ?? 13" xfId="970"/>
    <cellStyle name="??????? ?? 2" xfId="971"/>
    <cellStyle name="??????? ?? 2 10" xfId="972"/>
    <cellStyle name="??????? ?? 2 11" xfId="973"/>
    <cellStyle name="??????? ?? 2 2" xfId="974"/>
    <cellStyle name="??????? ?? 2 2 2" xfId="975"/>
    <cellStyle name="??????? ?? 2 2 2 2" xfId="976"/>
    <cellStyle name="??????? ?? 2 2 2 2 2" xfId="977"/>
    <cellStyle name="??????? ?? 2 2 2 2 3" xfId="978"/>
    <cellStyle name="??????? ?? 2 2 2 3" xfId="979"/>
    <cellStyle name="??????? ?? 2 2 2 3 2" xfId="980"/>
    <cellStyle name="??????? ?? 2 2 2 3 3" xfId="981"/>
    <cellStyle name="??????? ?? 2 2 2 4" xfId="982"/>
    <cellStyle name="??????? ?? 2 2 2 5" xfId="983"/>
    <cellStyle name="??????? ?? 2 2 2 6" xfId="984"/>
    <cellStyle name="??????? ?? 2 2 3" xfId="985"/>
    <cellStyle name="??????? ?? 2 2 3 2" xfId="986"/>
    <cellStyle name="??????? ?? 2 2 3 3" xfId="987"/>
    <cellStyle name="??????? ?? 2 2 4" xfId="988"/>
    <cellStyle name="??????? ?? 2 2 5" xfId="989"/>
    <cellStyle name="??????? ?? 2 2 6" xfId="990"/>
    <cellStyle name="??????? ?? 2 2 7" xfId="991"/>
    <cellStyle name="??????? ?? 2 3" xfId="992"/>
    <cellStyle name="??????? ?? 2 3 2" xfId="993"/>
    <cellStyle name="??????? ?? 2 3 2 2" xfId="994"/>
    <cellStyle name="??????? ?? 2 3 2 2 2" xfId="995"/>
    <cellStyle name="??????? ?? 2 3 2 2 3" xfId="996"/>
    <cellStyle name="??????? ?? 2 3 2 3" xfId="997"/>
    <cellStyle name="??????? ?? 2 3 2 3 2" xfId="998"/>
    <cellStyle name="??????? ?? 2 3 2 3 3" xfId="999"/>
    <cellStyle name="??????? ?? 2 3 2 4" xfId="1000"/>
    <cellStyle name="??????? ?? 2 3 2 5" xfId="1001"/>
    <cellStyle name="??????? ?? 2 3 2 6" xfId="1002"/>
    <cellStyle name="??????? ?? 2 3 3" xfId="1003"/>
    <cellStyle name="??????? ?? 2 3 3 2" xfId="1004"/>
    <cellStyle name="??????? ?? 2 3 3 3" xfId="1005"/>
    <cellStyle name="??????? ?? 2 3 4" xfId="1006"/>
    <cellStyle name="??????? ?? 2 3 4 2" xfId="1007"/>
    <cellStyle name="??????? ?? 2 3 4 3" xfId="1008"/>
    <cellStyle name="??????? ?? 2 3 5" xfId="1009"/>
    <cellStyle name="??????? ?? 2 3 6" xfId="1010"/>
    <cellStyle name="??????? ?? 2 3 7" xfId="1011"/>
    <cellStyle name="??????? ?? 2 3 8" xfId="1012"/>
    <cellStyle name="??????? ?? 2 3 9" xfId="1013"/>
    <cellStyle name="??????? ?? 2 4" xfId="1014"/>
    <cellStyle name="??????? ?? 2 4 2" xfId="1015"/>
    <cellStyle name="??????? ?? 2 4 3" xfId="1016"/>
    <cellStyle name="??????? ?? 2 4 4" xfId="1017"/>
    <cellStyle name="??????? ?? 2 4 5" xfId="1018"/>
    <cellStyle name="??????? ?? 2 4 6" xfId="1019"/>
    <cellStyle name="??????? ?? 2 5" xfId="1020"/>
    <cellStyle name="??????? ?? 2 5 2" xfId="1021"/>
    <cellStyle name="??????? ?? 2 5 3" xfId="1022"/>
    <cellStyle name="??????? ?? 2 5 4" xfId="1023"/>
    <cellStyle name="??????? ?? 2 6" xfId="1024"/>
    <cellStyle name="??????? ?? 2 6 2" xfId="1025"/>
    <cellStyle name="??????? ?? 2 6 3" xfId="1026"/>
    <cellStyle name="??????? ?? 2 7" xfId="1027"/>
    <cellStyle name="??????? ?? 2 7 2" xfId="1028"/>
    <cellStyle name="??????? ?? 2 7 3" xfId="1029"/>
    <cellStyle name="??????? ?? 2 8" xfId="1030"/>
    <cellStyle name="??????? ?? 2 8 2" xfId="1031"/>
    <cellStyle name="??????? ?? 2 8 3" xfId="1032"/>
    <cellStyle name="??????? ?? 2 9" xfId="1033"/>
    <cellStyle name="??????? ?? 3" xfId="1034"/>
    <cellStyle name="??????? ?? 3 2" xfId="1035"/>
    <cellStyle name="??????? ?? 3 2 2" xfId="1036"/>
    <cellStyle name="??????? ?? 3 2 2 2" xfId="1037"/>
    <cellStyle name="??????? ?? 3 2 2 2 2" xfId="1038"/>
    <cellStyle name="??????? ?? 3 2 2 2 3" xfId="1039"/>
    <cellStyle name="??????? ?? 3 2 2 3" xfId="1040"/>
    <cellStyle name="??????? ?? 3 2 2 3 2" xfId="1041"/>
    <cellStyle name="??????? ?? 3 2 2 3 3" xfId="1042"/>
    <cellStyle name="??????? ?? 3 2 2 4" xfId="1043"/>
    <cellStyle name="??????? ?? 3 2 2 5" xfId="1044"/>
    <cellStyle name="??????? ?? 3 2 3" xfId="1045"/>
    <cellStyle name="??????? ?? 3 2 3 2" xfId="1046"/>
    <cellStyle name="??????? ?? 3 2 3 3" xfId="1047"/>
    <cellStyle name="??????? ?? 3 2 4" xfId="1048"/>
    <cellStyle name="??????? ?? 3 2 4 2" xfId="1049"/>
    <cellStyle name="??????? ?? 3 2 4 3" xfId="1050"/>
    <cellStyle name="??????? ?? 3 2 5" xfId="1051"/>
    <cellStyle name="??????? ?? 3 2 6" xfId="1052"/>
    <cellStyle name="??????? ?? 3 2 7" xfId="1053"/>
    <cellStyle name="??????? ?? 3 2 8" xfId="1054"/>
    <cellStyle name="??????? ?? 3 2 9" xfId="1055"/>
    <cellStyle name="??????? ?? 3 3" xfId="1056"/>
    <cellStyle name="??????? ?? 3 3 2" xfId="1057"/>
    <cellStyle name="??????? ?? 3 3 3" xfId="1058"/>
    <cellStyle name="??????? ?? 3 3 4" xfId="1059"/>
    <cellStyle name="??????? ?? 3 3 5" xfId="1060"/>
    <cellStyle name="??????? ?? 3 3 6" xfId="1061"/>
    <cellStyle name="??????? ?? 3 4" xfId="1062"/>
    <cellStyle name="??????? ?? 3 5" xfId="1063"/>
    <cellStyle name="??????? ?? 3 6" xfId="1064"/>
    <cellStyle name="??????? ?? 3 7" xfId="1065"/>
    <cellStyle name="??????? ?? 4" xfId="1066"/>
    <cellStyle name="??????? ?? 4 2" xfId="1067"/>
    <cellStyle name="??????? ?? 4 2 2" xfId="1068"/>
    <cellStyle name="??????? ?? 4 2 2 2" xfId="1069"/>
    <cellStyle name="??????? ?? 4 2 2 2 2" xfId="1070"/>
    <cellStyle name="??????? ?? 4 2 2 2 3" xfId="1071"/>
    <cellStyle name="??????? ?? 4 2 2 3" xfId="1072"/>
    <cellStyle name="??????? ?? 4 2 2 3 2" xfId="1073"/>
    <cellStyle name="??????? ?? 4 2 2 3 3" xfId="1074"/>
    <cellStyle name="??????? ?? 4 2 2 4" xfId="1075"/>
    <cellStyle name="??????? ?? 4 2 2 5" xfId="1076"/>
    <cellStyle name="??????? ?? 4 2 3" xfId="1077"/>
    <cellStyle name="??????? ?? 4 2 3 2" xfId="1078"/>
    <cellStyle name="??????? ?? 4 2 3 3" xfId="1079"/>
    <cellStyle name="??????? ?? 4 2 4" xfId="1080"/>
    <cellStyle name="??????? ?? 4 2 4 2" xfId="1081"/>
    <cellStyle name="??????? ?? 4 2 4 3" xfId="1082"/>
    <cellStyle name="??????? ?? 4 2 5" xfId="1083"/>
    <cellStyle name="??????? ?? 4 2 6" xfId="1084"/>
    <cellStyle name="??????? ?? 4 2 7" xfId="1085"/>
    <cellStyle name="??????? ?? 4 3" xfId="1086"/>
    <cellStyle name="??????? ?? 4 3 2" xfId="1087"/>
    <cellStyle name="??????? ?? 4 3 3" xfId="1088"/>
    <cellStyle name="??????? ?? 4 4" xfId="1089"/>
    <cellStyle name="??????? ?? 4 5" xfId="1090"/>
    <cellStyle name="??????? ?? 4 6" xfId="1091"/>
    <cellStyle name="??????? ?? 4 7" xfId="1092"/>
    <cellStyle name="??????? ?? 5" xfId="1093"/>
    <cellStyle name="??????? ?? 5 2" xfId="1094"/>
    <cellStyle name="??????? ?? 5 2 2" xfId="1095"/>
    <cellStyle name="??????? ?? 5 3" xfId="1096"/>
    <cellStyle name="??????? ?? 5 4" xfId="1097"/>
    <cellStyle name="??????? ?? 5 5" xfId="1098"/>
    <cellStyle name="??????? ?? 5 6" xfId="1099"/>
    <cellStyle name="??????? ?? 6" xfId="1100"/>
    <cellStyle name="??????? ?? 6 2" xfId="1101"/>
    <cellStyle name="??????? ?? 6 3" xfId="1102"/>
    <cellStyle name="??????? ?? 6 4" xfId="1103"/>
    <cellStyle name="??????? ?? 6 5" xfId="1104"/>
    <cellStyle name="??????? ?? 7" xfId="1105"/>
    <cellStyle name="??????? ?? 7 2" xfId="1106"/>
    <cellStyle name="??????? ?? 7 3" xfId="1107"/>
    <cellStyle name="??????? ?? 7 4" xfId="1108"/>
    <cellStyle name="??????? ?? 8" xfId="1109"/>
    <cellStyle name="??????? ?? 8 2" xfId="1110"/>
    <cellStyle name="??????? ?? 8 3" xfId="1111"/>
    <cellStyle name="??????? ?? 9" xfId="1112"/>
    <cellStyle name="??????? ?? 9 2" xfId="1113"/>
    <cellStyle name="??????? ?? 9 3" xfId="1114"/>
    <cellStyle name="??????? ????? xtt\Shared" xfId="1115"/>
    <cellStyle name="??????? ????? xtt\Shared 2" xfId="1116"/>
    <cellStyle name="??????? ????? xtt\Shared 3" xfId="1117"/>
    <cellStyle name="??????? ????? xtt\Shared 3 2" xfId="1118"/>
    <cellStyle name="??????? ????? xtt\Shared 4" xfId="1119"/>
    <cellStyle name="?????????? tTextt\" xfId="1120"/>
    <cellStyle name="?????????? tTextt\ 2" xfId="1121"/>
    <cellStyle name="?????????? tTextt\ 3" xfId="1122"/>
    <cellStyle name="?????????? tTextt\ 3 2" xfId="1123"/>
    <cellStyle name="?????????? tTextt\ 4" xfId="1124"/>
    <cellStyle name="????????????? xtt\" xfId="1125"/>
    <cellStyle name="????????????? xtt\ 2" xfId="1126"/>
    <cellStyle name="????????????? xtt\ 3" xfId="1127"/>
    <cellStyle name="????????????? xtt\ 3 2" xfId="1128"/>
    <cellStyle name="????????????? xtt\ 4" xfId="1129"/>
    <cellStyle name="??????????¢ç¢®¢¯?? ????¢ç¢®¢¯?? ????????¢ç¢®¢¯?????????" xfId="1130"/>
    <cellStyle name="????????¢ç¢®¢¯?????????" xfId="1131"/>
    <cellStyle name="???????¢ç¢®¡¿?? ?¢ç¢®¡¿?? ?????¢ç¢®¡¿?????????" xfId="1132"/>
    <cellStyle name="???????¢ç¢®¢¯?¢ç¢®¡¿?_Template-ProdMarketing 1009" xfId="1133"/>
    <cellStyle name="?????¢ç¢®¡¿?????????" xfId="1134"/>
    <cellStyle name="?????1g Te" xfId="1135"/>
    <cellStyle name="?????1g Te 2" xfId="1136"/>
    <cellStyle name="?????1g Te 3" xfId="1137"/>
    <cellStyle name="?????1g Te 3 2" xfId="1138"/>
    <cellStyle name="?????1g Te 4" xfId="1139"/>
    <cellStyle name="?????2g Te" xfId="1140"/>
    <cellStyle name="?????2g Te 2" xfId="1141"/>
    <cellStyle name="?????2g Te 3" xfId="1142"/>
    <cellStyle name="?????2g Te 3 2" xfId="1143"/>
    <cellStyle name="?????2g Te 4" xfId="1144"/>
    <cellStyle name="?????3g Te" xfId="1145"/>
    <cellStyle name="?????3g Te 2" xfId="1146"/>
    <cellStyle name="?????3g Te 3" xfId="1147"/>
    <cellStyle name="?????3g Te 3 2" xfId="1148"/>
    <cellStyle name="?????3g Te 4" xfId="1149"/>
    <cellStyle name="?????4g Te" xfId="1150"/>
    <cellStyle name="?????4g Te 2" xfId="1151"/>
    <cellStyle name="?????4g Te 3" xfId="1152"/>
    <cellStyle name="?????4g Te 3 2" xfId="1153"/>
    <cellStyle name="?????4g Te 4" xfId="1154"/>
    <cellStyle name="?????ng Te" xfId="1155"/>
    <cellStyle name="?????ng Te 10" xfId="1156"/>
    <cellStyle name="?????ng Te 11" xfId="1157"/>
    <cellStyle name="?????ng Te 12" xfId="1158"/>
    <cellStyle name="?????ng Te 2" xfId="1159"/>
    <cellStyle name="?????ng Te 2 2" xfId="1160"/>
    <cellStyle name="?????ng Te 2 2 2" xfId="1161"/>
    <cellStyle name="?????ng Te 2 2 2 2" xfId="1162"/>
    <cellStyle name="?????ng Te 2 2 2 3" xfId="1163"/>
    <cellStyle name="?????ng Te 2 2 3" xfId="1164"/>
    <cellStyle name="?????ng Te 2 2 3 2" xfId="1165"/>
    <cellStyle name="?????ng Te 2 2 3 3" xfId="1166"/>
    <cellStyle name="?????ng Te 2 2 4" xfId="1167"/>
    <cellStyle name="?????ng Te 2 2 5" xfId="1168"/>
    <cellStyle name="?????ng Te 2 2 6" xfId="1169"/>
    <cellStyle name="?????ng Te 2 3" xfId="1170"/>
    <cellStyle name="?????ng Te 2 3 2" xfId="1171"/>
    <cellStyle name="?????ng Te 2 3 3" xfId="1172"/>
    <cellStyle name="?????ng Te 2 4" xfId="1173"/>
    <cellStyle name="?????ng Te 2 5" xfId="1174"/>
    <cellStyle name="?????ng Te 2 6" xfId="1175"/>
    <cellStyle name="?????ng Te 2 7" xfId="1176"/>
    <cellStyle name="?????ng Te 3" xfId="1177"/>
    <cellStyle name="?????ng Te 3 2" xfId="1178"/>
    <cellStyle name="?????ng Te 3 2 2" xfId="1179"/>
    <cellStyle name="?????ng Te 3 2 2 2" xfId="1180"/>
    <cellStyle name="?????ng Te 3 2 2 3" xfId="1181"/>
    <cellStyle name="?????ng Te 3 2 3" xfId="1182"/>
    <cellStyle name="?????ng Te 3 2 3 2" xfId="1183"/>
    <cellStyle name="?????ng Te 3 2 3 3" xfId="1184"/>
    <cellStyle name="?????ng Te 3 2 4" xfId="1185"/>
    <cellStyle name="?????ng Te 3 2 5" xfId="1186"/>
    <cellStyle name="?????ng Te 3 2 6" xfId="1187"/>
    <cellStyle name="?????ng Te 3 3" xfId="1188"/>
    <cellStyle name="?????ng Te 3 3 2" xfId="1189"/>
    <cellStyle name="?????ng Te 3 3 3" xfId="1190"/>
    <cellStyle name="?????ng Te 3 4" xfId="1191"/>
    <cellStyle name="?????ng Te 3 4 2" xfId="1192"/>
    <cellStyle name="?????ng Te 3 4 3" xfId="1193"/>
    <cellStyle name="?????ng Te 3 5" xfId="1194"/>
    <cellStyle name="?????ng Te 3 6" xfId="1195"/>
    <cellStyle name="?????ng Te 3 7" xfId="1196"/>
    <cellStyle name="?????ng Te 3 8" xfId="1197"/>
    <cellStyle name="?????ng Te 3 9" xfId="1198"/>
    <cellStyle name="?????ng Te 4" xfId="1199"/>
    <cellStyle name="?????ng Te 4 2" xfId="1200"/>
    <cellStyle name="?????ng Te 4 2 2" xfId="1201"/>
    <cellStyle name="?????ng Te 4 3" xfId="1202"/>
    <cellStyle name="?????ng Te 4 4" xfId="1203"/>
    <cellStyle name="?????ng Te 4 5" xfId="1204"/>
    <cellStyle name="?????ng Te 4 6" xfId="1205"/>
    <cellStyle name="?????ng Te 5" xfId="1206"/>
    <cellStyle name="?????ng Te 5 2" xfId="1207"/>
    <cellStyle name="?????ng Te 5 3" xfId="1208"/>
    <cellStyle name="?????ng Te 5 4" xfId="1209"/>
    <cellStyle name="?????ng Te 5 5" xfId="1210"/>
    <cellStyle name="?????ng Te 6" xfId="1211"/>
    <cellStyle name="?????ng Te 6 2" xfId="1212"/>
    <cellStyle name="?????ng Te 6 3" xfId="1213"/>
    <cellStyle name="?????ng Te 6 4" xfId="1214"/>
    <cellStyle name="?????ng Te 7" xfId="1215"/>
    <cellStyle name="?????ng Te 7 2" xfId="1216"/>
    <cellStyle name="?????ng Te 7 3" xfId="1217"/>
    <cellStyle name="?????ng Te 8" xfId="1218"/>
    <cellStyle name="?????ng Te 8 2" xfId="1219"/>
    <cellStyle name="?????ng Te 8 3" xfId="1220"/>
    <cellStyle name="?????ng Te 9" xfId="1221"/>
    <cellStyle name="????¡§¢®??????" xfId="1222"/>
    <cellStyle name="????¨¡?¢¬???" xfId="1223"/>
    <cellStyle name="????¢®¡×?¢ç??????" xfId="1224"/>
    <cellStyle name="????¢ç¢®¡¿¢®¡×?_2009 Opex Plan QD" xfId="1225"/>
    <cellStyle name="????2  ?" xfId="1226"/>
    <cellStyle name="????2  ? 2" xfId="1227"/>
    <cellStyle name="????2  ? 2 2" xfId="1228"/>
    <cellStyle name="????2  ? 3" xfId="1229"/>
    <cellStyle name="????2  ? 3 2" xfId="1230"/>
    <cellStyle name="????2  ? 3 3" xfId="1231"/>
    <cellStyle name="????2  ? 4" xfId="1232"/>
    <cellStyle name="????2  ? 4 2" xfId="1233"/>
    <cellStyle name="???[0]_CBALA11" xfId="1234"/>
    <cellStyle name="???_6sigma" xfId="1235"/>
    <cellStyle name="???¡§¨£_2009 Opex Plan QD" xfId="1236"/>
    <cellStyle name="???¨ª_2009 Opex Plan QD" xfId="1237"/>
    <cellStyle name="???¢®¡×¡§?_2009 Opex Plan QD" xfId="1238"/>
    <cellStyle name="???¢ç?¢®¡×?? ¢®¡×?? ????¢®¡×?¢ç??????" xfId="1239"/>
    <cellStyle name="???1ing" xfId="1240"/>
    <cellStyle name="???1ing 2" xfId="1241"/>
    <cellStyle name="???1ing 3" xfId="1242"/>
    <cellStyle name="???1ing 3 2" xfId="1243"/>
    <cellStyle name="???1ing 4" xfId="1244"/>
    <cellStyle name="???2ing" xfId="1245"/>
    <cellStyle name="???2ing 2" xfId="1246"/>
    <cellStyle name="???2ing 3" xfId="1247"/>
    <cellStyle name="???2ing 3 2" xfId="1248"/>
    <cellStyle name="???2ing 4" xfId="1249"/>
    <cellStyle name="???3ing" xfId="1250"/>
    <cellStyle name="???3ing 2" xfId="1251"/>
    <cellStyle name="???3ing 3" xfId="1252"/>
    <cellStyle name="???3ing 3 2" xfId="1253"/>
    <cellStyle name="???3ing 4" xfId="1254"/>
    <cellStyle name="???4ing" xfId="1255"/>
    <cellStyle name="???4ing 2" xfId="1256"/>
    <cellStyle name="???4ing 3" xfId="1257"/>
    <cellStyle name="???4ing 3 2" xfId="1258"/>
    <cellStyle name="???4ing 4" xfId="1259"/>
    <cellStyle name="???5ing" xfId="1260"/>
    <cellStyle name="???5ing 2" xfId="1261"/>
    <cellStyle name="???5ing 3" xfId="1262"/>
    <cellStyle name="???5ing 3 2" xfId="1263"/>
    <cellStyle name="???5ing 4" xfId="1264"/>
    <cellStyle name="???6ing" xfId="1265"/>
    <cellStyle name="???6ing 2" xfId="1266"/>
    <cellStyle name="???6ing 3" xfId="1267"/>
    <cellStyle name="???6ing 3 2" xfId="1268"/>
    <cellStyle name="???6ing 4" xfId="1269"/>
    <cellStyle name="??[0]_CBALA11" xfId="1270"/>
    <cellStyle name="??_?? 7,8,9?" xfId="1271"/>
    <cellStyle name="??¢®?¡§?? ¡§?? ????¡§¢®??????" xfId="1272"/>
    <cellStyle name="?ñ×_Revised MOR4" xfId="1273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274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275"/>
    <cellStyle name="_~0039877" xfId="1276"/>
    <cellStyle name="_~0039877_BS_Separation_TaxResIndem_Q12412 tf" xfId="1277"/>
    <cellStyle name="_~0039877_BS_Separation_TaxResIndem_Q12412 tf_Guidance" xfId="1278"/>
    <cellStyle name="_~0039877_BS_Separation_TaxResIndem_Q12412 tf_Guidance 2" xfId="1279"/>
    <cellStyle name="_~0039877_BS_Separation_TaxResIndem_Q12412 tf_Guidance_BS retrieve" xfId="1280"/>
    <cellStyle name="_~0039877_BS_Separation_TaxResIndem_Q12412 tf_Guidance_Free CF" xfId="1281"/>
    <cellStyle name="_~0039877_BS_Separation_TaxResIndem_Q12412 tf_Guidance_P&amp;L Rec Qtr" xfId="1282"/>
    <cellStyle name="_~0039877_BS_Separation_TaxResIndem_Q12412 tf_Guidance_Sheet1" xfId="1283"/>
    <cellStyle name="_~0039877_BS_Separation_TaxResIndem_Q12412 tf_Guidance_Sheet2" xfId="1284"/>
    <cellStyle name="_~0039877_BS_Separation_TaxResIndem_Q12412 tf_Guidance_Sheet3" xfId="1285"/>
    <cellStyle name="_~0039877_BS_Separation_TaxResIndem_Q12412 tf_Guidance_Sheet4" xfId="1286"/>
    <cellStyle name="_~0039877_BS_Separation_TaxResIndem_Q12412 tf_II.7. Sep&amp;Discrete" xfId="1287"/>
    <cellStyle name="_~0039877_BS_Separation_TaxResIndem_Q12412 tf_II.7. Sep&amp;Discrete_Guidance" xfId="1288"/>
    <cellStyle name="_~0039877_BS_Separation_TaxResIndem_Q12412 tf_II.7. Sep&amp;Discrete_Guidance 2" xfId="1289"/>
    <cellStyle name="_~0039877_BS_Separation_TaxResIndem_Q12412 tf_II.7. Sep&amp;Discrete_Guidance_BS retrieve" xfId="1290"/>
    <cellStyle name="_~0039877_BS_Separation_TaxResIndem_Q12412 tf_II.7. Sep&amp;Discrete_Guidance_Free CF" xfId="1291"/>
    <cellStyle name="_~0039877_BS_Separation_TaxResIndem_Q12412 tf_II.7. Sep&amp;Discrete_Guidance_P&amp;L Rec Qtr" xfId="1292"/>
    <cellStyle name="_~0039877_BS_Separation_TaxResIndem_Q12412 tf_II.7. Sep&amp;Discrete_Guidance_Sheet1" xfId="1293"/>
    <cellStyle name="_~0039877_BS_Separation_TaxResIndem_Q12412 tf_II.7. Sep&amp;Discrete_Guidance_Sheet2" xfId="1294"/>
    <cellStyle name="_~0039877_BS_Separation_TaxResIndem_Q12412 tf_II.7. Sep&amp;Discrete_Guidance_Sheet3" xfId="1295"/>
    <cellStyle name="_~0039877_BS_Separation_TaxResIndem_Q12412 tf_II.7. Sep&amp;Discrete_Guidance_Sheet4" xfId="1296"/>
    <cellStyle name="_~0039877_BS_Separation_TaxResIndem_Q12412 tf_Restructuring &amp; Separation" xfId="1297"/>
    <cellStyle name="_~0039877_BS_Separation_TaxResIndem_Q12412 tf_Restructuring &amp; Separation_Guidance" xfId="1298"/>
    <cellStyle name="_~0039877_BS_Separation_TaxResIndem_Q12412 tf_Restructuring &amp; Separation_Guidance 2" xfId="1299"/>
    <cellStyle name="_~0039877_BS_Separation_TaxResIndem_Q12412 tf_Restructuring &amp; Separation_Guidance_BS retrieve" xfId="1300"/>
    <cellStyle name="_~0039877_BS_Separation_TaxResIndem_Q12412 tf_Restructuring &amp; Separation_Guidance_Free CF" xfId="1301"/>
    <cellStyle name="_~0039877_BS_Separation_TaxResIndem_Q12412 tf_Restructuring &amp; Separation_Guidance_P&amp;L Rec Qtr" xfId="1302"/>
    <cellStyle name="_~0039877_BS_Separation_TaxResIndem_Q12412 tf_Restructuring &amp; Separation_Guidance_Sheet1" xfId="1303"/>
    <cellStyle name="_~0039877_BS_Separation_TaxResIndem_Q12412 tf_Restructuring &amp; Separation_Guidance_Sheet2" xfId="1304"/>
    <cellStyle name="_~0039877_BS_Separation_TaxResIndem_Q12412 tf_Restructuring &amp; Separation_Guidance_Sheet3" xfId="1305"/>
    <cellStyle name="_~0039877_BS_Separation_TaxResIndem_Q12412 tf_Restructuring &amp; Separation_Guidance_Sheet4" xfId="1306"/>
    <cellStyle name="_~0039877_BS_Separation_TaxResIndem_Q12412 tf_Restructuring &amp; Separation_II.7. Sep&amp;Discrete" xfId="1307"/>
    <cellStyle name="_~0039877_BS_Separation_TaxResIndem_Q12412 tf_Restructuring &amp; Separation_II.7. Sep&amp;Discrete_Guidance" xfId="1308"/>
    <cellStyle name="_~0039877_BS_Separation_TaxResIndem_Q12412 tf_Restructuring &amp; Separation_II.7. Sep&amp;Discrete_Guidance 2" xfId="1309"/>
    <cellStyle name="_~0039877_BS_Separation_TaxResIndem_Q12412 tf_Restructuring &amp; Separation_II.7. Sep&amp;Discrete_Guidance_BS retrieve" xfId="1310"/>
    <cellStyle name="_~0039877_BS_Separation_TaxResIndem_Q12412 tf_Restructuring &amp; Separation_II.7. Sep&amp;Discrete_Guidance_Free CF" xfId="1311"/>
    <cellStyle name="_~0039877_BS_Separation_TaxResIndem_Q12412 tf_Restructuring &amp; Separation_II.7. Sep&amp;Discrete_Guidance_P&amp;L Rec Qtr" xfId="1312"/>
    <cellStyle name="_~0039877_BS_Separation_TaxResIndem_Q12412 tf_Restructuring &amp; Separation_II.7. Sep&amp;Discrete_Guidance_Sheet1" xfId="1313"/>
    <cellStyle name="_~0039877_BS_Separation_TaxResIndem_Q12412 tf_Restructuring &amp; Separation_II.7. Sep&amp;Discrete_Guidance_Sheet2" xfId="1314"/>
    <cellStyle name="_~0039877_BS_Separation_TaxResIndem_Q12412 tf_Restructuring &amp; Separation_II.7. Sep&amp;Discrete_Guidance_Sheet3" xfId="1315"/>
    <cellStyle name="_~0039877_BS_Separation_TaxResIndem_Q12412 tf_Restructuring &amp; Separation_II.7. Sep&amp;Discrete_Guidance_Sheet4" xfId="1316"/>
    <cellStyle name="_~0039877_By Country Detail 1Q10 041410pm FIN 18 revised per disc w Mary" xfId="1317"/>
    <cellStyle name="_~0039877_By Country Detail 1Q10 041410pm FIN 18 revised per disc w Mary_BS_Separation_TaxResIndem_Q12412 tf" xfId="1318"/>
    <cellStyle name="_~0039877_By Country Detail 1Q10 041410pm FIN 18 revised per disc w Mary_BS_Separation_TaxResIndem_Q12412 tf_Guidance" xfId="1319"/>
    <cellStyle name="_~0039877_By Country Detail 1Q10 041410pm FIN 18 revised per disc w Mary_BS_Separation_TaxResIndem_Q12412 tf_Guidance 2" xfId="1320"/>
    <cellStyle name="_~0039877_By Country Detail 1Q10 041410pm FIN 18 revised per disc w Mary_BS_Separation_TaxResIndem_Q12412 tf_Guidance_BS retrieve" xfId="1321"/>
    <cellStyle name="_~0039877_By Country Detail 1Q10 041410pm FIN 18 revised per disc w Mary_BS_Separation_TaxResIndem_Q12412 tf_Guidance_Free CF" xfId="1322"/>
    <cellStyle name="_~0039877_By Country Detail 1Q10 041410pm FIN 18 revised per disc w Mary_BS_Separation_TaxResIndem_Q12412 tf_Guidance_P&amp;L Rec Qtr" xfId="1323"/>
    <cellStyle name="_~0039877_By Country Detail 1Q10 041410pm FIN 18 revised per disc w Mary_BS_Separation_TaxResIndem_Q12412 tf_Guidance_Sheet1" xfId="1324"/>
    <cellStyle name="_~0039877_By Country Detail 1Q10 041410pm FIN 18 revised per disc w Mary_BS_Separation_TaxResIndem_Q12412 tf_Guidance_Sheet2" xfId="1325"/>
    <cellStyle name="_~0039877_By Country Detail 1Q10 041410pm FIN 18 revised per disc w Mary_BS_Separation_TaxResIndem_Q12412 tf_Guidance_Sheet3" xfId="1326"/>
    <cellStyle name="_~0039877_By Country Detail 1Q10 041410pm FIN 18 revised per disc w Mary_BS_Separation_TaxResIndem_Q12412 tf_Guidance_Sheet4" xfId="1327"/>
    <cellStyle name="_~0039877_By Country Detail 1Q10 041410pm FIN 18 revised per disc w Mary_BS_Separation_TaxResIndem_Q12412 tf_II.7. Sep&amp;Discrete" xfId="1328"/>
    <cellStyle name="_~0039877_By Country Detail 1Q10 041410pm FIN 18 revised per disc w Mary_BS_Separation_TaxResIndem_Q12412 tf_II.7. Sep&amp;Discrete_Guidance" xfId="1329"/>
    <cellStyle name="_~0039877_By Country Detail 1Q10 041410pm FIN 18 revised per disc w Mary_BS_Separation_TaxResIndem_Q12412 tf_II.7. Sep&amp;Discrete_Guidance 2" xfId="1330"/>
    <cellStyle name="_~0039877_By Country Detail 1Q10 041410pm FIN 18 revised per disc w Mary_BS_Separation_TaxResIndem_Q12412 tf_II.7. Sep&amp;Discrete_Guidance_BS retrieve" xfId="1331"/>
    <cellStyle name="_~0039877_By Country Detail 1Q10 041410pm FIN 18 revised per disc w Mary_BS_Separation_TaxResIndem_Q12412 tf_II.7. Sep&amp;Discrete_Guidance_Free CF" xfId="1332"/>
    <cellStyle name="_~0039877_By Country Detail 1Q10 041410pm FIN 18 revised per disc w Mary_BS_Separation_TaxResIndem_Q12412 tf_II.7. Sep&amp;Discrete_Guidance_P&amp;L Rec Qtr" xfId="1333"/>
    <cellStyle name="_~0039877_By Country Detail 1Q10 041410pm FIN 18 revised per disc w Mary_BS_Separation_TaxResIndem_Q12412 tf_II.7. Sep&amp;Discrete_Guidance_Sheet1" xfId="1334"/>
    <cellStyle name="_~0039877_By Country Detail 1Q10 041410pm FIN 18 revised per disc w Mary_BS_Separation_TaxResIndem_Q12412 tf_II.7. Sep&amp;Discrete_Guidance_Sheet2" xfId="1335"/>
    <cellStyle name="_~0039877_By Country Detail 1Q10 041410pm FIN 18 revised per disc w Mary_BS_Separation_TaxResIndem_Q12412 tf_II.7. Sep&amp;Discrete_Guidance_Sheet3" xfId="1336"/>
    <cellStyle name="_~0039877_By Country Detail 1Q10 041410pm FIN 18 revised per disc w Mary_BS_Separation_TaxResIndem_Q12412 tf_II.7. Sep&amp;Discrete_Guidance_Sheet4" xfId="1337"/>
    <cellStyle name="_~0039877_By Country Detail 1Q10 041410pm FIN 18 revised per disc w Mary_BS_Separation_TaxResIndem_Q12412 tf_Restructuring &amp; Separation" xfId="1338"/>
    <cellStyle name="_~0039877_By Country Detail 1Q10 041410pm FIN 18 revised per disc w Mary_BS_Separation_TaxResIndem_Q12412 tf_Restructuring &amp; Separation_Guidance" xfId="1339"/>
    <cellStyle name="_~0039877_By Country Detail 1Q10 041410pm FIN 18 revised per disc w Mary_BS_Separation_TaxResIndem_Q12412 tf_Restructuring &amp; Separation_Guidance 2" xfId="1340"/>
    <cellStyle name="_~0039877_By Country Detail 1Q10 041410pm FIN 18 revised per disc w Mary_BS_Separation_TaxResIndem_Q12412 tf_Restructuring &amp; Separation_Guidance_BS retrieve" xfId="1341"/>
    <cellStyle name="_~0039877_By Country Detail 1Q10 041410pm FIN 18 revised per disc w Mary_BS_Separation_TaxResIndem_Q12412 tf_Restructuring &amp; Separation_Guidance_Free CF" xfId="1342"/>
    <cellStyle name="_~0039877_By Country Detail 1Q10 041410pm FIN 18 revised per disc w Mary_BS_Separation_TaxResIndem_Q12412 tf_Restructuring &amp; Separation_Guidance_P&amp;L Rec Qtr" xfId="1343"/>
    <cellStyle name="_~0039877_By Country Detail 1Q10 041410pm FIN 18 revised per disc w Mary_BS_Separation_TaxResIndem_Q12412 tf_Restructuring &amp; Separation_Guidance_Sheet1" xfId="1344"/>
    <cellStyle name="_~0039877_By Country Detail 1Q10 041410pm FIN 18 revised per disc w Mary_BS_Separation_TaxResIndem_Q12412 tf_Restructuring &amp; Separation_Guidance_Sheet2" xfId="1345"/>
    <cellStyle name="_~0039877_By Country Detail 1Q10 041410pm FIN 18 revised per disc w Mary_BS_Separation_TaxResIndem_Q12412 tf_Restructuring &amp; Separation_Guidance_Sheet3" xfId="1346"/>
    <cellStyle name="_~0039877_By Country Detail 1Q10 041410pm FIN 18 revised per disc w Mary_BS_Separation_TaxResIndem_Q12412 tf_Restructuring &amp; Separation_Guidance_Sheet4" xfId="1347"/>
    <cellStyle name="_~0039877_By Country Detail 1Q10 041410pm FIN 18 revised per disc w Mary_BS_Separation_TaxResIndem_Q12412 tf_Restructuring &amp; Separation_II.7. Sep&amp;Discrete" xfId="1348"/>
    <cellStyle name="_~0039877_By Country Detail 1Q10 041410pm FIN 18 revised per disc w Mary_BS_Separation_TaxResIndem_Q12412 tf_Restructuring &amp; Separation_II.7. Sep&amp;Discrete_Guidance" xfId="1349"/>
    <cellStyle name="_~0039877_By Country Detail 1Q10 041410pm FIN 18 revised per disc w Mary_BS_Separation_TaxResIndem_Q12412 tf_Restructuring &amp; Separation_II.7. Sep&amp;Discrete_Guidance 2" xfId="1350"/>
    <cellStyle name="_~0039877_By Country Detail 1Q10 041410pm FIN 18 revised per disc w Mary_BS_Separation_TaxResIndem_Q12412 tf_Restructuring &amp; Separation_II.7. Sep&amp;Discrete_Guidance_BS retrieve" xfId="1351"/>
    <cellStyle name="_~0039877_By Country Detail 1Q10 041410pm FIN 18 revised per disc w Mary_BS_Separation_TaxResIndem_Q12412 tf_Restructuring &amp; Separation_II.7. Sep&amp;Discrete_Guidance_Free CF" xfId="1352"/>
    <cellStyle name="_~0039877_By Country Detail 1Q10 041410pm FIN 18 revised per disc w Mary_BS_Separation_TaxResIndem_Q12412 tf_Restructuring &amp; Separation_II.7. Sep&amp;Discrete_Guidance_P&amp;L Rec Qtr" xfId="1353"/>
    <cellStyle name="_~0039877_By Country Detail 1Q10 041410pm FIN 18 revised per disc w Mary_BS_Separation_TaxResIndem_Q12412 tf_Restructuring &amp; Separation_II.7. Sep&amp;Discrete_Guidance_Sheet1" xfId="1354"/>
    <cellStyle name="_~0039877_By Country Detail 1Q10 041410pm FIN 18 revised per disc w Mary_BS_Separation_TaxResIndem_Q12412 tf_Restructuring &amp; Separation_II.7. Sep&amp;Discrete_Guidance_Sheet2" xfId="1355"/>
    <cellStyle name="_~0039877_By Country Detail 1Q10 041410pm FIN 18 revised per disc w Mary_BS_Separation_TaxResIndem_Q12412 tf_Restructuring &amp; Separation_II.7. Sep&amp;Discrete_Guidance_Sheet3" xfId="1356"/>
    <cellStyle name="_~0039877_By Country Detail 1Q10 041410pm FIN 18 revised per disc w Mary_BS_Separation_TaxResIndem_Q12412 tf_Restructuring &amp; Separation_II.7. Sep&amp;Discrete_Guidance_Sheet4" xfId="1357"/>
    <cellStyle name="_~0039877_By Country Detail 1Q10 041410pm FIN 18 revised per disc w Mary_Guidance" xfId="1358"/>
    <cellStyle name="_~0039877_By Country Detail 1Q10 041410pm FIN 18 revised per disc w Mary_Guidance 2" xfId="1359"/>
    <cellStyle name="_~0039877_By Country Detail 1Q10 041410pm FIN 18 revised per disc w Mary_Guidance_BS retrieve" xfId="1360"/>
    <cellStyle name="_~0039877_By Country Detail 1Q10 041410pm FIN 18 revised per disc w Mary_Guidance_Free CF" xfId="1361"/>
    <cellStyle name="_~0039877_By Country Detail 1Q10 041410pm FIN 18 revised per disc w Mary_Guidance_P&amp;L Rec Qtr" xfId="1362"/>
    <cellStyle name="_~0039877_By Country Detail 1Q10 041410pm FIN 18 revised per disc w Mary_Guidance_Sheet1" xfId="1363"/>
    <cellStyle name="_~0039877_By Country Detail 1Q10 041410pm FIN 18 revised per disc w Mary_Guidance_Sheet2" xfId="1364"/>
    <cellStyle name="_~0039877_By Country Detail 1Q10 041410pm FIN 18 revised per disc w Mary_Guidance_Sheet3" xfId="1365"/>
    <cellStyle name="_~0039877_By Country Detail 1Q10 041410pm FIN 18 revised per disc w Mary_Guidance_Sheet4" xfId="1366"/>
    <cellStyle name="_~0039877_By Country Detail 1Q10 041410pm FIN 18 revised per disc w Mary_II.7. Sep&amp;Discrete" xfId="1367"/>
    <cellStyle name="_~0039877_By Country Detail 1Q10 041410pm FIN 18 revised per disc w Mary_II.7. Sep&amp;Discrete_Guidance" xfId="1368"/>
    <cellStyle name="_~0039877_By Country Detail 1Q10 041410pm FIN 18 revised per disc w Mary_II.7. Sep&amp;Discrete_Guidance 2" xfId="1369"/>
    <cellStyle name="_~0039877_By Country Detail 1Q10 041410pm FIN 18 revised per disc w Mary_II.7. Sep&amp;Discrete_Guidance_BS retrieve" xfId="1370"/>
    <cellStyle name="_~0039877_By Country Detail 1Q10 041410pm FIN 18 revised per disc w Mary_II.7. Sep&amp;Discrete_Guidance_Free CF" xfId="1371"/>
    <cellStyle name="_~0039877_By Country Detail 1Q10 041410pm FIN 18 revised per disc w Mary_II.7. Sep&amp;Discrete_Guidance_P&amp;L Rec Qtr" xfId="1372"/>
    <cellStyle name="_~0039877_By Country Detail 1Q10 041410pm FIN 18 revised per disc w Mary_II.7. Sep&amp;Discrete_Guidance_Sheet1" xfId="1373"/>
    <cellStyle name="_~0039877_By Country Detail 1Q10 041410pm FIN 18 revised per disc w Mary_II.7. Sep&amp;Discrete_Guidance_Sheet2" xfId="1374"/>
    <cellStyle name="_~0039877_By Country Detail 1Q10 041410pm FIN 18 revised per disc w Mary_II.7. Sep&amp;Discrete_Guidance_Sheet3" xfId="1375"/>
    <cellStyle name="_~0039877_By Country Detail 1Q10 041410pm FIN 18 revised per disc w Mary_II.7. Sep&amp;Discrete_Guidance_Sheet4" xfId="1376"/>
    <cellStyle name="_~0039877_By Country Detail 1Q10 041410pm FIN 18 revised per disc w Mary_II.8. Sep&amp;Discrete" xfId="1377"/>
    <cellStyle name="_~0039877_By Country Detail 1Q10 041410pm FIN 18 revised per disc w Mary_II.8. Sep&amp;Discrete_Guidance" xfId="1378"/>
    <cellStyle name="_~0039877_By Country Detail 1Q10 041410pm FIN 18 revised per disc w Mary_II.8. Sep&amp;Discrete_Guidance 2" xfId="1379"/>
    <cellStyle name="_~0039877_By Country Detail 1Q10 041410pm FIN 18 revised per disc w Mary_II.8. Sep&amp;Discrete_Guidance_BS retrieve" xfId="1380"/>
    <cellStyle name="_~0039877_By Country Detail 1Q10 041410pm FIN 18 revised per disc w Mary_II.8. Sep&amp;Discrete_Guidance_Free CF" xfId="1381"/>
    <cellStyle name="_~0039877_By Country Detail 1Q10 041410pm FIN 18 revised per disc w Mary_II.8. Sep&amp;Discrete_Guidance_P&amp;L Rec Qtr" xfId="1382"/>
    <cellStyle name="_~0039877_By Country Detail 1Q10 041410pm FIN 18 revised per disc w Mary_II.8. Sep&amp;Discrete_Guidance_Sheet1" xfId="1383"/>
    <cellStyle name="_~0039877_By Country Detail 1Q10 041410pm FIN 18 revised per disc w Mary_II.8. Sep&amp;Discrete_Guidance_Sheet2" xfId="1384"/>
    <cellStyle name="_~0039877_By Country Detail 1Q10 041410pm FIN 18 revised per disc w Mary_II.8. Sep&amp;Discrete_Guidance_Sheet3" xfId="1385"/>
    <cellStyle name="_~0039877_By Country Detail 1Q10 041410pm FIN 18 revised per disc w Mary_II.8. Sep&amp;Discrete_Guidance_Sheet4" xfId="1386"/>
    <cellStyle name="_~0039877_By Country Detail 1Q10 041410pm FIN 18 revised per disc w Mary_Restructuring &amp; Separation" xfId="1387"/>
    <cellStyle name="_~0039877_By Country Detail 1Q10 041410pm FIN 18 revised per disc w Mary_Restructuring &amp; Separation_Guidance" xfId="1388"/>
    <cellStyle name="_~0039877_By Country Detail 1Q10 041410pm FIN 18 revised per disc w Mary_Restructuring &amp; Separation_Guidance 2" xfId="1389"/>
    <cellStyle name="_~0039877_By Country Detail 1Q10 041410pm FIN 18 revised per disc w Mary_Restructuring &amp; Separation_Guidance_BS retrieve" xfId="1390"/>
    <cellStyle name="_~0039877_By Country Detail 1Q10 041410pm FIN 18 revised per disc w Mary_Restructuring &amp; Separation_Guidance_Free CF" xfId="1391"/>
    <cellStyle name="_~0039877_By Country Detail 1Q10 041410pm FIN 18 revised per disc w Mary_Restructuring &amp; Separation_Guidance_P&amp;L Rec Qtr" xfId="1392"/>
    <cellStyle name="_~0039877_By Country Detail 1Q10 041410pm FIN 18 revised per disc w Mary_Restructuring &amp; Separation_Guidance_Sheet1" xfId="1393"/>
    <cellStyle name="_~0039877_By Country Detail 1Q10 041410pm FIN 18 revised per disc w Mary_Restructuring &amp; Separation_Guidance_Sheet2" xfId="1394"/>
    <cellStyle name="_~0039877_By Country Detail 1Q10 041410pm FIN 18 revised per disc w Mary_Restructuring &amp; Separation_Guidance_Sheet3" xfId="1395"/>
    <cellStyle name="_~0039877_By Country Detail 1Q10 041410pm FIN 18 revised per disc w Mary_Restructuring &amp; Separation_Guidance_Sheet4" xfId="1396"/>
    <cellStyle name="_~0039877_By Country Detail 1Q10 041410pm FIN 18 revised per disc w Mary_Restructuring &amp; Separation_II.7. Sep&amp;Discrete" xfId="1397"/>
    <cellStyle name="_~0039877_By Country Detail 1Q10 041410pm FIN 18 revised per disc w Mary_Restructuring &amp; Separation_II.7. Sep&amp;Discrete_Guidance" xfId="1398"/>
    <cellStyle name="_~0039877_By Country Detail 1Q10 041410pm FIN 18 revised per disc w Mary_Restructuring &amp; Separation_II.7. Sep&amp;Discrete_Guidance 2" xfId="1399"/>
    <cellStyle name="_~0039877_By Country Detail 1Q10 041410pm FIN 18 revised per disc w Mary_Restructuring &amp; Separation_II.7. Sep&amp;Discrete_Guidance_BS retrieve" xfId="1400"/>
    <cellStyle name="_~0039877_By Country Detail 1Q10 041410pm FIN 18 revised per disc w Mary_Restructuring &amp; Separation_II.7. Sep&amp;Discrete_Guidance_Free CF" xfId="1401"/>
    <cellStyle name="_~0039877_By Country Detail 1Q10 041410pm FIN 18 revised per disc w Mary_Restructuring &amp; Separation_II.7. Sep&amp;Discrete_Guidance_P&amp;L Rec Qtr" xfId="1402"/>
    <cellStyle name="_~0039877_By Country Detail 1Q10 041410pm FIN 18 revised per disc w Mary_Restructuring &amp; Separation_II.7. Sep&amp;Discrete_Guidance_Sheet1" xfId="1403"/>
    <cellStyle name="_~0039877_By Country Detail 1Q10 041410pm FIN 18 revised per disc w Mary_Restructuring &amp; Separation_II.7. Sep&amp;Discrete_Guidance_Sheet2" xfId="1404"/>
    <cellStyle name="_~0039877_By Country Detail 1Q10 041410pm FIN 18 revised per disc w Mary_Restructuring &amp; Separation_II.7. Sep&amp;Discrete_Guidance_Sheet3" xfId="1405"/>
    <cellStyle name="_~0039877_By Country Detail 1Q10 041410pm FIN 18 revised per disc w Mary_Restructuring &amp; Separation_II.7. Sep&amp;Discrete_Guidance_Sheet4" xfId="1406"/>
    <cellStyle name="_~0039877_Guidance" xfId="1407"/>
    <cellStyle name="_~0039877_Guidance 2" xfId="1408"/>
    <cellStyle name="_~0039877_Guidance_BS retrieve" xfId="1409"/>
    <cellStyle name="_~0039877_Guidance_Free CF" xfId="1410"/>
    <cellStyle name="_~0039877_Guidance_P&amp;L Rec Qtr" xfId="1411"/>
    <cellStyle name="_~0039877_Guidance_Sheet1" xfId="1412"/>
    <cellStyle name="_~0039877_Guidance_Sheet2" xfId="1413"/>
    <cellStyle name="_~0039877_Guidance_Sheet3" xfId="1414"/>
    <cellStyle name="_~0039877_Guidance_Sheet4" xfId="1415"/>
    <cellStyle name="_~0039877_II.4. RawMaterials" xfId="1416"/>
    <cellStyle name="_~0039877_II.4. RawMaterials 2" xfId="1417"/>
    <cellStyle name="_~0039877_II.4. RawMaterials_BS retrieve" xfId="1418"/>
    <cellStyle name="_~0039877_II.4. RawMaterials_Free CF" xfId="1419"/>
    <cellStyle name="_~0039877_II.4. RawMaterials_P&amp;L Rec Qtr" xfId="1420"/>
    <cellStyle name="_~0039877_II.4. RawMaterials_Sheet1" xfId="1421"/>
    <cellStyle name="_~0039877_II.4. RawMaterials_Sheet2" xfId="1422"/>
    <cellStyle name="_~0039877_II.4. RawMaterials_Sheet3" xfId="1423"/>
    <cellStyle name="_~0039877_II.4. RawMaterials_Sheet4" xfId="1424"/>
    <cellStyle name="_~0039877_II.5. RawMaterials" xfId="1425"/>
    <cellStyle name="_~0039877_II.5. RawMaterials 2" xfId="1426"/>
    <cellStyle name="_~0039877_II.5. RawMaterials_BS retrieve" xfId="1427"/>
    <cellStyle name="_~0039877_II.5. RawMaterials_Free CF" xfId="1428"/>
    <cellStyle name="_~0039877_II.5. RawMaterials_Guidance" xfId="1429"/>
    <cellStyle name="_~0039877_II.5. RawMaterials_Guidance 2" xfId="1430"/>
    <cellStyle name="_~0039877_II.5. RawMaterials_Guidance_BS retrieve" xfId="1431"/>
    <cellStyle name="_~0039877_II.5. RawMaterials_Guidance_Free CF" xfId="1432"/>
    <cellStyle name="_~0039877_II.5. RawMaterials_Guidance_P&amp;L Rec Qtr" xfId="1433"/>
    <cellStyle name="_~0039877_II.5. RawMaterials_Guidance_Sheet1" xfId="1434"/>
    <cellStyle name="_~0039877_II.5. RawMaterials_Guidance_Sheet2" xfId="1435"/>
    <cellStyle name="_~0039877_II.5. RawMaterials_Guidance_Sheet3" xfId="1436"/>
    <cellStyle name="_~0039877_II.5. RawMaterials_Guidance_Sheet4" xfId="1437"/>
    <cellStyle name="_~0039877_II.5. RawMaterials_P&amp;L Rec Qtr" xfId="1438"/>
    <cellStyle name="_~0039877_II.5. RawMaterials_Sheet1" xfId="1439"/>
    <cellStyle name="_~0039877_II.5. RawMaterials_Sheet2" xfId="1440"/>
    <cellStyle name="_~0039877_II.5. RawMaterials_Sheet3" xfId="1441"/>
    <cellStyle name="_~0039877_II.5. RawMaterials_Sheet4" xfId="1442"/>
    <cellStyle name="_~0039877_II.5. RM Volume Sensitivities" xfId="1443"/>
    <cellStyle name="_~0039877_II.5. RM Volume Sensitivities 2" xfId="1444"/>
    <cellStyle name="_~0039877_II.5. RM Volume Sensitivities_BS retrieve" xfId="1445"/>
    <cellStyle name="_~0039877_II.5. RM Volume Sensitivities_Free CF" xfId="1446"/>
    <cellStyle name="_~0039877_II.5. RM Volume Sensitivities_P&amp;L Rec Qtr" xfId="1447"/>
    <cellStyle name="_~0039877_II.5. RM Volume Sensitivities_Sheet1" xfId="1448"/>
    <cellStyle name="_~0039877_II.5. RM Volume Sensitivities_Sheet2" xfId="1449"/>
    <cellStyle name="_~0039877_II.5. RM Volume Sensitivities_Sheet3" xfId="1450"/>
    <cellStyle name="_~0039877_II.5. RM Volume Sensitivities_Sheet4" xfId="1451"/>
    <cellStyle name="_~0039877_II.7. Sep&amp;Discrete" xfId="1452"/>
    <cellStyle name="_~0039877_II.7. Sep&amp;Discrete_Guidance" xfId="1453"/>
    <cellStyle name="_~0039877_II.7. Sep&amp;Discrete_Guidance 2" xfId="1454"/>
    <cellStyle name="_~0039877_II.7. Sep&amp;Discrete_Guidance_BS retrieve" xfId="1455"/>
    <cellStyle name="_~0039877_II.7. Sep&amp;Discrete_Guidance_Free CF" xfId="1456"/>
    <cellStyle name="_~0039877_II.7. Sep&amp;Discrete_Guidance_P&amp;L Rec Qtr" xfId="1457"/>
    <cellStyle name="_~0039877_II.7. Sep&amp;Discrete_Guidance_Sheet1" xfId="1458"/>
    <cellStyle name="_~0039877_II.7. Sep&amp;Discrete_Guidance_Sheet2" xfId="1459"/>
    <cellStyle name="_~0039877_II.7. Sep&amp;Discrete_Guidance_Sheet3" xfId="1460"/>
    <cellStyle name="_~0039877_II.7. Sep&amp;Discrete_Guidance_Sheet4" xfId="1461"/>
    <cellStyle name="_~0039877_II.8. Sep&amp;Discrete" xfId="1462"/>
    <cellStyle name="_~0039877_II.8. Sep&amp;Discrete_Guidance" xfId="1463"/>
    <cellStyle name="_~0039877_II.8. Sep&amp;Discrete_Guidance 2" xfId="1464"/>
    <cellStyle name="_~0039877_II.8. Sep&amp;Discrete_Guidance_BS retrieve" xfId="1465"/>
    <cellStyle name="_~0039877_II.8. Sep&amp;Discrete_Guidance_Free CF" xfId="1466"/>
    <cellStyle name="_~0039877_II.8. Sep&amp;Discrete_Guidance_P&amp;L Rec Qtr" xfId="1467"/>
    <cellStyle name="_~0039877_II.8. Sep&amp;Discrete_Guidance_Sheet1" xfId="1468"/>
    <cellStyle name="_~0039877_II.8. Sep&amp;Discrete_Guidance_Sheet2" xfId="1469"/>
    <cellStyle name="_~0039877_II.8. Sep&amp;Discrete_Guidance_Sheet3" xfId="1470"/>
    <cellStyle name="_~0039877_II.8. Sep&amp;Discrete_Guidance_Sheet4" xfId="1471"/>
    <cellStyle name="_~0039877_Restructuring &amp; Separation" xfId="1472"/>
    <cellStyle name="_~0039877_Restructuring &amp; Separation_Guidance" xfId="1473"/>
    <cellStyle name="_~0039877_Restructuring &amp; Separation_Guidance 2" xfId="1474"/>
    <cellStyle name="_~0039877_Restructuring &amp; Separation_Guidance_BS retrieve" xfId="1475"/>
    <cellStyle name="_~0039877_Restructuring &amp; Separation_Guidance_Free CF" xfId="1476"/>
    <cellStyle name="_~0039877_Restructuring &amp; Separation_Guidance_P&amp;L Rec Qtr" xfId="1477"/>
    <cellStyle name="_~0039877_Restructuring &amp; Separation_Guidance_Sheet1" xfId="1478"/>
    <cellStyle name="_~0039877_Restructuring &amp; Separation_Guidance_Sheet2" xfId="1479"/>
    <cellStyle name="_~0039877_Restructuring &amp; Separation_Guidance_Sheet3" xfId="1480"/>
    <cellStyle name="_~0039877_Restructuring &amp; Separation_Guidance_Sheet4" xfId="1481"/>
    <cellStyle name="_~0039877_Restructuring &amp; Separation_II.7. Sep&amp;Discrete" xfId="1482"/>
    <cellStyle name="_~0039877_Restructuring &amp; Separation_II.7. Sep&amp;Discrete_Guidance" xfId="1483"/>
    <cellStyle name="_~0039877_Restructuring &amp; Separation_II.7. Sep&amp;Discrete_Guidance 2" xfId="1484"/>
    <cellStyle name="_~0039877_Restructuring &amp; Separation_II.7. Sep&amp;Discrete_Guidance_BS retrieve" xfId="1485"/>
    <cellStyle name="_~0039877_Restructuring &amp; Separation_II.7. Sep&amp;Discrete_Guidance_Free CF" xfId="1486"/>
    <cellStyle name="_~0039877_Restructuring &amp; Separation_II.7. Sep&amp;Discrete_Guidance_P&amp;L Rec Qtr" xfId="1487"/>
    <cellStyle name="_~0039877_Restructuring &amp; Separation_II.7. Sep&amp;Discrete_Guidance_Sheet1" xfId="1488"/>
    <cellStyle name="_~0039877_Restructuring &amp; Separation_II.7. Sep&amp;Discrete_Guidance_Sheet2" xfId="1489"/>
    <cellStyle name="_~0039877_Restructuring &amp; Separation_II.7. Sep&amp;Discrete_Guidance_Sheet3" xfId="1490"/>
    <cellStyle name="_~0039877_Restructuring &amp; Separation_II.7. Sep&amp;Discrete_Guidance_Sheet4" xfId="1491"/>
    <cellStyle name="_~0039877_Restructuring_Separation_TAX_JuneFC2010 tf" xfId="1492"/>
    <cellStyle name="_~0039877_Restructuring_Separation_TAX_JuneFC2010 tf_BS_Separation_TaxResIndem_Q12412 tf" xfId="1493"/>
    <cellStyle name="_~0039877_Restructuring_Separation_TAX_JuneFC2010 tf_BS_Separation_TaxResIndem_Q12412 tf_Guidance" xfId="1494"/>
    <cellStyle name="_~0039877_Restructuring_Separation_TAX_JuneFC2010 tf_BS_Separation_TaxResIndem_Q12412 tf_Guidance 2" xfId="1495"/>
    <cellStyle name="_~0039877_Restructuring_Separation_TAX_JuneFC2010 tf_BS_Separation_TaxResIndem_Q12412 tf_Guidance_BS retrieve" xfId="1496"/>
    <cellStyle name="_~0039877_Restructuring_Separation_TAX_JuneFC2010 tf_BS_Separation_TaxResIndem_Q12412 tf_Guidance_Free CF" xfId="1497"/>
    <cellStyle name="_~0039877_Restructuring_Separation_TAX_JuneFC2010 tf_BS_Separation_TaxResIndem_Q12412 tf_Guidance_P&amp;L Rec Qtr" xfId="1498"/>
    <cellStyle name="_~0039877_Restructuring_Separation_TAX_JuneFC2010 tf_BS_Separation_TaxResIndem_Q12412 tf_Guidance_Sheet1" xfId="1499"/>
    <cellStyle name="_~0039877_Restructuring_Separation_TAX_JuneFC2010 tf_BS_Separation_TaxResIndem_Q12412 tf_Guidance_Sheet2" xfId="1500"/>
    <cellStyle name="_~0039877_Restructuring_Separation_TAX_JuneFC2010 tf_BS_Separation_TaxResIndem_Q12412 tf_Guidance_Sheet3" xfId="1501"/>
    <cellStyle name="_~0039877_Restructuring_Separation_TAX_JuneFC2010 tf_BS_Separation_TaxResIndem_Q12412 tf_Guidance_Sheet4" xfId="1502"/>
    <cellStyle name="_~0039877_Restructuring_Separation_TAX_JuneFC2010 tf_BS_Separation_TaxResIndem_Q12412 tf_II.7. Sep&amp;Discrete" xfId="1503"/>
    <cellStyle name="_~0039877_Restructuring_Separation_TAX_JuneFC2010 tf_BS_Separation_TaxResIndem_Q12412 tf_II.7. Sep&amp;Discrete_Guidance" xfId="1504"/>
    <cellStyle name="_~0039877_Restructuring_Separation_TAX_JuneFC2010 tf_BS_Separation_TaxResIndem_Q12412 tf_II.7. Sep&amp;Discrete_Guidance 2" xfId="1505"/>
    <cellStyle name="_~0039877_Restructuring_Separation_TAX_JuneFC2010 tf_BS_Separation_TaxResIndem_Q12412 tf_II.7. Sep&amp;Discrete_Guidance_BS retrieve" xfId="1506"/>
    <cellStyle name="_~0039877_Restructuring_Separation_TAX_JuneFC2010 tf_BS_Separation_TaxResIndem_Q12412 tf_II.7. Sep&amp;Discrete_Guidance_Free CF" xfId="1507"/>
    <cellStyle name="_~0039877_Restructuring_Separation_TAX_JuneFC2010 tf_BS_Separation_TaxResIndem_Q12412 tf_II.7. Sep&amp;Discrete_Guidance_P&amp;L Rec Qtr" xfId="1508"/>
    <cellStyle name="_~0039877_Restructuring_Separation_TAX_JuneFC2010 tf_BS_Separation_TaxResIndem_Q12412 tf_II.7. Sep&amp;Discrete_Guidance_Sheet1" xfId="1509"/>
    <cellStyle name="_~0039877_Restructuring_Separation_TAX_JuneFC2010 tf_BS_Separation_TaxResIndem_Q12412 tf_II.7. Sep&amp;Discrete_Guidance_Sheet2" xfId="1510"/>
    <cellStyle name="_~0039877_Restructuring_Separation_TAX_JuneFC2010 tf_BS_Separation_TaxResIndem_Q12412 tf_II.7. Sep&amp;Discrete_Guidance_Sheet3" xfId="1511"/>
    <cellStyle name="_~0039877_Restructuring_Separation_TAX_JuneFC2010 tf_BS_Separation_TaxResIndem_Q12412 tf_II.7. Sep&amp;Discrete_Guidance_Sheet4" xfId="1512"/>
    <cellStyle name="_~0039877_Restructuring_Separation_TAX_JuneFC2010 tf_BS_Separation_TaxResIndem_Q12412 tf_Restructuring &amp; Separation" xfId="1513"/>
    <cellStyle name="_~0039877_Restructuring_Separation_TAX_JuneFC2010 tf_BS_Separation_TaxResIndem_Q12412 tf_Restructuring &amp; Separation_Guidance" xfId="1514"/>
    <cellStyle name="_~0039877_Restructuring_Separation_TAX_JuneFC2010 tf_BS_Separation_TaxResIndem_Q12412 tf_Restructuring &amp; Separation_Guidance 2" xfId="1515"/>
    <cellStyle name="_~0039877_Restructuring_Separation_TAX_JuneFC2010 tf_BS_Separation_TaxResIndem_Q12412 tf_Restructuring &amp; Separation_Guidance_BS retrieve" xfId="1516"/>
    <cellStyle name="_~0039877_Restructuring_Separation_TAX_JuneFC2010 tf_BS_Separation_TaxResIndem_Q12412 tf_Restructuring &amp; Separation_Guidance_Free CF" xfId="1517"/>
    <cellStyle name="_~0039877_Restructuring_Separation_TAX_JuneFC2010 tf_BS_Separation_TaxResIndem_Q12412 tf_Restructuring &amp; Separation_Guidance_P&amp;L Rec Qtr" xfId="1518"/>
    <cellStyle name="_~0039877_Restructuring_Separation_TAX_JuneFC2010 tf_BS_Separation_TaxResIndem_Q12412 tf_Restructuring &amp; Separation_Guidance_Sheet1" xfId="1519"/>
    <cellStyle name="_~0039877_Restructuring_Separation_TAX_JuneFC2010 tf_BS_Separation_TaxResIndem_Q12412 tf_Restructuring &amp; Separation_Guidance_Sheet2" xfId="1520"/>
    <cellStyle name="_~0039877_Restructuring_Separation_TAX_JuneFC2010 tf_BS_Separation_TaxResIndem_Q12412 tf_Restructuring &amp; Separation_Guidance_Sheet3" xfId="1521"/>
    <cellStyle name="_~0039877_Restructuring_Separation_TAX_JuneFC2010 tf_BS_Separation_TaxResIndem_Q12412 tf_Restructuring &amp; Separation_Guidance_Sheet4" xfId="1522"/>
    <cellStyle name="_~0039877_Restructuring_Separation_TAX_JuneFC2010 tf_BS_Separation_TaxResIndem_Q12412 tf_Restructuring &amp; Separation_II.7. Sep&amp;Discrete" xfId="1523"/>
    <cellStyle name="_~0039877_Restructuring_Separation_TAX_JuneFC2010 tf_BS_Separation_TaxResIndem_Q12412 tf_Restructuring &amp; Separation_II.7. Sep&amp;Discrete_Guidance" xfId="1524"/>
    <cellStyle name="_~0039877_Restructuring_Separation_TAX_JuneFC2010 tf_BS_Separation_TaxResIndem_Q12412 tf_Restructuring &amp; Separation_II.7. Sep&amp;Discrete_Guidance 2" xfId="1525"/>
    <cellStyle name="_~0039877_Restructuring_Separation_TAX_JuneFC2010 tf_BS_Separation_TaxResIndem_Q12412 tf_Restructuring &amp; Separation_II.7. Sep&amp;Discrete_Guidance_BS retrieve" xfId="1526"/>
    <cellStyle name="_~0039877_Restructuring_Separation_TAX_JuneFC2010 tf_BS_Separation_TaxResIndem_Q12412 tf_Restructuring &amp; Separation_II.7. Sep&amp;Discrete_Guidance_Free CF" xfId="1527"/>
    <cellStyle name="_~0039877_Restructuring_Separation_TAX_JuneFC2010 tf_BS_Separation_TaxResIndem_Q12412 tf_Restructuring &amp; Separation_II.7. Sep&amp;Discrete_Guidance_P&amp;L Rec Qtr" xfId="1528"/>
    <cellStyle name="_~0039877_Restructuring_Separation_TAX_JuneFC2010 tf_BS_Separation_TaxResIndem_Q12412 tf_Restructuring &amp; Separation_II.7. Sep&amp;Discrete_Guidance_Sheet1" xfId="1529"/>
    <cellStyle name="_~0039877_Restructuring_Separation_TAX_JuneFC2010 tf_BS_Separation_TaxResIndem_Q12412 tf_Restructuring &amp; Separation_II.7. Sep&amp;Discrete_Guidance_Sheet2" xfId="1530"/>
    <cellStyle name="_~0039877_Restructuring_Separation_TAX_JuneFC2010 tf_BS_Separation_TaxResIndem_Q12412 tf_Restructuring &amp; Separation_II.7. Sep&amp;Discrete_Guidance_Sheet3" xfId="1531"/>
    <cellStyle name="_~0039877_Restructuring_Separation_TAX_JuneFC2010 tf_BS_Separation_TaxResIndem_Q12412 tf_Restructuring &amp; Separation_II.7. Sep&amp;Discrete_Guidance_Sheet4" xfId="1532"/>
    <cellStyle name="_~0039877_Restructuring_Separation_TAX_JuneFC2010 tf_Guidance" xfId="1533"/>
    <cellStyle name="_~0039877_Restructuring_Separation_TAX_JuneFC2010 tf_Guidance 2" xfId="1534"/>
    <cellStyle name="_~0039877_Restructuring_Separation_TAX_JuneFC2010 tf_Guidance_BS retrieve" xfId="1535"/>
    <cellStyle name="_~0039877_Restructuring_Separation_TAX_JuneFC2010 tf_Guidance_Free CF" xfId="1536"/>
    <cellStyle name="_~0039877_Restructuring_Separation_TAX_JuneFC2010 tf_Guidance_P&amp;L Rec Qtr" xfId="1537"/>
    <cellStyle name="_~0039877_Restructuring_Separation_TAX_JuneFC2010 tf_Guidance_Sheet1" xfId="1538"/>
    <cellStyle name="_~0039877_Restructuring_Separation_TAX_JuneFC2010 tf_Guidance_Sheet2" xfId="1539"/>
    <cellStyle name="_~0039877_Restructuring_Separation_TAX_JuneFC2010 tf_Guidance_Sheet3" xfId="1540"/>
    <cellStyle name="_~0039877_Restructuring_Separation_TAX_JuneFC2010 tf_Guidance_Sheet4" xfId="1541"/>
    <cellStyle name="_~0039877_Restructuring_Separation_TAX_JuneFC2010 tf_II.7. Sep&amp;Discrete" xfId="1542"/>
    <cellStyle name="_~0039877_Restructuring_Separation_TAX_JuneFC2010 tf_II.7. Sep&amp;Discrete_Guidance" xfId="1543"/>
    <cellStyle name="_~0039877_Restructuring_Separation_TAX_JuneFC2010 tf_II.7. Sep&amp;Discrete_Guidance 2" xfId="1544"/>
    <cellStyle name="_~0039877_Restructuring_Separation_TAX_JuneFC2010 tf_II.7. Sep&amp;Discrete_Guidance_BS retrieve" xfId="1545"/>
    <cellStyle name="_~0039877_Restructuring_Separation_TAX_JuneFC2010 tf_II.7. Sep&amp;Discrete_Guidance_Free CF" xfId="1546"/>
    <cellStyle name="_~0039877_Restructuring_Separation_TAX_JuneFC2010 tf_II.7. Sep&amp;Discrete_Guidance_P&amp;L Rec Qtr" xfId="1547"/>
    <cellStyle name="_~0039877_Restructuring_Separation_TAX_JuneFC2010 tf_II.7. Sep&amp;Discrete_Guidance_Sheet1" xfId="1548"/>
    <cellStyle name="_~0039877_Restructuring_Separation_TAX_JuneFC2010 tf_II.7. Sep&amp;Discrete_Guidance_Sheet2" xfId="1549"/>
    <cellStyle name="_~0039877_Restructuring_Separation_TAX_JuneFC2010 tf_II.7. Sep&amp;Discrete_Guidance_Sheet3" xfId="1550"/>
    <cellStyle name="_~0039877_Restructuring_Separation_TAX_JuneFC2010 tf_II.7. Sep&amp;Discrete_Guidance_Sheet4" xfId="1551"/>
    <cellStyle name="_~0039877_Restructuring_Separation_TAX_JuneFC2010 tf_II.8. Sep&amp;Discrete" xfId="1552"/>
    <cellStyle name="_~0039877_Restructuring_Separation_TAX_JuneFC2010 tf_II.8. Sep&amp;Discrete_Guidance" xfId="1553"/>
    <cellStyle name="_~0039877_Restructuring_Separation_TAX_JuneFC2010 tf_II.8. Sep&amp;Discrete_Guidance 2" xfId="1554"/>
    <cellStyle name="_~0039877_Restructuring_Separation_TAX_JuneFC2010 tf_II.8. Sep&amp;Discrete_Guidance_BS retrieve" xfId="1555"/>
    <cellStyle name="_~0039877_Restructuring_Separation_TAX_JuneFC2010 tf_II.8. Sep&amp;Discrete_Guidance_Free CF" xfId="1556"/>
    <cellStyle name="_~0039877_Restructuring_Separation_TAX_JuneFC2010 tf_II.8. Sep&amp;Discrete_Guidance_P&amp;L Rec Qtr" xfId="1557"/>
    <cellStyle name="_~0039877_Restructuring_Separation_TAX_JuneFC2010 tf_II.8. Sep&amp;Discrete_Guidance_Sheet1" xfId="1558"/>
    <cellStyle name="_~0039877_Restructuring_Separation_TAX_JuneFC2010 tf_II.8. Sep&amp;Discrete_Guidance_Sheet2" xfId="1559"/>
    <cellStyle name="_~0039877_Restructuring_Separation_TAX_JuneFC2010 tf_II.8. Sep&amp;Discrete_Guidance_Sheet3" xfId="1560"/>
    <cellStyle name="_~0039877_Restructuring_Separation_TAX_JuneFC2010 tf_II.8. Sep&amp;Discrete_Guidance_Sheet4" xfId="1561"/>
    <cellStyle name="_~0039877_Restructuring_Separation_TAX_JuneFC2010 tf_Restructuring &amp; Separation" xfId="1562"/>
    <cellStyle name="_~0039877_Restructuring_Separation_TAX_JuneFC2010 tf_Restructuring &amp; Separation_Guidance" xfId="1563"/>
    <cellStyle name="_~0039877_Restructuring_Separation_TAX_JuneFC2010 tf_Restructuring &amp; Separation_Guidance 2" xfId="1564"/>
    <cellStyle name="_~0039877_Restructuring_Separation_TAX_JuneFC2010 tf_Restructuring &amp; Separation_Guidance_BS retrieve" xfId="1565"/>
    <cellStyle name="_~0039877_Restructuring_Separation_TAX_JuneFC2010 tf_Restructuring &amp; Separation_Guidance_Free CF" xfId="1566"/>
    <cellStyle name="_~0039877_Restructuring_Separation_TAX_JuneFC2010 tf_Restructuring &amp; Separation_Guidance_P&amp;L Rec Qtr" xfId="1567"/>
    <cellStyle name="_~0039877_Restructuring_Separation_TAX_JuneFC2010 tf_Restructuring &amp; Separation_Guidance_Sheet1" xfId="1568"/>
    <cellStyle name="_~0039877_Restructuring_Separation_TAX_JuneFC2010 tf_Restructuring &amp; Separation_Guidance_Sheet2" xfId="1569"/>
    <cellStyle name="_~0039877_Restructuring_Separation_TAX_JuneFC2010 tf_Restructuring &amp; Separation_Guidance_Sheet3" xfId="1570"/>
    <cellStyle name="_~0039877_Restructuring_Separation_TAX_JuneFC2010 tf_Restructuring &amp; Separation_Guidance_Sheet4" xfId="1571"/>
    <cellStyle name="_~0039877_Restructuring_Separation_TAX_JuneFC2010 tf_Restructuring &amp; Separation_II.7. Sep&amp;Discrete" xfId="1572"/>
    <cellStyle name="_~0039877_Restructuring_Separation_TAX_JuneFC2010 tf_Restructuring &amp; Separation_II.7. Sep&amp;Discrete_Guidance" xfId="1573"/>
    <cellStyle name="_~0039877_Restructuring_Separation_TAX_JuneFC2010 tf_Restructuring &amp; Separation_II.7. Sep&amp;Discrete_Guidance 2" xfId="1574"/>
    <cellStyle name="_~0039877_Restructuring_Separation_TAX_JuneFC2010 tf_Restructuring &amp; Separation_II.7. Sep&amp;Discrete_Guidance_BS retrieve" xfId="1575"/>
    <cellStyle name="_~0039877_Restructuring_Separation_TAX_JuneFC2010 tf_Restructuring &amp; Separation_II.7. Sep&amp;Discrete_Guidance_Free CF" xfId="1576"/>
    <cellStyle name="_~0039877_Restructuring_Separation_TAX_JuneFC2010 tf_Restructuring &amp; Separation_II.7. Sep&amp;Discrete_Guidance_P&amp;L Rec Qtr" xfId="1577"/>
    <cellStyle name="_~0039877_Restructuring_Separation_TAX_JuneFC2010 tf_Restructuring &amp; Separation_II.7. Sep&amp;Discrete_Guidance_Sheet1" xfId="1578"/>
    <cellStyle name="_~0039877_Restructuring_Separation_TAX_JuneFC2010 tf_Restructuring &amp; Separation_II.7. Sep&amp;Discrete_Guidance_Sheet2" xfId="1579"/>
    <cellStyle name="_~0039877_Restructuring_Separation_TAX_JuneFC2010 tf_Restructuring &amp; Separation_II.7. Sep&amp;Discrete_Guidance_Sheet3" xfId="1580"/>
    <cellStyle name="_~0039877_Restructuring_Separation_TAX_JuneFC2010 tf_Restructuring &amp; Separation_II.7. Sep&amp;Discrete_Guidance_Sheet4" xfId="1581"/>
    <cellStyle name="_041005 Exhibit 4C v1" xfId="1582"/>
    <cellStyle name="_041005 Exhibit 4C v1_BS_Separation_TaxResIndem_Q12412 tf" xfId="1583"/>
    <cellStyle name="_041005 Exhibit 4C v1_BS_Separation_TaxResIndem_Q12412 tf_Guidance" xfId="1584"/>
    <cellStyle name="_041005 Exhibit 4C v1_BS_Separation_TaxResIndem_Q12412 tf_Guidance 2" xfId="1585"/>
    <cellStyle name="_041005 Exhibit 4C v1_BS_Separation_TaxResIndem_Q12412 tf_Guidance_BS retrieve" xfId="1586"/>
    <cellStyle name="_041005 Exhibit 4C v1_BS_Separation_TaxResIndem_Q12412 tf_Guidance_Free CF" xfId="1587"/>
    <cellStyle name="_041005 Exhibit 4C v1_BS_Separation_TaxResIndem_Q12412 tf_Guidance_P&amp;L Rec Qtr" xfId="1588"/>
    <cellStyle name="_041005 Exhibit 4C v1_BS_Separation_TaxResIndem_Q12412 tf_Guidance_Sheet1" xfId="1589"/>
    <cellStyle name="_041005 Exhibit 4C v1_BS_Separation_TaxResIndem_Q12412 tf_Guidance_Sheet2" xfId="1590"/>
    <cellStyle name="_041005 Exhibit 4C v1_BS_Separation_TaxResIndem_Q12412 tf_Guidance_Sheet3" xfId="1591"/>
    <cellStyle name="_041005 Exhibit 4C v1_BS_Separation_TaxResIndem_Q12412 tf_Guidance_Sheet4" xfId="1592"/>
    <cellStyle name="_041005 Exhibit 4C v1_BS_Separation_TaxResIndem_Q12412 tf_II.7. Sep&amp;Discrete" xfId="1593"/>
    <cellStyle name="_041005 Exhibit 4C v1_BS_Separation_TaxResIndem_Q12412 tf_II.7. Sep&amp;Discrete_Guidance" xfId="1594"/>
    <cellStyle name="_041005 Exhibit 4C v1_BS_Separation_TaxResIndem_Q12412 tf_II.7. Sep&amp;Discrete_Guidance 2" xfId="1595"/>
    <cellStyle name="_041005 Exhibit 4C v1_BS_Separation_TaxResIndem_Q12412 tf_II.7. Sep&amp;Discrete_Guidance_BS retrieve" xfId="1596"/>
    <cellStyle name="_041005 Exhibit 4C v1_BS_Separation_TaxResIndem_Q12412 tf_II.7. Sep&amp;Discrete_Guidance_Free CF" xfId="1597"/>
    <cellStyle name="_041005 Exhibit 4C v1_BS_Separation_TaxResIndem_Q12412 tf_II.7. Sep&amp;Discrete_Guidance_P&amp;L Rec Qtr" xfId="1598"/>
    <cellStyle name="_041005 Exhibit 4C v1_BS_Separation_TaxResIndem_Q12412 tf_II.7. Sep&amp;Discrete_Guidance_Sheet1" xfId="1599"/>
    <cellStyle name="_041005 Exhibit 4C v1_BS_Separation_TaxResIndem_Q12412 tf_II.7. Sep&amp;Discrete_Guidance_Sheet2" xfId="1600"/>
    <cellStyle name="_041005 Exhibit 4C v1_BS_Separation_TaxResIndem_Q12412 tf_II.7. Sep&amp;Discrete_Guidance_Sheet3" xfId="1601"/>
    <cellStyle name="_041005 Exhibit 4C v1_BS_Separation_TaxResIndem_Q12412 tf_II.7. Sep&amp;Discrete_Guidance_Sheet4" xfId="1602"/>
    <cellStyle name="_041005 Exhibit 4C v1_BS_Separation_TaxResIndem_Q12412 tf_Restructuring &amp; Separation" xfId="1603"/>
    <cellStyle name="_041005 Exhibit 4C v1_BS_Separation_TaxResIndem_Q12412 tf_Restructuring &amp; Separation_Guidance" xfId="1604"/>
    <cellStyle name="_041005 Exhibit 4C v1_BS_Separation_TaxResIndem_Q12412 tf_Restructuring &amp; Separation_Guidance 2" xfId="1605"/>
    <cellStyle name="_041005 Exhibit 4C v1_BS_Separation_TaxResIndem_Q12412 tf_Restructuring &amp; Separation_Guidance_BS retrieve" xfId="1606"/>
    <cellStyle name="_041005 Exhibit 4C v1_BS_Separation_TaxResIndem_Q12412 tf_Restructuring &amp; Separation_Guidance_Free CF" xfId="1607"/>
    <cellStyle name="_041005 Exhibit 4C v1_BS_Separation_TaxResIndem_Q12412 tf_Restructuring &amp; Separation_Guidance_P&amp;L Rec Qtr" xfId="1608"/>
    <cellStyle name="_041005 Exhibit 4C v1_BS_Separation_TaxResIndem_Q12412 tf_Restructuring &amp; Separation_Guidance_Sheet1" xfId="1609"/>
    <cellStyle name="_041005 Exhibit 4C v1_BS_Separation_TaxResIndem_Q12412 tf_Restructuring &amp; Separation_Guidance_Sheet2" xfId="1610"/>
    <cellStyle name="_041005 Exhibit 4C v1_BS_Separation_TaxResIndem_Q12412 tf_Restructuring &amp; Separation_Guidance_Sheet3" xfId="1611"/>
    <cellStyle name="_041005 Exhibit 4C v1_BS_Separation_TaxResIndem_Q12412 tf_Restructuring &amp; Separation_Guidance_Sheet4" xfId="1612"/>
    <cellStyle name="_041005 Exhibit 4C v1_BS_Separation_TaxResIndem_Q12412 tf_Restructuring &amp; Separation_II.7. Sep&amp;Discrete" xfId="1613"/>
    <cellStyle name="_041005 Exhibit 4C v1_BS_Separation_TaxResIndem_Q12412 tf_Restructuring &amp; Separation_II.7. Sep&amp;Discrete_Guidance" xfId="1614"/>
    <cellStyle name="_041005 Exhibit 4C v1_BS_Separation_TaxResIndem_Q12412 tf_Restructuring &amp; Separation_II.7. Sep&amp;Discrete_Guidance 2" xfId="1615"/>
    <cellStyle name="_041005 Exhibit 4C v1_BS_Separation_TaxResIndem_Q12412 tf_Restructuring &amp; Separation_II.7. Sep&amp;Discrete_Guidance_BS retrieve" xfId="1616"/>
    <cellStyle name="_041005 Exhibit 4C v1_BS_Separation_TaxResIndem_Q12412 tf_Restructuring &amp; Separation_II.7. Sep&amp;Discrete_Guidance_Free CF" xfId="1617"/>
    <cellStyle name="_041005 Exhibit 4C v1_BS_Separation_TaxResIndem_Q12412 tf_Restructuring &amp; Separation_II.7. Sep&amp;Discrete_Guidance_P&amp;L Rec Qtr" xfId="1618"/>
    <cellStyle name="_041005 Exhibit 4C v1_BS_Separation_TaxResIndem_Q12412 tf_Restructuring &amp; Separation_II.7. Sep&amp;Discrete_Guidance_Sheet1" xfId="1619"/>
    <cellStyle name="_041005 Exhibit 4C v1_BS_Separation_TaxResIndem_Q12412 tf_Restructuring &amp; Separation_II.7. Sep&amp;Discrete_Guidance_Sheet2" xfId="1620"/>
    <cellStyle name="_041005 Exhibit 4C v1_BS_Separation_TaxResIndem_Q12412 tf_Restructuring &amp; Separation_II.7. Sep&amp;Discrete_Guidance_Sheet3" xfId="1621"/>
    <cellStyle name="_041005 Exhibit 4C v1_BS_Separation_TaxResIndem_Q12412 tf_Restructuring &amp; Separation_II.7. Sep&amp;Discrete_Guidance_Sheet4" xfId="1622"/>
    <cellStyle name="_041005 Exhibit 4C v1_Deferred tax MarchFC 2011" xfId="1623"/>
    <cellStyle name="_041005 Exhibit 4C v1_Deferred tax MarchFC 2011_BS_Separation_TaxResIndem_Q12412 tf" xfId="1624"/>
    <cellStyle name="_041005 Exhibit 4C v1_Deferred tax MarchFC 2011_BS_Separation_TaxResIndem_Q12412 tf_Guidance" xfId="1625"/>
    <cellStyle name="_041005 Exhibit 4C v1_Deferred tax MarchFC 2011_BS_Separation_TaxResIndem_Q12412 tf_Guidance 2" xfId="1626"/>
    <cellStyle name="_041005 Exhibit 4C v1_Deferred tax MarchFC 2011_BS_Separation_TaxResIndem_Q12412 tf_Guidance_BS retrieve" xfId="1627"/>
    <cellStyle name="_041005 Exhibit 4C v1_Deferred tax MarchFC 2011_BS_Separation_TaxResIndem_Q12412 tf_Guidance_Free CF" xfId="1628"/>
    <cellStyle name="_041005 Exhibit 4C v1_Deferred tax MarchFC 2011_BS_Separation_TaxResIndem_Q12412 tf_Guidance_P&amp;L Rec Qtr" xfId="1629"/>
    <cellStyle name="_041005 Exhibit 4C v1_Deferred tax MarchFC 2011_BS_Separation_TaxResIndem_Q12412 tf_Guidance_Sheet1" xfId="1630"/>
    <cellStyle name="_041005 Exhibit 4C v1_Deferred tax MarchFC 2011_BS_Separation_TaxResIndem_Q12412 tf_Guidance_Sheet2" xfId="1631"/>
    <cellStyle name="_041005 Exhibit 4C v1_Deferred tax MarchFC 2011_BS_Separation_TaxResIndem_Q12412 tf_Guidance_Sheet3" xfId="1632"/>
    <cellStyle name="_041005 Exhibit 4C v1_Deferred tax MarchFC 2011_BS_Separation_TaxResIndem_Q12412 tf_Guidance_Sheet4" xfId="1633"/>
    <cellStyle name="_041005 Exhibit 4C v1_Deferred tax MarchFC 2011_BS_Separation_TaxResIndem_Q12412 tf_II.7. Sep&amp;Discrete" xfId="1634"/>
    <cellStyle name="_041005 Exhibit 4C v1_Deferred tax MarchFC 2011_BS_Separation_TaxResIndem_Q12412 tf_II.7. Sep&amp;Discrete_Guidance" xfId="1635"/>
    <cellStyle name="_041005 Exhibit 4C v1_Deferred tax MarchFC 2011_BS_Separation_TaxResIndem_Q12412 tf_II.7. Sep&amp;Discrete_Guidance 2" xfId="1636"/>
    <cellStyle name="_041005 Exhibit 4C v1_Deferred tax MarchFC 2011_BS_Separation_TaxResIndem_Q12412 tf_II.7. Sep&amp;Discrete_Guidance_BS retrieve" xfId="1637"/>
    <cellStyle name="_041005 Exhibit 4C v1_Deferred tax MarchFC 2011_BS_Separation_TaxResIndem_Q12412 tf_II.7. Sep&amp;Discrete_Guidance_Free CF" xfId="1638"/>
    <cellStyle name="_041005 Exhibit 4C v1_Deferred tax MarchFC 2011_BS_Separation_TaxResIndem_Q12412 tf_II.7. Sep&amp;Discrete_Guidance_P&amp;L Rec Qtr" xfId="1639"/>
    <cellStyle name="_041005 Exhibit 4C v1_Deferred tax MarchFC 2011_BS_Separation_TaxResIndem_Q12412 tf_II.7. Sep&amp;Discrete_Guidance_Sheet1" xfId="1640"/>
    <cellStyle name="_041005 Exhibit 4C v1_Deferred tax MarchFC 2011_BS_Separation_TaxResIndem_Q12412 tf_II.7. Sep&amp;Discrete_Guidance_Sheet2" xfId="1641"/>
    <cellStyle name="_041005 Exhibit 4C v1_Deferred tax MarchFC 2011_BS_Separation_TaxResIndem_Q12412 tf_II.7. Sep&amp;Discrete_Guidance_Sheet3" xfId="1642"/>
    <cellStyle name="_041005 Exhibit 4C v1_Deferred tax MarchFC 2011_BS_Separation_TaxResIndem_Q12412 tf_II.7. Sep&amp;Discrete_Guidance_Sheet4" xfId="1643"/>
    <cellStyle name="_041005 Exhibit 4C v1_Deferred tax MarchFC 2011_BS_Separation_TaxResIndem_Q12412 tf_Restructuring &amp; Separation" xfId="1644"/>
    <cellStyle name="_041005 Exhibit 4C v1_Deferred tax MarchFC 2011_BS_Separation_TaxResIndem_Q12412 tf_Restructuring &amp; Separation_Guidance" xfId="1645"/>
    <cellStyle name="_041005 Exhibit 4C v1_Deferred tax MarchFC 2011_BS_Separation_TaxResIndem_Q12412 tf_Restructuring &amp; Separation_Guidance 2" xfId="1646"/>
    <cellStyle name="_041005 Exhibit 4C v1_Deferred tax MarchFC 2011_BS_Separation_TaxResIndem_Q12412 tf_Restructuring &amp; Separation_Guidance_BS retrieve" xfId="1647"/>
    <cellStyle name="_041005 Exhibit 4C v1_Deferred tax MarchFC 2011_BS_Separation_TaxResIndem_Q12412 tf_Restructuring &amp; Separation_Guidance_Free CF" xfId="1648"/>
    <cellStyle name="_041005 Exhibit 4C v1_Deferred tax MarchFC 2011_BS_Separation_TaxResIndem_Q12412 tf_Restructuring &amp; Separation_Guidance_P&amp;L Rec Qtr" xfId="1649"/>
    <cellStyle name="_041005 Exhibit 4C v1_Deferred tax MarchFC 2011_BS_Separation_TaxResIndem_Q12412 tf_Restructuring &amp; Separation_Guidance_Sheet1" xfId="1650"/>
    <cellStyle name="_041005 Exhibit 4C v1_Deferred tax MarchFC 2011_BS_Separation_TaxResIndem_Q12412 tf_Restructuring &amp; Separation_Guidance_Sheet2" xfId="1651"/>
    <cellStyle name="_041005 Exhibit 4C v1_Deferred tax MarchFC 2011_BS_Separation_TaxResIndem_Q12412 tf_Restructuring &amp; Separation_Guidance_Sheet3" xfId="1652"/>
    <cellStyle name="_041005 Exhibit 4C v1_Deferred tax MarchFC 2011_BS_Separation_TaxResIndem_Q12412 tf_Restructuring &amp; Separation_Guidance_Sheet4" xfId="1653"/>
    <cellStyle name="_041005 Exhibit 4C v1_Deferred tax MarchFC 2011_BS_Separation_TaxResIndem_Q12412 tf_Restructuring &amp; Separation_II.7. Sep&amp;Discrete" xfId="1654"/>
    <cellStyle name="_041005 Exhibit 4C v1_Deferred tax MarchFC 2011_BS_Separation_TaxResIndem_Q12412 tf_Restructuring &amp; Separation_II.7. Sep&amp;Discrete_Guidance" xfId="1655"/>
    <cellStyle name="_041005 Exhibit 4C v1_Deferred tax MarchFC 2011_BS_Separation_TaxResIndem_Q12412 tf_Restructuring &amp; Separation_II.7. Sep&amp;Discrete_Guidance 2" xfId="1656"/>
    <cellStyle name="_041005 Exhibit 4C v1_Deferred tax MarchFC 2011_BS_Separation_TaxResIndem_Q12412 tf_Restructuring &amp; Separation_II.7. Sep&amp;Discrete_Guidance_BS retrieve" xfId="1657"/>
    <cellStyle name="_041005 Exhibit 4C v1_Deferred tax MarchFC 2011_BS_Separation_TaxResIndem_Q12412 tf_Restructuring &amp; Separation_II.7. Sep&amp;Discrete_Guidance_Free CF" xfId="1658"/>
    <cellStyle name="_041005 Exhibit 4C v1_Deferred tax MarchFC 2011_BS_Separation_TaxResIndem_Q12412 tf_Restructuring &amp; Separation_II.7. Sep&amp;Discrete_Guidance_P&amp;L Rec Qtr" xfId="1659"/>
    <cellStyle name="_041005 Exhibit 4C v1_Deferred tax MarchFC 2011_BS_Separation_TaxResIndem_Q12412 tf_Restructuring &amp; Separation_II.7. Sep&amp;Discrete_Guidance_Sheet1" xfId="1660"/>
    <cellStyle name="_041005 Exhibit 4C v1_Deferred tax MarchFC 2011_BS_Separation_TaxResIndem_Q12412 tf_Restructuring &amp; Separation_II.7. Sep&amp;Discrete_Guidance_Sheet2" xfId="1661"/>
    <cellStyle name="_041005 Exhibit 4C v1_Deferred tax MarchFC 2011_BS_Separation_TaxResIndem_Q12412 tf_Restructuring &amp; Separation_II.7. Sep&amp;Discrete_Guidance_Sheet3" xfId="1662"/>
    <cellStyle name="_041005 Exhibit 4C v1_Deferred tax MarchFC 2011_BS_Separation_TaxResIndem_Q12412 tf_Restructuring &amp; Separation_II.7. Sep&amp;Discrete_Guidance_Sheet4" xfId="1663"/>
    <cellStyle name="_041005 Exhibit 4C v1_Deferred tax MarchFC 2011_Guidance" xfId="1664"/>
    <cellStyle name="_041005 Exhibit 4C v1_Deferred tax MarchFC 2011_Guidance 2" xfId="1665"/>
    <cellStyle name="_041005 Exhibit 4C v1_Deferred tax MarchFC 2011_Guidance_BS retrieve" xfId="1666"/>
    <cellStyle name="_041005 Exhibit 4C v1_Deferred tax MarchFC 2011_Guidance_Free CF" xfId="1667"/>
    <cellStyle name="_041005 Exhibit 4C v1_Deferred tax MarchFC 2011_Guidance_P&amp;L Rec Qtr" xfId="1668"/>
    <cellStyle name="_041005 Exhibit 4C v1_Deferred tax MarchFC 2011_Guidance_Sheet1" xfId="1669"/>
    <cellStyle name="_041005 Exhibit 4C v1_Deferred tax MarchFC 2011_Guidance_Sheet2" xfId="1670"/>
    <cellStyle name="_041005 Exhibit 4C v1_Deferred tax MarchFC 2011_Guidance_Sheet3" xfId="1671"/>
    <cellStyle name="_041005 Exhibit 4C v1_Deferred tax MarchFC 2011_Guidance_Sheet4" xfId="1672"/>
    <cellStyle name="_041005 Exhibit 4C v1_Deferred tax MarchFC 2011_II.7. Sep&amp;Discrete" xfId="1673"/>
    <cellStyle name="_041005 Exhibit 4C v1_Deferred tax MarchFC 2011_II.7. Sep&amp;Discrete_Guidance" xfId="1674"/>
    <cellStyle name="_041005 Exhibit 4C v1_Deferred tax MarchFC 2011_II.7. Sep&amp;Discrete_Guidance 2" xfId="1675"/>
    <cellStyle name="_041005 Exhibit 4C v1_Deferred tax MarchFC 2011_II.7. Sep&amp;Discrete_Guidance_BS retrieve" xfId="1676"/>
    <cellStyle name="_041005 Exhibit 4C v1_Deferred tax MarchFC 2011_II.7. Sep&amp;Discrete_Guidance_Free CF" xfId="1677"/>
    <cellStyle name="_041005 Exhibit 4C v1_Deferred tax MarchFC 2011_II.7. Sep&amp;Discrete_Guidance_P&amp;L Rec Qtr" xfId="1678"/>
    <cellStyle name="_041005 Exhibit 4C v1_Deferred tax MarchFC 2011_II.7. Sep&amp;Discrete_Guidance_Sheet1" xfId="1679"/>
    <cellStyle name="_041005 Exhibit 4C v1_Deferred tax MarchFC 2011_II.7. Sep&amp;Discrete_Guidance_Sheet2" xfId="1680"/>
    <cellStyle name="_041005 Exhibit 4C v1_Deferred tax MarchFC 2011_II.7. Sep&amp;Discrete_Guidance_Sheet3" xfId="1681"/>
    <cellStyle name="_041005 Exhibit 4C v1_Deferred tax MarchFC 2011_II.7. Sep&amp;Discrete_Guidance_Sheet4" xfId="1682"/>
    <cellStyle name="_041005 Exhibit 4C v1_Deferred tax MarchFC 2011_II.8. Sep&amp;Discrete" xfId="1683"/>
    <cellStyle name="_041005 Exhibit 4C v1_Deferred tax MarchFC 2011_II.8. Sep&amp;Discrete_Guidance" xfId="1684"/>
    <cellStyle name="_041005 Exhibit 4C v1_Deferred tax MarchFC 2011_II.8. Sep&amp;Discrete_Guidance 2" xfId="1685"/>
    <cellStyle name="_041005 Exhibit 4C v1_Deferred tax MarchFC 2011_II.8. Sep&amp;Discrete_Guidance_BS retrieve" xfId="1686"/>
    <cellStyle name="_041005 Exhibit 4C v1_Deferred tax MarchFC 2011_II.8. Sep&amp;Discrete_Guidance_Free CF" xfId="1687"/>
    <cellStyle name="_041005 Exhibit 4C v1_Deferred tax MarchFC 2011_II.8. Sep&amp;Discrete_Guidance_P&amp;L Rec Qtr" xfId="1688"/>
    <cellStyle name="_041005 Exhibit 4C v1_Deferred tax MarchFC 2011_II.8. Sep&amp;Discrete_Guidance_Sheet1" xfId="1689"/>
    <cellStyle name="_041005 Exhibit 4C v1_Deferred tax MarchFC 2011_II.8. Sep&amp;Discrete_Guidance_Sheet2" xfId="1690"/>
    <cellStyle name="_041005 Exhibit 4C v1_Deferred tax MarchFC 2011_II.8. Sep&amp;Discrete_Guidance_Sheet3" xfId="1691"/>
    <cellStyle name="_041005 Exhibit 4C v1_Deferred tax MarchFC 2011_II.8. Sep&amp;Discrete_Guidance_Sheet4" xfId="1692"/>
    <cellStyle name="_041005 Exhibit 4C v1_Deferred tax MarchFC 2011_Restructuring &amp; Separation" xfId="1693"/>
    <cellStyle name="_041005 Exhibit 4C v1_Deferred tax MarchFC 2011_Restructuring &amp; Separation_Guidance" xfId="1694"/>
    <cellStyle name="_041005 Exhibit 4C v1_Deferred tax MarchFC 2011_Restructuring &amp; Separation_Guidance 2" xfId="1695"/>
    <cellStyle name="_041005 Exhibit 4C v1_Deferred tax MarchFC 2011_Restructuring &amp; Separation_Guidance_BS retrieve" xfId="1696"/>
    <cellStyle name="_041005 Exhibit 4C v1_Deferred tax MarchFC 2011_Restructuring &amp; Separation_Guidance_Free CF" xfId="1697"/>
    <cellStyle name="_041005 Exhibit 4C v1_Deferred tax MarchFC 2011_Restructuring &amp; Separation_Guidance_P&amp;L Rec Qtr" xfId="1698"/>
    <cellStyle name="_041005 Exhibit 4C v1_Deferred tax MarchFC 2011_Restructuring &amp; Separation_Guidance_Sheet1" xfId="1699"/>
    <cellStyle name="_041005 Exhibit 4C v1_Deferred tax MarchFC 2011_Restructuring &amp; Separation_Guidance_Sheet2" xfId="1700"/>
    <cellStyle name="_041005 Exhibit 4C v1_Deferred tax MarchFC 2011_Restructuring &amp; Separation_Guidance_Sheet3" xfId="1701"/>
    <cellStyle name="_041005 Exhibit 4C v1_Deferred tax MarchFC 2011_Restructuring &amp; Separation_Guidance_Sheet4" xfId="1702"/>
    <cellStyle name="_041005 Exhibit 4C v1_Deferred tax MarchFC 2011_Restructuring &amp; Separation_II.7. Sep&amp;Discrete" xfId="1703"/>
    <cellStyle name="_041005 Exhibit 4C v1_Deferred tax MarchFC 2011_Restructuring &amp; Separation_II.7. Sep&amp;Discrete_Guidance" xfId="1704"/>
    <cellStyle name="_041005 Exhibit 4C v1_Deferred tax MarchFC 2011_Restructuring &amp; Separation_II.7. Sep&amp;Discrete_Guidance 2" xfId="1705"/>
    <cellStyle name="_041005 Exhibit 4C v1_Deferred tax MarchFC 2011_Restructuring &amp; Separation_II.7. Sep&amp;Discrete_Guidance_BS retrieve" xfId="1706"/>
    <cellStyle name="_041005 Exhibit 4C v1_Deferred tax MarchFC 2011_Restructuring &amp; Separation_II.7. Sep&amp;Discrete_Guidance_Free CF" xfId="1707"/>
    <cellStyle name="_041005 Exhibit 4C v1_Deferred tax MarchFC 2011_Restructuring &amp; Separation_II.7. Sep&amp;Discrete_Guidance_P&amp;L Rec Qtr" xfId="1708"/>
    <cellStyle name="_041005 Exhibit 4C v1_Deferred tax MarchFC 2011_Restructuring &amp; Separation_II.7. Sep&amp;Discrete_Guidance_Sheet1" xfId="1709"/>
    <cellStyle name="_041005 Exhibit 4C v1_Deferred tax MarchFC 2011_Restructuring &amp; Separation_II.7. Sep&amp;Discrete_Guidance_Sheet2" xfId="1710"/>
    <cellStyle name="_041005 Exhibit 4C v1_Deferred tax MarchFC 2011_Restructuring &amp; Separation_II.7. Sep&amp;Discrete_Guidance_Sheet3" xfId="1711"/>
    <cellStyle name="_041005 Exhibit 4C v1_Deferred tax MarchFC 2011_Restructuring &amp; Separation_II.7. Sep&amp;Discrete_Guidance_Sheet4" xfId="1712"/>
    <cellStyle name="_041005 Exhibit 4C v1_Guidance" xfId="1713"/>
    <cellStyle name="_041005 Exhibit 4C v1_Guidance 2" xfId="1714"/>
    <cellStyle name="_041005 Exhibit 4C v1_Guidance_BS retrieve" xfId="1715"/>
    <cellStyle name="_041005 Exhibit 4C v1_Guidance_Free CF" xfId="1716"/>
    <cellStyle name="_041005 Exhibit 4C v1_Guidance_P&amp;L Rec Qtr" xfId="1717"/>
    <cellStyle name="_041005 Exhibit 4C v1_Guidance_Sheet1" xfId="1718"/>
    <cellStyle name="_041005 Exhibit 4C v1_Guidance_Sheet2" xfId="1719"/>
    <cellStyle name="_041005 Exhibit 4C v1_Guidance_Sheet3" xfId="1720"/>
    <cellStyle name="_041005 Exhibit 4C v1_Guidance_Sheet4" xfId="1721"/>
    <cellStyle name="_041005 Exhibit 4C v1_II.7. Sep&amp;Discrete" xfId="1722"/>
    <cellStyle name="_041005 Exhibit 4C v1_II.7. Sep&amp;Discrete_Guidance" xfId="1723"/>
    <cellStyle name="_041005 Exhibit 4C v1_II.7. Sep&amp;Discrete_Guidance 2" xfId="1724"/>
    <cellStyle name="_041005 Exhibit 4C v1_II.7. Sep&amp;Discrete_Guidance_BS retrieve" xfId="1725"/>
    <cellStyle name="_041005 Exhibit 4C v1_II.7. Sep&amp;Discrete_Guidance_Free CF" xfId="1726"/>
    <cellStyle name="_041005 Exhibit 4C v1_II.7. Sep&amp;Discrete_Guidance_P&amp;L Rec Qtr" xfId="1727"/>
    <cellStyle name="_041005 Exhibit 4C v1_II.7. Sep&amp;Discrete_Guidance_Sheet1" xfId="1728"/>
    <cellStyle name="_041005 Exhibit 4C v1_II.7. Sep&amp;Discrete_Guidance_Sheet2" xfId="1729"/>
    <cellStyle name="_041005 Exhibit 4C v1_II.7. Sep&amp;Discrete_Guidance_Sheet3" xfId="1730"/>
    <cellStyle name="_041005 Exhibit 4C v1_II.7. Sep&amp;Discrete_Guidance_Sheet4" xfId="1731"/>
    <cellStyle name="_041005 Exhibit 4C v1_II.8. Sep&amp;Discrete" xfId="1732"/>
    <cellStyle name="_041005 Exhibit 4C v1_II.8. Sep&amp;Discrete_Guidance" xfId="1733"/>
    <cellStyle name="_041005 Exhibit 4C v1_II.8. Sep&amp;Discrete_Guidance 2" xfId="1734"/>
    <cellStyle name="_041005 Exhibit 4C v1_II.8. Sep&amp;Discrete_Guidance_BS retrieve" xfId="1735"/>
    <cellStyle name="_041005 Exhibit 4C v1_II.8. Sep&amp;Discrete_Guidance_Free CF" xfId="1736"/>
    <cellStyle name="_041005 Exhibit 4C v1_II.8. Sep&amp;Discrete_Guidance_P&amp;L Rec Qtr" xfId="1737"/>
    <cellStyle name="_041005 Exhibit 4C v1_II.8. Sep&amp;Discrete_Guidance_Sheet1" xfId="1738"/>
    <cellStyle name="_041005 Exhibit 4C v1_II.8. Sep&amp;Discrete_Guidance_Sheet2" xfId="1739"/>
    <cellStyle name="_041005 Exhibit 4C v1_II.8. Sep&amp;Discrete_Guidance_Sheet3" xfId="1740"/>
    <cellStyle name="_041005 Exhibit 4C v1_II.8. Sep&amp;Discrete_Guidance_Sheet4" xfId="1741"/>
    <cellStyle name="_041005 Exhibit 4C v1_Restructuring &amp; Separation" xfId="1742"/>
    <cellStyle name="_041005 Exhibit 4C v1_Restructuring &amp; Separation_Guidance" xfId="1743"/>
    <cellStyle name="_041005 Exhibit 4C v1_Restructuring &amp; Separation_Guidance 2" xfId="1744"/>
    <cellStyle name="_041005 Exhibit 4C v1_Restructuring &amp; Separation_Guidance_BS retrieve" xfId="1745"/>
    <cellStyle name="_041005 Exhibit 4C v1_Restructuring &amp; Separation_Guidance_Free CF" xfId="1746"/>
    <cellStyle name="_041005 Exhibit 4C v1_Restructuring &amp; Separation_Guidance_P&amp;L Rec Qtr" xfId="1747"/>
    <cellStyle name="_041005 Exhibit 4C v1_Restructuring &amp; Separation_Guidance_Sheet1" xfId="1748"/>
    <cellStyle name="_041005 Exhibit 4C v1_Restructuring &amp; Separation_Guidance_Sheet2" xfId="1749"/>
    <cellStyle name="_041005 Exhibit 4C v1_Restructuring &amp; Separation_Guidance_Sheet3" xfId="1750"/>
    <cellStyle name="_041005 Exhibit 4C v1_Restructuring &amp; Separation_Guidance_Sheet4" xfId="1751"/>
    <cellStyle name="_041005 Exhibit 4C v1_Restructuring &amp; Separation_II.7. Sep&amp;Discrete" xfId="1752"/>
    <cellStyle name="_041005 Exhibit 4C v1_Restructuring &amp; Separation_II.7. Sep&amp;Discrete_Guidance" xfId="1753"/>
    <cellStyle name="_041005 Exhibit 4C v1_Restructuring &amp; Separation_II.7. Sep&amp;Discrete_Guidance 2" xfId="1754"/>
    <cellStyle name="_041005 Exhibit 4C v1_Restructuring &amp; Separation_II.7. Sep&amp;Discrete_Guidance_BS retrieve" xfId="1755"/>
    <cellStyle name="_041005 Exhibit 4C v1_Restructuring &amp; Separation_II.7. Sep&amp;Discrete_Guidance_Free CF" xfId="1756"/>
    <cellStyle name="_041005 Exhibit 4C v1_Restructuring &amp; Separation_II.7. Sep&amp;Discrete_Guidance_P&amp;L Rec Qtr" xfId="1757"/>
    <cellStyle name="_041005 Exhibit 4C v1_Restructuring &amp; Separation_II.7. Sep&amp;Discrete_Guidance_Sheet1" xfId="1758"/>
    <cellStyle name="_041005 Exhibit 4C v1_Restructuring &amp; Separation_II.7. Sep&amp;Discrete_Guidance_Sheet2" xfId="1759"/>
    <cellStyle name="_041005 Exhibit 4C v1_Restructuring &amp; Separation_II.7. Sep&amp;Discrete_Guidance_Sheet3" xfId="1760"/>
    <cellStyle name="_041005 Exhibit 4C v1_Restructuring &amp; Separation_II.7. Sep&amp;Discrete_Guidance_Sheet4" xfId="1761"/>
    <cellStyle name="_041005 Exhibit 4C v1_Sheet1" xfId="1762"/>
    <cellStyle name="_041005 Exhibit 4C v1_Sheet1_1" xfId="1763"/>
    <cellStyle name="_041005 Exhibit 4C v1_Sheet1_1_Guidance" xfId="1764"/>
    <cellStyle name="_041005 Exhibit 4C v1_Sheet1_1_Guidance 2" xfId="1765"/>
    <cellStyle name="_041005 Exhibit 4C v1_Sheet1_1_Guidance_BS retrieve" xfId="1766"/>
    <cellStyle name="_041005 Exhibit 4C v1_Sheet1_1_Guidance_Free CF" xfId="1767"/>
    <cellStyle name="_041005 Exhibit 4C v1_Sheet1_1_Guidance_P&amp;L Rec Qtr" xfId="1768"/>
    <cellStyle name="_041005 Exhibit 4C v1_Sheet1_1_Guidance_Sheet1" xfId="1769"/>
    <cellStyle name="_041005 Exhibit 4C v1_Sheet1_1_Guidance_Sheet2" xfId="1770"/>
    <cellStyle name="_041005 Exhibit 4C v1_Sheet1_1_Guidance_Sheet3" xfId="1771"/>
    <cellStyle name="_041005 Exhibit 4C v1_Sheet1_1_Guidance_Sheet4" xfId="1772"/>
    <cellStyle name="_041005 Exhibit 4C v1_Sheet1_1_II.7. Sep&amp;Discrete" xfId="1773"/>
    <cellStyle name="_041005 Exhibit 4C v1_Sheet1_1_II.7. Sep&amp;Discrete_Guidance" xfId="1774"/>
    <cellStyle name="_041005 Exhibit 4C v1_Sheet1_1_II.7. Sep&amp;Discrete_Guidance 2" xfId="1775"/>
    <cellStyle name="_041005 Exhibit 4C v1_Sheet1_1_II.7. Sep&amp;Discrete_Guidance_BS retrieve" xfId="1776"/>
    <cellStyle name="_041005 Exhibit 4C v1_Sheet1_1_II.7. Sep&amp;Discrete_Guidance_Free CF" xfId="1777"/>
    <cellStyle name="_041005 Exhibit 4C v1_Sheet1_1_II.7. Sep&amp;Discrete_Guidance_P&amp;L Rec Qtr" xfId="1778"/>
    <cellStyle name="_041005 Exhibit 4C v1_Sheet1_1_II.7. Sep&amp;Discrete_Guidance_Sheet1" xfId="1779"/>
    <cellStyle name="_041005 Exhibit 4C v1_Sheet1_1_II.7. Sep&amp;Discrete_Guidance_Sheet2" xfId="1780"/>
    <cellStyle name="_041005 Exhibit 4C v1_Sheet1_1_II.7. Sep&amp;Discrete_Guidance_Sheet3" xfId="1781"/>
    <cellStyle name="_041005 Exhibit 4C v1_Sheet1_1_II.7. Sep&amp;Discrete_Guidance_Sheet4" xfId="1782"/>
    <cellStyle name="_041005 Exhibit 4C v1_Sheet1_1_Restructuring &amp; Separation" xfId="1783"/>
    <cellStyle name="_041005 Exhibit 4C v1_Sheet1_1_Restructuring &amp; Separation_Guidance" xfId="1784"/>
    <cellStyle name="_041005 Exhibit 4C v1_Sheet1_1_Restructuring &amp; Separation_Guidance 2" xfId="1785"/>
    <cellStyle name="_041005 Exhibit 4C v1_Sheet1_1_Restructuring &amp; Separation_Guidance_BS retrieve" xfId="1786"/>
    <cellStyle name="_041005 Exhibit 4C v1_Sheet1_1_Restructuring &amp; Separation_Guidance_Free CF" xfId="1787"/>
    <cellStyle name="_041005 Exhibit 4C v1_Sheet1_1_Restructuring &amp; Separation_Guidance_P&amp;L Rec Qtr" xfId="1788"/>
    <cellStyle name="_041005 Exhibit 4C v1_Sheet1_1_Restructuring &amp; Separation_Guidance_Sheet1" xfId="1789"/>
    <cellStyle name="_041005 Exhibit 4C v1_Sheet1_1_Restructuring &amp; Separation_Guidance_Sheet2" xfId="1790"/>
    <cellStyle name="_041005 Exhibit 4C v1_Sheet1_1_Restructuring &amp; Separation_Guidance_Sheet3" xfId="1791"/>
    <cellStyle name="_041005 Exhibit 4C v1_Sheet1_1_Restructuring &amp; Separation_Guidance_Sheet4" xfId="1792"/>
    <cellStyle name="_041005 Exhibit 4C v1_Sheet1_1_Restructuring &amp; Separation_II.7. Sep&amp;Discrete" xfId="1793"/>
    <cellStyle name="_041005 Exhibit 4C v1_Sheet1_1_Restructuring &amp; Separation_II.7. Sep&amp;Discrete_Guidance" xfId="1794"/>
    <cellStyle name="_041005 Exhibit 4C v1_Sheet1_1_Restructuring &amp; Separation_II.7. Sep&amp;Discrete_Guidance 2" xfId="1795"/>
    <cellStyle name="_041005 Exhibit 4C v1_Sheet1_1_Restructuring &amp; Separation_II.7. Sep&amp;Discrete_Guidance_BS retrieve" xfId="1796"/>
    <cellStyle name="_041005 Exhibit 4C v1_Sheet1_1_Restructuring &amp; Separation_II.7. Sep&amp;Discrete_Guidance_Free CF" xfId="1797"/>
    <cellStyle name="_041005 Exhibit 4C v1_Sheet1_1_Restructuring &amp; Separation_II.7. Sep&amp;Discrete_Guidance_P&amp;L Rec Qtr" xfId="1798"/>
    <cellStyle name="_041005 Exhibit 4C v1_Sheet1_1_Restructuring &amp; Separation_II.7. Sep&amp;Discrete_Guidance_Sheet1" xfId="1799"/>
    <cellStyle name="_041005 Exhibit 4C v1_Sheet1_1_Restructuring &amp; Separation_II.7. Sep&amp;Discrete_Guidance_Sheet2" xfId="1800"/>
    <cellStyle name="_041005 Exhibit 4C v1_Sheet1_1_Restructuring &amp; Separation_II.7. Sep&amp;Discrete_Guidance_Sheet3" xfId="1801"/>
    <cellStyle name="_041005 Exhibit 4C v1_Sheet1_1_Restructuring &amp; Separation_II.7. Sep&amp;Discrete_Guidance_Sheet4" xfId="1802"/>
    <cellStyle name="_041005 Exhibit 4C v1_Sheet1_BS_Separation_TaxResIndem_Q12412 tf" xfId="1803"/>
    <cellStyle name="_041005 Exhibit 4C v1_Sheet1_BS_Separation_TaxResIndem_Q12412 tf_Guidance" xfId="1804"/>
    <cellStyle name="_041005 Exhibit 4C v1_Sheet1_BS_Separation_TaxResIndem_Q12412 tf_Guidance 2" xfId="1805"/>
    <cellStyle name="_041005 Exhibit 4C v1_Sheet1_BS_Separation_TaxResIndem_Q12412 tf_Guidance_BS retrieve" xfId="1806"/>
    <cellStyle name="_041005 Exhibit 4C v1_Sheet1_BS_Separation_TaxResIndem_Q12412 tf_Guidance_Free CF" xfId="1807"/>
    <cellStyle name="_041005 Exhibit 4C v1_Sheet1_BS_Separation_TaxResIndem_Q12412 tf_Guidance_P&amp;L Rec Qtr" xfId="1808"/>
    <cellStyle name="_041005 Exhibit 4C v1_Sheet1_BS_Separation_TaxResIndem_Q12412 tf_Guidance_Sheet1" xfId="1809"/>
    <cellStyle name="_041005 Exhibit 4C v1_Sheet1_BS_Separation_TaxResIndem_Q12412 tf_Guidance_Sheet2" xfId="1810"/>
    <cellStyle name="_041005 Exhibit 4C v1_Sheet1_BS_Separation_TaxResIndem_Q12412 tf_Guidance_Sheet3" xfId="1811"/>
    <cellStyle name="_041005 Exhibit 4C v1_Sheet1_BS_Separation_TaxResIndem_Q12412 tf_Guidance_Sheet4" xfId="1812"/>
    <cellStyle name="_041005 Exhibit 4C v1_Sheet1_BS_Separation_TaxResIndem_Q12412 tf_II.7. Sep&amp;Discrete" xfId="1813"/>
    <cellStyle name="_041005 Exhibit 4C v1_Sheet1_BS_Separation_TaxResIndem_Q12412 tf_II.7. Sep&amp;Discrete_Guidance" xfId="1814"/>
    <cellStyle name="_041005 Exhibit 4C v1_Sheet1_BS_Separation_TaxResIndem_Q12412 tf_II.7. Sep&amp;Discrete_Guidance 2" xfId="1815"/>
    <cellStyle name="_041005 Exhibit 4C v1_Sheet1_BS_Separation_TaxResIndem_Q12412 tf_II.7. Sep&amp;Discrete_Guidance_BS retrieve" xfId="1816"/>
    <cellStyle name="_041005 Exhibit 4C v1_Sheet1_BS_Separation_TaxResIndem_Q12412 tf_II.7. Sep&amp;Discrete_Guidance_Free CF" xfId="1817"/>
    <cellStyle name="_041005 Exhibit 4C v1_Sheet1_BS_Separation_TaxResIndem_Q12412 tf_II.7. Sep&amp;Discrete_Guidance_P&amp;L Rec Qtr" xfId="1818"/>
    <cellStyle name="_041005 Exhibit 4C v1_Sheet1_BS_Separation_TaxResIndem_Q12412 tf_II.7. Sep&amp;Discrete_Guidance_Sheet1" xfId="1819"/>
    <cellStyle name="_041005 Exhibit 4C v1_Sheet1_BS_Separation_TaxResIndem_Q12412 tf_II.7. Sep&amp;Discrete_Guidance_Sheet2" xfId="1820"/>
    <cellStyle name="_041005 Exhibit 4C v1_Sheet1_BS_Separation_TaxResIndem_Q12412 tf_II.7. Sep&amp;Discrete_Guidance_Sheet3" xfId="1821"/>
    <cellStyle name="_041005 Exhibit 4C v1_Sheet1_BS_Separation_TaxResIndem_Q12412 tf_II.7. Sep&amp;Discrete_Guidance_Sheet4" xfId="1822"/>
    <cellStyle name="_041005 Exhibit 4C v1_Sheet1_BS_Separation_TaxResIndem_Q12412 tf_Restructuring &amp; Separation" xfId="1823"/>
    <cellStyle name="_041005 Exhibit 4C v1_Sheet1_BS_Separation_TaxResIndem_Q12412 tf_Restructuring &amp; Separation_Guidance" xfId="1824"/>
    <cellStyle name="_041005 Exhibit 4C v1_Sheet1_BS_Separation_TaxResIndem_Q12412 tf_Restructuring &amp; Separation_Guidance 2" xfId="1825"/>
    <cellStyle name="_041005 Exhibit 4C v1_Sheet1_BS_Separation_TaxResIndem_Q12412 tf_Restructuring &amp; Separation_Guidance_BS retrieve" xfId="1826"/>
    <cellStyle name="_041005 Exhibit 4C v1_Sheet1_BS_Separation_TaxResIndem_Q12412 tf_Restructuring &amp; Separation_Guidance_Free CF" xfId="1827"/>
    <cellStyle name="_041005 Exhibit 4C v1_Sheet1_BS_Separation_TaxResIndem_Q12412 tf_Restructuring &amp; Separation_Guidance_P&amp;L Rec Qtr" xfId="1828"/>
    <cellStyle name="_041005 Exhibit 4C v1_Sheet1_BS_Separation_TaxResIndem_Q12412 tf_Restructuring &amp; Separation_Guidance_Sheet1" xfId="1829"/>
    <cellStyle name="_041005 Exhibit 4C v1_Sheet1_BS_Separation_TaxResIndem_Q12412 tf_Restructuring &amp; Separation_Guidance_Sheet2" xfId="1830"/>
    <cellStyle name="_041005 Exhibit 4C v1_Sheet1_BS_Separation_TaxResIndem_Q12412 tf_Restructuring &amp; Separation_Guidance_Sheet3" xfId="1831"/>
    <cellStyle name="_041005 Exhibit 4C v1_Sheet1_BS_Separation_TaxResIndem_Q12412 tf_Restructuring &amp; Separation_Guidance_Sheet4" xfId="1832"/>
    <cellStyle name="_041005 Exhibit 4C v1_Sheet1_BS_Separation_TaxResIndem_Q12412 tf_Restructuring &amp; Separation_II.7. Sep&amp;Discrete" xfId="1833"/>
    <cellStyle name="_041005 Exhibit 4C v1_Sheet1_BS_Separation_TaxResIndem_Q12412 tf_Restructuring &amp; Separation_II.7. Sep&amp;Discrete_Guidance" xfId="1834"/>
    <cellStyle name="_041005 Exhibit 4C v1_Sheet1_BS_Separation_TaxResIndem_Q12412 tf_Restructuring &amp; Separation_II.7. Sep&amp;Discrete_Guidance 2" xfId="1835"/>
    <cellStyle name="_041005 Exhibit 4C v1_Sheet1_BS_Separation_TaxResIndem_Q12412 tf_Restructuring &amp; Separation_II.7. Sep&amp;Discrete_Guidance_BS retrieve" xfId="1836"/>
    <cellStyle name="_041005 Exhibit 4C v1_Sheet1_BS_Separation_TaxResIndem_Q12412 tf_Restructuring &amp; Separation_II.7. Sep&amp;Discrete_Guidance_Free CF" xfId="1837"/>
    <cellStyle name="_041005 Exhibit 4C v1_Sheet1_BS_Separation_TaxResIndem_Q12412 tf_Restructuring &amp; Separation_II.7. Sep&amp;Discrete_Guidance_P&amp;L Rec Qtr" xfId="1838"/>
    <cellStyle name="_041005 Exhibit 4C v1_Sheet1_BS_Separation_TaxResIndem_Q12412 tf_Restructuring &amp; Separation_II.7. Sep&amp;Discrete_Guidance_Sheet1" xfId="1839"/>
    <cellStyle name="_041005 Exhibit 4C v1_Sheet1_BS_Separation_TaxResIndem_Q12412 tf_Restructuring &amp; Separation_II.7. Sep&amp;Discrete_Guidance_Sheet2" xfId="1840"/>
    <cellStyle name="_041005 Exhibit 4C v1_Sheet1_BS_Separation_TaxResIndem_Q12412 tf_Restructuring &amp; Separation_II.7. Sep&amp;Discrete_Guidance_Sheet3" xfId="1841"/>
    <cellStyle name="_041005 Exhibit 4C v1_Sheet1_BS_Separation_TaxResIndem_Q12412 tf_Restructuring &amp; Separation_II.7. Sep&amp;Discrete_Guidance_Sheet4" xfId="1842"/>
    <cellStyle name="_041005 Exhibit 4C v1_Sheet1_Guidance" xfId="1843"/>
    <cellStyle name="_041005 Exhibit 4C v1_Sheet1_Guidance 2" xfId="1844"/>
    <cellStyle name="_041005 Exhibit 4C v1_Sheet1_Guidance_BS retrieve" xfId="1845"/>
    <cellStyle name="_041005 Exhibit 4C v1_Sheet1_Guidance_Free CF" xfId="1846"/>
    <cellStyle name="_041005 Exhibit 4C v1_Sheet1_Guidance_P&amp;L Rec Qtr" xfId="1847"/>
    <cellStyle name="_041005 Exhibit 4C v1_Sheet1_Guidance_Sheet1" xfId="1848"/>
    <cellStyle name="_041005 Exhibit 4C v1_Sheet1_Guidance_Sheet2" xfId="1849"/>
    <cellStyle name="_041005 Exhibit 4C v1_Sheet1_Guidance_Sheet3" xfId="1850"/>
    <cellStyle name="_041005 Exhibit 4C v1_Sheet1_Guidance_Sheet4" xfId="1851"/>
    <cellStyle name="_041005 Exhibit 4C v1_Sheet1_II.7. Sep&amp;Discrete" xfId="1852"/>
    <cellStyle name="_041005 Exhibit 4C v1_Sheet1_II.7. Sep&amp;Discrete_Guidance" xfId="1853"/>
    <cellStyle name="_041005 Exhibit 4C v1_Sheet1_II.7. Sep&amp;Discrete_Guidance 2" xfId="1854"/>
    <cellStyle name="_041005 Exhibit 4C v1_Sheet1_II.7. Sep&amp;Discrete_Guidance_BS retrieve" xfId="1855"/>
    <cellStyle name="_041005 Exhibit 4C v1_Sheet1_II.7. Sep&amp;Discrete_Guidance_Free CF" xfId="1856"/>
    <cellStyle name="_041005 Exhibit 4C v1_Sheet1_II.7. Sep&amp;Discrete_Guidance_P&amp;L Rec Qtr" xfId="1857"/>
    <cellStyle name="_041005 Exhibit 4C v1_Sheet1_II.7. Sep&amp;Discrete_Guidance_Sheet1" xfId="1858"/>
    <cellStyle name="_041005 Exhibit 4C v1_Sheet1_II.7. Sep&amp;Discrete_Guidance_Sheet2" xfId="1859"/>
    <cellStyle name="_041005 Exhibit 4C v1_Sheet1_II.7. Sep&amp;Discrete_Guidance_Sheet3" xfId="1860"/>
    <cellStyle name="_041005 Exhibit 4C v1_Sheet1_II.7. Sep&amp;Discrete_Guidance_Sheet4" xfId="1861"/>
    <cellStyle name="_041005 Exhibit 4C v1_Sheet1_II.8. Sep&amp;Discrete" xfId="1862"/>
    <cellStyle name="_041005 Exhibit 4C v1_Sheet1_II.8. Sep&amp;Discrete_Guidance" xfId="1863"/>
    <cellStyle name="_041005 Exhibit 4C v1_Sheet1_II.8. Sep&amp;Discrete_Guidance 2" xfId="1864"/>
    <cellStyle name="_041005 Exhibit 4C v1_Sheet1_II.8. Sep&amp;Discrete_Guidance_BS retrieve" xfId="1865"/>
    <cellStyle name="_041005 Exhibit 4C v1_Sheet1_II.8. Sep&amp;Discrete_Guidance_Free CF" xfId="1866"/>
    <cellStyle name="_041005 Exhibit 4C v1_Sheet1_II.8. Sep&amp;Discrete_Guidance_P&amp;L Rec Qtr" xfId="1867"/>
    <cellStyle name="_041005 Exhibit 4C v1_Sheet1_II.8. Sep&amp;Discrete_Guidance_Sheet1" xfId="1868"/>
    <cellStyle name="_041005 Exhibit 4C v1_Sheet1_II.8. Sep&amp;Discrete_Guidance_Sheet2" xfId="1869"/>
    <cellStyle name="_041005 Exhibit 4C v1_Sheet1_II.8. Sep&amp;Discrete_Guidance_Sheet3" xfId="1870"/>
    <cellStyle name="_041005 Exhibit 4C v1_Sheet1_II.8. Sep&amp;Discrete_Guidance_Sheet4" xfId="1871"/>
    <cellStyle name="_041005 Exhibit 4C v1_Sheet1_Restructuring &amp; Separation" xfId="1872"/>
    <cellStyle name="_041005 Exhibit 4C v1_Sheet1_Restructuring &amp; Separation_Guidance" xfId="1873"/>
    <cellStyle name="_041005 Exhibit 4C v1_Sheet1_Restructuring &amp; Separation_Guidance 2" xfId="1874"/>
    <cellStyle name="_041005 Exhibit 4C v1_Sheet1_Restructuring &amp; Separation_Guidance_BS retrieve" xfId="1875"/>
    <cellStyle name="_041005 Exhibit 4C v1_Sheet1_Restructuring &amp; Separation_Guidance_Free CF" xfId="1876"/>
    <cellStyle name="_041005 Exhibit 4C v1_Sheet1_Restructuring &amp; Separation_Guidance_P&amp;L Rec Qtr" xfId="1877"/>
    <cellStyle name="_041005 Exhibit 4C v1_Sheet1_Restructuring &amp; Separation_Guidance_Sheet1" xfId="1878"/>
    <cellStyle name="_041005 Exhibit 4C v1_Sheet1_Restructuring &amp; Separation_Guidance_Sheet2" xfId="1879"/>
    <cellStyle name="_041005 Exhibit 4C v1_Sheet1_Restructuring &amp; Separation_Guidance_Sheet3" xfId="1880"/>
    <cellStyle name="_041005 Exhibit 4C v1_Sheet1_Restructuring &amp; Separation_Guidance_Sheet4" xfId="1881"/>
    <cellStyle name="_041005 Exhibit 4C v1_Sheet1_Restructuring &amp; Separation_II.7. Sep&amp;Discrete" xfId="1882"/>
    <cellStyle name="_041005 Exhibit 4C v1_Sheet1_Restructuring &amp; Separation_II.7. Sep&amp;Discrete_Guidance" xfId="1883"/>
    <cellStyle name="_041005 Exhibit 4C v1_Sheet1_Restructuring &amp; Separation_II.7. Sep&amp;Discrete_Guidance 2" xfId="1884"/>
    <cellStyle name="_041005 Exhibit 4C v1_Sheet1_Restructuring &amp; Separation_II.7. Sep&amp;Discrete_Guidance_BS retrieve" xfId="1885"/>
    <cellStyle name="_041005 Exhibit 4C v1_Sheet1_Restructuring &amp; Separation_II.7. Sep&amp;Discrete_Guidance_Free CF" xfId="1886"/>
    <cellStyle name="_041005 Exhibit 4C v1_Sheet1_Restructuring &amp; Separation_II.7. Sep&amp;Discrete_Guidance_P&amp;L Rec Qtr" xfId="1887"/>
    <cellStyle name="_041005 Exhibit 4C v1_Sheet1_Restructuring &amp; Separation_II.7. Sep&amp;Discrete_Guidance_Sheet1" xfId="1888"/>
    <cellStyle name="_041005 Exhibit 4C v1_Sheet1_Restructuring &amp; Separation_II.7. Sep&amp;Discrete_Guidance_Sheet2" xfId="1889"/>
    <cellStyle name="_041005 Exhibit 4C v1_Sheet1_Restructuring &amp; Separation_II.7. Sep&amp;Discrete_Guidance_Sheet3" xfId="1890"/>
    <cellStyle name="_041005 Exhibit 4C v1_Sheet1_Restructuring &amp; Separation_II.7. Sep&amp;Discrete_Guidance_Sheet4" xfId="1891"/>
    <cellStyle name="_06.04" xfId="1892"/>
    <cellStyle name="_06.04 2" xfId="1893"/>
    <cellStyle name="_12+0 MOR" xfId="1894"/>
    <cellStyle name="_12+0 MOR_BS_Separation_TaxResIndem_Q12412 tf" xfId="1895"/>
    <cellStyle name="_12+0 MOR_BS_Separation_TaxResIndem_Q12412 tf_Guidance" xfId="1896"/>
    <cellStyle name="_12+0 MOR_BS_Separation_TaxResIndem_Q12412 tf_Guidance 2" xfId="1897"/>
    <cellStyle name="_12+0 MOR_BS_Separation_TaxResIndem_Q12412 tf_Guidance_BS retrieve" xfId="1898"/>
    <cellStyle name="_12+0 MOR_BS_Separation_TaxResIndem_Q12412 tf_Guidance_Free CF" xfId="1899"/>
    <cellStyle name="_12+0 MOR_BS_Separation_TaxResIndem_Q12412 tf_Guidance_P&amp;L Rec Qtr" xfId="1900"/>
    <cellStyle name="_12+0 MOR_BS_Separation_TaxResIndem_Q12412 tf_Guidance_Sheet1" xfId="1901"/>
    <cellStyle name="_12+0 MOR_BS_Separation_TaxResIndem_Q12412 tf_Guidance_Sheet2" xfId="1902"/>
    <cellStyle name="_12+0 MOR_BS_Separation_TaxResIndem_Q12412 tf_Guidance_Sheet3" xfId="1903"/>
    <cellStyle name="_12+0 MOR_BS_Separation_TaxResIndem_Q12412 tf_Guidance_Sheet4" xfId="1904"/>
    <cellStyle name="_12+0 MOR_BS_Separation_TaxResIndem_Q12412 tf_II.7. Sep&amp;Discrete" xfId="1905"/>
    <cellStyle name="_12+0 MOR_BS_Separation_TaxResIndem_Q12412 tf_II.7. Sep&amp;Discrete_Guidance" xfId="1906"/>
    <cellStyle name="_12+0 MOR_BS_Separation_TaxResIndem_Q12412 tf_II.7. Sep&amp;Discrete_Guidance 2" xfId="1907"/>
    <cellStyle name="_12+0 MOR_BS_Separation_TaxResIndem_Q12412 tf_II.7. Sep&amp;Discrete_Guidance_BS retrieve" xfId="1908"/>
    <cellStyle name="_12+0 MOR_BS_Separation_TaxResIndem_Q12412 tf_II.7. Sep&amp;Discrete_Guidance_Free CF" xfId="1909"/>
    <cellStyle name="_12+0 MOR_BS_Separation_TaxResIndem_Q12412 tf_II.7. Sep&amp;Discrete_Guidance_P&amp;L Rec Qtr" xfId="1910"/>
    <cellStyle name="_12+0 MOR_BS_Separation_TaxResIndem_Q12412 tf_II.7. Sep&amp;Discrete_Guidance_Sheet1" xfId="1911"/>
    <cellStyle name="_12+0 MOR_BS_Separation_TaxResIndem_Q12412 tf_II.7. Sep&amp;Discrete_Guidance_Sheet2" xfId="1912"/>
    <cellStyle name="_12+0 MOR_BS_Separation_TaxResIndem_Q12412 tf_II.7. Sep&amp;Discrete_Guidance_Sheet3" xfId="1913"/>
    <cellStyle name="_12+0 MOR_BS_Separation_TaxResIndem_Q12412 tf_II.7. Sep&amp;Discrete_Guidance_Sheet4" xfId="1914"/>
    <cellStyle name="_12+0 MOR_BS_Separation_TaxResIndem_Q12412 tf_Restructuring &amp; Separation" xfId="1915"/>
    <cellStyle name="_12+0 MOR_BS_Separation_TaxResIndem_Q12412 tf_Restructuring &amp; Separation_Guidance" xfId="1916"/>
    <cellStyle name="_12+0 MOR_BS_Separation_TaxResIndem_Q12412 tf_Restructuring &amp; Separation_Guidance 2" xfId="1917"/>
    <cellStyle name="_12+0 MOR_BS_Separation_TaxResIndem_Q12412 tf_Restructuring &amp; Separation_Guidance_BS retrieve" xfId="1918"/>
    <cellStyle name="_12+0 MOR_BS_Separation_TaxResIndem_Q12412 tf_Restructuring &amp; Separation_Guidance_Free CF" xfId="1919"/>
    <cellStyle name="_12+0 MOR_BS_Separation_TaxResIndem_Q12412 tf_Restructuring &amp; Separation_Guidance_P&amp;L Rec Qtr" xfId="1920"/>
    <cellStyle name="_12+0 MOR_BS_Separation_TaxResIndem_Q12412 tf_Restructuring &amp; Separation_Guidance_Sheet1" xfId="1921"/>
    <cellStyle name="_12+0 MOR_BS_Separation_TaxResIndem_Q12412 tf_Restructuring &amp; Separation_Guidance_Sheet2" xfId="1922"/>
    <cellStyle name="_12+0 MOR_BS_Separation_TaxResIndem_Q12412 tf_Restructuring &amp; Separation_Guidance_Sheet3" xfId="1923"/>
    <cellStyle name="_12+0 MOR_BS_Separation_TaxResIndem_Q12412 tf_Restructuring &amp; Separation_Guidance_Sheet4" xfId="1924"/>
    <cellStyle name="_12+0 MOR_BS_Separation_TaxResIndem_Q12412 tf_Restructuring &amp; Separation_II.7. Sep&amp;Discrete" xfId="1925"/>
    <cellStyle name="_12+0 MOR_BS_Separation_TaxResIndem_Q12412 tf_Restructuring &amp; Separation_II.7. Sep&amp;Discrete_Guidance" xfId="1926"/>
    <cellStyle name="_12+0 MOR_BS_Separation_TaxResIndem_Q12412 tf_Restructuring &amp; Separation_II.7. Sep&amp;Discrete_Guidance 2" xfId="1927"/>
    <cellStyle name="_12+0 MOR_BS_Separation_TaxResIndem_Q12412 tf_Restructuring &amp; Separation_II.7. Sep&amp;Discrete_Guidance_BS retrieve" xfId="1928"/>
    <cellStyle name="_12+0 MOR_BS_Separation_TaxResIndem_Q12412 tf_Restructuring &amp; Separation_II.7. Sep&amp;Discrete_Guidance_Free CF" xfId="1929"/>
    <cellStyle name="_12+0 MOR_BS_Separation_TaxResIndem_Q12412 tf_Restructuring &amp; Separation_II.7. Sep&amp;Discrete_Guidance_P&amp;L Rec Qtr" xfId="1930"/>
    <cellStyle name="_12+0 MOR_BS_Separation_TaxResIndem_Q12412 tf_Restructuring &amp; Separation_II.7. Sep&amp;Discrete_Guidance_Sheet1" xfId="1931"/>
    <cellStyle name="_12+0 MOR_BS_Separation_TaxResIndem_Q12412 tf_Restructuring &amp; Separation_II.7. Sep&amp;Discrete_Guidance_Sheet2" xfId="1932"/>
    <cellStyle name="_12+0 MOR_BS_Separation_TaxResIndem_Q12412 tf_Restructuring &amp; Separation_II.7. Sep&amp;Discrete_Guidance_Sheet3" xfId="1933"/>
    <cellStyle name="_12+0 MOR_BS_Separation_TaxResIndem_Q12412 tf_Restructuring &amp; Separation_II.7. Sep&amp;Discrete_Guidance_Sheet4" xfId="1934"/>
    <cellStyle name="_12+0 MOR_By Country Detail 1Q10 041410pm FIN 18 revised per disc w Mary" xfId="1935"/>
    <cellStyle name="_12+0 MOR_By Country Detail 1Q10 041410pm FIN 18 revised per disc w Mary_BS_Separation_TaxResIndem_Q12412 tf" xfId="1936"/>
    <cellStyle name="_12+0 MOR_By Country Detail 1Q10 041410pm FIN 18 revised per disc w Mary_BS_Separation_TaxResIndem_Q12412 tf_Guidance" xfId="1937"/>
    <cellStyle name="_12+0 MOR_By Country Detail 1Q10 041410pm FIN 18 revised per disc w Mary_BS_Separation_TaxResIndem_Q12412 tf_Guidance 2" xfId="1938"/>
    <cellStyle name="_12+0 MOR_By Country Detail 1Q10 041410pm FIN 18 revised per disc w Mary_BS_Separation_TaxResIndem_Q12412 tf_Guidance_BS retrieve" xfId="1939"/>
    <cellStyle name="_12+0 MOR_By Country Detail 1Q10 041410pm FIN 18 revised per disc w Mary_BS_Separation_TaxResIndem_Q12412 tf_Guidance_Free CF" xfId="1940"/>
    <cellStyle name="_12+0 MOR_By Country Detail 1Q10 041410pm FIN 18 revised per disc w Mary_BS_Separation_TaxResIndem_Q12412 tf_Guidance_P&amp;L Rec Qtr" xfId="1941"/>
    <cellStyle name="_12+0 MOR_By Country Detail 1Q10 041410pm FIN 18 revised per disc w Mary_BS_Separation_TaxResIndem_Q12412 tf_Guidance_Sheet1" xfId="1942"/>
    <cellStyle name="_12+0 MOR_By Country Detail 1Q10 041410pm FIN 18 revised per disc w Mary_BS_Separation_TaxResIndem_Q12412 tf_Guidance_Sheet2" xfId="1943"/>
    <cellStyle name="_12+0 MOR_By Country Detail 1Q10 041410pm FIN 18 revised per disc w Mary_BS_Separation_TaxResIndem_Q12412 tf_Guidance_Sheet3" xfId="1944"/>
    <cellStyle name="_12+0 MOR_By Country Detail 1Q10 041410pm FIN 18 revised per disc w Mary_BS_Separation_TaxResIndem_Q12412 tf_Guidance_Sheet4" xfId="1945"/>
    <cellStyle name="_12+0 MOR_By Country Detail 1Q10 041410pm FIN 18 revised per disc w Mary_BS_Separation_TaxResIndem_Q12412 tf_II.7. Sep&amp;Discrete" xfId="1946"/>
    <cellStyle name="_12+0 MOR_By Country Detail 1Q10 041410pm FIN 18 revised per disc w Mary_BS_Separation_TaxResIndem_Q12412 tf_II.7. Sep&amp;Discrete_Guidance" xfId="1947"/>
    <cellStyle name="_12+0 MOR_By Country Detail 1Q10 041410pm FIN 18 revised per disc w Mary_BS_Separation_TaxResIndem_Q12412 tf_II.7. Sep&amp;Discrete_Guidance 2" xfId="1948"/>
    <cellStyle name="_12+0 MOR_By Country Detail 1Q10 041410pm FIN 18 revised per disc w Mary_BS_Separation_TaxResIndem_Q12412 tf_II.7. Sep&amp;Discrete_Guidance_BS retrieve" xfId="1949"/>
    <cellStyle name="_12+0 MOR_By Country Detail 1Q10 041410pm FIN 18 revised per disc w Mary_BS_Separation_TaxResIndem_Q12412 tf_II.7. Sep&amp;Discrete_Guidance_Free CF" xfId="1950"/>
    <cellStyle name="_12+0 MOR_By Country Detail 1Q10 041410pm FIN 18 revised per disc w Mary_BS_Separation_TaxResIndem_Q12412 tf_II.7. Sep&amp;Discrete_Guidance_P&amp;L Rec Qtr" xfId="1951"/>
    <cellStyle name="_12+0 MOR_By Country Detail 1Q10 041410pm FIN 18 revised per disc w Mary_BS_Separation_TaxResIndem_Q12412 tf_II.7. Sep&amp;Discrete_Guidance_Sheet1" xfId="1952"/>
    <cellStyle name="_12+0 MOR_By Country Detail 1Q10 041410pm FIN 18 revised per disc w Mary_BS_Separation_TaxResIndem_Q12412 tf_II.7. Sep&amp;Discrete_Guidance_Sheet2" xfId="1953"/>
    <cellStyle name="_12+0 MOR_By Country Detail 1Q10 041410pm FIN 18 revised per disc w Mary_BS_Separation_TaxResIndem_Q12412 tf_II.7. Sep&amp;Discrete_Guidance_Sheet3" xfId="1954"/>
    <cellStyle name="_12+0 MOR_By Country Detail 1Q10 041410pm FIN 18 revised per disc w Mary_BS_Separation_TaxResIndem_Q12412 tf_II.7. Sep&amp;Discrete_Guidance_Sheet4" xfId="1955"/>
    <cellStyle name="_12+0 MOR_By Country Detail 1Q10 041410pm FIN 18 revised per disc w Mary_BS_Separation_TaxResIndem_Q12412 tf_Restructuring &amp; Separation" xfId="1956"/>
    <cellStyle name="_12+0 MOR_By Country Detail 1Q10 041410pm FIN 18 revised per disc w Mary_BS_Separation_TaxResIndem_Q12412 tf_Restructuring &amp; Separation_Guidance" xfId="1957"/>
    <cellStyle name="_12+0 MOR_By Country Detail 1Q10 041410pm FIN 18 revised per disc w Mary_BS_Separation_TaxResIndem_Q12412 tf_Restructuring &amp; Separation_Guidance 2" xfId="1958"/>
    <cellStyle name="_12+0 MOR_By Country Detail 1Q10 041410pm FIN 18 revised per disc w Mary_BS_Separation_TaxResIndem_Q12412 tf_Restructuring &amp; Separation_Guidance_BS retrieve" xfId="1959"/>
    <cellStyle name="_12+0 MOR_By Country Detail 1Q10 041410pm FIN 18 revised per disc w Mary_BS_Separation_TaxResIndem_Q12412 tf_Restructuring &amp; Separation_Guidance_Free CF" xfId="1960"/>
    <cellStyle name="_12+0 MOR_By Country Detail 1Q10 041410pm FIN 18 revised per disc w Mary_BS_Separation_TaxResIndem_Q12412 tf_Restructuring &amp; Separation_Guidance_P&amp;L Rec Qtr" xfId="1961"/>
    <cellStyle name="_12+0 MOR_By Country Detail 1Q10 041410pm FIN 18 revised per disc w Mary_BS_Separation_TaxResIndem_Q12412 tf_Restructuring &amp; Separation_Guidance_Sheet1" xfId="1962"/>
    <cellStyle name="_12+0 MOR_By Country Detail 1Q10 041410pm FIN 18 revised per disc w Mary_BS_Separation_TaxResIndem_Q12412 tf_Restructuring &amp; Separation_Guidance_Sheet2" xfId="1963"/>
    <cellStyle name="_12+0 MOR_By Country Detail 1Q10 041410pm FIN 18 revised per disc w Mary_BS_Separation_TaxResIndem_Q12412 tf_Restructuring &amp; Separation_Guidance_Sheet3" xfId="1964"/>
    <cellStyle name="_12+0 MOR_By Country Detail 1Q10 041410pm FIN 18 revised per disc w Mary_BS_Separation_TaxResIndem_Q12412 tf_Restructuring &amp; Separation_Guidance_Sheet4" xfId="1965"/>
    <cellStyle name="_12+0 MOR_By Country Detail 1Q10 041410pm FIN 18 revised per disc w Mary_BS_Separation_TaxResIndem_Q12412 tf_Restructuring &amp; Separation_II.7. Sep&amp;Discrete" xfId="1966"/>
    <cellStyle name="_12+0 MOR_By Country Detail 1Q10 041410pm FIN 18 revised per disc w Mary_BS_Separation_TaxResIndem_Q12412 tf_Restructuring &amp; Separation_II.7. Sep&amp;Discrete_Guidance" xfId="1967"/>
    <cellStyle name="_12+0 MOR_By Country Detail 1Q10 041410pm FIN 18 revised per disc w Mary_BS_Separation_TaxResIndem_Q12412 tf_Restructuring &amp; Separation_II.7. Sep&amp;Discrete_Guidance 2" xfId="1968"/>
    <cellStyle name="_12+0 MOR_By Country Detail 1Q10 041410pm FIN 18 revised per disc w Mary_BS_Separation_TaxResIndem_Q12412 tf_Restructuring &amp; Separation_II.7. Sep&amp;Discrete_Guidance_BS retrieve" xfId="1969"/>
    <cellStyle name="_12+0 MOR_By Country Detail 1Q10 041410pm FIN 18 revised per disc w Mary_BS_Separation_TaxResIndem_Q12412 tf_Restructuring &amp; Separation_II.7. Sep&amp;Discrete_Guidance_Free CF" xfId="1970"/>
    <cellStyle name="_12+0 MOR_By Country Detail 1Q10 041410pm FIN 18 revised per disc w Mary_BS_Separation_TaxResIndem_Q12412 tf_Restructuring &amp; Separation_II.7. Sep&amp;Discrete_Guidance_P&amp;L Rec Qtr" xfId="1971"/>
    <cellStyle name="_12+0 MOR_By Country Detail 1Q10 041410pm FIN 18 revised per disc w Mary_BS_Separation_TaxResIndem_Q12412 tf_Restructuring &amp; Separation_II.7. Sep&amp;Discrete_Guidance_Sheet1" xfId="1972"/>
    <cellStyle name="_12+0 MOR_By Country Detail 1Q10 041410pm FIN 18 revised per disc w Mary_BS_Separation_TaxResIndem_Q12412 tf_Restructuring &amp; Separation_II.7. Sep&amp;Discrete_Guidance_Sheet2" xfId="1973"/>
    <cellStyle name="_12+0 MOR_By Country Detail 1Q10 041410pm FIN 18 revised per disc w Mary_BS_Separation_TaxResIndem_Q12412 tf_Restructuring &amp; Separation_II.7. Sep&amp;Discrete_Guidance_Sheet3" xfId="1974"/>
    <cellStyle name="_12+0 MOR_By Country Detail 1Q10 041410pm FIN 18 revised per disc w Mary_BS_Separation_TaxResIndem_Q12412 tf_Restructuring &amp; Separation_II.7. Sep&amp;Discrete_Guidance_Sheet4" xfId="1975"/>
    <cellStyle name="_12+0 MOR_By Country Detail 1Q10 041410pm FIN 18 revised per disc w Mary_Guidance" xfId="1976"/>
    <cellStyle name="_12+0 MOR_By Country Detail 1Q10 041410pm FIN 18 revised per disc w Mary_Guidance 2" xfId="1977"/>
    <cellStyle name="_12+0 MOR_By Country Detail 1Q10 041410pm FIN 18 revised per disc w Mary_Guidance_BS retrieve" xfId="1978"/>
    <cellStyle name="_12+0 MOR_By Country Detail 1Q10 041410pm FIN 18 revised per disc w Mary_Guidance_Free CF" xfId="1979"/>
    <cellStyle name="_12+0 MOR_By Country Detail 1Q10 041410pm FIN 18 revised per disc w Mary_Guidance_P&amp;L Rec Qtr" xfId="1980"/>
    <cellStyle name="_12+0 MOR_By Country Detail 1Q10 041410pm FIN 18 revised per disc w Mary_Guidance_Sheet1" xfId="1981"/>
    <cellStyle name="_12+0 MOR_By Country Detail 1Q10 041410pm FIN 18 revised per disc w Mary_Guidance_Sheet2" xfId="1982"/>
    <cellStyle name="_12+0 MOR_By Country Detail 1Q10 041410pm FIN 18 revised per disc w Mary_Guidance_Sheet3" xfId="1983"/>
    <cellStyle name="_12+0 MOR_By Country Detail 1Q10 041410pm FIN 18 revised per disc w Mary_Guidance_Sheet4" xfId="1984"/>
    <cellStyle name="_12+0 MOR_By Country Detail 1Q10 041410pm FIN 18 revised per disc w Mary_II.7. Sep&amp;Discrete" xfId="1985"/>
    <cellStyle name="_12+0 MOR_By Country Detail 1Q10 041410pm FIN 18 revised per disc w Mary_II.7. Sep&amp;Discrete_Guidance" xfId="1986"/>
    <cellStyle name="_12+0 MOR_By Country Detail 1Q10 041410pm FIN 18 revised per disc w Mary_II.7. Sep&amp;Discrete_Guidance 2" xfId="1987"/>
    <cellStyle name="_12+0 MOR_By Country Detail 1Q10 041410pm FIN 18 revised per disc w Mary_II.7. Sep&amp;Discrete_Guidance_BS retrieve" xfId="1988"/>
    <cellStyle name="_12+0 MOR_By Country Detail 1Q10 041410pm FIN 18 revised per disc w Mary_II.7. Sep&amp;Discrete_Guidance_Free CF" xfId="1989"/>
    <cellStyle name="_12+0 MOR_By Country Detail 1Q10 041410pm FIN 18 revised per disc w Mary_II.7. Sep&amp;Discrete_Guidance_P&amp;L Rec Qtr" xfId="1990"/>
    <cellStyle name="_12+0 MOR_By Country Detail 1Q10 041410pm FIN 18 revised per disc w Mary_II.7. Sep&amp;Discrete_Guidance_Sheet1" xfId="1991"/>
    <cellStyle name="_12+0 MOR_By Country Detail 1Q10 041410pm FIN 18 revised per disc w Mary_II.7. Sep&amp;Discrete_Guidance_Sheet2" xfId="1992"/>
    <cellStyle name="_12+0 MOR_By Country Detail 1Q10 041410pm FIN 18 revised per disc w Mary_II.7. Sep&amp;Discrete_Guidance_Sheet3" xfId="1993"/>
    <cellStyle name="_12+0 MOR_By Country Detail 1Q10 041410pm FIN 18 revised per disc w Mary_II.7. Sep&amp;Discrete_Guidance_Sheet4" xfId="1994"/>
    <cellStyle name="_12+0 MOR_By Country Detail 1Q10 041410pm FIN 18 revised per disc w Mary_II.8. Sep&amp;Discrete" xfId="1995"/>
    <cellStyle name="_12+0 MOR_By Country Detail 1Q10 041410pm FIN 18 revised per disc w Mary_II.8. Sep&amp;Discrete_Guidance" xfId="1996"/>
    <cellStyle name="_12+0 MOR_By Country Detail 1Q10 041410pm FIN 18 revised per disc w Mary_II.8. Sep&amp;Discrete_Guidance 2" xfId="1997"/>
    <cellStyle name="_12+0 MOR_By Country Detail 1Q10 041410pm FIN 18 revised per disc w Mary_II.8. Sep&amp;Discrete_Guidance_BS retrieve" xfId="1998"/>
    <cellStyle name="_12+0 MOR_By Country Detail 1Q10 041410pm FIN 18 revised per disc w Mary_II.8. Sep&amp;Discrete_Guidance_Free CF" xfId="1999"/>
    <cellStyle name="_12+0 MOR_By Country Detail 1Q10 041410pm FIN 18 revised per disc w Mary_II.8. Sep&amp;Discrete_Guidance_P&amp;L Rec Qtr" xfId="2000"/>
    <cellStyle name="_12+0 MOR_By Country Detail 1Q10 041410pm FIN 18 revised per disc w Mary_II.8. Sep&amp;Discrete_Guidance_Sheet1" xfId="2001"/>
    <cellStyle name="_12+0 MOR_By Country Detail 1Q10 041410pm FIN 18 revised per disc w Mary_II.8. Sep&amp;Discrete_Guidance_Sheet2" xfId="2002"/>
    <cellStyle name="_12+0 MOR_By Country Detail 1Q10 041410pm FIN 18 revised per disc w Mary_II.8. Sep&amp;Discrete_Guidance_Sheet3" xfId="2003"/>
    <cellStyle name="_12+0 MOR_By Country Detail 1Q10 041410pm FIN 18 revised per disc w Mary_II.8. Sep&amp;Discrete_Guidance_Sheet4" xfId="2004"/>
    <cellStyle name="_12+0 MOR_By Country Detail 1Q10 041410pm FIN 18 revised per disc w Mary_Restructuring &amp; Separation" xfId="2005"/>
    <cellStyle name="_12+0 MOR_By Country Detail 1Q10 041410pm FIN 18 revised per disc w Mary_Restructuring &amp; Separation_Guidance" xfId="2006"/>
    <cellStyle name="_12+0 MOR_By Country Detail 1Q10 041410pm FIN 18 revised per disc w Mary_Restructuring &amp; Separation_Guidance 2" xfId="2007"/>
    <cellStyle name="_12+0 MOR_By Country Detail 1Q10 041410pm FIN 18 revised per disc w Mary_Restructuring &amp; Separation_Guidance_BS retrieve" xfId="2008"/>
    <cellStyle name="_12+0 MOR_By Country Detail 1Q10 041410pm FIN 18 revised per disc w Mary_Restructuring &amp; Separation_Guidance_Free CF" xfId="2009"/>
    <cellStyle name="_12+0 MOR_By Country Detail 1Q10 041410pm FIN 18 revised per disc w Mary_Restructuring &amp; Separation_Guidance_P&amp;L Rec Qtr" xfId="2010"/>
    <cellStyle name="_12+0 MOR_By Country Detail 1Q10 041410pm FIN 18 revised per disc w Mary_Restructuring &amp; Separation_Guidance_Sheet1" xfId="2011"/>
    <cellStyle name="_12+0 MOR_By Country Detail 1Q10 041410pm FIN 18 revised per disc w Mary_Restructuring &amp; Separation_Guidance_Sheet2" xfId="2012"/>
    <cellStyle name="_12+0 MOR_By Country Detail 1Q10 041410pm FIN 18 revised per disc w Mary_Restructuring &amp; Separation_Guidance_Sheet3" xfId="2013"/>
    <cellStyle name="_12+0 MOR_By Country Detail 1Q10 041410pm FIN 18 revised per disc w Mary_Restructuring &amp; Separation_Guidance_Sheet4" xfId="2014"/>
    <cellStyle name="_12+0 MOR_By Country Detail 1Q10 041410pm FIN 18 revised per disc w Mary_Restructuring &amp; Separation_II.7. Sep&amp;Discrete" xfId="2015"/>
    <cellStyle name="_12+0 MOR_By Country Detail 1Q10 041410pm FIN 18 revised per disc w Mary_Restructuring &amp; Separation_II.7. Sep&amp;Discrete_Guidance" xfId="2016"/>
    <cellStyle name="_12+0 MOR_By Country Detail 1Q10 041410pm FIN 18 revised per disc w Mary_Restructuring &amp; Separation_II.7. Sep&amp;Discrete_Guidance 2" xfId="2017"/>
    <cellStyle name="_12+0 MOR_By Country Detail 1Q10 041410pm FIN 18 revised per disc w Mary_Restructuring &amp; Separation_II.7. Sep&amp;Discrete_Guidance_BS retrieve" xfId="2018"/>
    <cellStyle name="_12+0 MOR_By Country Detail 1Q10 041410pm FIN 18 revised per disc w Mary_Restructuring &amp; Separation_II.7. Sep&amp;Discrete_Guidance_Free CF" xfId="2019"/>
    <cellStyle name="_12+0 MOR_By Country Detail 1Q10 041410pm FIN 18 revised per disc w Mary_Restructuring &amp; Separation_II.7. Sep&amp;Discrete_Guidance_P&amp;L Rec Qtr" xfId="2020"/>
    <cellStyle name="_12+0 MOR_By Country Detail 1Q10 041410pm FIN 18 revised per disc w Mary_Restructuring &amp; Separation_II.7. Sep&amp;Discrete_Guidance_Sheet1" xfId="2021"/>
    <cellStyle name="_12+0 MOR_By Country Detail 1Q10 041410pm FIN 18 revised per disc w Mary_Restructuring &amp; Separation_II.7. Sep&amp;Discrete_Guidance_Sheet2" xfId="2022"/>
    <cellStyle name="_12+0 MOR_By Country Detail 1Q10 041410pm FIN 18 revised per disc w Mary_Restructuring &amp; Separation_II.7. Sep&amp;Discrete_Guidance_Sheet3" xfId="2023"/>
    <cellStyle name="_12+0 MOR_By Country Detail 1Q10 041410pm FIN 18 revised per disc w Mary_Restructuring &amp; Separation_II.7. Sep&amp;Discrete_Guidance_Sheet4" xfId="2024"/>
    <cellStyle name="_12+0 MOR_Guidance" xfId="2025"/>
    <cellStyle name="_12+0 MOR_Guidance 2" xfId="2026"/>
    <cellStyle name="_12+0 MOR_Guidance_BS retrieve" xfId="2027"/>
    <cellStyle name="_12+0 MOR_Guidance_Free CF" xfId="2028"/>
    <cellStyle name="_12+0 MOR_Guidance_P&amp;L Rec Qtr" xfId="2029"/>
    <cellStyle name="_12+0 MOR_Guidance_Sheet1" xfId="2030"/>
    <cellStyle name="_12+0 MOR_Guidance_Sheet2" xfId="2031"/>
    <cellStyle name="_12+0 MOR_Guidance_Sheet3" xfId="2032"/>
    <cellStyle name="_12+0 MOR_Guidance_Sheet4" xfId="2033"/>
    <cellStyle name="_12+0 MOR_II.4. RawMaterials" xfId="2034"/>
    <cellStyle name="_12+0 MOR_II.4. RawMaterials 2" xfId="2035"/>
    <cellStyle name="_12+0 MOR_II.4. RawMaterials_BS retrieve" xfId="2036"/>
    <cellStyle name="_12+0 MOR_II.4. RawMaterials_Free CF" xfId="2037"/>
    <cellStyle name="_12+0 MOR_II.4. RawMaterials_P&amp;L Rec Qtr" xfId="2038"/>
    <cellStyle name="_12+0 MOR_II.4. RawMaterials_Sheet1" xfId="2039"/>
    <cellStyle name="_12+0 MOR_II.4. RawMaterials_Sheet2" xfId="2040"/>
    <cellStyle name="_12+0 MOR_II.4. RawMaterials_Sheet3" xfId="2041"/>
    <cellStyle name="_12+0 MOR_II.4. RawMaterials_Sheet4" xfId="2042"/>
    <cellStyle name="_12+0 MOR_II.5. RawMaterials" xfId="2043"/>
    <cellStyle name="_12+0 MOR_II.5. RawMaterials 2" xfId="2044"/>
    <cellStyle name="_12+0 MOR_II.5. RawMaterials_BS retrieve" xfId="2045"/>
    <cellStyle name="_12+0 MOR_II.5. RawMaterials_Free CF" xfId="2046"/>
    <cellStyle name="_12+0 MOR_II.5. RawMaterials_Guidance" xfId="2047"/>
    <cellStyle name="_12+0 MOR_II.5. RawMaterials_Guidance 2" xfId="2048"/>
    <cellStyle name="_12+0 MOR_II.5. RawMaterials_Guidance_BS retrieve" xfId="2049"/>
    <cellStyle name="_12+0 MOR_II.5. RawMaterials_Guidance_Free CF" xfId="2050"/>
    <cellStyle name="_12+0 MOR_II.5. RawMaterials_Guidance_P&amp;L Rec Qtr" xfId="2051"/>
    <cellStyle name="_12+0 MOR_II.5. RawMaterials_Guidance_Sheet1" xfId="2052"/>
    <cellStyle name="_12+0 MOR_II.5. RawMaterials_Guidance_Sheet2" xfId="2053"/>
    <cellStyle name="_12+0 MOR_II.5. RawMaterials_Guidance_Sheet3" xfId="2054"/>
    <cellStyle name="_12+0 MOR_II.5. RawMaterials_Guidance_Sheet4" xfId="2055"/>
    <cellStyle name="_12+0 MOR_II.5. RawMaterials_P&amp;L Rec Qtr" xfId="2056"/>
    <cellStyle name="_12+0 MOR_II.5. RawMaterials_Sheet1" xfId="2057"/>
    <cellStyle name="_12+0 MOR_II.5. RawMaterials_Sheet2" xfId="2058"/>
    <cellStyle name="_12+0 MOR_II.5. RawMaterials_Sheet3" xfId="2059"/>
    <cellStyle name="_12+0 MOR_II.5. RawMaterials_Sheet4" xfId="2060"/>
    <cellStyle name="_12+0 MOR_II.5. RM Volume Sensitivities" xfId="2061"/>
    <cellStyle name="_12+0 MOR_II.5. RM Volume Sensitivities 2" xfId="2062"/>
    <cellStyle name="_12+0 MOR_II.5. RM Volume Sensitivities_BS retrieve" xfId="2063"/>
    <cellStyle name="_12+0 MOR_II.5. RM Volume Sensitivities_Free CF" xfId="2064"/>
    <cellStyle name="_12+0 MOR_II.5. RM Volume Sensitivities_P&amp;L Rec Qtr" xfId="2065"/>
    <cellStyle name="_12+0 MOR_II.5. RM Volume Sensitivities_Sheet1" xfId="2066"/>
    <cellStyle name="_12+0 MOR_II.5. RM Volume Sensitivities_Sheet2" xfId="2067"/>
    <cellStyle name="_12+0 MOR_II.5. RM Volume Sensitivities_Sheet3" xfId="2068"/>
    <cellStyle name="_12+0 MOR_II.5. RM Volume Sensitivities_Sheet4" xfId="2069"/>
    <cellStyle name="_12+0 MOR_II.7. Sep&amp;Discrete" xfId="2070"/>
    <cellStyle name="_12+0 MOR_II.7. Sep&amp;Discrete_Guidance" xfId="2071"/>
    <cellStyle name="_12+0 MOR_II.7. Sep&amp;Discrete_Guidance 2" xfId="2072"/>
    <cellStyle name="_12+0 MOR_II.7. Sep&amp;Discrete_Guidance_BS retrieve" xfId="2073"/>
    <cellStyle name="_12+0 MOR_II.7. Sep&amp;Discrete_Guidance_Free CF" xfId="2074"/>
    <cellStyle name="_12+0 MOR_II.7. Sep&amp;Discrete_Guidance_P&amp;L Rec Qtr" xfId="2075"/>
    <cellStyle name="_12+0 MOR_II.7. Sep&amp;Discrete_Guidance_Sheet1" xfId="2076"/>
    <cellStyle name="_12+0 MOR_II.7. Sep&amp;Discrete_Guidance_Sheet2" xfId="2077"/>
    <cellStyle name="_12+0 MOR_II.7. Sep&amp;Discrete_Guidance_Sheet3" xfId="2078"/>
    <cellStyle name="_12+0 MOR_II.7. Sep&amp;Discrete_Guidance_Sheet4" xfId="2079"/>
    <cellStyle name="_12+0 MOR_II.8. Sep&amp;Discrete" xfId="2080"/>
    <cellStyle name="_12+0 MOR_II.8. Sep&amp;Discrete_Guidance" xfId="2081"/>
    <cellStyle name="_12+0 MOR_II.8. Sep&amp;Discrete_Guidance 2" xfId="2082"/>
    <cellStyle name="_12+0 MOR_II.8. Sep&amp;Discrete_Guidance_BS retrieve" xfId="2083"/>
    <cellStyle name="_12+0 MOR_II.8. Sep&amp;Discrete_Guidance_Free CF" xfId="2084"/>
    <cellStyle name="_12+0 MOR_II.8. Sep&amp;Discrete_Guidance_P&amp;L Rec Qtr" xfId="2085"/>
    <cellStyle name="_12+0 MOR_II.8. Sep&amp;Discrete_Guidance_Sheet1" xfId="2086"/>
    <cellStyle name="_12+0 MOR_II.8. Sep&amp;Discrete_Guidance_Sheet2" xfId="2087"/>
    <cellStyle name="_12+0 MOR_II.8. Sep&amp;Discrete_Guidance_Sheet3" xfId="2088"/>
    <cellStyle name="_12+0 MOR_II.8. Sep&amp;Discrete_Guidance_Sheet4" xfId="2089"/>
    <cellStyle name="_12+0 MOR_Restructuring &amp; Separation" xfId="2090"/>
    <cellStyle name="_12+0 MOR_Restructuring &amp; Separation_Guidance" xfId="2091"/>
    <cellStyle name="_12+0 MOR_Restructuring &amp; Separation_Guidance 2" xfId="2092"/>
    <cellStyle name="_12+0 MOR_Restructuring &amp; Separation_Guidance_BS retrieve" xfId="2093"/>
    <cellStyle name="_12+0 MOR_Restructuring &amp; Separation_Guidance_Free CF" xfId="2094"/>
    <cellStyle name="_12+0 MOR_Restructuring &amp; Separation_Guidance_P&amp;L Rec Qtr" xfId="2095"/>
    <cellStyle name="_12+0 MOR_Restructuring &amp; Separation_Guidance_Sheet1" xfId="2096"/>
    <cellStyle name="_12+0 MOR_Restructuring &amp; Separation_Guidance_Sheet2" xfId="2097"/>
    <cellStyle name="_12+0 MOR_Restructuring &amp; Separation_Guidance_Sheet3" xfId="2098"/>
    <cellStyle name="_12+0 MOR_Restructuring &amp; Separation_Guidance_Sheet4" xfId="2099"/>
    <cellStyle name="_12+0 MOR_Restructuring &amp; Separation_II.7. Sep&amp;Discrete" xfId="2100"/>
    <cellStyle name="_12+0 MOR_Restructuring &amp; Separation_II.7. Sep&amp;Discrete_Guidance" xfId="2101"/>
    <cellStyle name="_12+0 MOR_Restructuring &amp; Separation_II.7. Sep&amp;Discrete_Guidance 2" xfId="2102"/>
    <cellStyle name="_12+0 MOR_Restructuring &amp; Separation_II.7. Sep&amp;Discrete_Guidance_BS retrieve" xfId="2103"/>
    <cellStyle name="_12+0 MOR_Restructuring &amp; Separation_II.7. Sep&amp;Discrete_Guidance_Free CF" xfId="2104"/>
    <cellStyle name="_12+0 MOR_Restructuring &amp; Separation_II.7. Sep&amp;Discrete_Guidance_P&amp;L Rec Qtr" xfId="2105"/>
    <cellStyle name="_12+0 MOR_Restructuring &amp; Separation_II.7. Sep&amp;Discrete_Guidance_Sheet1" xfId="2106"/>
    <cellStyle name="_12+0 MOR_Restructuring &amp; Separation_II.7. Sep&amp;Discrete_Guidance_Sheet2" xfId="2107"/>
    <cellStyle name="_12+0 MOR_Restructuring &amp; Separation_II.7. Sep&amp;Discrete_Guidance_Sheet3" xfId="2108"/>
    <cellStyle name="_12+0 MOR_Restructuring &amp; Separation_II.7. Sep&amp;Discrete_Guidance_Sheet4" xfId="2109"/>
    <cellStyle name="_12+0 MOR_Restructuring_Separation_TAX_JuneFC2010 tf" xfId="2110"/>
    <cellStyle name="_12+0 MOR_Restructuring_Separation_TAX_JuneFC2010 tf_BS_Separation_TaxResIndem_Q12412 tf" xfId="2111"/>
    <cellStyle name="_12+0 MOR_Restructuring_Separation_TAX_JuneFC2010 tf_BS_Separation_TaxResIndem_Q12412 tf_Guidance" xfId="2112"/>
    <cellStyle name="_12+0 MOR_Restructuring_Separation_TAX_JuneFC2010 tf_BS_Separation_TaxResIndem_Q12412 tf_Guidance 2" xfId="2113"/>
    <cellStyle name="_12+0 MOR_Restructuring_Separation_TAX_JuneFC2010 tf_BS_Separation_TaxResIndem_Q12412 tf_Guidance_BS retrieve" xfId="2114"/>
    <cellStyle name="_12+0 MOR_Restructuring_Separation_TAX_JuneFC2010 tf_BS_Separation_TaxResIndem_Q12412 tf_Guidance_Free CF" xfId="2115"/>
    <cellStyle name="_12+0 MOR_Restructuring_Separation_TAX_JuneFC2010 tf_BS_Separation_TaxResIndem_Q12412 tf_Guidance_P&amp;L Rec Qtr" xfId="2116"/>
    <cellStyle name="_12+0 MOR_Restructuring_Separation_TAX_JuneFC2010 tf_BS_Separation_TaxResIndem_Q12412 tf_Guidance_Sheet1" xfId="2117"/>
    <cellStyle name="_12+0 MOR_Restructuring_Separation_TAX_JuneFC2010 tf_BS_Separation_TaxResIndem_Q12412 tf_Guidance_Sheet2" xfId="2118"/>
    <cellStyle name="_12+0 MOR_Restructuring_Separation_TAX_JuneFC2010 tf_BS_Separation_TaxResIndem_Q12412 tf_Guidance_Sheet3" xfId="2119"/>
    <cellStyle name="_12+0 MOR_Restructuring_Separation_TAX_JuneFC2010 tf_BS_Separation_TaxResIndem_Q12412 tf_Guidance_Sheet4" xfId="2120"/>
    <cellStyle name="_12+0 MOR_Restructuring_Separation_TAX_JuneFC2010 tf_BS_Separation_TaxResIndem_Q12412 tf_II.7. Sep&amp;Discrete" xfId="2121"/>
    <cellStyle name="_12+0 MOR_Restructuring_Separation_TAX_JuneFC2010 tf_BS_Separation_TaxResIndem_Q12412 tf_II.7. Sep&amp;Discrete_Guidance" xfId="2122"/>
    <cellStyle name="_12+0 MOR_Restructuring_Separation_TAX_JuneFC2010 tf_BS_Separation_TaxResIndem_Q12412 tf_II.7. Sep&amp;Discrete_Guidance 2" xfId="2123"/>
    <cellStyle name="_12+0 MOR_Restructuring_Separation_TAX_JuneFC2010 tf_BS_Separation_TaxResIndem_Q12412 tf_II.7. Sep&amp;Discrete_Guidance_BS retrieve" xfId="2124"/>
    <cellStyle name="_12+0 MOR_Restructuring_Separation_TAX_JuneFC2010 tf_BS_Separation_TaxResIndem_Q12412 tf_II.7. Sep&amp;Discrete_Guidance_Free CF" xfId="2125"/>
    <cellStyle name="_12+0 MOR_Restructuring_Separation_TAX_JuneFC2010 tf_BS_Separation_TaxResIndem_Q12412 tf_II.7. Sep&amp;Discrete_Guidance_P&amp;L Rec Qtr" xfId="2126"/>
    <cellStyle name="_12+0 MOR_Restructuring_Separation_TAX_JuneFC2010 tf_BS_Separation_TaxResIndem_Q12412 tf_II.7. Sep&amp;Discrete_Guidance_Sheet1" xfId="2127"/>
    <cellStyle name="_12+0 MOR_Restructuring_Separation_TAX_JuneFC2010 tf_BS_Separation_TaxResIndem_Q12412 tf_II.7. Sep&amp;Discrete_Guidance_Sheet2" xfId="2128"/>
    <cellStyle name="_12+0 MOR_Restructuring_Separation_TAX_JuneFC2010 tf_BS_Separation_TaxResIndem_Q12412 tf_II.7. Sep&amp;Discrete_Guidance_Sheet3" xfId="2129"/>
    <cellStyle name="_12+0 MOR_Restructuring_Separation_TAX_JuneFC2010 tf_BS_Separation_TaxResIndem_Q12412 tf_II.7. Sep&amp;Discrete_Guidance_Sheet4" xfId="2130"/>
    <cellStyle name="_12+0 MOR_Restructuring_Separation_TAX_JuneFC2010 tf_BS_Separation_TaxResIndem_Q12412 tf_Restructuring &amp; Separation" xfId="2131"/>
    <cellStyle name="_12+0 MOR_Restructuring_Separation_TAX_JuneFC2010 tf_BS_Separation_TaxResIndem_Q12412 tf_Restructuring &amp; Separation_Guidance" xfId="2132"/>
    <cellStyle name="_12+0 MOR_Restructuring_Separation_TAX_JuneFC2010 tf_BS_Separation_TaxResIndem_Q12412 tf_Restructuring &amp; Separation_Guidance 2" xfId="2133"/>
    <cellStyle name="_12+0 MOR_Restructuring_Separation_TAX_JuneFC2010 tf_BS_Separation_TaxResIndem_Q12412 tf_Restructuring &amp; Separation_Guidance_BS retrieve" xfId="2134"/>
    <cellStyle name="_12+0 MOR_Restructuring_Separation_TAX_JuneFC2010 tf_BS_Separation_TaxResIndem_Q12412 tf_Restructuring &amp; Separation_Guidance_Free CF" xfId="2135"/>
    <cellStyle name="_12+0 MOR_Restructuring_Separation_TAX_JuneFC2010 tf_BS_Separation_TaxResIndem_Q12412 tf_Restructuring &amp; Separation_Guidance_P&amp;L Rec Qtr" xfId="2136"/>
    <cellStyle name="_12+0 MOR_Restructuring_Separation_TAX_JuneFC2010 tf_BS_Separation_TaxResIndem_Q12412 tf_Restructuring &amp; Separation_Guidance_Sheet1" xfId="2137"/>
    <cellStyle name="_12+0 MOR_Restructuring_Separation_TAX_JuneFC2010 tf_BS_Separation_TaxResIndem_Q12412 tf_Restructuring &amp; Separation_Guidance_Sheet2" xfId="2138"/>
    <cellStyle name="_12+0 MOR_Restructuring_Separation_TAX_JuneFC2010 tf_BS_Separation_TaxResIndem_Q12412 tf_Restructuring &amp; Separation_Guidance_Sheet3" xfId="2139"/>
    <cellStyle name="_12+0 MOR_Restructuring_Separation_TAX_JuneFC2010 tf_BS_Separation_TaxResIndem_Q12412 tf_Restructuring &amp; Separation_Guidance_Sheet4" xfId="2140"/>
    <cellStyle name="_12+0 MOR_Restructuring_Separation_TAX_JuneFC2010 tf_BS_Separation_TaxResIndem_Q12412 tf_Restructuring &amp; Separation_II.7. Sep&amp;Discrete" xfId="2141"/>
    <cellStyle name="_12+0 MOR_Restructuring_Separation_TAX_JuneFC2010 tf_BS_Separation_TaxResIndem_Q12412 tf_Restructuring &amp; Separation_II.7. Sep&amp;Discrete_Guidance" xfId="2142"/>
    <cellStyle name="_12+0 MOR_Restructuring_Separation_TAX_JuneFC2010 tf_BS_Separation_TaxResIndem_Q12412 tf_Restructuring &amp; Separation_II.7. Sep&amp;Discrete_Guidance 2" xfId="2143"/>
    <cellStyle name="_12+0 MOR_Restructuring_Separation_TAX_JuneFC2010 tf_BS_Separation_TaxResIndem_Q12412 tf_Restructuring &amp; Separation_II.7. Sep&amp;Discrete_Guidance_BS retrieve" xfId="2144"/>
    <cellStyle name="_12+0 MOR_Restructuring_Separation_TAX_JuneFC2010 tf_BS_Separation_TaxResIndem_Q12412 tf_Restructuring &amp; Separation_II.7. Sep&amp;Discrete_Guidance_Free CF" xfId="2145"/>
    <cellStyle name="_12+0 MOR_Restructuring_Separation_TAX_JuneFC2010 tf_BS_Separation_TaxResIndem_Q12412 tf_Restructuring &amp; Separation_II.7. Sep&amp;Discrete_Guidance_P&amp;L Rec Qtr" xfId="2146"/>
    <cellStyle name="_12+0 MOR_Restructuring_Separation_TAX_JuneFC2010 tf_BS_Separation_TaxResIndem_Q12412 tf_Restructuring &amp; Separation_II.7. Sep&amp;Discrete_Guidance_Sheet1" xfId="2147"/>
    <cellStyle name="_12+0 MOR_Restructuring_Separation_TAX_JuneFC2010 tf_BS_Separation_TaxResIndem_Q12412 tf_Restructuring &amp; Separation_II.7. Sep&amp;Discrete_Guidance_Sheet2" xfId="2148"/>
    <cellStyle name="_12+0 MOR_Restructuring_Separation_TAX_JuneFC2010 tf_BS_Separation_TaxResIndem_Q12412 tf_Restructuring &amp; Separation_II.7. Sep&amp;Discrete_Guidance_Sheet3" xfId="2149"/>
    <cellStyle name="_12+0 MOR_Restructuring_Separation_TAX_JuneFC2010 tf_BS_Separation_TaxResIndem_Q12412 tf_Restructuring &amp; Separation_II.7. Sep&amp;Discrete_Guidance_Sheet4" xfId="2150"/>
    <cellStyle name="_12+0 MOR_Restructuring_Separation_TAX_JuneFC2010 tf_Guidance" xfId="2151"/>
    <cellStyle name="_12+0 MOR_Restructuring_Separation_TAX_JuneFC2010 tf_Guidance 2" xfId="2152"/>
    <cellStyle name="_12+0 MOR_Restructuring_Separation_TAX_JuneFC2010 tf_Guidance_BS retrieve" xfId="2153"/>
    <cellStyle name="_12+0 MOR_Restructuring_Separation_TAX_JuneFC2010 tf_Guidance_Free CF" xfId="2154"/>
    <cellStyle name="_12+0 MOR_Restructuring_Separation_TAX_JuneFC2010 tf_Guidance_P&amp;L Rec Qtr" xfId="2155"/>
    <cellStyle name="_12+0 MOR_Restructuring_Separation_TAX_JuneFC2010 tf_Guidance_Sheet1" xfId="2156"/>
    <cellStyle name="_12+0 MOR_Restructuring_Separation_TAX_JuneFC2010 tf_Guidance_Sheet2" xfId="2157"/>
    <cellStyle name="_12+0 MOR_Restructuring_Separation_TAX_JuneFC2010 tf_Guidance_Sheet3" xfId="2158"/>
    <cellStyle name="_12+0 MOR_Restructuring_Separation_TAX_JuneFC2010 tf_Guidance_Sheet4" xfId="2159"/>
    <cellStyle name="_12+0 MOR_Restructuring_Separation_TAX_JuneFC2010 tf_II.7. Sep&amp;Discrete" xfId="2160"/>
    <cellStyle name="_12+0 MOR_Restructuring_Separation_TAX_JuneFC2010 tf_II.7. Sep&amp;Discrete_Guidance" xfId="2161"/>
    <cellStyle name="_12+0 MOR_Restructuring_Separation_TAX_JuneFC2010 tf_II.7. Sep&amp;Discrete_Guidance 2" xfId="2162"/>
    <cellStyle name="_12+0 MOR_Restructuring_Separation_TAX_JuneFC2010 tf_II.7. Sep&amp;Discrete_Guidance_BS retrieve" xfId="2163"/>
    <cellStyle name="_12+0 MOR_Restructuring_Separation_TAX_JuneFC2010 tf_II.7. Sep&amp;Discrete_Guidance_Free CF" xfId="2164"/>
    <cellStyle name="_12+0 MOR_Restructuring_Separation_TAX_JuneFC2010 tf_II.7. Sep&amp;Discrete_Guidance_P&amp;L Rec Qtr" xfId="2165"/>
    <cellStyle name="_12+0 MOR_Restructuring_Separation_TAX_JuneFC2010 tf_II.7. Sep&amp;Discrete_Guidance_Sheet1" xfId="2166"/>
    <cellStyle name="_12+0 MOR_Restructuring_Separation_TAX_JuneFC2010 tf_II.7. Sep&amp;Discrete_Guidance_Sheet2" xfId="2167"/>
    <cellStyle name="_12+0 MOR_Restructuring_Separation_TAX_JuneFC2010 tf_II.7. Sep&amp;Discrete_Guidance_Sheet3" xfId="2168"/>
    <cellStyle name="_12+0 MOR_Restructuring_Separation_TAX_JuneFC2010 tf_II.7. Sep&amp;Discrete_Guidance_Sheet4" xfId="2169"/>
    <cellStyle name="_12+0 MOR_Restructuring_Separation_TAX_JuneFC2010 tf_II.8. Sep&amp;Discrete" xfId="2170"/>
    <cellStyle name="_12+0 MOR_Restructuring_Separation_TAX_JuneFC2010 tf_II.8. Sep&amp;Discrete_Guidance" xfId="2171"/>
    <cellStyle name="_12+0 MOR_Restructuring_Separation_TAX_JuneFC2010 tf_II.8. Sep&amp;Discrete_Guidance 2" xfId="2172"/>
    <cellStyle name="_12+0 MOR_Restructuring_Separation_TAX_JuneFC2010 tf_II.8. Sep&amp;Discrete_Guidance_BS retrieve" xfId="2173"/>
    <cellStyle name="_12+0 MOR_Restructuring_Separation_TAX_JuneFC2010 tf_II.8. Sep&amp;Discrete_Guidance_Free CF" xfId="2174"/>
    <cellStyle name="_12+0 MOR_Restructuring_Separation_TAX_JuneFC2010 tf_II.8. Sep&amp;Discrete_Guidance_P&amp;L Rec Qtr" xfId="2175"/>
    <cellStyle name="_12+0 MOR_Restructuring_Separation_TAX_JuneFC2010 tf_II.8. Sep&amp;Discrete_Guidance_Sheet1" xfId="2176"/>
    <cellStyle name="_12+0 MOR_Restructuring_Separation_TAX_JuneFC2010 tf_II.8. Sep&amp;Discrete_Guidance_Sheet2" xfId="2177"/>
    <cellStyle name="_12+0 MOR_Restructuring_Separation_TAX_JuneFC2010 tf_II.8. Sep&amp;Discrete_Guidance_Sheet3" xfId="2178"/>
    <cellStyle name="_12+0 MOR_Restructuring_Separation_TAX_JuneFC2010 tf_II.8. Sep&amp;Discrete_Guidance_Sheet4" xfId="2179"/>
    <cellStyle name="_12+0 MOR_Restructuring_Separation_TAX_JuneFC2010 tf_Restructuring &amp; Separation" xfId="2180"/>
    <cellStyle name="_12+0 MOR_Restructuring_Separation_TAX_JuneFC2010 tf_Restructuring &amp; Separation_Guidance" xfId="2181"/>
    <cellStyle name="_12+0 MOR_Restructuring_Separation_TAX_JuneFC2010 tf_Restructuring &amp; Separation_Guidance 2" xfId="2182"/>
    <cellStyle name="_12+0 MOR_Restructuring_Separation_TAX_JuneFC2010 tf_Restructuring &amp; Separation_Guidance_BS retrieve" xfId="2183"/>
    <cellStyle name="_12+0 MOR_Restructuring_Separation_TAX_JuneFC2010 tf_Restructuring &amp; Separation_Guidance_Free CF" xfId="2184"/>
    <cellStyle name="_12+0 MOR_Restructuring_Separation_TAX_JuneFC2010 tf_Restructuring &amp; Separation_Guidance_P&amp;L Rec Qtr" xfId="2185"/>
    <cellStyle name="_12+0 MOR_Restructuring_Separation_TAX_JuneFC2010 tf_Restructuring &amp; Separation_Guidance_Sheet1" xfId="2186"/>
    <cellStyle name="_12+0 MOR_Restructuring_Separation_TAX_JuneFC2010 tf_Restructuring &amp; Separation_Guidance_Sheet2" xfId="2187"/>
    <cellStyle name="_12+0 MOR_Restructuring_Separation_TAX_JuneFC2010 tf_Restructuring &amp; Separation_Guidance_Sheet3" xfId="2188"/>
    <cellStyle name="_12+0 MOR_Restructuring_Separation_TAX_JuneFC2010 tf_Restructuring &amp; Separation_Guidance_Sheet4" xfId="2189"/>
    <cellStyle name="_12+0 MOR_Restructuring_Separation_TAX_JuneFC2010 tf_Restructuring &amp; Separation_II.7. Sep&amp;Discrete" xfId="2190"/>
    <cellStyle name="_12+0 MOR_Restructuring_Separation_TAX_JuneFC2010 tf_Restructuring &amp; Separation_II.7. Sep&amp;Discrete_Guidance" xfId="2191"/>
    <cellStyle name="_12+0 MOR_Restructuring_Separation_TAX_JuneFC2010 tf_Restructuring &amp; Separation_II.7. Sep&amp;Discrete_Guidance 2" xfId="2192"/>
    <cellStyle name="_12+0 MOR_Restructuring_Separation_TAX_JuneFC2010 tf_Restructuring &amp; Separation_II.7. Sep&amp;Discrete_Guidance_BS retrieve" xfId="2193"/>
    <cellStyle name="_12+0 MOR_Restructuring_Separation_TAX_JuneFC2010 tf_Restructuring &amp; Separation_II.7. Sep&amp;Discrete_Guidance_Free CF" xfId="2194"/>
    <cellStyle name="_12+0 MOR_Restructuring_Separation_TAX_JuneFC2010 tf_Restructuring &amp; Separation_II.7. Sep&amp;Discrete_Guidance_P&amp;L Rec Qtr" xfId="2195"/>
    <cellStyle name="_12+0 MOR_Restructuring_Separation_TAX_JuneFC2010 tf_Restructuring &amp; Separation_II.7. Sep&amp;Discrete_Guidance_Sheet1" xfId="2196"/>
    <cellStyle name="_12+0 MOR_Restructuring_Separation_TAX_JuneFC2010 tf_Restructuring &amp; Separation_II.7. Sep&amp;Discrete_Guidance_Sheet2" xfId="2197"/>
    <cellStyle name="_12+0 MOR_Restructuring_Separation_TAX_JuneFC2010 tf_Restructuring &amp; Separation_II.7. Sep&amp;Discrete_Guidance_Sheet3" xfId="2198"/>
    <cellStyle name="_12+0 MOR_Restructuring_Separation_TAX_JuneFC2010 tf_Restructuring &amp; Separation_II.7. Sep&amp;Discrete_Guidance_Sheet4" xfId="2199"/>
    <cellStyle name="_AOP 2010 Income Statement VCS" xfId="2200"/>
    <cellStyle name="_AOP 2010 Income Statement VCS_BS_Separation_TaxResIndem_Q12412 tf" xfId="2201"/>
    <cellStyle name="_AOP 2010 Income Statement VCS_BS_Separation_TaxResIndem_Q12412 tf_Guidance" xfId="2202"/>
    <cellStyle name="_AOP 2010 Income Statement VCS_BS_Separation_TaxResIndem_Q12412 tf_Guidance 2" xfId="2203"/>
    <cellStyle name="_AOP 2010 Income Statement VCS_BS_Separation_TaxResIndem_Q12412 tf_Guidance_BS retrieve" xfId="2204"/>
    <cellStyle name="_AOP 2010 Income Statement VCS_BS_Separation_TaxResIndem_Q12412 tf_Guidance_Free CF" xfId="2205"/>
    <cellStyle name="_AOP 2010 Income Statement VCS_BS_Separation_TaxResIndem_Q12412 tf_Guidance_P&amp;L Rec Qtr" xfId="2206"/>
    <cellStyle name="_AOP 2010 Income Statement VCS_BS_Separation_TaxResIndem_Q12412 tf_Guidance_Sheet1" xfId="2207"/>
    <cellStyle name="_AOP 2010 Income Statement VCS_BS_Separation_TaxResIndem_Q12412 tf_Guidance_Sheet2" xfId="2208"/>
    <cellStyle name="_AOP 2010 Income Statement VCS_BS_Separation_TaxResIndem_Q12412 tf_Guidance_Sheet3" xfId="2209"/>
    <cellStyle name="_AOP 2010 Income Statement VCS_BS_Separation_TaxResIndem_Q12412 tf_Guidance_Sheet4" xfId="2210"/>
    <cellStyle name="_AOP 2010 Income Statement VCS_BS_Separation_TaxResIndem_Q12412 tf_II.7. Sep&amp;Discrete" xfId="2211"/>
    <cellStyle name="_AOP 2010 Income Statement VCS_BS_Separation_TaxResIndem_Q12412 tf_II.7. Sep&amp;Discrete_Guidance" xfId="2212"/>
    <cellStyle name="_AOP 2010 Income Statement VCS_BS_Separation_TaxResIndem_Q12412 tf_II.7. Sep&amp;Discrete_Guidance 2" xfId="2213"/>
    <cellStyle name="_AOP 2010 Income Statement VCS_BS_Separation_TaxResIndem_Q12412 tf_II.7. Sep&amp;Discrete_Guidance_BS retrieve" xfId="2214"/>
    <cellStyle name="_AOP 2010 Income Statement VCS_BS_Separation_TaxResIndem_Q12412 tf_II.7. Sep&amp;Discrete_Guidance_Free CF" xfId="2215"/>
    <cellStyle name="_AOP 2010 Income Statement VCS_BS_Separation_TaxResIndem_Q12412 tf_II.7. Sep&amp;Discrete_Guidance_P&amp;L Rec Qtr" xfId="2216"/>
    <cellStyle name="_AOP 2010 Income Statement VCS_BS_Separation_TaxResIndem_Q12412 tf_II.7. Sep&amp;Discrete_Guidance_Sheet1" xfId="2217"/>
    <cellStyle name="_AOP 2010 Income Statement VCS_BS_Separation_TaxResIndem_Q12412 tf_II.7. Sep&amp;Discrete_Guidance_Sheet2" xfId="2218"/>
    <cellStyle name="_AOP 2010 Income Statement VCS_BS_Separation_TaxResIndem_Q12412 tf_II.7. Sep&amp;Discrete_Guidance_Sheet3" xfId="2219"/>
    <cellStyle name="_AOP 2010 Income Statement VCS_BS_Separation_TaxResIndem_Q12412 tf_II.7. Sep&amp;Discrete_Guidance_Sheet4" xfId="2220"/>
    <cellStyle name="_AOP 2010 Income Statement VCS_BS_Separation_TaxResIndem_Q12412 tf_Restructuring &amp; Separation" xfId="2221"/>
    <cellStyle name="_AOP 2010 Income Statement VCS_BS_Separation_TaxResIndem_Q12412 tf_Restructuring &amp; Separation_Guidance" xfId="2222"/>
    <cellStyle name="_AOP 2010 Income Statement VCS_BS_Separation_TaxResIndem_Q12412 tf_Restructuring &amp; Separation_Guidance 2" xfId="2223"/>
    <cellStyle name="_AOP 2010 Income Statement VCS_BS_Separation_TaxResIndem_Q12412 tf_Restructuring &amp; Separation_Guidance_BS retrieve" xfId="2224"/>
    <cellStyle name="_AOP 2010 Income Statement VCS_BS_Separation_TaxResIndem_Q12412 tf_Restructuring &amp; Separation_Guidance_Free CF" xfId="2225"/>
    <cellStyle name="_AOP 2010 Income Statement VCS_BS_Separation_TaxResIndem_Q12412 tf_Restructuring &amp; Separation_Guidance_P&amp;L Rec Qtr" xfId="2226"/>
    <cellStyle name="_AOP 2010 Income Statement VCS_BS_Separation_TaxResIndem_Q12412 tf_Restructuring &amp; Separation_Guidance_Sheet1" xfId="2227"/>
    <cellStyle name="_AOP 2010 Income Statement VCS_BS_Separation_TaxResIndem_Q12412 tf_Restructuring &amp; Separation_Guidance_Sheet2" xfId="2228"/>
    <cellStyle name="_AOP 2010 Income Statement VCS_BS_Separation_TaxResIndem_Q12412 tf_Restructuring &amp; Separation_Guidance_Sheet3" xfId="2229"/>
    <cellStyle name="_AOP 2010 Income Statement VCS_BS_Separation_TaxResIndem_Q12412 tf_Restructuring &amp; Separation_Guidance_Sheet4" xfId="2230"/>
    <cellStyle name="_AOP 2010 Income Statement VCS_BS_Separation_TaxResIndem_Q12412 tf_Restructuring &amp; Separation_II.7. Sep&amp;Discrete" xfId="2231"/>
    <cellStyle name="_AOP 2010 Income Statement VCS_BS_Separation_TaxResIndem_Q12412 tf_Restructuring &amp; Separation_II.7. Sep&amp;Discrete_Guidance" xfId="2232"/>
    <cellStyle name="_AOP 2010 Income Statement VCS_BS_Separation_TaxResIndem_Q12412 tf_Restructuring &amp; Separation_II.7. Sep&amp;Discrete_Guidance 2" xfId="2233"/>
    <cellStyle name="_AOP 2010 Income Statement VCS_BS_Separation_TaxResIndem_Q12412 tf_Restructuring &amp; Separation_II.7. Sep&amp;Discrete_Guidance_BS retrieve" xfId="2234"/>
    <cellStyle name="_AOP 2010 Income Statement VCS_BS_Separation_TaxResIndem_Q12412 tf_Restructuring &amp; Separation_II.7. Sep&amp;Discrete_Guidance_Free CF" xfId="2235"/>
    <cellStyle name="_AOP 2010 Income Statement VCS_BS_Separation_TaxResIndem_Q12412 tf_Restructuring &amp; Separation_II.7. Sep&amp;Discrete_Guidance_P&amp;L Rec Qtr" xfId="2236"/>
    <cellStyle name="_AOP 2010 Income Statement VCS_BS_Separation_TaxResIndem_Q12412 tf_Restructuring &amp; Separation_II.7. Sep&amp;Discrete_Guidance_Sheet1" xfId="2237"/>
    <cellStyle name="_AOP 2010 Income Statement VCS_BS_Separation_TaxResIndem_Q12412 tf_Restructuring &amp; Separation_II.7. Sep&amp;Discrete_Guidance_Sheet2" xfId="2238"/>
    <cellStyle name="_AOP 2010 Income Statement VCS_BS_Separation_TaxResIndem_Q12412 tf_Restructuring &amp; Separation_II.7. Sep&amp;Discrete_Guidance_Sheet3" xfId="2239"/>
    <cellStyle name="_AOP 2010 Income Statement VCS_BS_Separation_TaxResIndem_Q12412 tf_Restructuring &amp; Separation_II.7. Sep&amp;Discrete_Guidance_Sheet4" xfId="2240"/>
    <cellStyle name="_AOP 2010 Income Statement VCS_Guidance" xfId="2241"/>
    <cellStyle name="_AOP 2010 Income Statement VCS_Guidance 2" xfId="2242"/>
    <cellStyle name="_AOP 2010 Income Statement VCS_Guidance_BS retrieve" xfId="2243"/>
    <cellStyle name="_AOP 2010 Income Statement VCS_Guidance_Free CF" xfId="2244"/>
    <cellStyle name="_AOP 2010 Income Statement VCS_Guidance_P&amp;L Rec Qtr" xfId="2245"/>
    <cellStyle name="_AOP 2010 Income Statement VCS_Guidance_Sheet1" xfId="2246"/>
    <cellStyle name="_AOP 2010 Income Statement VCS_Guidance_Sheet2" xfId="2247"/>
    <cellStyle name="_AOP 2010 Income Statement VCS_Guidance_Sheet3" xfId="2248"/>
    <cellStyle name="_AOP 2010 Income Statement VCS_Guidance_Sheet4" xfId="2249"/>
    <cellStyle name="_AOP 2010 Income Statement VCS_II.7. Sep&amp;Discrete" xfId="2250"/>
    <cellStyle name="_AOP 2010 Income Statement VCS_II.7. Sep&amp;Discrete_Guidance" xfId="2251"/>
    <cellStyle name="_AOP 2010 Income Statement VCS_II.7. Sep&amp;Discrete_Guidance 2" xfId="2252"/>
    <cellStyle name="_AOP 2010 Income Statement VCS_II.7. Sep&amp;Discrete_Guidance_BS retrieve" xfId="2253"/>
    <cellStyle name="_AOP 2010 Income Statement VCS_II.7. Sep&amp;Discrete_Guidance_Free CF" xfId="2254"/>
    <cellStyle name="_AOP 2010 Income Statement VCS_II.7. Sep&amp;Discrete_Guidance_P&amp;L Rec Qtr" xfId="2255"/>
    <cellStyle name="_AOP 2010 Income Statement VCS_II.7. Sep&amp;Discrete_Guidance_Sheet1" xfId="2256"/>
    <cellStyle name="_AOP 2010 Income Statement VCS_II.7. Sep&amp;Discrete_Guidance_Sheet2" xfId="2257"/>
    <cellStyle name="_AOP 2010 Income Statement VCS_II.7. Sep&amp;Discrete_Guidance_Sheet3" xfId="2258"/>
    <cellStyle name="_AOP 2010 Income Statement VCS_II.7. Sep&amp;Discrete_Guidance_Sheet4" xfId="2259"/>
    <cellStyle name="_AOP 2010 Income Statement VCS_II.8. Sep&amp;Discrete" xfId="2260"/>
    <cellStyle name="_AOP 2010 Income Statement VCS_II.8. Sep&amp;Discrete_Guidance" xfId="2261"/>
    <cellStyle name="_AOP 2010 Income Statement VCS_II.8. Sep&amp;Discrete_Guidance 2" xfId="2262"/>
    <cellStyle name="_AOP 2010 Income Statement VCS_II.8. Sep&amp;Discrete_Guidance_BS retrieve" xfId="2263"/>
    <cellStyle name="_AOP 2010 Income Statement VCS_II.8. Sep&amp;Discrete_Guidance_Free CF" xfId="2264"/>
    <cellStyle name="_AOP 2010 Income Statement VCS_II.8. Sep&amp;Discrete_Guidance_P&amp;L Rec Qtr" xfId="2265"/>
    <cellStyle name="_AOP 2010 Income Statement VCS_II.8. Sep&amp;Discrete_Guidance_Sheet1" xfId="2266"/>
    <cellStyle name="_AOP 2010 Income Statement VCS_II.8. Sep&amp;Discrete_Guidance_Sheet2" xfId="2267"/>
    <cellStyle name="_AOP 2010 Income Statement VCS_II.8. Sep&amp;Discrete_Guidance_Sheet3" xfId="2268"/>
    <cellStyle name="_AOP 2010 Income Statement VCS_II.8. Sep&amp;Discrete_Guidance_Sheet4" xfId="2269"/>
    <cellStyle name="_AOP 2010 Income Statement VCS_Restructuring &amp; Separation" xfId="2270"/>
    <cellStyle name="_AOP 2010 Income Statement VCS_Restructuring &amp; Separation_Guidance" xfId="2271"/>
    <cellStyle name="_AOP 2010 Income Statement VCS_Restructuring &amp; Separation_Guidance 2" xfId="2272"/>
    <cellStyle name="_AOP 2010 Income Statement VCS_Restructuring &amp; Separation_Guidance_BS retrieve" xfId="2273"/>
    <cellStyle name="_AOP 2010 Income Statement VCS_Restructuring &amp; Separation_Guidance_Free CF" xfId="2274"/>
    <cellStyle name="_AOP 2010 Income Statement VCS_Restructuring &amp; Separation_Guidance_P&amp;L Rec Qtr" xfId="2275"/>
    <cellStyle name="_AOP 2010 Income Statement VCS_Restructuring &amp; Separation_Guidance_Sheet1" xfId="2276"/>
    <cellStyle name="_AOP 2010 Income Statement VCS_Restructuring &amp; Separation_Guidance_Sheet2" xfId="2277"/>
    <cellStyle name="_AOP 2010 Income Statement VCS_Restructuring &amp; Separation_Guidance_Sheet3" xfId="2278"/>
    <cellStyle name="_AOP 2010 Income Statement VCS_Restructuring &amp; Separation_Guidance_Sheet4" xfId="2279"/>
    <cellStyle name="_AOP 2010 Income Statement VCS_Restructuring &amp; Separation_II.7. Sep&amp;Discrete" xfId="2280"/>
    <cellStyle name="_AOP 2010 Income Statement VCS_Restructuring &amp; Separation_II.7. Sep&amp;Discrete_Guidance" xfId="2281"/>
    <cellStyle name="_AOP 2010 Income Statement VCS_Restructuring &amp; Separation_II.7. Sep&amp;Discrete_Guidance 2" xfId="2282"/>
    <cellStyle name="_AOP 2010 Income Statement VCS_Restructuring &amp; Separation_II.7. Sep&amp;Discrete_Guidance_BS retrieve" xfId="2283"/>
    <cellStyle name="_AOP 2010 Income Statement VCS_Restructuring &amp; Separation_II.7. Sep&amp;Discrete_Guidance_Free CF" xfId="2284"/>
    <cellStyle name="_AOP 2010 Income Statement VCS_Restructuring &amp; Separation_II.7. Sep&amp;Discrete_Guidance_P&amp;L Rec Qtr" xfId="2285"/>
    <cellStyle name="_AOP 2010 Income Statement VCS_Restructuring &amp; Separation_II.7. Sep&amp;Discrete_Guidance_Sheet1" xfId="2286"/>
    <cellStyle name="_AOP 2010 Income Statement VCS_Restructuring &amp; Separation_II.7. Sep&amp;Discrete_Guidance_Sheet2" xfId="2287"/>
    <cellStyle name="_AOP 2010 Income Statement VCS_Restructuring &amp; Separation_II.7. Sep&amp;Discrete_Guidance_Sheet3" xfId="2288"/>
    <cellStyle name="_AOP 2010 Income Statement VCS_Restructuring &amp; Separation_II.7. Sep&amp;Discrete_Guidance_Sheet4" xfId="2289"/>
    <cellStyle name="_AOP 2010 Income Statement VCS_Sheet1" xfId="2290"/>
    <cellStyle name="_AOP 2010 Income Statement VCS_Sheet1_1" xfId="2291"/>
    <cellStyle name="_AOP 2010 Income Statement VCS_Sheet1_1_Guidance" xfId="2292"/>
    <cellStyle name="_AOP 2010 Income Statement VCS_Sheet1_1_Guidance 2" xfId="2293"/>
    <cellStyle name="_AOP 2010 Income Statement VCS_Sheet1_1_Guidance_BS retrieve" xfId="2294"/>
    <cellStyle name="_AOP 2010 Income Statement VCS_Sheet1_1_Guidance_Free CF" xfId="2295"/>
    <cellStyle name="_AOP 2010 Income Statement VCS_Sheet1_1_Guidance_P&amp;L Rec Qtr" xfId="2296"/>
    <cellStyle name="_AOP 2010 Income Statement VCS_Sheet1_1_Guidance_Sheet1" xfId="2297"/>
    <cellStyle name="_AOP 2010 Income Statement VCS_Sheet1_1_Guidance_Sheet2" xfId="2298"/>
    <cellStyle name="_AOP 2010 Income Statement VCS_Sheet1_1_Guidance_Sheet3" xfId="2299"/>
    <cellStyle name="_AOP 2010 Income Statement VCS_Sheet1_1_Guidance_Sheet4" xfId="2300"/>
    <cellStyle name="_AOP 2010 Income Statement VCS_Sheet1_1_II.7. Sep&amp;Discrete" xfId="2301"/>
    <cellStyle name="_AOP 2010 Income Statement VCS_Sheet1_1_II.7. Sep&amp;Discrete_Guidance" xfId="2302"/>
    <cellStyle name="_AOP 2010 Income Statement VCS_Sheet1_1_II.7. Sep&amp;Discrete_Guidance 2" xfId="2303"/>
    <cellStyle name="_AOP 2010 Income Statement VCS_Sheet1_1_II.7. Sep&amp;Discrete_Guidance_BS retrieve" xfId="2304"/>
    <cellStyle name="_AOP 2010 Income Statement VCS_Sheet1_1_II.7. Sep&amp;Discrete_Guidance_Free CF" xfId="2305"/>
    <cellStyle name="_AOP 2010 Income Statement VCS_Sheet1_1_II.7. Sep&amp;Discrete_Guidance_P&amp;L Rec Qtr" xfId="2306"/>
    <cellStyle name="_AOP 2010 Income Statement VCS_Sheet1_1_II.7. Sep&amp;Discrete_Guidance_Sheet1" xfId="2307"/>
    <cellStyle name="_AOP 2010 Income Statement VCS_Sheet1_1_II.7. Sep&amp;Discrete_Guidance_Sheet2" xfId="2308"/>
    <cellStyle name="_AOP 2010 Income Statement VCS_Sheet1_1_II.7. Sep&amp;Discrete_Guidance_Sheet3" xfId="2309"/>
    <cellStyle name="_AOP 2010 Income Statement VCS_Sheet1_1_II.7. Sep&amp;Discrete_Guidance_Sheet4" xfId="2310"/>
    <cellStyle name="_AOP 2010 Income Statement VCS_Sheet1_1_Restructuring &amp; Separation" xfId="2311"/>
    <cellStyle name="_AOP 2010 Income Statement VCS_Sheet1_1_Restructuring &amp; Separation_Guidance" xfId="2312"/>
    <cellStyle name="_AOP 2010 Income Statement VCS_Sheet1_1_Restructuring &amp; Separation_Guidance 2" xfId="2313"/>
    <cellStyle name="_AOP 2010 Income Statement VCS_Sheet1_1_Restructuring &amp; Separation_Guidance_BS retrieve" xfId="2314"/>
    <cellStyle name="_AOP 2010 Income Statement VCS_Sheet1_1_Restructuring &amp; Separation_Guidance_Free CF" xfId="2315"/>
    <cellStyle name="_AOP 2010 Income Statement VCS_Sheet1_1_Restructuring &amp; Separation_Guidance_P&amp;L Rec Qtr" xfId="2316"/>
    <cellStyle name="_AOP 2010 Income Statement VCS_Sheet1_1_Restructuring &amp; Separation_Guidance_Sheet1" xfId="2317"/>
    <cellStyle name="_AOP 2010 Income Statement VCS_Sheet1_1_Restructuring &amp; Separation_Guidance_Sheet2" xfId="2318"/>
    <cellStyle name="_AOP 2010 Income Statement VCS_Sheet1_1_Restructuring &amp; Separation_Guidance_Sheet3" xfId="2319"/>
    <cellStyle name="_AOP 2010 Income Statement VCS_Sheet1_1_Restructuring &amp; Separation_Guidance_Sheet4" xfId="2320"/>
    <cellStyle name="_AOP 2010 Income Statement VCS_Sheet1_1_Restructuring &amp; Separation_II.7. Sep&amp;Discrete" xfId="2321"/>
    <cellStyle name="_AOP 2010 Income Statement VCS_Sheet1_1_Restructuring &amp; Separation_II.7. Sep&amp;Discrete_Guidance" xfId="2322"/>
    <cellStyle name="_AOP 2010 Income Statement VCS_Sheet1_1_Restructuring &amp; Separation_II.7. Sep&amp;Discrete_Guidance 2" xfId="2323"/>
    <cellStyle name="_AOP 2010 Income Statement VCS_Sheet1_1_Restructuring &amp; Separation_II.7. Sep&amp;Discrete_Guidance_BS retrieve" xfId="2324"/>
    <cellStyle name="_AOP 2010 Income Statement VCS_Sheet1_1_Restructuring &amp; Separation_II.7. Sep&amp;Discrete_Guidance_Free CF" xfId="2325"/>
    <cellStyle name="_AOP 2010 Income Statement VCS_Sheet1_1_Restructuring &amp; Separation_II.7. Sep&amp;Discrete_Guidance_P&amp;L Rec Qtr" xfId="2326"/>
    <cellStyle name="_AOP 2010 Income Statement VCS_Sheet1_1_Restructuring &amp; Separation_II.7. Sep&amp;Discrete_Guidance_Sheet1" xfId="2327"/>
    <cellStyle name="_AOP 2010 Income Statement VCS_Sheet1_1_Restructuring &amp; Separation_II.7. Sep&amp;Discrete_Guidance_Sheet2" xfId="2328"/>
    <cellStyle name="_AOP 2010 Income Statement VCS_Sheet1_1_Restructuring &amp; Separation_II.7. Sep&amp;Discrete_Guidance_Sheet3" xfId="2329"/>
    <cellStyle name="_AOP 2010 Income Statement VCS_Sheet1_1_Restructuring &amp; Separation_II.7. Sep&amp;Discrete_Guidance_Sheet4" xfId="2330"/>
    <cellStyle name="_AOP 2010 Income Statement VCS_Sheet1_BS_Separation_TaxResIndem_Q12412 tf" xfId="2331"/>
    <cellStyle name="_AOP 2010 Income Statement VCS_Sheet1_BS_Separation_TaxResIndem_Q12412 tf_Guidance" xfId="2332"/>
    <cellStyle name="_AOP 2010 Income Statement VCS_Sheet1_BS_Separation_TaxResIndem_Q12412 tf_Guidance 2" xfId="2333"/>
    <cellStyle name="_AOP 2010 Income Statement VCS_Sheet1_BS_Separation_TaxResIndem_Q12412 tf_Guidance_BS retrieve" xfId="2334"/>
    <cellStyle name="_AOP 2010 Income Statement VCS_Sheet1_BS_Separation_TaxResIndem_Q12412 tf_Guidance_Free CF" xfId="2335"/>
    <cellStyle name="_AOP 2010 Income Statement VCS_Sheet1_BS_Separation_TaxResIndem_Q12412 tf_Guidance_P&amp;L Rec Qtr" xfId="2336"/>
    <cellStyle name="_AOP 2010 Income Statement VCS_Sheet1_BS_Separation_TaxResIndem_Q12412 tf_Guidance_Sheet1" xfId="2337"/>
    <cellStyle name="_AOP 2010 Income Statement VCS_Sheet1_BS_Separation_TaxResIndem_Q12412 tf_Guidance_Sheet2" xfId="2338"/>
    <cellStyle name="_AOP 2010 Income Statement VCS_Sheet1_BS_Separation_TaxResIndem_Q12412 tf_Guidance_Sheet3" xfId="2339"/>
    <cellStyle name="_AOP 2010 Income Statement VCS_Sheet1_BS_Separation_TaxResIndem_Q12412 tf_Guidance_Sheet4" xfId="2340"/>
    <cellStyle name="_AOP 2010 Income Statement VCS_Sheet1_BS_Separation_TaxResIndem_Q12412 tf_II.7. Sep&amp;Discrete" xfId="2341"/>
    <cellStyle name="_AOP 2010 Income Statement VCS_Sheet1_BS_Separation_TaxResIndem_Q12412 tf_II.7. Sep&amp;Discrete_Guidance" xfId="2342"/>
    <cellStyle name="_AOP 2010 Income Statement VCS_Sheet1_BS_Separation_TaxResIndem_Q12412 tf_II.7. Sep&amp;Discrete_Guidance 2" xfId="2343"/>
    <cellStyle name="_AOP 2010 Income Statement VCS_Sheet1_BS_Separation_TaxResIndem_Q12412 tf_II.7. Sep&amp;Discrete_Guidance_BS retrieve" xfId="2344"/>
    <cellStyle name="_AOP 2010 Income Statement VCS_Sheet1_BS_Separation_TaxResIndem_Q12412 tf_II.7. Sep&amp;Discrete_Guidance_Free CF" xfId="2345"/>
    <cellStyle name="_AOP 2010 Income Statement VCS_Sheet1_BS_Separation_TaxResIndem_Q12412 tf_II.7. Sep&amp;Discrete_Guidance_P&amp;L Rec Qtr" xfId="2346"/>
    <cellStyle name="_AOP 2010 Income Statement VCS_Sheet1_BS_Separation_TaxResIndem_Q12412 tf_II.7. Sep&amp;Discrete_Guidance_Sheet1" xfId="2347"/>
    <cellStyle name="_AOP 2010 Income Statement VCS_Sheet1_BS_Separation_TaxResIndem_Q12412 tf_II.7. Sep&amp;Discrete_Guidance_Sheet2" xfId="2348"/>
    <cellStyle name="_AOP 2010 Income Statement VCS_Sheet1_BS_Separation_TaxResIndem_Q12412 tf_II.7. Sep&amp;Discrete_Guidance_Sheet3" xfId="2349"/>
    <cellStyle name="_AOP 2010 Income Statement VCS_Sheet1_BS_Separation_TaxResIndem_Q12412 tf_II.7. Sep&amp;Discrete_Guidance_Sheet4" xfId="2350"/>
    <cellStyle name="_AOP 2010 Income Statement VCS_Sheet1_BS_Separation_TaxResIndem_Q12412 tf_Restructuring &amp; Separation" xfId="2351"/>
    <cellStyle name="_AOP 2010 Income Statement VCS_Sheet1_BS_Separation_TaxResIndem_Q12412 tf_Restructuring &amp; Separation_Guidance" xfId="2352"/>
    <cellStyle name="_AOP 2010 Income Statement VCS_Sheet1_BS_Separation_TaxResIndem_Q12412 tf_Restructuring &amp; Separation_Guidance 2" xfId="2353"/>
    <cellStyle name="_AOP 2010 Income Statement VCS_Sheet1_BS_Separation_TaxResIndem_Q12412 tf_Restructuring &amp; Separation_Guidance_BS retrieve" xfId="2354"/>
    <cellStyle name="_AOP 2010 Income Statement VCS_Sheet1_BS_Separation_TaxResIndem_Q12412 tf_Restructuring &amp; Separation_Guidance_Free CF" xfId="2355"/>
    <cellStyle name="_AOP 2010 Income Statement VCS_Sheet1_BS_Separation_TaxResIndem_Q12412 tf_Restructuring &amp; Separation_Guidance_P&amp;L Rec Qtr" xfId="2356"/>
    <cellStyle name="_AOP 2010 Income Statement VCS_Sheet1_BS_Separation_TaxResIndem_Q12412 tf_Restructuring &amp; Separation_Guidance_Sheet1" xfId="2357"/>
    <cellStyle name="_AOP 2010 Income Statement VCS_Sheet1_BS_Separation_TaxResIndem_Q12412 tf_Restructuring &amp; Separation_Guidance_Sheet2" xfId="2358"/>
    <cellStyle name="_AOP 2010 Income Statement VCS_Sheet1_BS_Separation_TaxResIndem_Q12412 tf_Restructuring &amp; Separation_Guidance_Sheet3" xfId="2359"/>
    <cellStyle name="_AOP 2010 Income Statement VCS_Sheet1_BS_Separation_TaxResIndem_Q12412 tf_Restructuring &amp; Separation_Guidance_Sheet4" xfId="2360"/>
    <cellStyle name="_AOP 2010 Income Statement VCS_Sheet1_BS_Separation_TaxResIndem_Q12412 tf_Restructuring &amp; Separation_II.7. Sep&amp;Discrete" xfId="2361"/>
    <cellStyle name="_AOP 2010 Income Statement VCS_Sheet1_BS_Separation_TaxResIndem_Q12412 tf_Restructuring &amp; Separation_II.7. Sep&amp;Discrete_Guidance" xfId="2362"/>
    <cellStyle name="_AOP 2010 Income Statement VCS_Sheet1_BS_Separation_TaxResIndem_Q12412 tf_Restructuring &amp; Separation_II.7. Sep&amp;Discrete_Guidance 2" xfId="2363"/>
    <cellStyle name="_AOP 2010 Income Statement VCS_Sheet1_BS_Separation_TaxResIndem_Q12412 tf_Restructuring &amp; Separation_II.7. Sep&amp;Discrete_Guidance_BS retrieve" xfId="2364"/>
    <cellStyle name="_AOP 2010 Income Statement VCS_Sheet1_BS_Separation_TaxResIndem_Q12412 tf_Restructuring &amp; Separation_II.7. Sep&amp;Discrete_Guidance_Free CF" xfId="2365"/>
    <cellStyle name="_AOP 2010 Income Statement VCS_Sheet1_BS_Separation_TaxResIndem_Q12412 tf_Restructuring &amp; Separation_II.7. Sep&amp;Discrete_Guidance_P&amp;L Rec Qtr" xfId="2366"/>
    <cellStyle name="_AOP 2010 Income Statement VCS_Sheet1_BS_Separation_TaxResIndem_Q12412 tf_Restructuring &amp; Separation_II.7. Sep&amp;Discrete_Guidance_Sheet1" xfId="2367"/>
    <cellStyle name="_AOP 2010 Income Statement VCS_Sheet1_BS_Separation_TaxResIndem_Q12412 tf_Restructuring &amp; Separation_II.7. Sep&amp;Discrete_Guidance_Sheet2" xfId="2368"/>
    <cellStyle name="_AOP 2010 Income Statement VCS_Sheet1_BS_Separation_TaxResIndem_Q12412 tf_Restructuring &amp; Separation_II.7. Sep&amp;Discrete_Guidance_Sheet3" xfId="2369"/>
    <cellStyle name="_AOP 2010 Income Statement VCS_Sheet1_BS_Separation_TaxResIndem_Q12412 tf_Restructuring &amp; Separation_II.7. Sep&amp;Discrete_Guidance_Sheet4" xfId="2370"/>
    <cellStyle name="_AOP 2010 Income Statement VCS_Sheet1_Guidance" xfId="2371"/>
    <cellStyle name="_AOP 2010 Income Statement VCS_Sheet1_Guidance 2" xfId="2372"/>
    <cellStyle name="_AOP 2010 Income Statement VCS_Sheet1_Guidance_BS retrieve" xfId="2373"/>
    <cellStyle name="_AOP 2010 Income Statement VCS_Sheet1_Guidance_Free CF" xfId="2374"/>
    <cellStyle name="_AOP 2010 Income Statement VCS_Sheet1_Guidance_P&amp;L Rec Qtr" xfId="2375"/>
    <cellStyle name="_AOP 2010 Income Statement VCS_Sheet1_Guidance_Sheet1" xfId="2376"/>
    <cellStyle name="_AOP 2010 Income Statement VCS_Sheet1_Guidance_Sheet2" xfId="2377"/>
    <cellStyle name="_AOP 2010 Income Statement VCS_Sheet1_Guidance_Sheet3" xfId="2378"/>
    <cellStyle name="_AOP 2010 Income Statement VCS_Sheet1_Guidance_Sheet4" xfId="2379"/>
    <cellStyle name="_AOP 2010 Income Statement VCS_Sheet1_II.7. Sep&amp;Discrete" xfId="2380"/>
    <cellStyle name="_AOP 2010 Income Statement VCS_Sheet1_II.7. Sep&amp;Discrete_Guidance" xfId="2381"/>
    <cellStyle name="_AOP 2010 Income Statement VCS_Sheet1_II.7. Sep&amp;Discrete_Guidance 2" xfId="2382"/>
    <cellStyle name="_AOP 2010 Income Statement VCS_Sheet1_II.7. Sep&amp;Discrete_Guidance_BS retrieve" xfId="2383"/>
    <cellStyle name="_AOP 2010 Income Statement VCS_Sheet1_II.7. Sep&amp;Discrete_Guidance_Free CF" xfId="2384"/>
    <cellStyle name="_AOP 2010 Income Statement VCS_Sheet1_II.7. Sep&amp;Discrete_Guidance_P&amp;L Rec Qtr" xfId="2385"/>
    <cellStyle name="_AOP 2010 Income Statement VCS_Sheet1_II.7. Sep&amp;Discrete_Guidance_Sheet1" xfId="2386"/>
    <cellStyle name="_AOP 2010 Income Statement VCS_Sheet1_II.7. Sep&amp;Discrete_Guidance_Sheet2" xfId="2387"/>
    <cellStyle name="_AOP 2010 Income Statement VCS_Sheet1_II.7. Sep&amp;Discrete_Guidance_Sheet3" xfId="2388"/>
    <cellStyle name="_AOP 2010 Income Statement VCS_Sheet1_II.7. Sep&amp;Discrete_Guidance_Sheet4" xfId="2389"/>
    <cellStyle name="_AOP 2010 Income Statement VCS_Sheet1_II.8. Sep&amp;Discrete" xfId="2390"/>
    <cellStyle name="_AOP 2010 Income Statement VCS_Sheet1_II.8. Sep&amp;Discrete_Guidance" xfId="2391"/>
    <cellStyle name="_AOP 2010 Income Statement VCS_Sheet1_II.8. Sep&amp;Discrete_Guidance 2" xfId="2392"/>
    <cellStyle name="_AOP 2010 Income Statement VCS_Sheet1_II.8. Sep&amp;Discrete_Guidance_BS retrieve" xfId="2393"/>
    <cellStyle name="_AOP 2010 Income Statement VCS_Sheet1_II.8. Sep&amp;Discrete_Guidance_Free CF" xfId="2394"/>
    <cellStyle name="_AOP 2010 Income Statement VCS_Sheet1_II.8. Sep&amp;Discrete_Guidance_P&amp;L Rec Qtr" xfId="2395"/>
    <cellStyle name="_AOP 2010 Income Statement VCS_Sheet1_II.8. Sep&amp;Discrete_Guidance_Sheet1" xfId="2396"/>
    <cellStyle name="_AOP 2010 Income Statement VCS_Sheet1_II.8. Sep&amp;Discrete_Guidance_Sheet2" xfId="2397"/>
    <cellStyle name="_AOP 2010 Income Statement VCS_Sheet1_II.8. Sep&amp;Discrete_Guidance_Sheet3" xfId="2398"/>
    <cellStyle name="_AOP 2010 Income Statement VCS_Sheet1_II.8. Sep&amp;Discrete_Guidance_Sheet4" xfId="2399"/>
    <cellStyle name="_AOP 2010 Income Statement VCS_Sheet1_Restructuring &amp; Separation" xfId="2400"/>
    <cellStyle name="_AOP 2010 Income Statement VCS_Sheet1_Restructuring &amp; Separation_Guidance" xfId="2401"/>
    <cellStyle name="_AOP 2010 Income Statement VCS_Sheet1_Restructuring &amp; Separation_Guidance 2" xfId="2402"/>
    <cellStyle name="_AOP 2010 Income Statement VCS_Sheet1_Restructuring &amp; Separation_Guidance_BS retrieve" xfId="2403"/>
    <cellStyle name="_AOP 2010 Income Statement VCS_Sheet1_Restructuring &amp; Separation_Guidance_Free CF" xfId="2404"/>
    <cellStyle name="_AOP 2010 Income Statement VCS_Sheet1_Restructuring &amp; Separation_Guidance_P&amp;L Rec Qtr" xfId="2405"/>
    <cellStyle name="_AOP 2010 Income Statement VCS_Sheet1_Restructuring &amp; Separation_Guidance_Sheet1" xfId="2406"/>
    <cellStyle name="_AOP 2010 Income Statement VCS_Sheet1_Restructuring &amp; Separation_Guidance_Sheet2" xfId="2407"/>
    <cellStyle name="_AOP 2010 Income Statement VCS_Sheet1_Restructuring &amp; Separation_Guidance_Sheet3" xfId="2408"/>
    <cellStyle name="_AOP 2010 Income Statement VCS_Sheet1_Restructuring &amp; Separation_Guidance_Sheet4" xfId="2409"/>
    <cellStyle name="_AOP 2010 Income Statement VCS_Sheet1_Restructuring &amp; Separation_II.7. Sep&amp;Discrete" xfId="2410"/>
    <cellStyle name="_AOP 2010 Income Statement VCS_Sheet1_Restructuring &amp; Separation_II.7. Sep&amp;Discrete_Guidance" xfId="2411"/>
    <cellStyle name="_AOP 2010 Income Statement VCS_Sheet1_Restructuring &amp; Separation_II.7. Sep&amp;Discrete_Guidance 2" xfId="2412"/>
    <cellStyle name="_AOP 2010 Income Statement VCS_Sheet1_Restructuring &amp; Separation_II.7. Sep&amp;Discrete_Guidance_BS retrieve" xfId="2413"/>
    <cellStyle name="_AOP 2010 Income Statement VCS_Sheet1_Restructuring &amp; Separation_II.7. Sep&amp;Discrete_Guidance_Free CF" xfId="2414"/>
    <cellStyle name="_AOP 2010 Income Statement VCS_Sheet1_Restructuring &amp; Separation_II.7. Sep&amp;Discrete_Guidance_P&amp;L Rec Qtr" xfId="2415"/>
    <cellStyle name="_AOP 2010 Income Statement VCS_Sheet1_Restructuring &amp; Separation_II.7. Sep&amp;Discrete_Guidance_Sheet1" xfId="2416"/>
    <cellStyle name="_AOP 2010 Income Statement VCS_Sheet1_Restructuring &amp; Separation_II.7. Sep&amp;Discrete_Guidance_Sheet2" xfId="2417"/>
    <cellStyle name="_AOP 2010 Income Statement VCS_Sheet1_Restructuring &amp; Separation_II.7. Sep&amp;Discrete_Guidance_Sheet3" xfId="2418"/>
    <cellStyle name="_AOP 2010 Income Statement VCS_Sheet1_Restructuring &amp; Separation_II.7. Sep&amp;Discrete_Guidance_Sheet4" xfId="2419"/>
    <cellStyle name="_APGA 5045.04" xfId="2420"/>
    <cellStyle name="_APGA 5045.04_BS_Separation_TaxResIndem_Q12412 tf" xfId="2421"/>
    <cellStyle name="_APGA 5045.04_BS_Separation_TaxResIndem_Q12412 tf_Guidance" xfId="2422"/>
    <cellStyle name="_APGA 5045.04_BS_Separation_TaxResIndem_Q12412 tf_Guidance 2" xfId="2423"/>
    <cellStyle name="_APGA 5045.04_BS_Separation_TaxResIndem_Q12412 tf_Guidance_BS retrieve" xfId="2424"/>
    <cellStyle name="_APGA 5045.04_BS_Separation_TaxResIndem_Q12412 tf_Guidance_Free CF" xfId="2425"/>
    <cellStyle name="_APGA 5045.04_BS_Separation_TaxResIndem_Q12412 tf_Guidance_P&amp;L Rec Qtr" xfId="2426"/>
    <cellStyle name="_APGA 5045.04_BS_Separation_TaxResIndem_Q12412 tf_Guidance_Sheet1" xfId="2427"/>
    <cellStyle name="_APGA 5045.04_BS_Separation_TaxResIndem_Q12412 tf_Guidance_Sheet2" xfId="2428"/>
    <cellStyle name="_APGA 5045.04_BS_Separation_TaxResIndem_Q12412 tf_Guidance_Sheet3" xfId="2429"/>
    <cellStyle name="_APGA 5045.04_BS_Separation_TaxResIndem_Q12412 tf_Guidance_Sheet4" xfId="2430"/>
    <cellStyle name="_APGA 5045.04_BS_Separation_TaxResIndem_Q12412 tf_II.7. Sep&amp;Discrete" xfId="2431"/>
    <cellStyle name="_APGA 5045.04_BS_Separation_TaxResIndem_Q12412 tf_II.7. Sep&amp;Discrete_Guidance" xfId="2432"/>
    <cellStyle name="_APGA 5045.04_BS_Separation_TaxResIndem_Q12412 tf_II.7. Sep&amp;Discrete_Guidance 2" xfId="2433"/>
    <cellStyle name="_APGA 5045.04_BS_Separation_TaxResIndem_Q12412 tf_II.7. Sep&amp;Discrete_Guidance_BS retrieve" xfId="2434"/>
    <cellStyle name="_APGA 5045.04_BS_Separation_TaxResIndem_Q12412 tf_II.7. Sep&amp;Discrete_Guidance_Free CF" xfId="2435"/>
    <cellStyle name="_APGA 5045.04_BS_Separation_TaxResIndem_Q12412 tf_II.7. Sep&amp;Discrete_Guidance_P&amp;L Rec Qtr" xfId="2436"/>
    <cellStyle name="_APGA 5045.04_BS_Separation_TaxResIndem_Q12412 tf_II.7. Sep&amp;Discrete_Guidance_Sheet1" xfId="2437"/>
    <cellStyle name="_APGA 5045.04_BS_Separation_TaxResIndem_Q12412 tf_II.7. Sep&amp;Discrete_Guidance_Sheet2" xfId="2438"/>
    <cellStyle name="_APGA 5045.04_BS_Separation_TaxResIndem_Q12412 tf_II.7. Sep&amp;Discrete_Guidance_Sheet3" xfId="2439"/>
    <cellStyle name="_APGA 5045.04_BS_Separation_TaxResIndem_Q12412 tf_II.7. Sep&amp;Discrete_Guidance_Sheet4" xfId="2440"/>
    <cellStyle name="_APGA 5045.04_BS_Separation_TaxResIndem_Q12412 tf_Restructuring &amp; Separation" xfId="2441"/>
    <cellStyle name="_APGA 5045.04_BS_Separation_TaxResIndem_Q12412 tf_Restructuring &amp; Separation_Guidance" xfId="2442"/>
    <cellStyle name="_APGA 5045.04_BS_Separation_TaxResIndem_Q12412 tf_Restructuring &amp; Separation_Guidance 2" xfId="2443"/>
    <cellStyle name="_APGA 5045.04_BS_Separation_TaxResIndem_Q12412 tf_Restructuring &amp; Separation_Guidance_BS retrieve" xfId="2444"/>
    <cellStyle name="_APGA 5045.04_BS_Separation_TaxResIndem_Q12412 tf_Restructuring &amp; Separation_Guidance_Free CF" xfId="2445"/>
    <cellStyle name="_APGA 5045.04_BS_Separation_TaxResIndem_Q12412 tf_Restructuring &amp; Separation_Guidance_P&amp;L Rec Qtr" xfId="2446"/>
    <cellStyle name="_APGA 5045.04_BS_Separation_TaxResIndem_Q12412 tf_Restructuring &amp; Separation_Guidance_Sheet1" xfId="2447"/>
    <cellStyle name="_APGA 5045.04_BS_Separation_TaxResIndem_Q12412 tf_Restructuring &amp; Separation_Guidance_Sheet2" xfId="2448"/>
    <cellStyle name="_APGA 5045.04_BS_Separation_TaxResIndem_Q12412 tf_Restructuring &amp; Separation_Guidance_Sheet3" xfId="2449"/>
    <cellStyle name="_APGA 5045.04_BS_Separation_TaxResIndem_Q12412 tf_Restructuring &amp; Separation_Guidance_Sheet4" xfId="2450"/>
    <cellStyle name="_APGA 5045.04_BS_Separation_TaxResIndem_Q12412 tf_Restructuring &amp; Separation_II.7. Sep&amp;Discrete" xfId="2451"/>
    <cellStyle name="_APGA 5045.04_BS_Separation_TaxResIndem_Q12412 tf_Restructuring &amp; Separation_II.7. Sep&amp;Discrete_Guidance" xfId="2452"/>
    <cellStyle name="_APGA 5045.04_BS_Separation_TaxResIndem_Q12412 tf_Restructuring &amp; Separation_II.7. Sep&amp;Discrete_Guidance 2" xfId="2453"/>
    <cellStyle name="_APGA 5045.04_BS_Separation_TaxResIndem_Q12412 tf_Restructuring &amp; Separation_II.7. Sep&amp;Discrete_Guidance_BS retrieve" xfId="2454"/>
    <cellStyle name="_APGA 5045.04_BS_Separation_TaxResIndem_Q12412 tf_Restructuring &amp; Separation_II.7. Sep&amp;Discrete_Guidance_Free CF" xfId="2455"/>
    <cellStyle name="_APGA 5045.04_BS_Separation_TaxResIndem_Q12412 tf_Restructuring &amp; Separation_II.7. Sep&amp;Discrete_Guidance_P&amp;L Rec Qtr" xfId="2456"/>
    <cellStyle name="_APGA 5045.04_BS_Separation_TaxResIndem_Q12412 tf_Restructuring &amp; Separation_II.7. Sep&amp;Discrete_Guidance_Sheet1" xfId="2457"/>
    <cellStyle name="_APGA 5045.04_BS_Separation_TaxResIndem_Q12412 tf_Restructuring &amp; Separation_II.7. Sep&amp;Discrete_Guidance_Sheet2" xfId="2458"/>
    <cellStyle name="_APGA 5045.04_BS_Separation_TaxResIndem_Q12412 tf_Restructuring &amp; Separation_II.7. Sep&amp;Discrete_Guidance_Sheet3" xfId="2459"/>
    <cellStyle name="_APGA 5045.04_BS_Separation_TaxResIndem_Q12412 tf_Restructuring &amp; Separation_II.7. Sep&amp;Discrete_Guidance_Sheet4" xfId="2460"/>
    <cellStyle name="_APGA 5045.04_Guidance" xfId="2461"/>
    <cellStyle name="_APGA 5045.04_Guidance 2" xfId="2462"/>
    <cellStyle name="_APGA 5045.04_Guidance_BS retrieve" xfId="2463"/>
    <cellStyle name="_APGA 5045.04_Guidance_Free CF" xfId="2464"/>
    <cellStyle name="_APGA 5045.04_Guidance_P&amp;L Rec Qtr" xfId="2465"/>
    <cellStyle name="_APGA 5045.04_Guidance_Sheet1" xfId="2466"/>
    <cellStyle name="_APGA 5045.04_Guidance_Sheet2" xfId="2467"/>
    <cellStyle name="_APGA 5045.04_Guidance_Sheet3" xfId="2468"/>
    <cellStyle name="_APGA 5045.04_Guidance_Sheet4" xfId="2469"/>
    <cellStyle name="_APGA 5045.04_II.7. Sep&amp;Discrete" xfId="2470"/>
    <cellStyle name="_APGA 5045.04_II.7. Sep&amp;Discrete_Guidance" xfId="2471"/>
    <cellStyle name="_APGA 5045.04_II.7. Sep&amp;Discrete_Guidance 2" xfId="2472"/>
    <cellStyle name="_APGA 5045.04_II.7. Sep&amp;Discrete_Guidance_BS retrieve" xfId="2473"/>
    <cellStyle name="_APGA 5045.04_II.7. Sep&amp;Discrete_Guidance_Free CF" xfId="2474"/>
    <cellStyle name="_APGA 5045.04_II.7. Sep&amp;Discrete_Guidance_P&amp;L Rec Qtr" xfId="2475"/>
    <cellStyle name="_APGA 5045.04_II.7. Sep&amp;Discrete_Guidance_Sheet1" xfId="2476"/>
    <cellStyle name="_APGA 5045.04_II.7. Sep&amp;Discrete_Guidance_Sheet2" xfId="2477"/>
    <cellStyle name="_APGA 5045.04_II.7. Sep&amp;Discrete_Guidance_Sheet3" xfId="2478"/>
    <cellStyle name="_APGA 5045.04_II.7. Sep&amp;Discrete_Guidance_Sheet4" xfId="2479"/>
    <cellStyle name="_APGA 5045.04_II.8. Sep&amp;Discrete" xfId="2480"/>
    <cellStyle name="_APGA 5045.04_II.8. Sep&amp;Discrete_Guidance" xfId="2481"/>
    <cellStyle name="_APGA 5045.04_II.8. Sep&amp;Discrete_Guidance 2" xfId="2482"/>
    <cellStyle name="_APGA 5045.04_II.8. Sep&amp;Discrete_Guidance_BS retrieve" xfId="2483"/>
    <cellStyle name="_APGA 5045.04_II.8. Sep&amp;Discrete_Guidance_Free CF" xfId="2484"/>
    <cellStyle name="_APGA 5045.04_II.8. Sep&amp;Discrete_Guidance_P&amp;L Rec Qtr" xfId="2485"/>
    <cellStyle name="_APGA 5045.04_II.8. Sep&amp;Discrete_Guidance_Sheet1" xfId="2486"/>
    <cellStyle name="_APGA 5045.04_II.8. Sep&amp;Discrete_Guidance_Sheet2" xfId="2487"/>
    <cellStyle name="_APGA 5045.04_II.8. Sep&amp;Discrete_Guidance_Sheet3" xfId="2488"/>
    <cellStyle name="_APGA 5045.04_II.8. Sep&amp;Discrete_Guidance_Sheet4" xfId="2489"/>
    <cellStyle name="_APGA 5045.04_Restructuring &amp; Separation" xfId="2490"/>
    <cellStyle name="_APGA 5045.04_Restructuring &amp; Separation_Guidance" xfId="2491"/>
    <cellStyle name="_APGA 5045.04_Restructuring &amp; Separation_Guidance 2" xfId="2492"/>
    <cellStyle name="_APGA 5045.04_Restructuring &amp; Separation_Guidance_BS retrieve" xfId="2493"/>
    <cellStyle name="_APGA 5045.04_Restructuring &amp; Separation_Guidance_Free CF" xfId="2494"/>
    <cellStyle name="_APGA 5045.04_Restructuring &amp; Separation_Guidance_P&amp;L Rec Qtr" xfId="2495"/>
    <cellStyle name="_APGA 5045.04_Restructuring &amp; Separation_Guidance_Sheet1" xfId="2496"/>
    <cellStyle name="_APGA 5045.04_Restructuring &amp; Separation_Guidance_Sheet2" xfId="2497"/>
    <cellStyle name="_APGA 5045.04_Restructuring &amp; Separation_Guidance_Sheet3" xfId="2498"/>
    <cellStyle name="_APGA 5045.04_Restructuring &amp; Separation_Guidance_Sheet4" xfId="2499"/>
    <cellStyle name="_APGA 5045.04_Restructuring &amp; Separation_II.7. Sep&amp;Discrete" xfId="2500"/>
    <cellStyle name="_APGA 5045.04_Restructuring &amp; Separation_II.7. Sep&amp;Discrete_Guidance" xfId="2501"/>
    <cellStyle name="_APGA 5045.04_Restructuring &amp; Separation_II.7. Sep&amp;Discrete_Guidance 2" xfId="2502"/>
    <cellStyle name="_APGA 5045.04_Restructuring &amp; Separation_II.7. Sep&amp;Discrete_Guidance_BS retrieve" xfId="2503"/>
    <cellStyle name="_APGA 5045.04_Restructuring &amp; Separation_II.7. Sep&amp;Discrete_Guidance_Free CF" xfId="2504"/>
    <cellStyle name="_APGA 5045.04_Restructuring &amp; Separation_II.7. Sep&amp;Discrete_Guidance_P&amp;L Rec Qtr" xfId="2505"/>
    <cellStyle name="_APGA 5045.04_Restructuring &amp; Separation_II.7. Sep&amp;Discrete_Guidance_Sheet1" xfId="2506"/>
    <cellStyle name="_APGA 5045.04_Restructuring &amp; Separation_II.7. Sep&amp;Discrete_Guidance_Sheet2" xfId="2507"/>
    <cellStyle name="_APGA 5045.04_Restructuring &amp; Separation_II.7. Sep&amp;Discrete_Guidance_Sheet3" xfId="2508"/>
    <cellStyle name="_APGA 5045.04_Restructuring &amp; Separation_II.7. Sep&amp;Discrete_Guidance_Sheet4" xfId="2509"/>
    <cellStyle name="_APGA 5045.04_Sheet1" xfId="2510"/>
    <cellStyle name="_APGA 5045.04_Sheet1_1" xfId="2511"/>
    <cellStyle name="_APGA 5045.04_Sheet1_1_Guidance" xfId="2512"/>
    <cellStyle name="_APGA 5045.04_Sheet1_1_Guidance 2" xfId="2513"/>
    <cellStyle name="_APGA 5045.04_Sheet1_1_Guidance_BS retrieve" xfId="2514"/>
    <cellStyle name="_APGA 5045.04_Sheet1_1_Guidance_Free CF" xfId="2515"/>
    <cellStyle name="_APGA 5045.04_Sheet1_1_Guidance_P&amp;L Rec Qtr" xfId="2516"/>
    <cellStyle name="_APGA 5045.04_Sheet1_1_Guidance_Sheet1" xfId="2517"/>
    <cellStyle name="_APGA 5045.04_Sheet1_1_Guidance_Sheet2" xfId="2518"/>
    <cellStyle name="_APGA 5045.04_Sheet1_1_Guidance_Sheet3" xfId="2519"/>
    <cellStyle name="_APGA 5045.04_Sheet1_1_Guidance_Sheet4" xfId="2520"/>
    <cellStyle name="_APGA 5045.04_Sheet1_1_II.7. Sep&amp;Discrete" xfId="2521"/>
    <cellStyle name="_APGA 5045.04_Sheet1_1_II.7. Sep&amp;Discrete_Guidance" xfId="2522"/>
    <cellStyle name="_APGA 5045.04_Sheet1_1_II.7. Sep&amp;Discrete_Guidance 2" xfId="2523"/>
    <cellStyle name="_APGA 5045.04_Sheet1_1_II.7. Sep&amp;Discrete_Guidance_BS retrieve" xfId="2524"/>
    <cellStyle name="_APGA 5045.04_Sheet1_1_II.7. Sep&amp;Discrete_Guidance_Free CF" xfId="2525"/>
    <cellStyle name="_APGA 5045.04_Sheet1_1_II.7. Sep&amp;Discrete_Guidance_P&amp;L Rec Qtr" xfId="2526"/>
    <cellStyle name="_APGA 5045.04_Sheet1_1_II.7. Sep&amp;Discrete_Guidance_Sheet1" xfId="2527"/>
    <cellStyle name="_APGA 5045.04_Sheet1_1_II.7. Sep&amp;Discrete_Guidance_Sheet2" xfId="2528"/>
    <cellStyle name="_APGA 5045.04_Sheet1_1_II.7. Sep&amp;Discrete_Guidance_Sheet3" xfId="2529"/>
    <cellStyle name="_APGA 5045.04_Sheet1_1_II.7. Sep&amp;Discrete_Guidance_Sheet4" xfId="2530"/>
    <cellStyle name="_APGA 5045.04_Sheet1_1_Restructuring &amp; Separation" xfId="2531"/>
    <cellStyle name="_APGA 5045.04_Sheet1_1_Restructuring &amp; Separation_Guidance" xfId="2532"/>
    <cellStyle name="_APGA 5045.04_Sheet1_1_Restructuring &amp; Separation_Guidance 2" xfId="2533"/>
    <cellStyle name="_APGA 5045.04_Sheet1_1_Restructuring &amp; Separation_Guidance_BS retrieve" xfId="2534"/>
    <cellStyle name="_APGA 5045.04_Sheet1_1_Restructuring &amp; Separation_Guidance_Free CF" xfId="2535"/>
    <cellStyle name="_APGA 5045.04_Sheet1_1_Restructuring &amp; Separation_Guidance_P&amp;L Rec Qtr" xfId="2536"/>
    <cellStyle name="_APGA 5045.04_Sheet1_1_Restructuring &amp; Separation_Guidance_Sheet1" xfId="2537"/>
    <cellStyle name="_APGA 5045.04_Sheet1_1_Restructuring &amp; Separation_Guidance_Sheet2" xfId="2538"/>
    <cellStyle name="_APGA 5045.04_Sheet1_1_Restructuring &amp; Separation_Guidance_Sheet3" xfId="2539"/>
    <cellStyle name="_APGA 5045.04_Sheet1_1_Restructuring &amp; Separation_Guidance_Sheet4" xfId="2540"/>
    <cellStyle name="_APGA 5045.04_Sheet1_1_Restructuring &amp; Separation_II.7. Sep&amp;Discrete" xfId="2541"/>
    <cellStyle name="_APGA 5045.04_Sheet1_1_Restructuring &amp; Separation_II.7. Sep&amp;Discrete_Guidance" xfId="2542"/>
    <cellStyle name="_APGA 5045.04_Sheet1_1_Restructuring &amp; Separation_II.7. Sep&amp;Discrete_Guidance 2" xfId="2543"/>
    <cellStyle name="_APGA 5045.04_Sheet1_1_Restructuring &amp; Separation_II.7. Sep&amp;Discrete_Guidance_BS retrieve" xfId="2544"/>
    <cellStyle name="_APGA 5045.04_Sheet1_1_Restructuring &amp; Separation_II.7. Sep&amp;Discrete_Guidance_Free CF" xfId="2545"/>
    <cellStyle name="_APGA 5045.04_Sheet1_1_Restructuring &amp; Separation_II.7. Sep&amp;Discrete_Guidance_P&amp;L Rec Qtr" xfId="2546"/>
    <cellStyle name="_APGA 5045.04_Sheet1_1_Restructuring &amp; Separation_II.7. Sep&amp;Discrete_Guidance_Sheet1" xfId="2547"/>
    <cellStyle name="_APGA 5045.04_Sheet1_1_Restructuring &amp; Separation_II.7. Sep&amp;Discrete_Guidance_Sheet2" xfId="2548"/>
    <cellStyle name="_APGA 5045.04_Sheet1_1_Restructuring &amp; Separation_II.7. Sep&amp;Discrete_Guidance_Sheet3" xfId="2549"/>
    <cellStyle name="_APGA 5045.04_Sheet1_1_Restructuring &amp; Separation_II.7. Sep&amp;Discrete_Guidance_Sheet4" xfId="2550"/>
    <cellStyle name="_APGA 5045.04_Sheet1_BS_Separation_TaxResIndem_Q12412 tf" xfId="2551"/>
    <cellStyle name="_APGA 5045.04_Sheet1_BS_Separation_TaxResIndem_Q12412 tf_Guidance" xfId="2552"/>
    <cellStyle name="_APGA 5045.04_Sheet1_BS_Separation_TaxResIndem_Q12412 tf_Guidance 2" xfId="2553"/>
    <cellStyle name="_APGA 5045.04_Sheet1_BS_Separation_TaxResIndem_Q12412 tf_Guidance_BS retrieve" xfId="2554"/>
    <cellStyle name="_APGA 5045.04_Sheet1_BS_Separation_TaxResIndem_Q12412 tf_Guidance_Free CF" xfId="2555"/>
    <cellStyle name="_APGA 5045.04_Sheet1_BS_Separation_TaxResIndem_Q12412 tf_Guidance_P&amp;L Rec Qtr" xfId="2556"/>
    <cellStyle name="_APGA 5045.04_Sheet1_BS_Separation_TaxResIndem_Q12412 tf_Guidance_Sheet1" xfId="2557"/>
    <cellStyle name="_APGA 5045.04_Sheet1_BS_Separation_TaxResIndem_Q12412 tf_Guidance_Sheet2" xfId="2558"/>
    <cellStyle name="_APGA 5045.04_Sheet1_BS_Separation_TaxResIndem_Q12412 tf_Guidance_Sheet3" xfId="2559"/>
    <cellStyle name="_APGA 5045.04_Sheet1_BS_Separation_TaxResIndem_Q12412 tf_Guidance_Sheet4" xfId="2560"/>
    <cellStyle name="_APGA 5045.04_Sheet1_BS_Separation_TaxResIndem_Q12412 tf_II.7. Sep&amp;Discrete" xfId="2561"/>
    <cellStyle name="_APGA 5045.04_Sheet1_BS_Separation_TaxResIndem_Q12412 tf_II.7. Sep&amp;Discrete_Guidance" xfId="2562"/>
    <cellStyle name="_APGA 5045.04_Sheet1_BS_Separation_TaxResIndem_Q12412 tf_II.7. Sep&amp;Discrete_Guidance 2" xfId="2563"/>
    <cellStyle name="_APGA 5045.04_Sheet1_BS_Separation_TaxResIndem_Q12412 tf_II.7. Sep&amp;Discrete_Guidance_BS retrieve" xfId="2564"/>
    <cellStyle name="_APGA 5045.04_Sheet1_BS_Separation_TaxResIndem_Q12412 tf_II.7. Sep&amp;Discrete_Guidance_Free CF" xfId="2565"/>
    <cellStyle name="_APGA 5045.04_Sheet1_BS_Separation_TaxResIndem_Q12412 tf_II.7. Sep&amp;Discrete_Guidance_P&amp;L Rec Qtr" xfId="2566"/>
    <cellStyle name="_APGA 5045.04_Sheet1_BS_Separation_TaxResIndem_Q12412 tf_II.7. Sep&amp;Discrete_Guidance_Sheet1" xfId="2567"/>
    <cellStyle name="_APGA 5045.04_Sheet1_BS_Separation_TaxResIndem_Q12412 tf_II.7. Sep&amp;Discrete_Guidance_Sheet2" xfId="2568"/>
    <cellStyle name="_APGA 5045.04_Sheet1_BS_Separation_TaxResIndem_Q12412 tf_II.7. Sep&amp;Discrete_Guidance_Sheet3" xfId="2569"/>
    <cellStyle name="_APGA 5045.04_Sheet1_BS_Separation_TaxResIndem_Q12412 tf_II.7. Sep&amp;Discrete_Guidance_Sheet4" xfId="2570"/>
    <cellStyle name="_APGA 5045.04_Sheet1_BS_Separation_TaxResIndem_Q12412 tf_Restructuring &amp; Separation" xfId="2571"/>
    <cellStyle name="_APGA 5045.04_Sheet1_BS_Separation_TaxResIndem_Q12412 tf_Restructuring &amp; Separation_Guidance" xfId="2572"/>
    <cellStyle name="_APGA 5045.04_Sheet1_BS_Separation_TaxResIndem_Q12412 tf_Restructuring &amp; Separation_Guidance 2" xfId="2573"/>
    <cellStyle name="_APGA 5045.04_Sheet1_BS_Separation_TaxResIndem_Q12412 tf_Restructuring &amp; Separation_Guidance_BS retrieve" xfId="2574"/>
    <cellStyle name="_APGA 5045.04_Sheet1_BS_Separation_TaxResIndem_Q12412 tf_Restructuring &amp; Separation_Guidance_Free CF" xfId="2575"/>
    <cellStyle name="_APGA 5045.04_Sheet1_BS_Separation_TaxResIndem_Q12412 tf_Restructuring &amp; Separation_Guidance_P&amp;L Rec Qtr" xfId="2576"/>
    <cellStyle name="_APGA 5045.04_Sheet1_BS_Separation_TaxResIndem_Q12412 tf_Restructuring &amp; Separation_Guidance_Sheet1" xfId="2577"/>
    <cellStyle name="_APGA 5045.04_Sheet1_BS_Separation_TaxResIndem_Q12412 tf_Restructuring &amp; Separation_Guidance_Sheet2" xfId="2578"/>
    <cellStyle name="_APGA 5045.04_Sheet1_BS_Separation_TaxResIndem_Q12412 tf_Restructuring &amp; Separation_Guidance_Sheet3" xfId="2579"/>
    <cellStyle name="_APGA 5045.04_Sheet1_BS_Separation_TaxResIndem_Q12412 tf_Restructuring &amp; Separation_Guidance_Sheet4" xfId="2580"/>
    <cellStyle name="_APGA 5045.04_Sheet1_BS_Separation_TaxResIndem_Q12412 tf_Restructuring &amp; Separation_II.7. Sep&amp;Discrete" xfId="2581"/>
    <cellStyle name="_APGA 5045.04_Sheet1_BS_Separation_TaxResIndem_Q12412 tf_Restructuring &amp; Separation_II.7. Sep&amp;Discrete_Guidance" xfId="2582"/>
    <cellStyle name="_APGA 5045.04_Sheet1_BS_Separation_TaxResIndem_Q12412 tf_Restructuring &amp; Separation_II.7. Sep&amp;Discrete_Guidance 2" xfId="2583"/>
    <cellStyle name="_APGA 5045.04_Sheet1_BS_Separation_TaxResIndem_Q12412 tf_Restructuring &amp; Separation_II.7. Sep&amp;Discrete_Guidance_BS retrieve" xfId="2584"/>
    <cellStyle name="_APGA 5045.04_Sheet1_BS_Separation_TaxResIndem_Q12412 tf_Restructuring &amp; Separation_II.7. Sep&amp;Discrete_Guidance_Free CF" xfId="2585"/>
    <cellStyle name="_APGA 5045.04_Sheet1_BS_Separation_TaxResIndem_Q12412 tf_Restructuring &amp; Separation_II.7. Sep&amp;Discrete_Guidance_P&amp;L Rec Qtr" xfId="2586"/>
    <cellStyle name="_APGA 5045.04_Sheet1_BS_Separation_TaxResIndem_Q12412 tf_Restructuring &amp; Separation_II.7. Sep&amp;Discrete_Guidance_Sheet1" xfId="2587"/>
    <cellStyle name="_APGA 5045.04_Sheet1_BS_Separation_TaxResIndem_Q12412 tf_Restructuring &amp; Separation_II.7. Sep&amp;Discrete_Guidance_Sheet2" xfId="2588"/>
    <cellStyle name="_APGA 5045.04_Sheet1_BS_Separation_TaxResIndem_Q12412 tf_Restructuring &amp; Separation_II.7. Sep&amp;Discrete_Guidance_Sheet3" xfId="2589"/>
    <cellStyle name="_APGA 5045.04_Sheet1_BS_Separation_TaxResIndem_Q12412 tf_Restructuring &amp; Separation_II.7. Sep&amp;Discrete_Guidance_Sheet4" xfId="2590"/>
    <cellStyle name="_APGA 5045.04_Sheet1_Guidance" xfId="2591"/>
    <cellStyle name="_APGA 5045.04_Sheet1_Guidance 2" xfId="2592"/>
    <cellStyle name="_APGA 5045.04_Sheet1_Guidance_BS retrieve" xfId="2593"/>
    <cellStyle name="_APGA 5045.04_Sheet1_Guidance_Free CF" xfId="2594"/>
    <cellStyle name="_APGA 5045.04_Sheet1_Guidance_P&amp;L Rec Qtr" xfId="2595"/>
    <cellStyle name="_APGA 5045.04_Sheet1_Guidance_Sheet1" xfId="2596"/>
    <cellStyle name="_APGA 5045.04_Sheet1_Guidance_Sheet2" xfId="2597"/>
    <cellStyle name="_APGA 5045.04_Sheet1_Guidance_Sheet3" xfId="2598"/>
    <cellStyle name="_APGA 5045.04_Sheet1_Guidance_Sheet4" xfId="2599"/>
    <cellStyle name="_APGA 5045.04_Sheet1_II.7. Sep&amp;Discrete" xfId="2600"/>
    <cellStyle name="_APGA 5045.04_Sheet1_II.7. Sep&amp;Discrete_Guidance" xfId="2601"/>
    <cellStyle name="_APGA 5045.04_Sheet1_II.7. Sep&amp;Discrete_Guidance 2" xfId="2602"/>
    <cellStyle name="_APGA 5045.04_Sheet1_II.7. Sep&amp;Discrete_Guidance_BS retrieve" xfId="2603"/>
    <cellStyle name="_APGA 5045.04_Sheet1_II.7. Sep&amp;Discrete_Guidance_Free CF" xfId="2604"/>
    <cellStyle name="_APGA 5045.04_Sheet1_II.7. Sep&amp;Discrete_Guidance_P&amp;L Rec Qtr" xfId="2605"/>
    <cellStyle name="_APGA 5045.04_Sheet1_II.7. Sep&amp;Discrete_Guidance_Sheet1" xfId="2606"/>
    <cellStyle name="_APGA 5045.04_Sheet1_II.7. Sep&amp;Discrete_Guidance_Sheet2" xfId="2607"/>
    <cellStyle name="_APGA 5045.04_Sheet1_II.7. Sep&amp;Discrete_Guidance_Sheet3" xfId="2608"/>
    <cellStyle name="_APGA 5045.04_Sheet1_II.7. Sep&amp;Discrete_Guidance_Sheet4" xfId="2609"/>
    <cellStyle name="_APGA 5045.04_Sheet1_II.8. Sep&amp;Discrete" xfId="2610"/>
    <cellStyle name="_APGA 5045.04_Sheet1_II.8. Sep&amp;Discrete_Guidance" xfId="2611"/>
    <cellStyle name="_APGA 5045.04_Sheet1_II.8. Sep&amp;Discrete_Guidance 2" xfId="2612"/>
    <cellStyle name="_APGA 5045.04_Sheet1_II.8. Sep&amp;Discrete_Guidance_BS retrieve" xfId="2613"/>
    <cellStyle name="_APGA 5045.04_Sheet1_II.8. Sep&amp;Discrete_Guidance_Free CF" xfId="2614"/>
    <cellStyle name="_APGA 5045.04_Sheet1_II.8. Sep&amp;Discrete_Guidance_P&amp;L Rec Qtr" xfId="2615"/>
    <cellStyle name="_APGA 5045.04_Sheet1_II.8. Sep&amp;Discrete_Guidance_Sheet1" xfId="2616"/>
    <cellStyle name="_APGA 5045.04_Sheet1_II.8. Sep&amp;Discrete_Guidance_Sheet2" xfId="2617"/>
    <cellStyle name="_APGA 5045.04_Sheet1_II.8. Sep&amp;Discrete_Guidance_Sheet3" xfId="2618"/>
    <cellStyle name="_APGA 5045.04_Sheet1_II.8. Sep&amp;Discrete_Guidance_Sheet4" xfId="2619"/>
    <cellStyle name="_APGA 5045.04_Sheet1_Restructuring &amp; Separation" xfId="2620"/>
    <cellStyle name="_APGA 5045.04_Sheet1_Restructuring &amp; Separation_Guidance" xfId="2621"/>
    <cellStyle name="_APGA 5045.04_Sheet1_Restructuring &amp; Separation_Guidance 2" xfId="2622"/>
    <cellStyle name="_APGA 5045.04_Sheet1_Restructuring &amp; Separation_Guidance_BS retrieve" xfId="2623"/>
    <cellStyle name="_APGA 5045.04_Sheet1_Restructuring &amp; Separation_Guidance_Free CF" xfId="2624"/>
    <cellStyle name="_APGA 5045.04_Sheet1_Restructuring &amp; Separation_Guidance_P&amp;L Rec Qtr" xfId="2625"/>
    <cellStyle name="_APGA 5045.04_Sheet1_Restructuring &amp; Separation_Guidance_Sheet1" xfId="2626"/>
    <cellStyle name="_APGA 5045.04_Sheet1_Restructuring &amp; Separation_Guidance_Sheet2" xfId="2627"/>
    <cellStyle name="_APGA 5045.04_Sheet1_Restructuring &amp; Separation_Guidance_Sheet3" xfId="2628"/>
    <cellStyle name="_APGA 5045.04_Sheet1_Restructuring &amp; Separation_Guidance_Sheet4" xfId="2629"/>
    <cellStyle name="_APGA 5045.04_Sheet1_Restructuring &amp; Separation_II.7. Sep&amp;Discrete" xfId="2630"/>
    <cellStyle name="_APGA 5045.04_Sheet1_Restructuring &amp; Separation_II.7. Sep&amp;Discrete_Guidance" xfId="2631"/>
    <cellStyle name="_APGA 5045.04_Sheet1_Restructuring &amp; Separation_II.7. Sep&amp;Discrete_Guidance 2" xfId="2632"/>
    <cellStyle name="_APGA 5045.04_Sheet1_Restructuring &amp; Separation_II.7. Sep&amp;Discrete_Guidance_BS retrieve" xfId="2633"/>
    <cellStyle name="_APGA 5045.04_Sheet1_Restructuring &amp; Separation_II.7. Sep&amp;Discrete_Guidance_Free CF" xfId="2634"/>
    <cellStyle name="_APGA 5045.04_Sheet1_Restructuring &amp; Separation_II.7. Sep&amp;Discrete_Guidance_P&amp;L Rec Qtr" xfId="2635"/>
    <cellStyle name="_APGA 5045.04_Sheet1_Restructuring &amp; Separation_II.7. Sep&amp;Discrete_Guidance_Sheet1" xfId="2636"/>
    <cellStyle name="_APGA 5045.04_Sheet1_Restructuring &amp; Separation_II.7. Sep&amp;Discrete_Guidance_Sheet2" xfId="2637"/>
    <cellStyle name="_APGA 5045.04_Sheet1_Restructuring &amp; Separation_II.7. Sep&amp;Discrete_Guidance_Sheet3" xfId="2638"/>
    <cellStyle name="_APGA 5045.04_Sheet1_Restructuring &amp; Separation_II.7. Sep&amp;Discrete_Guidance_Sheet4" xfId="2639"/>
    <cellStyle name="_ASE - Financial Approval - 05.18.05" xfId="2640"/>
    <cellStyle name="_Book1" xfId="2641"/>
    <cellStyle name="_Book1 (2)" xfId="2642"/>
    <cellStyle name="_CAPEX  TOOL Update-APAC 08-QD" xfId="2643"/>
    <cellStyle name="_Copy of Check_Plan2010 VCS" xfId="2644"/>
    <cellStyle name="_Copy of Check_Plan2010 VCS_BS_Separation_TaxResIndem_Q12412 tf" xfId="2645"/>
    <cellStyle name="_Copy of Check_Plan2010 VCS_BS_Separation_TaxResIndem_Q12412 tf_Guidance" xfId="2646"/>
    <cellStyle name="_Copy of Check_Plan2010 VCS_BS_Separation_TaxResIndem_Q12412 tf_Guidance 2" xfId="2647"/>
    <cellStyle name="_Copy of Check_Plan2010 VCS_BS_Separation_TaxResIndem_Q12412 tf_Guidance_BS retrieve" xfId="2648"/>
    <cellStyle name="_Copy of Check_Plan2010 VCS_BS_Separation_TaxResIndem_Q12412 tf_Guidance_Free CF" xfId="2649"/>
    <cellStyle name="_Copy of Check_Plan2010 VCS_BS_Separation_TaxResIndem_Q12412 tf_Guidance_P&amp;L Rec Qtr" xfId="2650"/>
    <cellStyle name="_Copy of Check_Plan2010 VCS_BS_Separation_TaxResIndem_Q12412 tf_Guidance_Sheet1" xfId="2651"/>
    <cellStyle name="_Copy of Check_Plan2010 VCS_BS_Separation_TaxResIndem_Q12412 tf_Guidance_Sheet2" xfId="2652"/>
    <cellStyle name="_Copy of Check_Plan2010 VCS_BS_Separation_TaxResIndem_Q12412 tf_Guidance_Sheet3" xfId="2653"/>
    <cellStyle name="_Copy of Check_Plan2010 VCS_BS_Separation_TaxResIndem_Q12412 tf_Guidance_Sheet4" xfId="2654"/>
    <cellStyle name="_Copy of Check_Plan2010 VCS_BS_Separation_TaxResIndem_Q12412 tf_II.7. Sep&amp;Discrete" xfId="2655"/>
    <cellStyle name="_Copy of Check_Plan2010 VCS_BS_Separation_TaxResIndem_Q12412 tf_II.7. Sep&amp;Discrete_Guidance" xfId="2656"/>
    <cellStyle name="_Copy of Check_Plan2010 VCS_BS_Separation_TaxResIndem_Q12412 tf_II.7. Sep&amp;Discrete_Guidance 2" xfId="2657"/>
    <cellStyle name="_Copy of Check_Plan2010 VCS_BS_Separation_TaxResIndem_Q12412 tf_II.7. Sep&amp;Discrete_Guidance_BS retrieve" xfId="2658"/>
    <cellStyle name="_Copy of Check_Plan2010 VCS_BS_Separation_TaxResIndem_Q12412 tf_II.7. Sep&amp;Discrete_Guidance_Free CF" xfId="2659"/>
    <cellStyle name="_Copy of Check_Plan2010 VCS_BS_Separation_TaxResIndem_Q12412 tf_II.7. Sep&amp;Discrete_Guidance_P&amp;L Rec Qtr" xfId="2660"/>
    <cellStyle name="_Copy of Check_Plan2010 VCS_BS_Separation_TaxResIndem_Q12412 tf_II.7. Sep&amp;Discrete_Guidance_Sheet1" xfId="2661"/>
    <cellStyle name="_Copy of Check_Plan2010 VCS_BS_Separation_TaxResIndem_Q12412 tf_II.7. Sep&amp;Discrete_Guidance_Sheet2" xfId="2662"/>
    <cellStyle name="_Copy of Check_Plan2010 VCS_BS_Separation_TaxResIndem_Q12412 tf_II.7. Sep&amp;Discrete_Guidance_Sheet3" xfId="2663"/>
    <cellStyle name="_Copy of Check_Plan2010 VCS_BS_Separation_TaxResIndem_Q12412 tf_II.7. Sep&amp;Discrete_Guidance_Sheet4" xfId="2664"/>
    <cellStyle name="_Copy of Check_Plan2010 VCS_BS_Separation_TaxResIndem_Q12412 tf_Restructuring &amp; Separation" xfId="2665"/>
    <cellStyle name="_Copy of Check_Plan2010 VCS_BS_Separation_TaxResIndem_Q12412 tf_Restructuring &amp; Separation_Guidance" xfId="2666"/>
    <cellStyle name="_Copy of Check_Plan2010 VCS_BS_Separation_TaxResIndem_Q12412 tf_Restructuring &amp; Separation_Guidance 2" xfId="2667"/>
    <cellStyle name="_Copy of Check_Plan2010 VCS_BS_Separation_TaxResIndem_Q12412 tf_Restructuring &amp; Separation_Guidance_BS retrieve" xfId="2668"/>
    <cellStyle name="_Copy of Check_Plan2010 VCS_BS_Separation_TaxResIndem_Q12412 tf_Restructuring &amp; Separation_Guidance_Free CF" xfId="2669"/>
    <cellStyle name="_Copy of Check_Plan2010 VCS_BS_Separation_TaxResIndem_Q12412 tf_Restructuring &amp; Separation_Guidance_P&amp;L Rec Qtr" xfId="2670"/>
    <cellStyle name="_Copy of Check_Plan2010 VCS_BS_Separation_TaxResIndem_Q12412 tf_Restructuring &amp; Separation_Guidance_Sheet1" xfId="2671"/>
    <cellStyle name="_Copy of Check_Plan2010 VCS_BS_Separation_TaxResIndem_Q12412 tf_Restructuring &amp; Separation_Guidance_Sheet2" xfId="2672"/>
    <cellStyle name="_Copy of Check_Plan2010 VCS_BS_Separation_TaxResIndem_Q12412 tf_Restructuring &amp; Separation_Guidance_Sheet3" xfId="2673"/>
    <cellStyle name="_Copy of Check_Plan2010 VCS_BS_Separation_TaxResIndem_Q12412 tf_Restructuring &amp; Separation_Guidance_Sheet4" xfId="2674"/>
    <cellStyle name="_Copy of Check_Plan2010 VCS_BS_Separation_TaxResIndem_Q12412 tf_Restructuring &amp; Separation_II.7. Sep&amp;Discrete" xfId="2675"/>
    <cellStyle name="_Copy of Check_Plan2010 VCS_BS_Separation_TaxResIndem_Q12412 tf_Restructuring &amp; Separation_II.7. Sep&amp;Discrete_Guidance" xfId="2676"/>
    <cellStyle name="_Copy of Check_Plan2010 VCS_BS_Separation_TaxResIndem_Q12412 tf_Restructuring &amp; Separation_II.7. Sep&amp;Discrete_Guidance 2" xfId="2677"/>
    <cellStyle name="_Copy of Check_Plan2010 VCS_BS_Separation_TaxResIndem_Q12412 tf_Restructuring &amp; Separation_II.7. Sep&amp;Discrete_Guidance_BS retrieve" xfId="2678"/>
    <cellStyle name="_Copy of Check_Plan2010 VCS_BS_Separation_TaxResIndem_Q12412 tf_Restructuring &amp; Separation_II.7. Sep&amp;Discrete_Guidance_Free CF" xfId="2679"/>
    <cellStyle name="_Copy of Check_Plan2010 VCS_BS_Separation_TaxResIndem_Q12412 tf_Restructuring &amp; Separation_II.7. Sep&amp;Discrete_Guidance_P&amp;L Rec Qtr" xfId="2680"/>
    <cellStyle name="_Copy of Check_Plan2010 VCS_BS_Separation_TaxResIndem_Q12412 tf_Restructuring &amp; Separation_II.7. Sep&amp;Discrete_Guidance_Sheet1" xfId="2681"/>
    <cellStyle name="_Copy of Check_Plan2010 VCS_BS_Separation_TaxResIndem_Q12412 tf_Restructuring &amp; Separation_II.7. Sep&amp;Discrete_Guidance_Sheet2" xfId="2682"/>
    <cellStyle name="_Copy of Check_Plan2010 VCS_BS_Separation_TaxResIndem_Q12412 tf_Restructuring &amp; Separation_II.7. Sep&amp;Discrete_Guidance_Sheet3" xfId="2683"/>
    <cellStyle name="_Copy of Check_Plan2010 VCS_BS_Separation_TaxResIndem_Q12412 tf_Restructuring &amp; Separation_II.7. Sep&amp;Discrete_Guidance_Sheet4" xfId="2684"/>
    <cellStyle name="_Copy of Check_Plan2010 VCS_Guidance" xfId="2685"/>
    <cellStyle name="_Copy of Check_Plan2010 VCS_Guidance 2" xfId="2686"/>
    <cellStyle name="_Copy of Check_Plan2010 VCS_Guidance_BS retrieve" xfId="2687"/>
    <cellStyle name="_Copy of Check_Plan2010 VCS_Guidance_Free CF" xfId="2688"/>
    <cellStyle name="_Copy of Check_Plan2010 VCS_Guidance_P&amp;L Rec Qtr" xfId="2689"/>
    <cellStyle name="_Copy of Check_Plan2010 VCS_Guidance_Sheet1" xfId="2690"/>
    <cellStyle name="_Copy of Check_Plan2010 VCS_Guidance_Sheet2" xfId="2691"/>
    <cellStyle name="_Copy of Check_Plan2010 VCS_Guidance_Sheet3" xfId="2692"/>
    <cellStyle name="_Copy of Check_Plan2010 VCS_Guidance_Sheet4" xfId="2693"/>
    <cellStyle name="_Copy of Check_Plan2010 VCS_II.7. Sep&amp;Discrete" xfId="2694"/>
    <cellStyle name="_Copy of Check_Plan2010 VCS_II.7. Sep&amp;Discrete_Guidance" xfId="2695"/>
    <cellStyle name="_Copy of Check_Plan2010 VCS_II.7. Sep&amp;Discrete_Guidance 2" xfId="2696"/>
    <cellStyle name="_Copy of Check_Plan2010 VCS_II.7. Sep&amp;Discrete_Guidance_BS retrieve" xfId="2697"/>
    <cellStyle name="_Copy of Check_Plan2010 VCS_II.7. Sep&amp;Discrete_Guidance_Free CF" xfId="2698"/>
    <cellStyle name="_Copy of Check_Plan2010 VCS_II.7. Sep&amp;Discrete_Guidance_P&amp;L Rec Qtr" xfId="2699"/>
    <cellStyle name="_Copy of Check_Plan2010 VCS_II.7. Sep&amp;Discrete_Guidance_Sheet1" xfId="2700"/>
    <cellStyle name="_Copy of Check_Plan2010 VCS_II.7. Sep&amp;Discrete_Guidance_Sheet2" xfId="2701"/>
    <cellStyle name="_Copy of Check_Plan2010 VCS_II.7. Sep&amp;Discrete_Guidance_Sheet3" xfId="2702"/>
    <cellStyle name="_Copy of Check_Plan2010 VCS_II.7. Sep&amp;Discrete_Guidance_Sheet4" xfId="2703"/>
    <cellStyle name="_Copy of Check_Plan2010 VCS_II.8. Sep&amp;Discrete" xfId="2704"/>
    <cellStyle name="_Copy of Check_Plan2010 VCS_II.8. Sep&amp;Discrete_Guidance" xfId="2705"/>
    <cellStyle name="_Copy of Check_Plan2010 VCS_II.8. Sep&amp;Discrete_Guidance 2" xfId="2706"/>
    <cellStyle name="_Copy of Check_Plan2010 VCS_II.8. Sep&amp;Discrete_Guidance_BS retrieve" xfId="2707"/>
    <cellStyle name="_Copy of Check_Plan2010 VCS_II.8. Sep&amp;Discrete_Guidance_Free CF" xfId="2708"/>
    <cellStyle name="_Copy of Check_Plan2010 VCS_II.8. Sep&amp;Discrete_Guidance_P&amp;L Rec Qtr" xfId="2709"/>
    <cellStyle name="_Copy of Check_Plan2010 VCS_II.8. Sep&amp;Discrete_Guidance_Sheet1" xfId="2710"/>
    <cellStyle name="_Copy of Check_Plan2010 VCS_II.8. Sep&amp;Discrete_Guidance_Sheet2" xfId="2711"/>
    <cellStyle name="_Copy of Check_Plan2010 VCS_II.8. Sep&amp;Discrete_Guidance_Sheet3" xfId="2712"/>
    <cellStyle name="_Copy of Check_Plan2010 VCS_II.8. Sep&amp;Discrete_Guidance_Sheet4" xfId="2713"/>
    <cellStyle name="_Copy of Check_Plan2010 VCS_Restructuring &amp; Separation" xfId="2714"/>
    <cellStyle name="_Copy of Check_Plan2010 VCS_Restructuring &amp; Separation_Guidance" xfId="2715"/>
    <cellStyle name="_Copy of Check_Plan2010 VCS_Restructuring &amp; Separation_Guidance 2" xfId="2716"/>
    <cellStyle name="_Copy of Check_Plan2010 VCS_Restructuring &amp; Separation_Guidance_BS retrieve" xfId="2717"/>
    <cellStyle name="_Copy of Check_Plan2010 VCS_Restructuring &amp; Separation_Guidance_Free CF" xfId="2718"/>
    <cellStyle name="_Copy of Check_Plan2010 VCS_Restructuring &amp; Separation_Guidance_P&amp;L Rec Qtr" xfId="2719"/>
    <cellStyle name="_Copy of Check_Plan2010 VCS_Restructuring &amp; Separation_Guidance_Sheet1" xfId="2720"/>
    <cellStyle name="_Copy of Check_Plan2010 VCS_Restructuring &amp; Separation_Guidance_Sheet2" xfId="2721"/>
    <cellStyle name="_Copy of Check_Plan2010 VCS_Restructuring &amp; Separation_Guidance_Sheet3" xfId="2722"/>
    <cellStyle name="_Copy of Check_Plan2010 VCS_Restructuring &amp; Separation_Guidance_Sheet4" xfId="2723"/>
    <cellStyle name="_Copy of Check_Plan2010 VCS_Restructuring &amp; Separation_II.7. Sep&amp;Discrete" xfId="2724"/>
    <cellStyle name="_Copy of Check_Plan2010 VCS_Restructuring &amp; Separation_II.7. Sep&amp;Discrete_Guidance" xfId="2725"/>
    <cellStyle name="_Copy of Check_Plan2010 VCS_Restructuring &amp; Separation_II.7. Sep&amp;Discrete_Guidance 2" xfId="2726"/>
    <cellStyle name="_Copy of Check_Plan2010 VCS_Restructuring &amp; Separation_II.7. Sep&amp;Discrete_Guidance_BS retrieve" xfId="2727"/>
    <cellStyle name="_Copy of Check_Plan2010 VCS_Restructuring &amp; Separation_II.7. Sep&amp;Discrete_Guidance_Free CF" xfId="2728"/>
    <cellStyle name="_Copy of Check_Plan2010 VCS_Restructuring &amp; Separation_II.7. Sep&amp;Discrete_Guidance_P&amp;L Rec Qtr" xfId="2729"/>
    <cellStyle name="_Copy of Check_Plan2010 VCS_Restructuring &amp; Separation_II.7. Sep&amp;Discrete_Guidance_Sheet1" xfId="2730"/>
    <cellStyle name="_Copy of Check_Plan2010 VCS_Restructuring &amp; Separation_II.7. Sep&amp;Discrete_Guidance_Sheet2" xfId="2731"/>
    <cellStyle name="_Copy of Check_Plan2010 VCS_Restructuring &amp; Separation_II.7. Sep&amp;Discrete_Guidance_Sheet3" xfId="2732"/>
    <cellStyle name="_Copy of Check_Plan2010 VCS_Restructuring &amp; Separation_II.7. Sep&amp;Discrete_Guidance_Sheet4" xfId="2733"/>
    <cellStyle name="_Copy of Check_Plan2010 VCS_Sheet1" xfId="2734"/>
    <cellStyle name="_Copy of Check_Plan2010 VCS_Sheet1_1" xfId="2735"/>
    <cellStyle name="_Copy of Check_Plan2010 VCS_Sheet1_1_Guidance" xfId="2736"/>
    <cellStyle name="_Copy of Check_Plan2010 VCS_Sheet1_1_Guidance 2" xfId="2737"/>
    <cellStyle name="_Copy of Check_Plan2010 VCS_Sheet1_1_Guidance_BS retrieve" xfId="2738"/>
    <cellStyle name="_Copy of Check_Plan2010 VCS_Sheet1_1_Guidance_Free CF" xfId="2739"/>
    <cellStyle name="_Copy of Check_Plan2010 VCS_Sheet1_1_Guidance_P&amp;L Rec Qtr" xfId="2740"/>
    <cellStyle name="_Copy of Check_Plan2010 VCS_Sheet1_1_Guidance_Sheet1" xfId="2741"/>
    <cellStyle name="_Copy of Check_Plan2010 VCS_Sheet1_1_Guidance_Sheet2" xfId="2742"/>
    <cellStyle name="_Copy of Check_Plan2010 VCS_Sheet1_1_Guidance_Sheet3" xfId="2743"/>
    <cellStyle name="_Copy of Check_Plan2010 VCS_Sheet1_1_Guidance_Sheet4" xfId="2744"/>
    <cellStyle name="_Copy of Check_Plan2010 VCS_Sheet1_1_II.7. Sep&amp;Discrete" xfId="2745"/>
    <cellStyle name="_Copy of Check_Plan2010 VCS_Sheet1_1_II.7. Sep&amp;Discrete_Guidance" xfId="2746"/>
    <cellStyle name="_Copy of Check_Plan2010 VCS_Sheet1_1_II.7. Sep&amp;Discrete_Guidance 2" xfId="2747"/>
    <cellStyle name="_Copy of Check_Plan2010 VCS_Sheet1_1_II.7. Sep&amp;Discrete_Guidance_BS retrieve" xfId="2748"/>
    <cellStyle name="_Copy of Check_Plan2010 VCS_Sheet1_1_II.7. Sep&amp;Discrete_Guidance_Free CF" xfId="2749"/>
    <cellStyle name="_Copy of Check_Plan2010 VCS_Sheet1_1_II.7. Sep&amp;Discrete_Guidance_P&amp;L Rec Qtr" xfId="2750"/>
    <cellStyle name="_Copy of Check_Plan2010 VCS_Sheet1_1_II.7. Sep&amp;Discrete_Guidance_Sheet1" xfId="2751"/>
    <cellStyle name="_Copy of Check_Plan2010 VCS_Sheet1_1_II.7. Sep&amp;Discrete_Guidance_Sheet2" xfId="2752"/>
    <cellStyle name="_Copy of Check_Plan2010 VCS_Sheet1_1_II.7. Sep&amp;Discrete_Guidance_Sheet3" xfId="2753"/>
    <cellStyle name="_Copy of Check_Plan2010 VCS_Sheet1_1_II.7. Sep&amp;Discrete_Guidance_Sheet4" xfId="2754"/>
    <cellStyle name="_Copy of Check_Plan2010 VCS_Sheet1_1_Restructuring &amp; Separation" xfId="2755"/>
    <cellStyle name="_Copy of Check_Plan2010 VCS_Sheet1_1_Restructuring &amp; Separation_Guidance" xfId="2756"/>
    <cellStyle name="_Copy of Check_Plan2010 VCS_Sheet1_1_Restructuring &amp; Separation_Guidance 2" xfId="2757"/>
    <cellStyle name="_Copy of Check_Plan2010 VCS_Sheet1_1_Restructuring &amp; Separation_Guidance_BS retrieve" xfId="2758"/>
    <cellStyle name="_Copy of Check_Plan2010 VCS_Sheet1_1_Restructuring &amp; Separation_Guidance_Free CF" xfId="2759"/>
    <cellStyle name="_Copy of Check_Plan2010 VCS_Sheet1_1_Restructuring &amp; Separation_Guidance_P&amp;L Rec Qtr" xfId="2760"/>
    <cellStyle name="_Copy of Check_Plan2010 VCS_Sheet1_1_Restructuring &amp; Separation_Guidance_Sheet1" xfId="2761"/>
    <cellStyle name="_Copy of Check_Plan2010 VCS_Sheet1_1_Restructuring &amp; Separation_Guidance_Sheet2" xfId="2762"/>
    <cellStyle name="_Copy of Check_Plan2010 VCS_Sheet1_1_Restructuring &amp; Separation_Guidance_Sheet3" xfId="2763"/>
    <cellStyle name="_Copy of Check_Plan2010 VCS_Sheet1_1_Restructuring &amp; Separation_Guidance_Sheet4" xfId="2764"/>
    <cellStyle name="_Copy of Check_Plan2010 VCS_Sheet1_1_Restructuring &amp; Separation_II.7. Sep&amp;Discrete" xfId="2765"/>
    <cellStyle name="_Copy of Check_Plan2010 VCS_Sheet1_1_Restructuring &amp; Separation_II.7. Sep&amp;Discrete_Guidance" xfId="2766"/>
    <cellStyle name="_Copy of Check_Plan2010 VCS_Sheet1_1_Restructuring &amp; Separation_II.7. Sep&amp;Discrete_Guidance 2" xfId="2767"/>
    <cellStyle name="_Copy of Check_Plan2010 VCS_Sheet1_1_Restructuring &amp; Separation_II.7. Sep&amp;Discrete_Guidance_BS retrieve" xfId="2768"/>
    <cellStyle name="_Copy of Check_Plan2010 VCS_Sheet1_1_Restructuring &amp; Separation_II.7. Sep&amp;Discrete_Guidance_Free CF" xfId="2769"/>
    <cellStyle name="_Copy of Check_Plan2010 VCS_Sheet1_1_Restructuring &amp; Separation_II.7. Sep&amp;Discrete_Guidance_P&amp;L Rec Qtr" xfId="2770"/>
    <cellStyle name="_Copy of Check_Plan2010 VCS_Sheet1_1_Restructuring &amp; Separation_II.7. Sep&amp;Discrete_Guidance_Sheet1" xfId="2771"/>
    <cellStyle name="_Copy of Check_Plan2010 VCS_Sheet1_1_Restructuring &amp; Separation_II.7. Sep&amp;Discrete_Guidance_Sheet2" xfId="2772"/>
    <cellStyle name="_Copy of Check_Plan2010 VCS_Sheet1_1_Restructuring &amp; Separation_II.7. Sep&amp;Discrete_Guidance_Sheet3" xfId="2773"/>
    <cellStyle name="_Copy of Check_Plan2010 VCS_Sheet1_1_Restructuring &amp; Separation_II.7. Sep&amp;Discrete_Guidance_Sheet4" xfId="2774"/>
    <cellStyle name="_Copy of Check_Plan2010 VCS_Sheet1_BS_Separation_TaxResIndem_Q12412 tf" xfId="2775"/>
    <cellStyle name="_Copy of Check_Plan2010 VCS_Sheet1_BS_Separation_TaxResIndem_Q12412 tf_Guidance" xfId="2776"/>
    <cellStyle name="_Copy of Check_Plan2010 VCS_Sheet1_BS_Separation_TaxResIndem_Q12412 tf_Guidance 2" xfId="2777"/>
    <cellStyle name="_Copy of Check_Plan2010 VCS_Sheet1_BS_Separation_TaxResIndem_Q12412 tf_Guidance_BS retrieve" xfId="2778"/>
    <cellStyle name="_Copy of Check_Plan2010 VCS_Sheet1_BS_Separation_TaxResIndem_Q12412 tf_Guidance_Free CF" xfId="2779"/>
    <cellStyle name="_Copy of Check_Plan2010 VCS_Sheet1_BS_Separation_TaxResIndem_Q12412 tf_Guidance_P&amp;L Rec Qtr" xfId="2780"/>
    <cellStyle name="_Copy of Check_Plan2010 VCS_Sheet1_BS_Separation_TaxResIndem_Q12412 tf_Guidance_Sheet1" xfId="2781"/>
    <cellStyle name="_Copy of Check_Plan2010 VCS_Sheet1_BS_Separation_TaxResIndem_Q12412 tf_Guidance_Sheet2" xfId="2782"/>
    <cellStyle name="_Copy of Check_Plan2010 VCS_Sheet1_BS_Separation_TaxResIndem_Q12412 tf_Guidance_Sheet3" xfId="2783"/>
    <cellStyle name="_Copy of Check_Plan2010 VCS_Sheet1_BS_Separation_TaxResIndem_Q12412 tf_Guidance_Sheet4" xfId="2784"/>
    <cellStyle name="_Copy of Check_Plan2010 VCS_Sheet1_BS_Separation_TaxResIndem_Q12412 tf_II.7. Sep&amp;Discrete" xfId="2785"/>
    <cellStyle name="_Copy of Check_Plan2010 VCS_Sheet1_BS_Separation_TaxResIndem_Q12412 tf_II.7. Sep&amp;Discrete_Guidance" xfId="2786"/>
    <cellStyle name="_Copy of Check_Plan2010 VCS_Sheet1_BS_Separation_TaxResIndem_Q12412 tf_II.7. Sep&amp;Discrete_Guidance 2" xfId="2787"/>
    <cellStyle name="_Copy of Check_Plan2010 VCS_Sheet1_BS_Separation_TaxResIndem_Q12412 tf_II.7. Sep&amp;Discrete_Guidance_BS retrieve" xfId="2788"/>
    <cellStyle name="_Copy of Check_Plan2010 VCS_Sheet1_BS_Separation_TaxResIndem_Q12412 tf_II.7. Sep&amp;Discrete_Guidance_Free CF" xfId="2789"/>
    <cellStyle name="_Copy of Check_Plan2010 VCS_Sheet1_BS_Separation_TaxResIndem_Q12412 tf_II.7. Sep&amp;Discrete_Guidance_P&amp;L Rec Qtr" xfId="2790"/>
    <cellStyle name="_Copy of Check_Plan2010 VCS_Sheet1_BS_Separation_TaxResIndem_Q12412 tf_II.7. Sep&amp;Discrete_Guidance_Sheet1" xfId="2791"/>
    <cellStyle name="_Copy of Check_Plan2010 VCS_Sheet1_BS_Separation_TaxResIndem_Q12412 tf_II.7. Sep&amp;Discrete_Guidance_Sheet2" xfId="2792"/>
    <cellStyle name="_Copy of Check_Plan2010 VCS_Sheet1_BS_Separation_TaxResIndem_Q12412 tf_II.7. Sep&amp;Discrete_Guidance_Sheet3" xfId="2793"/>
    <cellStyle name="_Copy of Check_Plan2010 VCS_Sheet1_BS_Separation_TaxResIndem_Q12412 tf_II.7. Sep&amp;Discrete_Guidance_Sheet4" xfId="2794"/>
    <cellStyle name="_Copy of Check_Plan2010 VCS_Sheet1_BS_Separation_TaxResIndem_Q12412 tf_Restructuring &amp; Separation" xfId="2795"/>
    <cellStyle name="_Copy of Check_Plan2010 VCS_Sheet1_BS_Separation_TaxResIndem_Q12412 tf_Restructuring &amp; Separation_Guidance" xfId="2796"/>
    <cellStyle name="_Copy of Check_Plan2010 VCS_Sheet1_BS_Separation_TaxResIndem_Q12412 tf_Restructuring &amp; Separation_Guidance 2" xfId="2797"/>
    <cellStyle name="_Copy of Check_Plan2010 VCS_Sheet1_BS_Separation_TaxResIndem_Q12412 tf_Restructuring &amp; Separation_Guidance_BS retrieve" xfId="2798"/>
    <cellStyle name="_Copy of Check_Plan2010 VCS_Sheet1_BS_Separation_TaxResIndem_Q12412 tf_Restructuring &amp; Separation_Guidance_Free CF" xfId="2799"/>
    <cellStyle name="_Copy of Check_Plan2010 VCS_Sheet1_BS_Separation_TaxResIndem_Q12412 tf_Restructuring &amp; Separation_Guidance_P&amp;L Rec Qtr" xfId="2800"/>
    <cellStyle name="_Copy of Check_Plan2010 VCS_Sheet1_BS_Separation_TaxResIndem_Q12412 tf_Restructuring &amp; Separation_Guidance_Sheet1" xfId="2801"/>
    <cellStyle name="_Copy of Check_Plan2010 VCS_Sheet1_BS_Separation_TaxResIndem_Q12412 tf_Restructuring &amp; Separation_Guidance_Sheet2" xfId="2802"/>
    <cellStyle name="_Copy of Check_Plan2010 VCS_Sheet1_BS_Separation_TaxResIndem_Q12412 tf_Restructuring &amp; Separation_Guidance_Sheet3" xfId="2803"/>
    <cellStyle name="_Copy of Check_Plan2010 VCS_Sheet1_BS_Separation_TaxResIndem_Q12412 tf_Restructuring &amp; Separation_Guidance_Sheet4" xfId="2804"/>
    <cellStyle name="_Copy of Check_Plan2010 VCS_Sheet1_BS_Separation_TaxResIndem_Q12412 tf_Restructuring &amp; Separation_II.7. Sep&amp;Discrete" xfId="2805"/>
    <cellStyle name="_Copy of Check_Plan2010 VCS_Sheet1_BS_Separation_TaxResIndem_Q12412 tf_Restructuring &amp; Separation_II.7. Sep&amp;Discrete_Guidance" xfId="2806"/>
    <cellStyle name="_Copy of Check_Plan2010 VCS_Sheet1_BS_Separation_TaxResIndem_Q12412 tf_Restructuring &amp; Separation_II.7. Sep&amp;Discrete_Guidance 2" xfId="2807"/>
    <cellStyle name="_Copy of Check_Plan2010 VCS_Sheet1_BS_Separation_TaxResIndem_Q12412 tf_Restructuring &amp; Separation_II.7. Sep&amp;Discrete_Guidance_BS retrieve" xfId="2808"/>
    <cellStyle name="_Copy of Check_Plan2010 VCS_Sheet1_BS_Separation_TaxResIndem_Q12412 tf_Restructuring &amp; Separation_II.7. Sep&amp;Discrete_Guidance_Free CF" xfId="2809"/>
    <cellStyle name="_Copy of Check_Plan2010 VCS_Sheet1_BS_Separation_TaxResIndem_Q12412 tf_Restructuring &amp; Separation_II.7. Sep&amp;Discrete_Guidance_P&amp;L Rec Qtr" xfId="2810"/>
    <cellStyle name="_Copy of Check_Plan2010 VCS_Sheet1_BS_Separation_TaxResIndem_Q12412 tf_Restructuring &amp; Separation_II.7. Sep&amp;Discrete_Guidance_Sheet1" xfId="2811"/>
    <cellStyle name="_Copy of Check_Plan2010 VCS_Sheet1_BS_Separation_TaxResIndem_Q12412 tf_Restructuring &amp; Separation_II.7. Sep&amp;Discrete_Guidance_Sheet2" xfId="2812"/>
    <cellStyle name="_Copy of Check_Plan2010 VCS_Sheet1_BS_Separation_TaxResIndem_Q12412 tf_Restructuring &amp; Separation_II.7. Sep&amp;Discrete_Guidance_Sheet3" xfId="2813"/>
    <cellStyle name="_Copy of Check_Plan2010 VCS_Sheet1_BS_Separation_TaxResIndem_Q12412 tf_Restructuring &amp; Separation_II.7. Sep&amp;Discrete_Guidance_Sheet4" xfId="2814"/>
    <cellStyle name="_Copy of Check_Plan2010 VCS_Sheet1_Guidance" xfId="2815"/>
    <cellStyle name="_Copy of Check_Plan2010 VCS_Sheet1_Guidance 2" xfId="2816"/>
    <cellStyle name="_Copy of Check_Plan2010 VCS_Sheet1_Guidance_BS retrieve" xfId="2817"/>
    <cellStyle name="_Copy of Check_Plan2010 VCS_Sheet1_Guidance_Free CF" xfId="2818"/>
    <cellStyle name="_Copy of Check_Plan2010 VCS_Sheet1_Guidance_P&amp;L Rec Qtr" xfId="2819"/>
    <cellStyle name="_Copy of Check_Plan2010 VCS_Sheet1_Guidance_Sheet1" xfId="2820"/>
    <cellStyle name="_Copy of Check_Plan2010 VCS_Sheet1_Guidance_Sheet2" xfId="2821"/>
    <cellStyle name="_Copy of Check_Plan2010 VCS_Sheet1_Guidance_Sheet3" xfId="2822"/>
    <cellStyle name="_Copy of Check_Plan2010 VCS_Sheet1_Guidance_Sheet4" xfId="2823"/>
    <cellStyle name="_Copy of Check_Plan2010 VCS_Sheet1_II.7. Sep&amp;Discrete" xfId="2824"/>
    <cellStyle name="_Copy of Check_Plan2010 VCS_Sheet1_II.7. Sep&amp;Discrete_Guidance" xfId="2825"/>
    <cellStyle name="_Copy of Check_Plan2010 VCS_Sheet1_II.7. Sep&amp;Discrete_Guidance 2" xfId="2826"/>
    <cellStyle name="_Copy of Check_Plan2010 VCS_Sheet1_II.7. Sep&amp;Discrete_Guidance_BS retrieve" xfId="2827"/>
    <cellStyle name="_Copy of Check_Plan2010 VCS_Sheet1_II.7. Sep&amp;Discrete_Guidance_Free CF" xfId="2828"/>
    <cellStyle name="_Copy of Check_Plan2010 VCS_Sheet1_II.7. Sep&amp;Discrete_Guidance_P&amp;L Rec Qtr" xfId="2829"/>
    <cellStyle name="_Copy of Check_Plan2010 VCS_Sheet1_II.7. Sep&amp;Discrete_Guidance_Sheet1" xfId="2830"/>
    <cellStyle name="_Copy of Check_Plan2010 VCS_Sheet1_II.7. Sep&amp;Discrete_Guidance_Sheet2" xfId="2831"/>
    <cellStyle name="_Copy of Check_Plan2010 VCS_Sheet1_II.7. Sep&amp;Discrete_Guidance_Sheet3" xfId="2832"/>
    <cellStyle name="_Copy of Check_Plan2010 VCS_Sheet1_II.7. Sep&amp;Discrete_Guidance_Sheet4" xfId="2833"/>
    <cellStyle name="_Copy of Check_Plan2010 VCS_Sheet1_II.8. Sep&amp;Discrete" xfId="2834"/>
    <cellStyle name="_Copy of Check_Plan2010 VCS_Sheet1_II.8. Sep&amp;Discrete_Guidance" xfId="2835"/>
    <cellStyle name="_Copy of Check_Plan2010 VCS_Sheet1_II.8. Sep&amp;Discrete_Guidance 2" xfId="2836"/>
    <cellStyle name="_Copy of Check_Plan2010 VCS_Sheet1_II.8. Sep&amp;Discrete_Guidance_BS retrieve" xfId="2837"/>
    <cellStyle name="_Copy of Check_Plan2010 VCS_Sheet1_II.8. Sep&amp;Discrete_Guidance_Free CF" xfId="2838"/>
    <cellStyle name="_Copy of Check_Plan2010 VCS_Sheet1_II.8. Sep&amp;Discrete_Guidance_P&amp;L Rec Qtr" xfId="2839"/>
    <cellStyle name="_Copy of Check_Plan2010 VCS_Sheet1_II.8. Sep&amp;Discrete_Guidance_Sheet1" xfId="2840"/>
    <cellStyle name="_Copy of Check_Plan2010 VCS_Sheet1_II.8. Sep&amp;Discrete_Guidance_Sheet2" xfId="2841"/>
    <cellStyle name="_Copy of Check_Plan2010 VCS_Sheet1_II.8. Sep&amp;Discrete_Guidance_Sheet3" xfId="2842"/>
    <cellStyle name="_Copy of Check_Plan2010 VCS_Sheet1_II.8. Sep&amp;Discrete_Guidance_Sheet4" xfId="2843"/>
    <cellStyle name="_Copy of Check_Plan2010 VCS_Sheet1_Restructuring &amp; Separation" xfId="2844"/>
    <cellStyle name="_Copy of Check_Plan2010 VCS_Sheet1_Restructuring &amp; Separation_Guidance" xfId="2845"/>
    <cellStyle name="_Copy of Check_Plan2010 VCS_Sheet1_Restructuring &amp; Separation_Guidance 2" xfId="2846"/>
    <cellStyle name="_Copy of Check_Plan2010 VCS_Sheet1_Restructuring &amp; Separation_Guidance_BS retrieve" xfId="2847"/>
    <cellStyle name="_Copy of Check_Plan2010 VCS_Sheet1_Restructuring &amp; Separation_Guidance_Free CF" xfId="2848"/>
    <cellStyle name="_Copy of Check_Plan2010 VCS_Sheet1_Restructuring &amp; Separation_Guidance_P&amp;L Rec Qtr" xfId="2849"/>
    <cellStyle name="_Copy of Check_Plan2010 VCS_Sheet1_Restructuring &amp; Separation_Guidance_Sheet1" xfId="2850"/>
    <cellStyle name="_Copy of Check_Plan2010 VCS_Sheet1_Restructuring &amp; Separation_Guidance_Sheet2" xfId="2851"/>
    <cellStyle name="_Copy of Check_Plan2010 VCS_Sheet1_Restructuring &amp; Separation_Guidance_Sheet3" xfId="2852"/>
    <cellStyle name="_Copy of Check_Plan2010 VCS_Sheet1_Restructuring &amp; Separation_Guidance_Sheet4" xfId="2853"/>
    <cellStyle name="_Copy of Check_Plan2010 VCS_Sheet1_Restructuring &amp; Separation_II.7. Sep&amp;Discrete" xfId="2854"/>
    <cellStyle name="_Copy of Check_Plan2010 VCS_Sheet1_Restructuring &amp; Separation_II.7. Sep&amp;Discrete_Guidance" xfId="2855"/>
    <cellStyle name="_Copy of Check_Plan2010 VCS_Sheet1_Restructuring &amp; Separation_II.7. Sep&amp;Discrete_Guidance 2" xfId="2856"/>
    <cellStyle name="_Copy of Check_Plan2010 VCS_Sheet1_Restructuring &amp; Separation_II.7. Sep&amp;Discrete_Guidance_BS retrieve" xfId="2857"/>
    <cellStyle name="_Copy of Check_Plan2010 VCS_Sheet1_Restructuring &amp; Separation_II.7. Sep&amp;Discrete_Guidance_Free CF" xfId="2858"/>
    <cellStyle name="_Copy of Check_Plan2010 VCS_Sheet1_Restructuring &amp; Separation_II.7. Sep&amp;Discrete_Guidance_P&amp;L Rec Qtr" xfId="2859"/>
    <cellStyle name="_Copy of Check_Plan2010 VCS_Sheet1_Restructuring &amp; Separation_II.7. Sep&amp;Discrete_Guidance_Sheet1" xfId="2860"/>
    <cellStyle name="_Copy of Check_Plan2010 VCS_Sheet1_Restructuring &amp; Separation_II.7. Sep&amp;Discrete_Guidance_Sheet2" xfId="2861"/>
    <cellStyle name="_Copy of Check_Plan2010 VCS_Sheet1_Restructuring &amp; Separation_II.7. Sep&amp;Discrete_Guidance_Sheet3" xfId="2862"/>
    <cellStyle name="_Copy of Check_Plan2010 VCS_Sheet1_Restructuring &amp; Separation_II.7. Sep&amp;Discrete_Guidance_Sheet4" xfId="2863"/>
    <cellStyle name="_Deal Approval Template v42 5-3-05 JWK" xfId="2864"/>
    <cellStyle name="_Deal Approval Template v42 5-3-05 JWK_BS_Separation_TaxResIndem_Q12412 tf" xfId="2865"/>
    <cellStyle name="_Deal Approval Template v42 5-3-05 JWK_BS_Separation_TaxResIndem_Q12412 tf_Guidance" xfId="2866"/>
    <cellStyle name="_Deal Approval Template v42 5-3-05 JWK_BS_Separation_TaxResIndem_Q12412 tf_Guidance 2" xfId="2867"/>
    <cellStyle name="_Deal Approval Template v42 5-3-05 JWK_BS_Separation_TaxResIndem_Q12412 tf_Guidance_BS retrieve" xfId="2868"/>
    <cellStyle name="_Deal Approval Template v42 5-3-05 JWK_BS_Separation_TaxResIndem_Q12412 tf_Guidance_Free CF" xfId="2869"/>
    <cellStyle name="_Deal Approval Template v42 5-3-05 JWK_BS_Separation_TaxResIndem_Q12412 tf_Guidance_P&amp;L Rec Qtr" xfId="2870"/>
    <cellStyle name="_Deal Approval Template v42 5-3-05 JWK_BS_Separation_TaxResIndem_Q12412 tf_Guidance_Sheet1" xfId="2871"/>
    <cellStyle name="_Deal Approval Template v42 5-3-05 JWK_BS_Separation_TaxResIndem_Q12412 tf_Guidance_Sheet2" xfId="2872"/>
    <cellStyle name="_Deal Approval Template v42 5-3-05 JWK_BS_Separation_TaxResIndem_Q12412 tf_Guidance_Sheet3" xfId="2873"/>
    <cellStyle name="_Deal Approval Template v42 5-3-05 JWK_BS_Separation_TaxResIndem_Q12412 tf_Guidance_Sheet4" xfId="2874"/>
    <cellStyle name="_Deal Approval Template v42 5-3-05 JWK_BS_Separation_TaxResIndem_Q12412 tf_II.7. Sep&amp;Discrete" xfId="2875"/>
    <cellStyle name="_Deal Approval Template v42 5-3-05 JWK_BS_Separation_TaxResIndem_Q12412 tf_II.7. Sep&amp;Discrete_Guidance" xfId="2876"/>
    <cellStyle name="_Deal Approval Template v42 5-3-05 JWK_BS_Separation_TaxResIndem_Q12412 tf_II.7. Sep&amp;Discrete_Guidance 2" xfId="2877"/>
    <cellStyle name="_Deal Approval Template v42 5-3-05 JWK_BS_Separation_TaxResIndem_Q12412 tf_II.7. Sep&amp;Discrete_Guidance_BS retrieve" xfId="2878"/>
    <cellStyle name="_Deal Approval Template v42 5-3-05 JWK_BS_Separation_TaxResIndem_Q12412 tf_II.7. Sep&amp;Discrete_Guidance_Free CF" xfId="2879"/>
    <cellStyle name="_Deal Approval Template v42 5-3-05 JWK_BS_Separation_TaxResIndem_Q12412 tf_II.7. Sep&amp;Discrete_Guidance_P&amp;L Rec Qtr" xfId="2880"/>
    <cellStyle name="_Deal Approval Template v42 5-3-05 JWK_BS_Separation_TaxResIndem_Q12412 tf_II.7. Sep&amp;Discrete_Guidance_Sheet1" xfId="2881"/>
    <cellStyle name="_Deal Approval Template v42 5-3-05 JWK_BS_Separation_TaxResIndem_Q12412 tf_II.7. Sep&amp;Discrete_Guidance_Sheet2" xfId="2882"/>
    <cellStyle name="_Deal Approval Template v42 5-3-05 JWK_BS_Separation_TaxResIndem_Q12412 tf_II.7. Sep&amp;Discrete_Guidance_Sheet3" xfId="2883"/>
    <cellStyle name="_Deal Approval Template v42 5-3-05 JWK_BS_Separation_TaxResIndem_Q12412 tf_II.7. Sep&amp;Discrete_Guidance_Sheet4" xfId="2884"/>
    <cellStyle name="_Deal Approval Template v42 5-3-05 JWK_BS_Separation_TaxResIndem_Q12412 tf_Restructuring &amp; Separation" xfId="2885"/>
    <cellStyle name="_Deal Approval Template v42 5-3-05 JWK_BS_Separation_TaxResIndem_Q12412 tf_Restructuring &amp; Separation_Guidance" xfId="2886"/>
    <cellStyle name="_Deal Approval Template v42 5-3-05 JWK_BS_Separation_TaxResIndem_Q12412 tf_Restructuring &amp; Separation_Guidance 2" xfId="2887"/>
    <cellStyle name="_Deal Approval Template v42 5-3-05 JWK_BS_Separation_TaxResIndem_Q12412 tf_Restructuring &amp; Separation_Guidance_BS retrieve" xfId="2888"/>
    <cellStyle name="_Deal Approval Template v42 5-3-05 JWK_BS_Separation_TaxResIndem_Q12412 tf_Restructuring &amp; Separation_Guidance_Free CF" xfId="2889"/>
    <cellStyle name="_Deal Approval Template v42 5-3-05 JWK_BS_Separation_TaxResIndem_Q12412 tf_Restructuring &amp; Separation_Guidance_P&amp;L Rec Qtr" xfId="2890"/>
    <cellStyle name="_Deal Approval Template v42 5-3-05 JWK_BS_Separation_TaxResIndem_Q12412 tf_Restructuring &amp; Separation_Guidance_Sheet1" xfId="2891"/>
    <cellStyle name="_Deal Approval Template v42 5-3-05 JWK_BS_Separation_TaxResIndem_Q12412 tf_Restructuring &amp; Separation_Guidance_Sheet2" xfId="2892"/>
    <cellStyle name="_Deal Approval Template v42 5-3-05 JWK_BS_Separation_TaxResIndem_Q12412 tf_Restructuring &amp; Separation_Guidance_Sheet3" xfId="2893"/>
    <cellStyle name="_Deal Approval Template v42 5-3-05 JWK_BS_Separation_TaxResIndem_Q12412 tf_Restructuring &amp; Separation_Guidance_Sheet4" xfId="2894"/>
    <cellStyle name="_Deal Approval Template v42 5-3-05 JWK_BS_Separation_TaxResIndem_Q12412 tf_Restructuring &amp; Separation_II.7. Sep&amp;Discrete" xfId="2895"/>
    <cellStyle name="_Deal Approval Template v42 5-3-05 JWK_BS_Separation_TaxResIndem_Q12412 tf_Restructuring &amp; Separation_II.7. Sep&amp;Discrete_Guidance" xfId="2896"/>
    <cellStyle name="_Deal Approval Template v42 5-3-05 JWK_BS_Separation_TaxResIndem_Q12412 tf_Restructuring &amp; Separation_II.7. Sep&amp;Discrete_Guidance 2" xfId="2897"/>
    <cellStyle name="_Deal Approval Template v42 5-3-05 JWK_BS_Separation_TaxResIndem_Q12412 tf_Restructuring &amp; Separation_II.7. Sep&amp;Discrete_Guidance_BS retrieve" xfId="2898"/>
    <cellStyle name="_Deal Approval Template v42 5-3-05 JWK_BS_Separation_TaxResIndem_Q12412 tf_Restructuring &amp; Separation_II.7. Sep&amp;Discrete_Guidance_Free CF" xfId="2899"/>
    <cellStyle name="_Deal Approval Template v42 5-3-05 JWK_BS_Separation_TaxResIndem_Q12412 tf_Restructuring &amp; Separation_II.7. Sep&amp;Discrete_Guidance_P&amp;L Rec Qtr" xfId="2900"/>
    <cellStyle name="_Deal Approval Template v42 5-3-05 JWK_BS_Separation_TaxResIndem_Q12412 tf_Restructuring &amp; Separation_II.7. Sep&amp;Discrete_Guidance_Sheet1" xfId="2901"/>
    <cellStyle name="_Deal Approval Template v42 5-3-05 JWK_BS_Separation_TaxResIndem_Q12412 tf_Restructuring &amp; Separation_II.7. Sep&amp;Discrete_Guidance_Sheet2" xfId="2902"/>
    <cellStyle name="_Deal Approval Template v42 5-3-05 JWK_BS_Separation_TaxResIndem_Q12412 tf_Restructuring &amp; Separation_II.7. Sep&amp;Discrete_Guidance_Sheet3" xfId="2903"/>
    <cellStyle name="_Deal Approval Template v42 5-3-05 JWK_BS_Separation_TaxResIndem_Q12412 tf_Restructuring &amp; Separation_II.7. Sep&amp;Discrete_Guidance_Sheet4" xfId="2904"/>
    <cellStyle name="_Deal Approval Template v42 5-3-05 JWK_Deferred tax MarchFC 2011" xfId="2905"/>
    <cellStyle name="_Deal Approval Template v42 5-3-05 JWK_Deferred tax MarchFC 2011_BS_Separation_TaxResIndem_Q12412 tf" xfId="2906"/>
    <cellStyle name="_Deal Approval Template v42 5-3-05 JWK_Deferred tax MarchFC 2011_BS_Separation_TaxResIndem_Q12412 tf_Guidance" xfId="2907"/>
    <cellStyle name="_Deal Approval Template v42 5-3-05 JWK_Deferred tax MarchFC 2011_BS_Separation_TaxResIndem_Q12412 tf_Guidance 2" xfId="2908"/>
    <cellStyle name="_Deal Approval Template v42 5-3-05 JWK_Deferred tax MarchFC 2011_BS_Separation_TaxResIndem_Q12412 tf_Guidance_BS retrieve" xfId="2909"/>
    <cellStyle name="_Deal Approval Template v42 5-3-05 JWK_Deferred tax MarchFC 2011_BS_Separation_TaxResIndem_Q12412 tf_Guidance_Free CF" xfId="2910"/>
    <cellStyle name="_Deal Approval Template v42 5-3-05 JWK_Deferred tax MarchFC 2011_BS_Separation_TaxResIndem_Q12412 tf_Guidance_P&amp;L Rec Qtr" xfId="2911"/>
    <cellStyle name="_Deal Approval Template v42 5-3-05 JWK_Deferred tax MarchFC 2011_BS_Separation_TaxResIndem_Q12412 tf_Guidance_Sheet1" xfId="2912"/>
    <cellStyle name="_Deal Approval Template v42 5-3-05 JWK_Deferred tax MarchFC 2011_BS_Separation_TaxResIndem_Q12412 tf_Guidance_Sheet2" xfId="2913"/>
    <cellStyle name="_Deal Approval Template v42 5-3-05 JWK_Deferred tax MarchFC 2011_BS_Separation_TaxResIndem_Q12412 tf_Guidance_Sheet3" xfId="2914"/>
    <cellStyle name="_Deal Approval Template v42 5-3-05 JWK_Deferred tax MarchFC 2011_BS_Separation_TaxResIndem_Q12412 tf_Guidance_Sheet4" xfId="2915"/>
    <cellStyle name="_Deal Approval Template v42 5-3-05 JWK_Deferred tax MarchFC 2011_BS_Separation_TaxResIndem_Q12412 tf_II.7. Sep&amp;Discrete" xfId="2916"/>
    <cellStyle name="_Deal Approval Template v42 5-3-05 JWK_Deferred tax MarchFC 2011_BS_Separation_TaxResIndem_Q12412 tf_II.7. Sep&amp;Discrete_Guidance" xfId="2917"/>
    <cellStyle name="_Deal Approval Template v42 5-3-05 JWK_Deferred tax MarchFC 2011_BS_Separation_TaxResIndem_Q12412 tf_II.7. Sep&amp;Discrete_Guidance 2" xfId="2918"/>
    <cellStyle name="_Deal Approval Template v42 5-3-05 JWK_Deferred tax MarchFC 2011_BS_Separation_TaxResIndem_Q12412 tf_II.7. Sep&amp;Discrete_Guidance_BS retrieve" xfId="2919"/>
    <cellStyle name="_Deal Approval Template v42 5-3-05 JWK_Deferred tax MarchFC 2011_BS_Separation_TaxResIndem_Q12412 tf_II.7. Sep&amp;Discrete_Guidance_Free CF" xfId="2920"/>
    <cellStyle name="_Deal Approval Template v42 5-3-05 JWK_Deferred tax MarchFC 2011_BS_Separation_TaxResIndem_Q12412 tf_II.7. Sep&amp;Discrete_Guidance_P&amp;L Rec Qtr" xfId="2921"/>
    <cellStyle name="_Deal Approval Template v42 5-3-05 JWK_Deferred tax MarchFC 2011_BS_Separation_TaxResIndem_Q12412 tf_II.7. Sep&amp;Discrete_Guidance_Sheet1" xfId="2922"/>
    <cellStyle name="_Deal Approval Template v42 5-3-05 JWK_Deferred tax MarchFC 2011_BS_Separation_TaxResIndem_Q12412 tf_II.7. Sep&amp;Discrete_Guidance_Sheet2" xfId="2923"/>
    <cellStyle name="_Deal Approval Template v42 5-3-05 JWK_Deferred tax MarchFC 2011_BS_Separation_TaxResIndem_Q12412 tf_II.7. Sep&amp;Discrete_Guidance_Sheet3" xfId="2924"/>
    <cellStyle name="_Deal Approval Template v42 5-3-05 JWK_Deferred tax MarchFC 2011_BS_Separation_TaxResIndem_Q12412 tf_II.7. Sep&amp;Discrete_Guidance_Sheet4" xfId="2925"/>
    <cellStyle name="_Deal Approval Template v42 5-3-05 JWK_Deferred tax MarchFC 2011_BS_Separation_TaxResIndem_Q12412 tf_Restructuring &amp; Separation" xfId="2926"/>
    <cellStyle name="_Deal Approval Template v42 5-3-05 JWK_Deferred tax MarchFC 2011_BS_Separation_TaxResIndem_Q12412 tf_Restructuring &amp; Separation_Guidance" xfId="2927"/>
    <cellStyle name="_Deal Approval Template v42 5-3-05 JWK_Deferred tax MarchFC 2011_BS_Separation_TaxResIndem_Q12412 tf_Restructuring &amp; Separation_Guidance 2" xfId="2928"/>
    <cellStyle name="_Deal Approval Template v42 5-3-05 JWK_Deferred tax MarchFC 2011_BS_Separation_TaxResIndem_Q12412 tf_Restructuring &amp; Separation_Guidance_BS retrieve" xfId="2929"/>
    <cellStyle name="_Deal Approval Template v42 5-3-05 JWK_Deferred tax MarchFC 2011_BS_Separation_TaxResIndem_Q12412 tf_Restructuring &amp; Separation_Guidance_Free CF" xfId="2930"/>
    <cellStyle name="_Deal Approval Template v42 5-3-05 JWK_Deferred tax MarchFC 2011_BS_Separation_TaxResIndem_Q12412 tf_Restructuring &amp; Separation_Guidance_P&amp;L Rec Qtr" xfId="2931"/>
    <cellStyle name="_Deal Approval Template v42 5-3-05 JWK_Deferred tax MarchFC 2011_BS_Separation_TaxResIndem_Q12412 tf_Restructuring &amp; Separation_Guidance_Sheet1" xfId="2932"/>
    <cellStyle name="_Deal Approval Template v42 5-3-05 JWK_Deferred tax MarchFC 2011_BS_Separation_TaxResIndem_Q12412 tf_Restructuring &amp; Separation_Guidance_Sheet2" xfId="2933"/>
    <cellStyle name="_Deal Approval Template v42 5-3-05 JWK_Deferred tax MarchFC 2011_BS_Separation_TaxResIndem_Q12412 tf_Restructuring &amp; Separation_Guidance_Sheet3" xfId="2934"/>
    <cellStyle name="_Deal Approval Template v42 5-3-05 JWK_Deferred tax MarchFC 2011_BS_Separation_TaxResIndem_Q12412 tf_Restructuring &amp; Separation_Guidance_Sheet4" xfId="2935"/>
    <cellStyle name="_Deal Approval Template v42 5-3-05 JWK_Deferred tax MarchFC 2011_BS_Separation_TaxResIndem_Q12412 tf_Restructuring &amp; Separation_II.7. Sep&amp;Discrete" xfId="2936"/>
    <cellStyle name="_Deal Approval Template v42 5-3-05 JWK_Deferred tax MarchFC 2011_BS_Separation_TaxResIndem_Q12412 tf_Restructuring &amp; Separation_II.7. Sep&amp;Discrete_Guidance" xfId="2937"/>
    <cellStyle name="_Deal Approval Template v42 5-3-05 JWK_Deferred tax MarchFC 2011_BS_Separation_TaxResIndem_Q12412 tf_Restructuring &amp; Separation_II.7. Sep&amp;Discrete_Guidance 2" xfId="2938"/>
    <cellStyle name="_Deal Approval Template v42 5-3-05 JWK_Deferred tax MarchFC 2011_BS_Separation_TaxResIndem_Q12412 tf_Restructuring &amp; Separation_II.7. Sep&amp;Discrete_Guidance_BS retrieve" xfId="2939"/>
    <cellStyle name="_Deal Approval Template v42 5-3-05 JWK_Deferred tax MarchFC 2011_BS_Separation_TaxResIndem_Q12412 tf_Restructuring &amp; Separation_II.7. Sep&amp;Discrete_Guidance_Free CF" xfId="2940"/>
    <cellStyle name="_Deal Approval Template v42 5-3-05 JWK_Deferred tax MarchFC 2011_BS_Separation_TaxResIndem_Q12412 tf_Restructuring &amp; Separation_II.7. Sep&amp;Discrete_Guidance_P&amp;L Rec Qtr" xfId="2941"/>
    <cellStyle name="_Deal Approval Template v42 5-3-05 JWK_Deferred tax MarchFC 2011_BS_Separation_TaxResIndem_Q12412 tf_Restructuring &amp; Separation_II.7. Sep&amp;Discrete_Guidance_Sheet1" xfId="2942"/>
    <cellStyle name="_Deal Approval Template v42 5-3-05 JWK_Deferred tax MarchFC 2011_BS_Separation_TaxResIndem_Q12412 tf_Restructuring &amp; Separation_II.7. Sep&amp;Discrete_Guidance_Sheet2" xfId="2943"/>
    <cellStyle name="_Deal Approval Template v42 5-3-05 JWK_Deferred tax MarchFC 2011_BS_Separation_TaxResIndem_Q12412 tf_Restructuring &amp; Separation_II.7. Sep&amp;Discrete_Guidance_Sheet3" xfId="2944"/>
    <cellStyle name="_Deal Approval Template v42 5-3-05 JWK_Deferred tax MarchFC 2011_BS_Separation_TaxResIndem_Q12412 tf_Restructuring &amp; Separation_II.7. Sep&amp;Discrete_Guidance_Sheet4" xfId="2945"/>
    <cellStyle name="_Deal Approval Template v42 5-3-05 JWK_Deferred tax MarchFC 2011_Guidance" xfId="2946"/>
    <cellStyle name="_Deal Approval Template v42 5-3-05 JWK_Deferred tax MarchFC 2011_Guidance 2" xfId="2947"/>
    <cellStyle name="_Deal Approval Template v42 5-3-05 JWK_Deferred tax MarchFC 2011_Guidance_BS retrieve" xfId="2948"/>
    <cellStyle name="_Deal Approval Template v42 5-3-05 JWK_Deferred tax MarchFC 2011_Guidance_Free CF" xfId="2949"/>
    <cellStyle name="_Deal Approval Template v42 5-3-05 JWK_Deferred tax MarchFC 2011_Guidance_P&amp;L Rec Qtr" xfId="2950"/>
    <cellStyle name="_Deal Approval Template v42 5-3-05 JWK_Deferred tax MarchFC 2011_Guidance_Sheet1" xfId="2951"/>
    <cellStyle name="_Deal Approval Template v42 5-3-05 JWK_Deferred tax MarchFC 2011_Guidance_Sheet2" xfId="2952"/>
    <cellStyle name="_Deal Approval Template v42 5-3-05 JWK_Deferred tax MarchFC 2011_Guidance_Sheet3" xfId="2953"/>
    <cellStyle name="_Deal Approval Template v42 5-3-05 JWK_Deferred tax MarchFC 2011_Guidance_Sheet4" xfId="2954"/>
    <cellStyle name="_Deal Approval Template v42 5-3-05 JWK_Deferred tax MarchFC 2011_II.7. Sep&amp;Discrete" xfId="2955"/>
    <cellStyle name="_Deal Approval Template v42 5-3-05 JWK_Deferred tax MarchFC 2011_II.7. Sep&amp;Discrete_Guidance" xfId="2956"/>
    <cellStyle name="_Deal Approval Template v42 5-3-05 JWK_Deferred tax MarchFC 2011_II.7. Sep&amp;Discrete_Guidance 2" xfId="2957"/>
    <cellStyle name="_Deal Approval Template v42 5-3-05 JWK_Deferred tax MarchFC 2011_II.7. Sep&amp;Discrete_Guidance_BS retrieve" xfId="2958"/>
    <cellStyle name="_Deal Approval Template v42 5-3-05 JWK_Deferred tax MarchFC 2011_II.7. Sep&amp;Discrete_Guidance_Free CF" xfId="2959"/>
    <cellStyle name="_Deal Approval Template v42 5-3-05 JWK_Deferred tax MarchFC 2011_II.7. Sep&amp;Discrete_Guidance_P&amp;L Rec Qtr" xfId="2960"/>
    <cellStyle name="_Deal Approval Template v42 5-3-05 JWK_Deferred tax MarchFC 2011_II.7. Sep&amp;Discrete_Guidance_Sheet1" xfId="2961"/>
    <cellStyle name="_Deal Approval Template v42 5-3-05 JWK_Deferred tax MarchFC 2011_II.7. Sep&amp;Discrete_Guidance_Sheet2" xfId="2962"/>
    <cellStyle name="_Deal Approval Template v42 5-3-05 JWK_Deferred tax MarchFC 2011_II.7. Sep&amp;Discrete_Guidance_Sheet3" xfId="2963"/>
    <cellStyle name="_Deal Approval Template v42 5-3-05 JWK_Deferred tax MarchFC 2011_II.7. Sep&amp;Discrete_Guidance_Sheet4" xfId="2964"/>
    <cellStyle name="_Deal Approval Template v42 5-3-05 JWK_Deferred tax MarchFC 2011_II.8. Sep&amp;Discrete" xfId="2965"/>
    <cellStyle name="_Deal Approval Template v42 5-3-05 JWK_Deferred tax MarchFC 2011_II.8. Sep&amp;Discrete_Guidance" xfId="2966"/>
    <cellStyle name="_Deal Approval Template v42 5-3-05 JWK_Deferred tax MarchFC 2011_II.8. Sep&amp;Discrete_Guidance 2" xfId="2967"/>
    <cellStyle name="_Deal Approval Template v42 5-3-05 JWK_Deferred tax MarchFC 2011_II.8. Sep&amp;Discrete_Guidance_BS retrieve" xfId="2968"/>
    <cellStyle name="_Deal Approval Template v42 5-3-05 JWK_Deferred tax MarchFC 2011_II.8. Sep&amp;Discrete_Guidance_Free CF" xfId="2969"/>
    <cellStyle name="_Deal Approval Template v42 5-3-05 JWK_Deferred tax MarchFC 2011_II.8. Sep&amp;Discrete_Guidance_P&amp;L Rec Qtr" xfId="2970"/>
    <cellStyle name="_Deal Approval Template v42 5-3-05 JWK_Deferred tax MarchFC 2011_II.8. Sep&amp;Discrete_Guidance_Sheet1" xfId="2971"/>
    <cellStyle name="_Deal Approval Template v42 5-3-05 JWK_Deferred tax MarchFC 2011_II.8. Sep&amp;Discrete_Guidance_Sheet2" xfId="2972"/>
    <cellStyle name="_Deal Approval Template v42 5-3-05 JWK_Deferred tax MarchFC 2011_II.8. Sep&amp;Discrete_Guidance_Sheet3" xfId="2973"/>
    <cellStyle name="_Deal Approval Template v42 5-3-05 JWK_Deferred tax MarchFC 2011_II.8. Sep&amp;Discrete_Guidance_Sheet4" xfId="2974"/>
    <cellStyle name="_Deal Approval Template v42 5-3-05 JWK_Deferred tax MarchFC 2011_Restructuring &amp; Separation" xfId="2975"/>
    <cellStyle name="_Deal Approval Template v42 5-3-05 JWK_Deferred tax MarchFC 2011_Restructuring &amp; Separation_Guidance" xfId="2976"/>
    <cellStyle name="_Deal Approval Template v42 5-3-05 JWK_Deferred tax MarchFC 2011_Restructuring &amp; Separation_Guidance 2" xfId="2977"/>
    <cellStyle name="_Deal Approval Template v42 5-3-05 JWK_Deferred tax MarchFC 2011_Restructuring &amp; Separation_Guidance_BS retrieve" xfId="2978"/>
    <cellStyle name="_Deal Approval Template v42 5-3-05 JWK_Deferred tax MarchFC 2011_Restructuring &amp; Separation_Guidance_Free CF" xfId="2979"/>
    <cellStyle name="_Deal Approval Template v42 5-3-05 JWK_Deferred tax MarchFC 2011_Restructuring &amp; Separation_Guidance_P&amp;L Rec Qtr" xfId="2980"/>
    <cellStyle name="_Deal Approval Template v42 5-3-05 JWK_Deferred tax MarchFC 2011_Restructuring &amp; Separation_Guidance_Sheet1" xfId="2981"/>
    <cellStyle name="_Deal Approval Template v42 5-3-05 JWK_Deferred tax MarchFC 2011_Restructuring &amp; Separation_Guidance_Sheet2" xfId="2982"/>
    <cellStyle name="_Deal Approval Template v42 5-3-05 JWK_Deferred tax MarchFC 2011_Restructuring &amp; Separation_Guidance_Sheet3" xfId="2983"/>
    <cellStyle name="_Deal Approval Template v42 5-3-05 JWK_Deferred tax MarchFC 2011_Restructuring &amp; Separation_Guidance_Sheet4" xfId="2984"/>
    <cellStyle name="_Deal Approval Template v42 5-3-05 JWK_Deferred tax MarchFC 2011_Restructuring &amp; Separation_II.7. Sep&amp;Discrete" xfId="2985"/>
    <cellStyle name="_Deal Approval Template v42 5-3-05 JWK_Deferred tax MarchFC 2011_Restructuring &amp; Separation_II.7. Sep&amp;Discrete_Guidance" xfId="2986"/>
    <cellStyle name="_Deal Approval Template v42 5-3-05 JWK_Deferred tax MarchFC 2011_Restructuring &amp; Separation_II.7. Sep&amp;Discrete_Guidance 2" xfId="2987"/>
    <cellStyle name="_Deal Approval Template v42 5-3-05 JWK_Deferred tax MarchFC 2011_Restructuring &amp; Separation_II.7. Sep&amp;Discrete_Guidance_BS retrieve" xfId="2988"/>
    <cellStyle name="_Deal Approval Template v42 5-3-05 JWK_Deferred tax MarchFC 2011_Restructuring &amp; Separation_II.7. Sep&amp;Discrete_Guidance_Free CF" xfId="2989"/>
    <cellStyle name="_Deal Approval Template v42 5-3-05 JWK_Deferred tax MarchFC 2011_Restructuring &amp; Separation_II.7. Sep&amp;Discrete_Guidance_P&amp;L Rec Qtr" xfId="2990"/>
    <cellStyle name="_Deal Approval Template v42 5-3-05 JWK_Deferred tax MarchFC 2011_Restructuring &amp; Separation_II.7. Sep&amp;Discrete_Guidance_Sheet1" xfId="2991"/>
    <cellStyle name="_Deal Approval Template v42 5-3-05 JWK_Deferred tax MarchFC 2011_Restructuring &amp; Separation_II.7. Sep&amp;Discrete_Guidance_Sheet2" xfId="2992"/>
    <cellStyle name="_Deal Approval Template v42 5-3-05 JWK_Deferred tax MarchFC 2011_Restructuring &amp; Separation_II.7. Sep&amp;Discrete_Guidance_Sheet3" xfId="2993"/>
    <cellStyle name="_Deal Approval Template v42 5-3-05 JWK_Deferred tax MarchFC 2011_Restructuring &amp; Separation_II.7. Sep&amp;Discrete_Guidance_Sheet4" xfId="2994"/>
    <cellStyle name="_Deal Approval Template v42 5-3-05 JWK_Guidance" xfId="2995"/>
    <cellStyle name="_Deal Approval Template v42 5-3-05 JWK_Guidance 2" xfId="2996"/>
    <cellStyle name="_Deal Approval Template v42 5-3-05 JWK_Guidance_BS retrieve" xfId="2997"/>
    <cellStyle name="_Deal Approval Template v42 5-3-05 JWK_Guidance_Free CF" xfId="2998"/>
    <cellStyle name="_Deal Approval Template v42 5-3-05 JWK_Guidance_P&amp;L Rec Qtr" xfId="2999"/>
    <cellStyle name="_Deal Approval Template v42 5-3-05 JWK_Guidance_Sheet1" xfId="3000"/>
    <cellStyle name="_Deal Approval Template v42 5-3-05 JWK_Guidance_Sheet2" xfId="3001"/>
    <cellStyle name="_Deal Approval Template v42 5-3-05 JWK_Guidance_Sheet3" xfId="3002"/>
    <cellStyle name="_Deal Approval Template v42 5-3-05 JWK_Guidance_Sheet4" xfId="3003"/>
    <cellStyle name="_Deal Approval Template v42 5-3-05 JWK_II.7. Sep&amp;Discrete" xfId="3004"/>
    <cellStyle name="_Deal Approval Template v42 5-3-05 JWK_II.7. Sep&amp;Discrete_Guidance" xfId="3005"/>
    <cellStyle name="_Deal Approval Template v42 5-3-05 JWK_II.7. Sep&amp;Discrete_Guidance 2" xfId="3006"/>
    <cellStyle name="_Deal Approval Template v42 5-3-05 JWK_II.7. Sep&amp;Discrete_Guidance_BS retrieve" xfId="3007"/>
    <cellStyle name="_Deal Approval Template v42 5-3-05 JWK_II.7. Sep&amp;Discrete_Guidance_Free CF" xfId="3008"/>
    <cellStyle name="_Deal Approval Template v42 5-3-05 JWK_II.7. Sep&amp;Discrete_Guidance_P&amp;L Rec Qtr" xfId="3009"/>
    <cellStyle name="_Deal Approval Template v42 5-3-05 JWK_II.7. Sep&amp;Discrete_Guidance_Sheet1" xfId="3010"/>
    <cellStyle name="_Deal Approval Template v42 5-3-05 JWK_II.7. Sep&amp;Discrete_Guidance_Sheet2" xfId="3011"/>
    <cellStyle name="_Deal Approval Template v42 5-3-05 JWK_II.7. Sep&amp;Discrete_Guidance_Sheet3" xfId="3012"/>
    <cellStyle name="_Deal Approval Template v42 5-3-05 JWK_II.7. Sep&amp;Discrete_Guidance_Sheet4" xfId="3013"/>
    <cellStyle name="_Deal Approval Template v42 5-3-05 JWK_II.8. Sep&amp;Discrete" xfId="3014"/>
    <cellStyle name="_Deal Approval Template v42 5-3-05 JWK_II.8. Sep&amp;Discrete_Guidance" xfId="3015"/>
    <cellStyle name="_Deal Approval Template v42 5-3-05 JWK_II.8. Sep&amp;Discrete_Guidance 2" xfId="3016"/>
    <cellStyle name="_Deal Approval Template v42 5-3-05 JWK_II.8. Sep&amp;Discrete_Guidance_BS retrieve" xfId="3017"/>
    <cellStyle name="_Deal Approval Template v42 5-3-05 JWK_II.8. Sep&amp;Discrete_Guidance_Free CF" xfId="3018"/>
    <cellStyle name="_Deal Approval Template v42 5-3-05 JWK_II.8. Sep&amp;Discrete_Guidance_P&amp;L Rec Qtr" xfId="3019"/>
    <cellStyle name="_Deal Approval Template v42 5-3-05 JWK_II.8. Sep&amp;Discrete_Guidance_Sheet1" xfId="3020"/>
    <cellStyle name="_Deal Approval Template v42 5-3-05 JWK_II.8. Sep&amp;Discrete_Guidance_Sheet2" xfId="3021"/>
    <cellStyle name="_Deal Approval Template v42 5-3-05 JWK_II.8. Sep&amp;Discrete_Guidance_Sheet3" xfId="3022"/>
    <cellStyle name="_Deal Approval Template v42 5-3-05 JWK_II.8. Sep&amp;Discrete_Guidance_Sheet4" xfId="3023"/>
    <cellStyle name="_Deal Approval Template v42 5-3-05 JWK_Restructuring &amp; Separation" xfId="3024"/>
    <cellStyle name="_Deal Approval Template v42 5-3-05 JWK_Restructuring &amp; Separation_Guidance" xfId="3025"/>
    <cellStyle name="_Deal Approval Template v42 5-3-05 JWK_Restructuring &amp; Separation_Guidance 2" xfId="3026"/>
    <cellStyle name="_Deal Approval Template v42 5-3-05 JWK_Restructuring &amp; Separation_Guidance_BS retrieve" xfId="3027"/>
    <cellStyle name="_Deal Approval Template v42 5-3-05 JWK_Restructuring &amp; Separation_Guidance_Free CF" xfId="3028"/>
    <cellStyle name="_Deal Approval Template v42 5-3-05 JWK_Restructuring &amp; Separation_Guidance_P&amp;L Rec Qtr" xfId="3029"/>
    <cellStyle name="_Deal Approval Template v42 5-3-05 JWK_Restructuring &amp; Separation_Guidance_Sheet1" xfId="3030"/>
    <cellStyle name="_Deal Approval Template v42 5-3-05 JWK_Restructuring &amp; Separation_Guidance_Sheet2" xfId="3031"/>
    <cellStyle name="_Deal Approval Template v42 5-3-05 JWK_Restructuring &amp; Separation_Guidance_Sheet3" xfId="3032"/>
    <cellStyle name="_Deal Approval Template v42 5-3-05 JWK_Restructuring &amp; Separation_Guidance_Sheet4" xfId="3033"/>
    <cellStyle name="_Deal Approval Template v42 5-3-05 JWK_Restructuring &amp; Separation_II.7. Sep&amp;Discrete" xfId="3034"/>
    <cellStyle name="_Deal Approval Template v42 5-3-05 JWK_Restructuring &amp; Separation_II.7. Sep&amp;Discrete_Guidance" xfId="3035"/>
    <cellStyle name="_Deal Approval Template v42 5-3-05 JWK_Restructuring &amp; Separation_II.7. Sep&amp;Discrete_Guidance 2" xfId="3036"/>
    <cellStyle name="_Deal Approval Template v42 5-3-05 JWK_Restructuring &amp; Separation_II.7. Sep&amp;Discrete_Guidance_BS retrieve" xfId="3037"/>
    <cellStyle name="_Deal Approval Template v42 5-3-05 JWK_Restructuring &amp; Separation_II.7. Sep&amp;Discrete_Guidance_Free CF" xfId="3038"/>
    <cellStyle name="_Deal Approval Template v42 5-3-05 JWK_Restructuring &amp; Separation_II.7. Sep&amp;Discrete_Guidance_P&amp;L Rec Qtr" xfId="3039"/>
    <cellStyle name="_Deal Approval Template v42 5-3-05 JWK_Restructuring &amp; Separation_II.7. Sep&amp;Discrete_Guidance_Sheet1" xfId="3040"/>
    <cellStyle name="_Deal Approval Template v42 5-3-05 JWK_Restructuring &amp; Separation_II.7. Sep&amp;Discrete_Guidance_Sheet2" xfId="3041"/>
    <cellStyle name="_Deal Approval Template v42 5-3-05 JWK_Restructuring &amp; Separation_II.7. Sep&amp;Discrete_Guidance_Sheet3" xfId="3042"/>
    <cellStyle name="_Deal Approval Template v42 5-3-05 JWK_Restructuring &amp; Separation_II.7. Sep&amp;Discrete_Guidance_Sheet4" xfId="3043"/>
    <cellStyle name="_Deal Approval Template v42 5-3-05 JWK_Sheet1" xfId="3044"/>
    <cellStyle name="_Deal Approval Template v42 5-3-05 JWK_Sheet1_1" xfId="3045"/>
    <cellStyle name="_Deal Approval Template v42 5-3-05 JWK_Sheet1_1_Guidance" xfId="3046"/>
    <cellStyle name="_Deal Approval Template v42 5-3-05 JWK_Sheet1_1_Guidance 2" xfId="3047"/>
    <cellStyle name="_Deal Approval Template v42 5-3-05 JWK_Sheet1_1_Guidance_BS retrieve" xfId="3048"/>
    <cellStyle name="_Deal Approval Template v42 5-3-05 JWK_Sheet1_1_Guidance_Free CF" xfId="3049"/>
    <cellStyle name="_Deal Approval Template v42 5-3-05 JWK_Sheet1_1_Guidance_P&amp;L Rec Qtr" xfId="3050"/>
    <cellStyle name="_Deal Approval Template v42 5-3-05 JWK_Sheet1_1_Guidance_Sheet1" xfId="3051"/>
    <cellStyle name="_Deal Approval Template v42 5-3-05 JWK_Sheet1_1_Guidance_Sheet2" xfId="3052"/>
    <cellStyle name="_Deal Approval Template v42 5-3-05 JWK_Sheet1_1_Guidance_Sheet3" xfId="3053"/>
    <cellStyle name="_Deal Approval Template v42 5-3-05 JWK_Sheet1_1_Guidance_Sheet4" xfId="3054"/>
    <cellStyle name="_Deal Approval Template v42 5-3-05 JWK_Sheet1_1_II.7. Sep&amp;Discrete" xfId="3055"/>
    <cellStyle name="_Deal Approval Template v42 5-3-05 JWK_Sheet1_1_II.7. Sep&amp;Discrete_Guidance" xfId="3056"/>
    <cellStyle name="_Deal Approval Template v42 5-3-05 JWK_Sheet1_1_II.7. Sep&amp;Discrete_Guidance 2" xfId="3057"/>
    <cellStyle name="_Deal Approval Template v42 5-3-05 JWK_Sheet1_1_II.7. Sep&amp;Discrete_Guidance_BS retrieve" xfId="3058"/>
    <cellStyle name="_Deal Approval Template v42 5-3-05 JWK_Sheet1_1_II.7. Sep&amp;Discrete_Guidance_Free CF" xfId="3059"/>
    <cellStyle name="_Deal Approval Template v42 5-3-05 JWK_Sheet1_1_II.7. Sep&amp;Discrete_Guidance_P&amp;L Rec Qtr" xfId="3060"/>
    <cellStyle name="_Deal Approval Template v42 5-3-05 JWK_Sheet1_1_II.7. Sep&amp;Discrete_Guidance_Sheet1" xfId="3061"/>
    <cellStyle name="_Deal Approval Template v42 5-3-05 JWK_Sheet1_1_II.7. Sep&amp;Discrete_Guidance_Sheet2" xfId="3062"/>
    <cellStyle name="_Deal Approval Template v42 5-3-05 JWK_Sheet1_1_II.7. Sep&amp;Discrete_Guidance_Sheet3" xfId="3063"/>
    <cellStyle name="_Deal Approval Template v42 5-3-05 JWK_Sheet1_1_II.7. Sep&amp;Discrete_Guidance_Sheet4" xfId="3064"/>
    <cellStyle name="_Deal Approval Template v42 5-3-05 JWK_Sheet1_1_Restructuring &amp; Separation" xfId="3065"/>
    <cellStyle name="_Deal Approval Template v42 5-3-05 JWK_Sheet1_1_Restructuring &amp; Separation_Guidance" xfId="3066"/>
    <cellStyle name="_Deal Approval Template v42 5-3-05 JWK_Sheet1_1_Restructuring &amp; Separation_Guidance 2" xfId="3067"/>
    <cellStyle name="_Deal Approval Template v42 5-3-05 JWK_Sheet1_1_Restructuring &amp; Separation_Guidance_BS retrieve" xfId="3068"/>
    <cellStyle name="_Deal Approval Template v42 5-3-05 JWK_Sheet1_1_Restructuring &amp; Separation_Guidance_Free CF" xfId="3069"/>
    <cellStyle name="_Deal Approval Template v42 5-3-05 JWK_Sheet1_1_Restructuring &amp; Separation_Guidance_P&amp;L Rec Qtr" xfId="3070"/>
    <cellStyle name="_Deal Approval Template v42 5-3-05 JWK_Sheet1_1_Restructuring &amp; Separation_Guidance_Sheet1" xfId="3071"/>
    <cellStyle name="_Deal Approval Template v42 5-3-05 JWK_Sheet1_1_Restructuring &amp; Separation_Guidance_Sheet2" xfId="3072"/>
    <cellStyle name="_Deal Approval Template v42 5-3-05 JWK_Sheet1_1_Restructuring &amp; Separation_Guidance_Sheet3" xfId="3073"/>
    <cellStyle name="_Deal Approval Template v42 5-3-05 JWK_Sheet1_1_Restructuring &amp; Separation_Guidance_Sheet4" xfId="3074"/>
    <cellStyle name="_Deal Approval Template v42 5-3-05 JWK_Sheet1_1_Restructuring &amp; Separation_II.7. Sep&amp;Discrete" xfId="3075"/>
    <cellStyle name="_Deal Approval Template v42 5-3-05 JWK_Sheet1_1_Restructuring &amp; Separation_II.7. Sep&amp;Discrete_Guidance" xfId="3076"/>
    <cellStyle name="_Deal Approval Template v42 5-3-05 JWK_Sheet1_1_Restructuring &amp; Separation_II.7. Sep&amp;Discrete_Guidance 2" xfId="3077"/>
    <cellStyle name="_Deal Approval Template v42 5-3-05 JWK_Sheet1_1_Restructuring &amp; Separation_II.7. Sep&amp;Discrete_Guidance_BS retrieve" xfId="3078"/>
    <cellStyle name="_Deal Approval Template v42 5-3-05 JWK_Sheet1_1_Restructuring &amp; Separation_II.7. Sep&amp;Discrete_Guidance_Free CF" xfId="3079"/>
    <cellStyle name="_Deal Approval Template v42 5-3-05 JWK_Sheet1_1_Restructuring &amp; Separation_II.7. Sep&amp;Discrete_Guidance_P&amp;L Rec Qtr" xfId="3080"/>
    <cellStyle name="_Deal Approval Template v42 5-3-05 JWK_Sheet1_1_Restructuring &amp; Separation_II.7. Sep&amp;Discrete_Guidance_Sheet1" xfId="3081"/>
    <cellStyle name="_Deal Approval Template v42 5-3-05 JWK_Sheet1_1_Restructuring &amp; Separation_II.7. Sep&amp;Discrete_Guidance_Sheet2" xfId="3082"/>
    <cellStyle name="_Deal Approval Template v42 5-3-05 JWK_Sheet1_1_Restructuring &amp; Separation_II.7. Sep&amp;Discrete_Guidance_Sheet3" xfId="3083"/>
    <cellStyle name="_Deal Approval Template v42 5-3-05 JWK_Sheet1_1_Restructuring &amp; Separation_II.7. Sep&amp;Discrete_Guidance_Sheet4" xfId="3084"/>
    <cellStyle name="_Deal Approval Template v42 5-3-05 JWK_Sheet1_BS_Separation_TaxResIndem_Q12412 tf" xfId="3085"/>
    <cellStyle name="_Deal Approval Template v42 5-3-05 JWK_Sheet1_BS_Separation_TaxResIndem_Q12412 tf_Guidance" xfId="3086"/>
    <cellStyle name="_Deal Approval Template v42 5-3-05 JWK_Sheet1_BS_Separation_TaxResIndem_Q12412 tf_Guidance 2" xfId="3087"/>
    <cellStyle name="_Deal Approval Template v42 5-3-05 JWK_Sheet1_BS_Separation_TaxResIndem_Q12412 tf_Guidance_BS retrieve" xfId="3088"/>
    <cellStyle name="_Deal Approval Template v42 5-3-05 JWK_Sheet1_BS_Separation_TaxResIndem_Q12412 tf_Guidance_Free CF" xfId="3089"/>
    <cellStyle name="_Deal Approval Template v42 5-3-05 JWK_Sheet1_BS_Separation_TaxResIndem_Q12412 tf_Guidance_P&amp;L Rec Qtr" xfId="3090"/>
    <cellStyle name="_Deal Approval Template v42 5-3-05 JWK_Sheet1_BS_Separation_TaxResIndem_Q12412 tf_Guidance_Sheet1" xfId="3091"/>
    <cellStyle name="_Deal Approval Template v42 5-3-05 JWK_Sheet1_BS_Separation_TaxResIndem_Q12412 tf_Guidance_Sheet2" xfId="3092"/>
    <cellStyle name="_Deal Approval Template v42 5-3-05 JWK_Sheet1_BS_Separation_TaxResIndem_Q12412 tf_Guidance_Sheet3" xfId="3093"/>
    <cellStyle name="_Deal Approval Template v42 5-3-05 JWK_Sheet1_BS_Separation_TaxResIndem_Q12412 tf_Guidance_Sheet4" xfId="3094"/>
    <cellStyle name="_Deal Approval Template v42 5-3-05 JWK_Sheet1_BS_Separation_TaxResIndem_Q12412 tf_II.7. Sep&amp;Discrete" xfId="3095"/>
    <cellStyle name="_Deal Approval Template v42 5-3-05 JWK_Sheet1_BS_Separation_TaxResIndem_Q12412 tf_II.7. Sep&amp;Discrete_Guidance" xfId="3096"/>
    <cellStyle name="_Deal Approval Template v42 5-3-05 JWK_Sheet1_BS_Separation_TaxResIndem_Q12412 tf_II.7. Sep&amp;Discrete_Guidance 2" xfId="3097"/>
    <cellStyle name="_Deal Approval Template v42 5-3-05 JWK_Sheet1_BS_Separation_TaxResIndem_Q12412 tf_II.7. Sep&amp;Discrete_Guidance_BS retrieve" xfId="3098"/>
    <cellStyle name="_Deal Approval Template v42 5-3-05 JWK_Sheet1_BS_Separation_TaxResIndem_Q12412 tf_II.7. Sep&amp;Discrete_Guidance_Free CF" xfId="3099"/>
    <cellStyle name="_Deal Approval Template v42 5-3-05 JWK_Sheet1_BS_Separation_TaxResIndem_Q12412 tf_II.7. Sep&amp;Discrete_Guidance_P&amp;L Rec Qtr" xfId="3100"/>
    <cellStyle name="_Deal Approval Template v42 5-3-05 JWK_Sheet1_BS_Separation_TaxResIndem_Q12412 tf_II.7. Sep&amp;Discrete_Guidance_Sheet1" xfId="3101"/>
    <cellStyle name="_Deal Approval Template v42 5-3-05 JWK_Sheet1_BS_Separation_TaxResIndem_Q12412 tf_II.7. Sep&amp;Discrete_Guidance_Sheet2" xfId="3102"/>
    <cellStyle name="_Deal Approval Template v42 5-3-05 JWK_Sheet1_BS_Separation_TaxResIndem_Q12412 tf_II.7. Sep&amp;Discrete_Guidance_Sheet3" xfId="3103"/>
    <cellStyle name="_Deal Approval Template v42 5-3-05 JWK_Sheet1_BS_Separation_TaxResIndem_Q12412 tf_II.7. Sep&amp;Discrete_Guidance_Sheet4" xfId="3104"/>
    <cellStyle name="_Deal Approval Template v42 5-3-05 JWK_Sheet1_BS_Separation_TaxResIndem_Q12412 tf_Restructuring &amp; Separation" xfId="3105"/>
    <cellStyle name="_Deal Approval Template v42 5-3-05 JWK_Sheet1_BS_Separation_TaxResIndem_Q12412 tf_Restructuring &amp; Separation_Guidance" xfId="3106"/>
    <cellStyle name="_Deal Approval Template v42 5-3-05 JWK_Sheet1_BS_Separation_TaxResIndem_Q12412 tf_Restructuring &amp; Separation_Guidance 2" xfId="3107"/>
    <cellStyle name="_Deal Approval Template v42 5-3-05 JWK_Sheet1_BS_Separation_TaxResIndem_Q12412 tf_Restructuring &amp; Separation_Guidance_BS retrieve" xfId="3108"/>
    <cellStyle name="_Deal Approval Template v42 5-3-05 JWK_Sheet1_BS_Separation_TaxResIndem_Q12412 tf_Restructuring &amp; Separation_Guidance_Free CF" xfId="3109"/>
    <cellStyle name="_Deal Approval Template v42 5-3-05 JWK_Sheet1_BS_Separation_TaxResIndem_Q12412 tf_Restructuring &amp; Separation_Guidance_P&amp;L Rec Qtr" xfId="3110"/>
    <cellStyle name="_Deal Approval Template v42 5-3-05 JWK_Sheet1_BS_Separation_TaxResIndem_Q12412 tf_Restructuring &amp; Separation_Guidance_Sheet1" xfId="3111"/>
    <cellStyle name="_Deal Approval Template v42 5-3-05 JWK_Sheet1_BS_Separation_TaxResIndem_Q12412 tf_Restructuring &amp; Separation_Guidance_Sheet2" xfId="3112"/>
    <cellStyle name="_Deal Approval Template v42 5-3-05 JWK_Sheet1_BS_Separation_TaxResIndem_Q12412 tf_Restructuring &amp; Separation_Guidance_Sheet3" xfId="3113"/>
    <cellStyle name="_Deal Approval Template v42 5-3-05 JWK_Sheet1_BS_Separation_TaxResIndem_Q12412 tf_Restructuring &amp; Separation_Guidance_Sheet4" xfId="3114"/>
    <cellStyle name="_Deal Approval Template v42 5-3-05 JWK_Sheet1_BS_Separation_TaxResIndem_Q12412 tf_Restructuring &amp; Separation_II.7. Sep&amp;Discrete" xfId="3115"/>
    <cellStyle name="_Deal Approval Template v42 5-3-05 JWK_Sheet1_BS_Separation_TaxResIndem_Q12412 tf_Restructuring &amp; Separation_II.7. Sep&amp;Discrete_Guidance" xfId="3116"/>
    <cellStyle name="_Deal Approval Template v42 5-3-05 JWK_Sheet1_BS_Separation_TaxResIndem_Q12412 tf_Restructuring &amp; Separation_II.7. Sep&amp;Discrete_Guidance 2" xfId="3117"/>
    <cellStyle name="_Deal Approval Template v42 5-3-05 JWK_Sheet1_BS_Separation_TaxResIndem_Q12412 tf_Restructuring &amp; Separation_II.7. Sep&amp;Discrete_Guidance_BS retrieve" xfId="3118"/>
    <cellStyle name="_Deal Approval Template v42 5-3-05 JWK_Sheet1_BS_Separation_TaxResIndem_Q12412 tf_Restructuring &amp; Separation_II.7. Sep&amp;Discrete_Guidance_Free CF" xfId="3119"/>
    <cellStyle name="_Deal Approval Template v42 5-3-05 JWK_Sheet1_BS_Separation_TaxResIndem_Q12412 tf_Restructuring &amp; Separation_II.7. Sep&amp;Discrete_Guidance_P&amp;L Rec Qtr" xfId="3120"/>
    <cellStyle name="_Deal Approval Template v42 5-3-05 JWK_Sheet1_BS_Separation_TaxResIndem_Q12412 tf_Restructuring &amp; Separation_II.7. Sep&amp;Discrete_Guidance_Sheet1" xfId="3121"/>
    <cellStyle name="_Deal Approval Template v42 5-3-05 JWK_Sheet1_BS_Separation_TaxResIndem_Q12412 tf_Restructuring &amp; Separation_II.7. Sep&amp;Discrete_Guidance_Sheet2" xfId="3122"/>
    <cellStyle name="_Deal Approval Template v42 5-3-05 JWK_Sheet1_BS_Separation_TaxResIndem_Q12412 tf_Restructuring &amp; Separation_II.7. Sep&amp;Discrete_Guidance_Sheet3" xfId="3123"/>
    <cellStyle name="_Deal Approval Template v42 5-3-05 JWK_Sheet1_BS_Separation_TaxResIndem_Q12412 tf_Restructuring &amp; Separation_II.7. Sep&amp;Discrete_Guidance_Sheet4" xfId="3124"/>
    <cellStyle name="_Deal Approval Template v42 5-3-05 JWK_Sheet1_Guidance" xfId="3125"/>
    <cellStyle name="_Deal Approval Template v42 5-3-05 JWK_Sheet1_Guidance 2" xfId="3126"/>
    <cellStyle name="_Deal Approval Template v42 5-3-05 JWK_Sheet1_Guidance_BS retrieve" xfId="3127"/>
    <cellStyle name="_Deal Approval Template v42 5-3-05 JWK_Sheet1_Guidance_Free CF" xfId="3128"/>
    <cellStyle name="_Deal Approval Template v42 5-3-05 JWK_Sheet1_Guidance_P&amp;L Rec Qtr" xfId="3129"/>
    <cellStyle name="_Deal Approval Template v42 5-3-05 JWK_Sheet1_Guidance_Sheet1" xfId="3130"/>
    <cellStyle name="_Deal Approval Template v42 5-3-05 JWK_Sheet1_Guidance_Sheet2" xfId="3131"/>
    <cellStyle name="_Deal Approval Template v42 5-3-05 JWK_Sheet1_Guidance_Sheet3" xfId="3132"/>
    <cellStyle name="_Deal Approval Template v42 5-3-05 JWK_Sheet1_Guidance_Sheet4" xfId="3133"/>
    <cellStyle name="_Deal Approval Template v42 5-3-05 JWK_Sheet1_II.7. Sep&amp;Discrete" xfId="3134"/>
    <cellStyle name="_Deal Approval Template v42 5-3-05 JWK_Sheet1_II.7. Sep&amp;Discrete_Guidance" xfId="3135"/>
    <cellStyle name="_Deal Approval Template v42 5-3-05 JWK_Sheet1_II.7. Sep&amp;Discrete_Guidance 2" xfId="3136"/>
    <cellStyle name="_Deal Approval Template v42 5-3-05 JWK_Sheet1_II.7. Sep&amp;Discrete_Guidance_BS retrieve" xfId="3137"/>
    <cellStyle name="_Deal Approval Template v42 5-3-05 JWK_Sheet1_II.7. Sep&amp;Discrete_Guidance_Free CF" xfId="3138"/>
    <cellStyle name="_Deal Approval Template v42 5-3-05 JWK_Sheet1_II.7. Sep&amp;Discrete_Guidance_P&amp;L Rec Qtr" xfId="3139"/>
    <cellStyle name="_Deal Approval Template v42 5-3-05 JWK_Sheet1_II.7. Sep&amp;Discrete_Guidance_Sheet1" xfId="3140"/>
    <cellStyle name="_Deal Approval Template v42 5-3-05 JWK_Sheet1_II.7. Sep&amp;Discrete_Guidance_Sheet2" xfId="3141"/>
    <cellStyle name="_Deal Approval Template v42 5-3-05 JWK_Sheet1_II.7. Sep&amp;Discrete_Guidance_Sheet3" xfId="3142"/>
    <cellStyle name="_Deal Approval Template v42 5-3-05 JWK_Sheet1_II.7. Sep&amp;Discrete_Guidance_Sheet4" xfId="3143"/>
    <cellStyle name="_Deal Approval Template v42 5-3-05 JWK_Sheet1_II.8. Sep&amp;Discrete" xfId="3144"/>
    <cellStyle name="_Deal Approval Template v42 5-3-05 JWK_Sheet1_II.8. Sep&amp;Discrete_Guidance" xfId="3145"/>
    <cellStyle name="_Deal Approval Template v42 5-3-05 JWK_Sheet1_II.8. Sep&amp;Discrete_Guidance 2" xfId="3146"/>
    <cellStyle name="_Deal Approval Template v42 5-3-05 JWK_Sheet1_II.8. Sep&amp;Discrete_Guidance_BS retrieve" xfId="3147"/>
    <cellStyle name="_Deal Approval Template v42 5-3-05 JWK_Sheet1_II.8. Sep&amp;Discrete_Guidance_Free CF" xfId="3148"/>
    <cellStyle name="_Deal Approval Template v42 5-3-05 JWK_Sheet1_II.8. Sep&amp;Discrete_Guidance_P&amp;L Rec Qtr" xfId="3149"/>
    <cellStyle name="_Deal Approval Template v42 5-3-05 JWK_Sheet1_II.8. Sep&amp;Discrete_Guidance_Sheet1" xfId="3150"/>
    <cellStyle name="_Deal Approval Template v42 5-3-05 JWK_Sheet1_II.8. Sep&amp;Discrete_Guidance_Sheet2" xfId="3151"/>
    <cellStyle name="_Deal Approval Template v42 5-3-05 JWK_Sheet1_II.8. Sep&amp;Discrete_Guidance_Sheet3" xfId="3152"/>
    <cellStyle name="_Deal Approval Template v42 5-3-05 JWK_Sheet1_II.8. Sep&amp;Discrete_Guidance_Sheet4" xfId="3153"/>
    <cellStyle name="_Deal Approval Template v42 5-3-05 JWK_Sheet1_Restructuring &amp; Separation" xfId="3154"/>
    <cellStyle name="_Deal Approval Template v42 5-3-05 JWK_Sheet1_Restructuring &amp; Separation_Guidance" xfId="3155"/>
    <cellStyle name="_Deal Approval Template v42 5-3-05 JWK_Sheet1_Restructuring &amp; Separation_Guidance 2" xfId="3156"/>
    <cellStyle name="_Deal Approval Template v42 5-3-05 JWK_Sheet1_Restructuring &amp; Separation_Guidance_BS retrieve" xfId="3157"/>
    <cellStyle name="_Deal Approval Template v42 5-3-05 JWK_Sheet1_Restructuring &amp; Separation_Guidance_Free CF" xfId="3158"/>
    <cellStyle name="_Deal Approval Template v42 5-3-05 JWK_Sheet1_Restructuring &amp; Separation_Guidance_P&amp;L Rec Qtr" xfId="3159"/>
    <cellStyle name="_Deal Approval Template v42 5-3-05 JWK_Sheet1_Restructuring &amp; Separation_Guidance_Sheet1" xfId="3160"/>
    <cellStyle name="_Deal Approval Template v42 5-3-05 JWK_Sheet1_Restructuring &amp; Separation_Guidance_Sheet2" xfId="3161"/>
    <cellStyle name="_Deal Approval Template v42 5-3-05 JWK_Sheet1_Restructuring &amp; Separation_Guidance_Sheet3" xfId="3162"/>
    <cellStyle name="_Deal Approval Template v42 5-3-05 JWK_Sheet1_Restructuring &amp; Separation_Guidance_Sheet4" xfId="3163"/>
    <cellStyle name="_Deal Approval Template v42 5-3-05 JWK2" xfId="3164"/>
    <cellStyle name="_Deal Approval Template v42 5-3-05 JWK2_BS_Separation_TaxResIndem_Q12412 tf" xfId="3165"/>
    <cellStyle name="_Deal Approval Template v42 5-3-05 JWK2_BS_Separation_TaxResIndem_Q12412 tf_Guidance" xfId="3166"/>
    <cellStyle name="_Deal Approval Template v42 5-3-05 JWK2_BS_Separation_TaxResIndem_Q12412 tf_Guidance 2" xfId="3167"/>
    <cellStyle name="_Deal Approval Template v42 5-3-05 JWK2_BS_Separation_TaxResIndem_Q12412 tf_Guidance_BS retrieve" xfId="3168"/>
    <cellStyle name="_Deal Approval Template v42 5-3-05 JWK2_BS_Separation_TaxResIndem_Q12412 tf_Guidance_Free CF" xfId="3169"/>
    <cellStyle name="_Deal Approval Template v42 5-3-05 JWK2_BS_Separation_TaxResIndem_Q12412 tf_Guidance_P&amp;L Rec Qtr" xfId="3170"/>
    <cellStyle name="_Deal Approval Template v42 5-3-05 JWK2_BS_Separation_TaxResIndem_Q12412 tf_Guidance_Sheet1" xfId="3171"/>
    <cellStyle name="_Deal Approval Template v42 5-3-05 JWK2_BS_Separation_TaxResIndem_Q12412 tf_Guidance_Sheet2" xfId="3172"/>
    <cellStyle name="_Deal Approval Template v42 5-3-05 JWK2_BS_Separation_TaxResIndem_Q12412 tf_Guidance_Sheet3" xfId="3173"/>
    <cellStyle name="_Deal Approval Template v42 5-3-05 JWK2_BS_Separation_TaxResIndem_Q12412 tf_Guidance_Sheet4" xfId="3174"/>
    <cellStyle name="_Deal Approval Template v42 5-3-05 JWK2_BS_Separation_TaxResIndem_Q12412 tf_Restructuring &amp; Separation" xfId="3175"/>
    <cellStyle name="_Deal Approval Template v42 5-3-05 JWK2_BS_Separation_TaxResIndem_Q12412 tf_Restructuring &amp; Separation_Guidance" xfId="3176"/>
    <cellStyle name="_Deal Approval Template v42 5-3-05 JWK2_BS_Separation_TaxResIndem_Q12412 tf_Restructuring &amp; Separation_Guidance 2" xfId="3177"/>
    <cellStyle name="_Deal Approval Template v42 5-3-05 JWK2_BS_Separation_TaxResIndem_Q12412 tf_Restructuring &amp; Separation_Guidance_BS retrieve" xfId="3178"/>
    <cellStyle name="_Deal Approval Template v42 5-3-05 JWK2_BS_Separation_TaxResIndem_Q12412 tf_Restructuring &amp; Separation_Guidance_Free CF" xfId="3179"/>
    <cellStyle name="_Deal Approval Template v42 5-3-05 JWK2_BS_Separation_TaxResIndem_Q12412 tf_Restructuring &amp; Separation_Guidance_P&amp;L Rec Qtr" xfId="3180"/>
    <cellStyle name="_Deal Approval Template v42 5-3-05 JWK2_BS_Separation_TaxResIndem_Q12412 tf_Restructuring &amp; Separation_Guidance_Sheet1" xfId="3181"/>
    <cellStyle name="_Deal Approval Template v42 5-3-05 JWK2_BS_Separation_TaxResIndem_Q12412 tf_Restructuring &amp; Separation_Guidance_Sheet2" xfId="3182"/>
    <cellStyle name="_Deal Approval Template v42 5-3-05 JWK2_BS_Separation_TaxResIndem_Q12412 tf_Restructuring &amp; Separation_Guidance_Sheet3" xfId="3183"/>
    <cellStyle name="_Deal Approval Template v42 5-3-05 JWK2_BS_Separation_TaxResIndem_Q12412 tf_Restructuring &amp; Separation_Guidance_Sheet4" xfId="3184"/>
    <cellStyle name="_Deal Approval Template v42 5-3-05 JWK2_Deferred tax MarchFC 2011" xfId="3185"/>
    <cellStyle name="_Deal Approval Template v42 5-3-05 JWK2_Deferred tax MarchFC 2011_BS_Separation_TaxResIndem_Q12412 tf" xfId="3186"/>
    <cellStyle name="_Deal Approval Template v42 5-3-05 JWK2_Deferred tax MarchFC 2011_BS_Separation_TaxResIndem_Q12412 tf_Guidance" xfId="3187"/>
    <cellStyle name="_Deal Approval Template v42 5-3-05 JWK2_Deferred tax MarchFC 2011_BS_Separation_TaxResIndem_Q12412 tf_Guidance 2" xfId="3188"/>
    <cellStyle name="_Deal Approval Template v42 5-3-05 JWK2_Deferred tax MarchFC 2011_BS_Separation_TaxResIndem_Q12412 tf_Guidance_BS retrieve" xfId="3189"/>
    <cellStyle name="_Deal Approval Template v42 5-3-05 JWK2_Deferred tax MarchFC 2011_BS_Separation_TaxResIndem_Q12412 tf_Guidance_Free CF" xfId="3190"/>
    <cellStyle name="_Deal Approval Template v42 5-3-05 JWK2_Deferred tax MarchFC 2011_BS_Separation_TaxResIndem_Q12412 tf_Guidance_P&amp;L Rec Qtr" xfId="3191"/>
    <cellStyle name="_Deal Approval Template v42 5-3-05 JWK2_Deferred tax MarchFC 2011_BS_Separation_TaxResIndem_Q12412 tf_Guidance_Sheet1" xfId="3192"/>
    <cellStyle name="_Deal Approval Template v42 5-3-05 JWK2_Deferred tax MarchFC 2011_BS_Separation_TaxResIndem_Q12412 tf_Guidance_Sheet2" xfId="3193"/>
    <cellStyle name="_Deal Approval Template v42 5-3-05 JWK2_Deferred tax MarchFC 2011_BS_Separation_TaxResIndem_Q12412 tf_Guidance_Sheet3" xfId="3194"/>
    <cellStyle name="_Deal Approval Template v42 5-3-05 JWK2_Deferred tax MarchFC 2011_BS_Separation_TaxResIndem_Q12412 tf_Guidance_Sheet4" xfId="3195"/>
    <cellStyle name="_Deal Approval Template v42 5-3-05 JWK2_Deferred tax MarchFC 2011_BS_Separation_TaxResIndem_Q12412 tf_Restructuring &amp; Separation" xfId="3196"/>
    <cellStyle name="_Deal Approval Template v42 5-3-05 JWK2_Deferred tax MarchFC 2011_BS_Separation_TaxResIndem_Q12412 tf_Restructuring &amp; Separation_Guidance" xfId="3197"/>
    <cellStyle name="_Deal Approval Template v42 5-3-05 JWK2_Deferred tax MarchFC 2011_BS_Separation_TaxResIndem_Q12412 tf_Restructuring &amp; Separation_Guidance 2" xfId="3198"/>
    <cellStyle name="_Deal Approval Template v42 5-3-05 JWK2_Deferred tax MarchFC 2011_BS_Separation_TaxResIndem_Q12412 tf_Restructuring &amp; Separation_Guidance_BS retrieve" xfId="3199"/>
    <cellStyle name="_Deal Approval Template v42 5-3-05 JWK2_Deferred tax MarchFC 2011_BS_Separation_TaxResIndem_Q12412 tf_Restructuring &amp; Separation_Guidance_Free CF" xfId="3200"/>
    <cellStyle name="_Deal Approval Template v42 5-3-05 JWK2_Deferred tax MarchFC 2011_BS_Separation_TaxResIndem_Q12412 tf_Restructuring &amp; Separation_Guidance_P&amp;L Rec Qtr" xfId="3201"/>
    <cellStyle name="_Deal Approval Template v42 5-3-05 JWK2_Deferred tax MarchFC 2011_BS_Separation_TaxResIndem_Q12412 tf_Restructuring &amp; Separation_Guidance_Sheet1" xfId="3202"/>
    <cellStyle name="_Deal Approval Template v42 5-3-05 JWK2_Deferred tax MarchFC 2011_BS_Separation_TaxResIndem_Q12412 tf_Restructuring &amp; Separation_Guidance_Sheet2" xfId="3203"/>
    <cellStyle name="_Deal Approval Template v42 5-3-05 JWK2_Deferred tax MarchFC 2011_BS_Separation_TaxResIndem_Q12412 tf_Restructuring &amp; Separation_Guidance_Sheet3" xfId="3204"/>
    <cellStyle name="_Deal Approval Template v42 5-3-05 JWK2_Deferred tax MarchFC 2011_BS_Separation_TaxResIndem_Q12412 tf_Restructuring &amp; Separation_Guidance_Sheet4" xfId="3205"/>
    <cellStyle name="_Deal Approval Template v42 5-3-05 JWK2_Deferred tax MarchFC 2011_Guidance" xfId="3206"/>
    <cellStyle name="_Deal Approval Template v42 5-3-05 JWK2_Deferred tax MarchFC 2011_Guidance 2" xfId="3207"/>
    <cellStyle name="_Deal Approval Template v42 5-3-05 JWK2_Deferred tax MarchFC 2011_Guidance_BS retrieve" xfId="3208"/>
    <cellStyle name="_Deal Approval Template v42 5-3-05 JWK2_Deferred tax MarchFC 2011_Guidance_Free CF" xfId="3209"/>
    <cellStyle name="_Deal Approval Template v42 5-3-05 JWK2_Deferred tax MarchFC 2011_Guidance_P&amp;L Rec Qtr" xfId="3210"/>
    <cellStyle name="_Deal Approval Template v42 5-3-05 JWK2_Deferred tax MarchFC 2011_Guidance_Sheet1" xfId="3211"/>
    <cellStyle name="_Deal Approval Template v42 5-3-05 JWK2_Deferred tax MarchFC 2011_Guidance_Sheet2" xfId="3212"/>
    <cellStyle name="_Deal Approval Template v42 5-3-05 JWK2_Deferred tax MarchFC 2011_Guidance_Sheet3" xfId="3213"/>
    <cellStyle name="_Deal Approval Template v42 5-3-05 JWK2_Deferred tax MarchFC 2011_Guidance_Sheet4" xfId="3214"/>
    <cellStyle name="_Deal Approval Template v42 5-3-05 JWK2_Deferred tax MarchFC 2011_II.8. Sep&amp;Discrete" xfId="3215"/>
    <cellStyle name="_Deal Approval Template v42 5-3-05 JWK2_Deferred tax MarchFC 2011_II.8. Sep&amp;Discrete_Guidance" xfId="3216"/>
    <cellStyle name="_Deal Approval Template v42 5-3-05 JWK2_Deferred tax MarchFC 2011_II.8. Sep&amp;Discrete_Guidance 2" xfId="3217"/>
    <cellStyle name="_Deal Approval Template v42 5-3-05 JWK2_Deferred tax MarchFC 2011_II.8. Sep&amp;Discrete_Guidance_BS retrieve" xfId="3218"/>
    <cellStyle name="_Deal Approval Template v42 5-3-05 JWK2_Deferred tax MarchFC 2011_II.8. Sep&amp;Discrete_Guidance_Free CF" xfId="3219"/>
    <cellStyle name="_Deal Approval Template v42 5-3-05 JWK2_Deferred tax MarchFC 2011_II.8. Sep&amp;Discrete_Guidance_P&amp;L Rec Qtr" xfId="3220"/>
    <cellStyle name="_Deal Approval Template v42 5-3-05 JWK2_Deferred tax MarchFC 2011_II.8. Sep&amp;Discrete_Guidance_Sheet1" xfId="3221"/>
    <cellStyle name="_Deal Approval Template v42 5-3-05 JWK2_Deferred tax MarchFC 2011_II.8. Sep&amp;Discrete_Guidance_Sheet2" xfId="3222"/>
    <cellStyle name="_Deal Approval Template v42 5-3-05 JWK2_Deferred tax MarchFC 2011_II.8. Sep&amp;Discrete_Guidance_Sheet3" xfId="3223"/>
    <cellStyle name="_Deal Approval Template v42 5-3-05 JWK2_Deferred tax MarchFC 2011_II.8. Sep&amp;Discrete_Guidance_Sheet4" xfId="3224"/>
    <cellStyle name="_Deal Approval Template v42 5-3-05 JWK2_Deferred tax MarchFC 2011_Restructuring &amp; Separation" xfId="3225"/>
    <cellStyle name="_Deal Approval Template v42 5-3-05 JWK2_Deferred tax MarchFC 2011_Restructuring &amp; Separation_Guidance" xfId="3226"/>
    <cellStyle name="_Deal Approval Template v42 5-3-05 JWK2_Deferred tax MarchFC 2011_Restructuring &amp; Separation_Guidance 2" xfId="3227"/>
    <cellStyle name="_Deal Approval Template v42 5-3-05 JWK2_Deferred tax MarchFC 2011_Restructuring &amp; Separation_Guidance_BS retrieve" xfId="3228"/>
    <cellStyle name="_Deal Approval Template v42 5-3-05 JWK2_Deferred tax MarchFC 2011_Restructuring &amp; Separation_Guidance_Free CF" xfId="3229"/>
    <cellStyle name="_Deal Approval Template v42 5-3-05 JWK2_Deferred tax MarchFC 2011_Restructuring &amp; Separation_Guidance_P&amp;L Rec Qtr" xfId="3230"/>
    <cellStyle name="_Deal Approval Template v42 5-3-05 JWK2_Deferred tax MarchFC 2011_Restructuring &amp; Separation_Guidance_Sheet1" xfId="3231"/>
    <cellStyle name="_Deal Approval Template v42 5-3-05 JWK2_Deferred tax MarchFC 2011_Restructuring &amp; Separation_Guidance_Sheet2" xfId="3232"/>
    <cellStyle name="_Deal Approval Template v42 5-3-05 JWK2_Deferred tax MarchFC 2011_Restructuring &amp; Separation_Guidance_Sheet3" xfId="3233"/>
    <cellStyle name="_Deal Approval Template v42 5-3-05 JWK2_Deferred tax MarchFC 2011_Restructuring &amp; Separation_Guidance_Sheet4" xfId="3234"/>
    <cellStyle name="_Deal Approval Template v42 5-3-05 JWK2_Guidance" xfId="3235"/>
    <cellStyle name="_Deal Approval Template v42 5-3-05 JWK2_Guidance 2" xfId="3236"/>
    <cellStyle name="_Deal Approval Template v42 5-3-05 JWK2_Guidance_BS retrieve" xfId="3237"/>
    <cellStyle name="_Deal Approval Template v42 5-3-05 JWK2_Guidance_Free CF" xfId="3238"/>
    <cellStyle name="_Deal Approval Template v42 5-3-05 JWK2_Guidance_P&amp;L Rec Qtr" xfId="3239"/>
    <cellStyle name="_Deal Approval Template v42 5-3-05 JWK2_Guidance_Sheet1" xfId="3240"/>
    <cellStyle name="_Deal Approval Template v42 5-3-05 JWK2_Guidance_Sheet2" xfId="3241"/>
    <cellStyle name="_Deal Approval Template v42 5-3-05 JWK2_Guidance_Sheet3" xfId="3242"/>
    <cellStyle name="_Deal Approval Template v42 5-3-05 JWK2_Guidance_Sheet4" xfId="3243"/>
    <cellStyle name="_Deal Approval Template v42 5-3-05 JWK2_II.8. Sep&amp;Discrete" xfId="3244"/>
    <cellStyle name="_Deal Approval Template v42 5-3-05 JWK2_II.8. Sep&amp;Discrete_Guidance" xfId="3245"/>
    <cellStyle name="_Deal Approval Template v42 5-3-05 JWK2_II.8. Sep&amp;Discrete_Guidance 2" xfId="3246"/>
    <cellStyle name="_Deal Approval Template v42 5-3-05 JWK2_II.8. Sep&amp;Discrete_Guidance_BS retrieve" xfId="3247"/>
    <cellStyle name="_Deal Approval Template v42 5-3-05 JWK2_II.8. Sep&amp;Discrete_Guidance_Free CF" xfId="3248"/>
    <cellStyle name="_Deal Approval Template v42 5-3-05 JWK2_II.8. Sep&amp;Discrete_Guidance_P&amp;L Rec Qtr" xfId="3249"/>
    <cellStyle name="_Deal Approval Template v42 5-3-05 JWK2_II.8. Sep&amp;Discrete_Guidance_Sheet1" xfId="3250"/>
    <cellStyle name="_Deal Approval Template v42 5-3-05 JWK2_II.8. Sep&amp;Discrete_Guidance_Sheet2" xfId="3251"/>
    <cellStyle name="_Deal Approval Template v42 5-3-05 JWK2_II.8. Sep&amp;Discrete_Guidance_Sheet3" xfId="3252"/>
    <cellStyle name="_Deal Approval Template v42 5-3-05 JWK2_II.8. Sep&amp;Discrete_Guidance_Sheet4" xfId="3253"/>
    <cellStyle name="_Deal Approval Template v42 5-3-05 JWK2_Restructuring &amp; Separation" xfId="3254"/>
    <cellStyle name="_Deal Approval Template v42 5-3-05 JWK2_Restructuring &amp; Separation_Guidance" xfId="3255"/>
    <cellStyle name="_Deal Approval Template v42 5-3-05 JWK2_Restructuring &amp; Separation_Guidance 2" xfId="3256"/>
    <cellStyle name="_Deal Approval Template v42 5-3-05 JWK2_Restructuring &amp; Separation_Guidance_BS retrieve" xfId="3257"/>
    <cellStyle name="_Deal Approval Template v42 5-3-05 JWK2_Restructuring &amp; Separation_Guidance_Free CF" xfId="3258"/>
    <cellStyle name="_Deal Approval Template v42 5-3-05 JWK2_Restructuring &amp; Separation_Guidance_P&amp;L Rec Qtr" xfId="3259"/>
    <cellStyle name="_Deal Approval Template v42 5-3-05 JWK2_Restructuring &amp; Separation_Guidance_Sheet1" xfId="3260"/>
    <cellStyle name="_Deal Approval Template v42 5-3-05 JWK2_Restructuring &amp; Separation_Guidance_Sheet2" xfId="3261"/>
    <cellStyle name="_Deal Approval Template v42 5-3-05 JWK2_Restructuring &amp; Separation_Guidance_Sheet3" xfId="3262"/>
    <cellStyle name="_Deal Approval Template v42 5-3-05 JWK2_Restructuring &amp; Separation_Guidance_Sheet4" xfId="3263"/>
    <cellStyle name="_Deal Approval Template v42 5-3-05 JWK2_Sheet1" xfId="3264"/>
    <cellStyle name="_Deal Approval Template v42 5-3-05 JWK2_Sheet1_1" xfId="3265"/>
    <cellStyle name="_Deal Approval Template v42 5-3-05 JWK2_Sheet1_1_Guidance" xfId="3266"/>
    <cellStyle name="_Deal Approval Template v42 5-3-05 JWK2_Sheet1_1_Guidance 2" xfId="3267"/>
    <cellStyle name="_Deal Approval Template v42 5-3-05 JWK2_Sheet1_1_Guidance_BS retrieve" xfId="3268"/>
    <cellStyle name="_Deal Approval Template v42 5-3-05 JWK2_Sheet1_1_Guidance_Free CF" xfId="3269"/>
    <cellStyle name="_Deal Approval Template v42 5-3-05 JWK2_Sheet1_1_Guidance_P&amp;L Rec Qtr" xfId="3270"/>
    <cellStyle name="_Deal Approval Template v42 5-3-05 JWK2_Sheet1_1_Guidance_Sheet1" xfId="3271"/>
    <cellStyle name="_Deal Approval Template v42 5-3-05 JWK2_Sheet1_1_Guidance_Sheet2" xfId="3272"/>
    <cellStyle name="_Deal Approval Template v42 5-3-05 JWK2_Sheet1_1_Guidance_Sheet3" xfId="3273"/>
    <cellStyle name="_Deal Approval Template v42 5-3-05 JWK2_Sheet1_1_Guidance_Sheet4" xfId="3274"/>
    <cellStyle name="_Deal Approval Template v42 5-3-05 JWK2_Sheet1_1_Restructuring &amp; Separation" xfId="3275"/>
    <cellStyle name="_Deal Approval Template v42 5-3-05 JWK2_Sheet1_1_Restructuring &amp; Separation_Guidance" xfId="3276"/>
    <cellStyle name="_Deal Approval Template v42 5-3-05 JWK2_Sheet1_1_Restructuring &amp; Separation_Guidance 2" xfId="3277"/>
    <cellStyle name="_Deal Approval Template v42 5-3-05 JWK2_Sheet1_1_Restructuring &amp; Separation_Guidance_BS retrieve" xfId="3278"/>
    <cellStyle name="_Deal Approval Template v42 5-3-05 JWK2_Sheet1_1_Restructuring &amp; Separation_Guidance_Free CF" xfId="3279"/>
    <cellStyle name="_Deal Approval Template v42 5-3-05 JWK2_Sheet1_1_Restructuring &amp; Separation_Guidance_P&amp;L Rec Qtr" xfId="3280"/>
    <cellStyle name="_Deal Approval Template v42 5-3-05 JWK2_Sheet1_1_Restructuring &amp; Separation_Guidance_Sheet1" xfId="3281"/>
    <cellStyle name="_Deal Approval Template v42 5-3-05 JWK2_Sheet1_1_Restructuring &amp; Separation_Guidance_Sheet2" xfId="3282"/>
    <cellStyle name="_Deal Approval Template v42 5-3-05 JWK2_Sheet1_1_Restructuring &amp; Separation_Guidance_Sheet3" xfId="3283"/>
    <cellStyle name="_Deal Approval Template v42 5-3-05 JWK2_Sheet1_1_Restructuring &amp; Separation_Guidance_Sheet4" xfId="3284"/>
    <cellStyle name="_Deal Approval Template v42 5-3-05 JWK2_Sheet1_BS_Separation_TaxResIndem_Q12412 tf" xfId="3285"/>
    <cellStyle name="_Deal Approval Template v42 5-3-05 JWK2_Sheet1_BS_Separation_TaxResIndem_Q12412 tf_Guidance" xfId="3286"/>
    <cellStyle name="_Deal Approval Template v42 5-3-05 JWK2_Sheet1_BS_Separation_TaxResIndem_Q12412 tf_Guidance 2" xfId="3287"/>
    <cellStyle name="_Deal Approval Template v42 5-3-05 JWK2_Sheet1_BS_Separation_TaxResIndem_Q12412 tf_Guidance_BS retrieve" xfId="3288"/>
    <cellStyle name="_Deal Approval Template v42 5-3-05 JWK2_Sheet1_BS_Separation_TaxResIndem_Q12412 tf_Guidance_Free CF" xfId="3289"/>
    <cellStyle name="_Deal Approval Template v42 5-3-05 JWK2_Sheet1_BS_Separation_TaxResIndem_Q12412 tf_Guidance_P&amp;L Rec Qtr" xfId="3290"/>
    <cellStyle name="_Deal Approval Template v42 5-3-05 JWK2_Sheet1_BS_Separation_TaxResIndem_Q12412 tf_Guidance_Sheet1" xfId="3291"/>
    <cellStyle name="_Deal Approval Template v42 5-3-05 JWK2_Sheet1_BS_Separation_TaxResIndem_Q12412 tf_Guidance_Sheet2" xfId="3292"/>
    <cellStyle name="_Deal Approval Template v42 5-3-05 JWK2_Sheet1_BS_Separation_TaxResIndem_Q12412 tf_Guidance_Sheet3" xfId="3293"/>
    <cellStyle name="_Deal Approval Template v42 5-3-05 JWK2_Sheet1_BS_Separation_TaxResIndem_Q12412 tf_Guidance_Sheet4" xfId="3294"/>
    <cellStyle name="_Deal Approval Template v42 5-3-05 JWK2_Sheet1_BS_Separation_TaxResIndem_Q12412 tf_Restructuring &amp; Separation" xfId="3295"/>
    <cellStyle name="_Deal Approval Template v42 5-3-05 JWK2_Sheet1_BS_Separation_TaxResIndem_Q12412 tf_Restructuring &amp; Separation_Guidance" xfId="3296"/>
    <cellStyle name="_Deal Approval Template v42 5-3-05 JWK2_Sheet1_BS_Separation_TaxResIndem_Q12412 tf_Restructuring &amp; Separation_Guidance 2" xfId="3297"/>
    <cellStyle name="_Deal Approval Template v42 5-3-05 JWK2_Sheet1_BS_Separation_TaxResIndem_Q12412 tf_Restructuring &amp; Separation_Guidance_BS retrieve" xfId="3298"/>
    <cellStyle name="_Deal Approval Template v42 5-3-05 JWK2_Sheet1_BS_Separation_TaxResIndem_Q12412 tf_Restructuring &amp; Separation_Guidance_Free CF" xfId="3299"/>
    <cellStyle name="_Deal Approval Template v42 5-3-05 JWK2_Sheet1_BS_Separation_TaxResIndem_Q12412 tf_Restructuring &amp; Separation_Guidance_P&amp;L Rec Qtr" xfId="3300"/>
    <cellStyle name="_Deal Approval Template v42 5-3-05 JWK2_Sheet1_BS_Separation_TaxResIndem_Q12412 tf_Restructuring &amp; Separation_Guidance_Sheet1" xfId="3301"/>
    <cellStyle name="_Deal Approval Template v42 5-3-05 JWK2_Sheet1_BS_Separation_TaxResIndem_Q12412 tf_Restructuring &amp; Separation_Guidance_Sheet2" xfId="3302"/>
    <cellStyle name="_Deal Approval Template v42 5-3-05 JWK2_Sheet1_BS_Separation_TaxResIndem_Q12412 tf_Restructuring &amp; Separation_Guidance_Sheet3" xfId="3303"/>
    <cellStyle name="_Deal Approval Template v42 5-3-05 JWK2_Sheet1_BS_Separation_TaxResIndem_Q12412 tf_Restructuring &amp; Separation_Guidance_Sheet4" xfId="3304"/>
    <cellStyle name="_Deal Approval Template v42 5-3-05 JWK2_Sheet1_Guidance" xfId="3305"/>
    <cellStyle name="_Deal Approval Template v42 5-3-05 JWK2_Sheet1_Guidance 2" xfId="3306"/>
    <cellStyle name="_Deal Approval Template v42 5-3-05 JWK2_Sheet1_Guidance_BS retrieve" xfId="3307"/>
    <cellStyle name="_Deal Approval Template v42 5-3-05 JWK2_Sheet1_Guidance_Free CF" xfId="3308"/>
    <cellStyle name="_Deal Approval Template v42 5-3-05 JWK2_Sheet1_Guidance_P&amp;L Rec Qtr" xfId="3309"/>
    <cellStyle name="_Deal Approval Template v42 5-3-05 JWK2_Sheet1_Guidance_Sheet1" xfId="3310"/>
    <cellStyle name="_Deal Approval Template v42 5-3-05 JWK2_Sheet1_Guidance_Sheet2" xfId="3311"/>
    <cellStyle name="_Deal Approval Template v42 5-3-05 JWK2_Sheet1_Guidance_Sheet3" xfId="3312"/>
    <cellStyle name="_Deal Approval Template v42 5-3-05 JWK2_Sheet1_Guidance_Sheet4" xfId="3313"/>
    <cellStyle name="_Deal Approval Template v42 5-3-05 JWK2_Sheet1_II.8. Sep&amp;Discrete" xfId="3314"/>
    <cellStyle name="_Deal Approval Template v42 5-3-05 JWK2_Sheet1_II.8. Sep&amp;Discrete_Guidance" xfId="3315"/>
    <cellStyle name="_Deal Approval Template v42 5-3-05 JWK2_Sheet1_II.8. Sep&amp;Discrete_Guidance 2" xfId="3316"/>
    <cellStyle name="_Deal Approval Template v42 5-3-05 JWK2_Sheet1_II.8. Sep&amp;Discrete_Guidance_BS retrieve" xfId="3317"/>
    <cellStyle name="_Deal Approval Template v42 5-3-05 JWK2_Sheet1_II.8. Sep&amp;Discrete_Guidance_Free CF" xfId="3318"/>
    <cellStyle name="_Deal Approval Template v42 5-3-05 JWK2_Sheet1_II.8. Sep&amp;Discrete_Guidance_P&amp;L Rec Qtr" xfId="3319"/>
    <cellStyle name="_Deal Approval Template v42 5-3-05 JWK2_Sheet1_II.8. Sep&amp;Discrete_Guidance_Sheet1" xfId="3320"/>
    <cellStyle name="_Deal Approval Template v42 5-3-05 JWK2_Sheet1_II.8. Sep&amp;Discrete_Guidance_Sheet2" xfId="3321"/>
    <cellStyle name="_Deal Approval Template v42 5-3-05 JWK2_Sheet1_II.8. Sep&amp;Discrete_Guidance_Sheet3" xfId="3322"/>
    <cellStyle name="_Deal Approval Template v42 5-3-05 JWK2_Sheet1_II.8. Sep&amp;Discrete_Guidance_Sheet4" xfId="3323"/>
    <cellStyle name="_Deal Approval Template v42 5-3-05 JWK2_Sheet1_Restructuring &amp; Separation" xfId="3324"/>
    <cellStyle name="_Deal Approval Template v42 5-3-05 JWK2_Sheet1_Restructuring &amp; Separation_Guidance" xfId="3325"/>
    <cellStyle name="_Deal Approval Template v42 5-3-05 JWK2_Sheet1_Restructuring &amp; Separation_Guidance 2" xfId="3326"/>
    <cellStyle name="_Deal Approval Template v42 5-3-05 JWK2_Sheet1_Restructuring &amp; Separation_Guidance_BS retrieve" xfId="3327"/>
    <cellStyle name="_Deal Approval Template v42 5-3-05 JWK2_Sheet1_Restructuring &amp; Separation_Guidance_Free CF" xfId="3328"/>
    <cellStyle name="_Deal Approval Template v42 5-3-05 JWK2_Sheet1_Restructuring &amp; Separation_Guidance_P&amp;L Rec Qtr" xfId="3329"/>
    <cellStyle name="_Deal Approval Template v42 5-3-05 JWK2_Sheet1_Restructuring &amp; Separation_Guidance_Sheet1" xfId="3330"/>
    <cellStyle name="_Deal Approval Template v42 5-3-05 JWK2_Sheet1_Restructuring &amp; Separation_Guidance_Sheet2" xfId="3331"/>
    <cellStyle name="_Deal Approval Template v42 5-3-05 JWK2_Sheet1_Restructuring &amp; Separation_Guidance_Sheet3" xfId="3332"/>
    <cellStyle name="_Deal Approval Template v42 5-3-05 JWK2_Sheet1_Restructuring &amp; Separation_Guidance_Sheet4" xfId="3333"/>
    <cellStyle name="_Deferred tax JunFC 2010_" xfId="3334"/>
    <cellStyle name="_DM Draft Correction" xfId="3335"/>
    <cellStyle name="_DM Draft Correction 2" xfId="3336"/>
    <cellStyle name="_DM Draft Correction_BS retrieve" xfId="3337"/>
    <cellStyle name="_DM Draft Correction_Free CF" xfId="3338"/>
    <cellStyle name="_DM Draft Correction_P&amp;L Rec Qtr" xfId="3339"/>
    <cellStyle name="_DM Draft Correction_Sheet1" xfId="3340"/>
    <cellStyle name="_DM Draft Correction_Sheet2" xfId="3341"/>
    <cellStyle name="_DM Draft Correction_Sheet3" xfId="3342"/>
    <cellStyle name="_DM Draft Correction_Sheet4" xfId="3343"/>
    <cellStyle name="_ET_STYLE_NoName_00_" xfId="3344"/>
    <cellStyle name="_ET_STYLE_NoName_00__青岛海信_1" xfId="3345"/>
    <cellStyle name="_ET_STYLE_NoName_00__青岛海信_10_4海信发票申请表2008(1).2.4xls" xfId="3346"/>
    <cellStyle name="_ET_STYLE_NoName_00__青岛海信_10_海信发票申请表1(1).23.1.1xls" xfId="3347"/>
    <cellStyle name="_ET_STYLE_NoName_00__青岛海信_10_海信发票申请表2008(1).3.5xls" xfId="3348"/>
    <cellStyle name="_ET_STYLE_NoName_00__青岛海信_10_海信发票申请表4(1).23.1" xfId="3349"/>
    <cellStyle name="_ET_STYLE_NoName_00__青岛海信_10_海信发票申请表4(1).23.2" xfId="3350"/>
    <cellStyle name="_ET_STYLE_NoName_00__青岛海信_10_海信发票申请表5(1).20.1" xfId="3351"/>
    <cellStyle name="_ET_STYLE_NoName_00__青岛海信_10_青岛海信3.24.1xls" xfId="3352"/>
    <cellStyle name="_ET_STYLE_NoName_00__青岛海信_10_青岛海信3.24。xls" xfId="3353"/>
    <cellStyle name="_ET_STYLE_NoName_00__青岛海信_11_4海信发票申请表2008(1).2.4xls" xfId="3354"/>
    <cellStyle name="_ET_STYLE_NoName_00__青岛海信_11_海信发票申请表1(1).23.1.1xls" xfId="3355"/>
    <cellStyle name="_ET_STYLE_NoName_00__青岛海信_11_海信发票申请表1(1).23.1xls" xfId="3356"/>
    <cellStyle name="_ET_STYLE_NoName_00__青岛海信_11_海信发票申请表4(1).23.1" xfId="3357"/>
    <cellStyle name="_ET_STYLE_NoName_00__青岛海信_11_海信发票申请表4(1).23.2" xfId="3358"/>
    <cellStyle name="_ET_STYLE_NoName_00__青岛海信_11_青岛海信3.24.1xls" xfId="3359"/>
    <cellStyle name="_ET_STYLE_NoName_00__青岛海信_11_青岛海信3.24。xls" xfId="3360"/>
    <cellStyle name="_ET_STYLE_NoName_00__青岛海信_12_4海信发票申请表2008(1).2.4xls" xfId="3361"/>
    <cellStyle name="_ET_STYLE_NoName_00__青岛海信_12_海信发票申请表1(1).23.1.1xls" xfId="3362"/>
    <cellStyle name="_ET_STYLE_NoName_00__青岛海信_12_海信发票申请表1(1).23.1xls" xfId="3363"/>
    <cellStyle name="_ET_STYLE_NoName_00__青岛海信_12_海信发票申请表4(1).23.1" xfId="3364"/>
    <cellStyle name="_ET_STYLE_NoName_00__青岛海信_12_海信发票申请表4(1).23.2" xfId="3365"/>
    <cellStyle name="_ET_STYLE_NoName_00__青岛海信_12_海信发票申请表5(1).20.1" xfId="3366"/>
    <cellStyle name="_ET_STYLE_NoName_00__青岛海信_12_青岛海信3.24.1xls" xfId="3367"/>
    <cellStyle name="_ET_STYLE_NoName_00__青岛海信_12_青岛海信3.24。xls" xfId="3368"/>
    <cellStyle name="_ET_STYLE_NoName_00__青岛海信_2" xfId="3369"/>
    <cellStyle name="_ET_STYLE_NoName_00__青岛海信_3" xfId="3370"/>
    <cellStyle name="_ET_STYLE_NoName_00__青岛海信_3_海信发票申请表1(1).23.1.1xls" xfId="3371"/>
    <cellStyle name="_ET_STYLE_NoName_00__青岛海信_3_海信发票申请表1(1).23.1xls" xfId="3372"/>
    <cellStyle name="_ET_STYLE_NoName_00__青岛海信_3_海信发票申请表4(1).23.1" xfId="3373"/>
    <cellStyle name="_ET_STYLE_NoName_00__青岛海信_3_海信发票申请表4(1).23.2" xfId="3374"/>
    <cellStyle name="_ET_STYLE_NoName_00__青岛海信_3_海信发票申请表5(1).20.1" xfId="3375"/>
    <cellStyle name="_ET_STYLE_NoName_00__青岛海信_3_青岛海信3.24.1xls" xfId="3376"/>
    <cellStyle name="_ET_STYLE_NoName_00__青岛海信_4" xfId="3377"/>
    <cellStyle name="_ET_STYLE_NoName_00__青岛海信_4_海信发票申请表1(1).23.1.1xls" xfId="3378"/>
    <cellStyle name="_ET_STYLE_NoName_00__青岛海信_4_海信发票申请表1(1).23.1xls" xfId="3379"/>
    <cellStyle name="_ET_STYLE_NoName_00__青岛海信_4_海信发票申请表4(1).23.1" xfId="3380"/>
    <cellStyle name="_ET_STYLE_NoName_00__青岛海信_5" xfId="3381"/>
    <cellStyle name="_ET_STYLE_NoName_00__青岛海信_5_海信发票申请表1(1).23.1xls" xfId="3382"/>
    <cellStyle name="_ET_STYLE_NoName_00__青岛海信_5_海信发票申请表4(1).23.2" xfId="3383"/>
    <cellStyle name="_ET_STYLE_NoName_00__青岛海信_5_海信发票申请表5(1).20.1" xfId="3384"/>
    <cellStyle name="_ET_STYLE_NoName_00__青岛海信_6_4海信发票申请表2008(1).2.4xls" xfId="3385"/>
    <cellStyle name="_ET_STYLE_NoName_00__青岛海信_6_海信发票申请表1(1).23.1.1xls" xfId="3386"/>
    <cellStyle name="_ET_STYLE_NoName_00__青岛海信_6_海信发票申请表1(1).23.1xls" xfId="3387"/>
    <cellStyle name="_ET_STYLE_NoName_00__青岛海信_6_海信发票申请表2008(1).3.5xls" xfId="3388"/>
    <cellStyle name="_ET_STYLE_NoName_00__青岛海信_6_海信发票申请表4(1).23.1" xfId="3389"/>
    <cellStyle name="_ET_STYLE_NoName_00__青岛海信_6_海信发票申请表4(1).23.2" xfId="3390"/>
    <cellStyle name="_ET_STYLE_NoName_00__青岛海信_6_海信发票申请表5(1).20.1" xfId="3391"/>
    <cellStyle name="_ET_STYLE_NoName_00__青岛海信_6_青岛海信3.24.1xls" xfId="3392"/>
    <cellStyle name="_ET_STYLE_NoName_00__青岛海信_6_青岛海信3.24。xls" xfId="3393"/>
    <cellStyle name="_ET_STYLE_NoName_00__青岛海信_7_4海信发票申请表2008(1).2.4xls" xfId="3394"/>
    <cellStyle name="_ET_STYLE_NoName_00__青岛海信_7_海信发票申请表1(1).23.1.1xls" xfId="3395"/>
    <cellStyle name="_ET_STYLE_NoName_00__青岛海信_7_海信发票申请表1(1).23.1xls" xfId="3396"/>
    <cellStyle name="_ET_STYLE_NoName_00__青岛海信_7_海信发票申请表2008(1).3.5xls" xfId="3397"/>
    <cellStyle name="_ET_STYLE_NoName_00__青岛海信_7_海信发票申请表4(1).23.2" xfId="3398"/>
    <cellStyle name="_ET_STYLE_NoName_00__青岛海信_7_青岛海信3.24.1xls" xfId="3399"/>
    <cellStyle name="_ET_STYLE_NoName_00__青岛海信_7_青岛海信3.24。xls" xfId="3400"/>
    <cellStyle name="_ET_STYLE_NoName_00__青岛海信_8" xfId="3401"/>
    <cellStyle name="_ET_STYLE_NoName_00__青岛海信_8_海信发票申请表4(1).23.2" xfId="3402"/>
    <cellStyle name="_ET_STYLE_NoName_00__青岛海信_8_海信发票申请表5(1).20.1" xfId="3403"/>
    <cellStyle name="_ET_STYLE_NoName_00__青岛海信_9" xfId="3404"/>
    <cellStyle name="_ET_STYLE_NoName_00__青岛海信_9_海信发票申请表1(1).23.1xls" xfId="3405"/>
    <cellStyle name="_ET_STYLE_NoName_00__青岛海信_9_海信发票申请表4(1).23.1" xfId="3406"/>
    <cellStyle name="_ET_STYLE_NoName_00__青岛海信_9_海信发票申请表4(1).23.2" xfId="3407"/>
    <cellStyle name="_ET_STYLE_NoName_00__青岛海信_9_海信发票申请表5(1).20.1" xfId="3408"/>
    <cellStyle name="_ET_STYLE_NoName_00__青岛海信_9_青岛海信3.24.1xls" xfId="3409"/>
    <cellStyle name="_FTQ Tri Charts April`05 (2) (2)" xfId="3410"/>
    <cellStyle name="_FTQ Tri Charts April`05 (2) (2)_BS_Separation_TaxResIndem_Q12412 tf" xfId="3411"/>
    <cellStyle name="_FTQ Tri Charts April`05 (2) (2)_BS_Separation_TaxResIndem_Q12412 tf_Guidance" xfId="3412"/>
    <cellStyle name="_FTQ Tri Charts April`05 (2) (2)_BS_Separation_TaxResIndem_Q12412 tf_Guidance 2" xfId="3413"/>
    <cellStyle name="_FTQ Tri Charts April`05 (2) (2)_BS_Separation_TaxResIndem_Q12412 tf_Guidance_BS retrieve" xfId="3414"/>
    <cellStyle name="_FTQ Tri Charts April`05 (2) (2)_BS_Separation_TaxResIndem_Q12412 tf_Guidance_Free CF" xfId="3415"/>
    <cellStyle name="_FTQ Tri Charts April`05 (2) (2)_BS_Separation_TaxResIndem_Q12412 tf_Guidance_P&amp;L Rec Qtr" xfId="3416"/>
    <cellStyle name="_FTQ Tri Charts April`05 (2) (2)_BS_Separation_TaxResIndem_Q12412 tf_Guidance_Sheet1" xfId="3417"/>
    <cellStyle name="_FTQ Tri Charts April`05 (2) (2)_BS_Separation_TaxResIndem_Q12412 tf_Guidance_Sheet2" xfId="3418"/>
    <cellStyle name="_FTQ Tri Charts April`05 (2) (2)_BS_Separation_TaxResIndem_Q12412 tf_Guidance_Sheet3" xfId="3419"/>
    <cellStyle name="_FTQ Tri Charts April`05 (2) (2)_BS_Separation_TaxResIndem_Q12412 tf_Guidance_Sheet4" xfId="3420"/>
    <cellStyle name="_FTQ Tri Charts April`05 (2) (2)_BS_Separation_TaxResIndem_Q12412 tf_Restructuring &amp; Separation" xfId="3421"/>
    <cellStyle name="_FTQ Tri Charts April`05 (2) (2)_BS_Separation_TaxResIndem_Q12412 tf_Restructuring &amp; Separation_Guidance" xfId="3422"/>
    <cellStyle name="_FTQ Tri Charts April`05 (2) (2)_BS_Separation_TaxResIndem_Q12412 tf_Restructuring &amp; Separation_Guidance 2" xfId="3423"/>
    <cellStyle name="_FTQ Tri Charts April`05 (2) (2)_BS_Separation_TaxResIndem_Q12412 tf_Restructuring &amp; Separation_Guidance_BS retrieve" xfId="3424"/>
    <cellStyle name="_FTQ Tri Charts April`05 (2) (2)_BS_Separation_TaxResIndem_Q12412 tf_Restructuring &amp; Separation_Guidance_Free CF" xfId="3425"/>
    <cellStyle name="_FTQ Tri Charts April`05 (2) (2)_BS_Separation_TaxResIndem_Q12412 tf_Restructuring &amp; Separation_Guidance_P&amp;L Rec Qtr" xfId="3426"/>
    <cellStyle name="_FTQ Tri Charts April`05 (2) (2)_BS_Separation_TaxResIndem_Q12412 tf_Restructuring &amp; Separation_Guidance_Sheet1" xfId="3427"/>
    <cellStyle name="_FTQ Tri Charts April`05 (2) (2)_BS_Separation_TaxResIndem_Q12412 tf_Restructuring &amp; Separation_Guidance_Sheet2" xfId="3428"/>
    <cellStyle name="_FTQ Tri Charts April`05 (2) (2)_BS_Separation_TaxResIndem_Q12412 tf_Restructuring &amp; Separation_Guidance_Sheet3" xfId="3429"/>
    <cellStyle name="_FTQ Tri Charts April`05 (2) (2)_BS_Separation_TaxResIndem_Q12412 tf_Restructuring &amp; Separation_Guidance_Sheet4" xfId="3430"/>
    <cellStyle name="_FTQ Tri Charts April`05 (2) (2)_By Country Detail 1Q10 041410pm FIN 18 revised per disc w Mary" xfId="3431"/>
    <cellStyle name="_FTQ Tri Charts April`05 (2) (2)_By Country Detail 1Q10 041410pm FIN 18 revised per disc w Mary_BS_Separation_TaxResIndem_Q12412 tf" xfId="3432"/>
    <cellStyle name="_FTQ Tri Charts April`05 (2) (2)_By Country Detail 1Q10 041410pm FIN 18 revised per disc w Mary_BS_Separation_TaxResIndem_Q12412 tf_Guidance" xfId="3433"/>
    <cellStyle name="_FTQ Tri Charts April`05 (2) (2)_By Country Detail 1Q10 041410pm FIN 18 revised per disc w Mary_BS_Separation_TaxResIndem_Q12412 tf_Guidance 2" xfId="3434"/>
    <cellStyle name="_FTQ Tri Charts April`05 (2) (2)_By Country Detail 1Q10 041410pm FIN 18 revised per disc w Mary_BS_Separation_TaxResIndem_Q12412 tf_Guidance_BS retrieve" xfId="3435"/>
    <cellStyle name="_FTQ Tri Charts April`05 (2) (2)_By Country Detail 1Q10 041410pm FIN 18 revised per disc w Mary_BS_Separation_TaxResIndem_Q12412 tf_Guidance_Free CF" xfId="3436"/>
    <cellStyle name="_FTQ Tri Charts April`05 (2) (2)_By Country Detail 1Q10 041410pm FIN 18 revised per disc w Mary_BS_Separation_TaxResIndem_Q12412 tf_Guidance_P&amp;L Rec Qtr" xfId="3437"/>
    <cellStyle name="_FTQ Tri Charts April`05 (2) (2)_By Country Detail 1Q10 041410pm FIN 18 revised per disc w Mary_BS_Separation_TaxResIndem_Q12412 tf_Guidance_Sheet1" xfId="3438"/>
    <cellStyle name="_FTQ Tri Charts April`05 (2) (2)_By Country Detail 1Q10 041410pm FIN 18 revised per disc w Mary_BS_Separation_TaxResIndem_Q12412 tf_Guidance_Sheet2" xfId="3439"/>
    <cellStyle name="_FTQ Tri Charts April`05 (2) (2)_By Country Detail 1Q10 041410pm FIN 18 revised per disc w Mary_BS_Separation_TaxResIndem_Q12412 tf_Guidance_Sheet3" xfId="3440"/>
    <cellStyle name="_FTQ Tri Charts April`05 (2) (2)_By Country Detail 1Q10 041410pm FIN 18 revised per disc w Mary_BS_Separation_TaxResIndem_Q12412 tf_Guidance_Sheet4" xfId="3441"/>
    <cellStyle name="_FTQ Tri Charts April`05 (2) (2)_By Country Detail 1Q10 041410pm FIN 18 revised per disc w Mary_BS_Separation_TaxResIndem_Q12412 tf_Restructuring &amp; Separation" xfId="3442"/>
    <cellStyle name="_FTQ Tri Charts April`05 (2) (2)_By Country Detail 1Q10 041410pm FIN 18 revised per disc w Mary_BS_Separation_TaxResIndem_Q12412 tf_Restructuring &amp; Separation_Guidance" xfId="3443"/>
    <cellStyle name="_FTQ Tri Charts April`05 (2) (2)_By Country Detail 1Q10 041410pm FIN 18 revised per disc w Mary_BS_Separation_TaxResIndem_Q12412 tf_Restructuring &amp; Separation_Guidance 2" xfId="3444"/>
    <cellStyle name="_FTQ Tri Charts April`05 (2) (2)_By Country Detail 1Q10 041410pm FIN 18 revised per disc w Mary_BS_Separation_TaxResIndem_Q12412 tf_Restructuring &amp; Separation_Guidance_BS retrieve" xfId="3445"/>
    <cellStyle name="_FTQ Tri Charts April`05 (2) (2)_By Country Detail 1Q10 041410pm FIN 18 revised per disc w Mary_BS_Separation_TaxResIndem_Q12412 tf_Restructuring &amp; Separation_Guidance_Free CF" xfId="3446"/>
    <cellStyle name="_FTQ Tri Charts April`05 (2) (2)_By Country Detail 1Q10 041410pm FIN 18 revised per disc w Mary_BS_Separation_TaxResIndem_Q12412 tf_Restructuring &amp; Separation_Guidance_P&amp;L Rec Qtr" xfId="3447"/>
    <cellStyle name="_FTQ Tri Charts April`05 (2) (2)_By Country Detail 1Q10 041410pm FIN 18 revised per disc w Mary_BS_Separation_TaxResIndem_Q12412 tf_Restructuring &amp; Separation_Guidance_Sheet1" xfId="3448"/>
    <cellStyle name="_FTQ Tri Charts April`05 (2) (2)_By Country Detail 1Q10 041410pm FIN 18 revised per disc w Mary_BS_Separation_TaxResIndem_Q12412 tf_Restructuring &amp; Separation_Guidance_Sheet2" xfId="3449"/>
    <cellStyle name="_FTQ Tri Charts April`05 (2) (2)_By Country Detail 1Q10 041410pm FIN 18 revised per disc w Mary_BS_Separation_TaxResIndem_Q12412 tf_Restructuring &amp; Separation_Guidance_Sheet3" xfId="3450"/>
    <cellStyle name="_FTQ Tri Charts April`05 (2) (2)_By Country Detail 1Q10 041410pm FIN 18 revised per disc w Mary_BS_Separation_TaxResIndem_Q12412 tf_Restructuring &amp; Separation_Guidance_Sheet4" xfId="3451"/>
    <cellStyle name="_FTQ Tri Charts April`05 (2) (2)_By Country Detail 1Q10 041410pm FIN 18 revised per disc w Mary_Guidance" xfId="3452"/>
    <cellStyle name="_FTQ Tri Charts April`05 (2) (2)_By Country Detail 1Q10 041410pm FIN 18 revised per disc w Mary_Guidance 2" xfId="3453"/>
    <cellStyle name="_FTQ Tri Charts April`05 (2) (2)_By Country Detail 1Q10 041410pm FIN 18 revised per disc w Mary_Guidance_BS retrieve" xfId="3454"/>
    <cellStyle name="_FTQ Tri Charts April`05 (2) (2)_By Country Detail 1Q10 041410pm FIN 18 revised per disc w Mary_Guidance_Free CF" xfId="3455"/>
    <cellStyle name="_FTQ Tri Charts April`05 (2) (2)_By Country Detail 1Q10 041410pm FIN 18 revised per disc w Mary_Guidance_P&amp;L Rec Qtr" xfId="3456"/>
    <cellStyle name="_FTQ Tri Charts April`05 (2) (2)_By Country Detail 1Q10 041410pm FIN 18 revised per disc w Mary_Guidance_Sheet1" xfId="3457"/>
    <cellStyle name="_FTQ Tri Charts April`05 (2) (2)_By Country Detail 1Q10 041410pm FIN 18 revised per disc w Mary_Guidance_Sheet2" xfId="3458"/>
    <cellStyle name="_FTQ Tri Charts April`05 (2) (2)_By Country Detail 1Q10 041410pm FIN 18 revised per disc w Mary_Guidance_Sheet3" xfId="3459"/>
    <cellStyle name="_FTQ Tri Charts April`05 (2) (2)_By Country Detail 1Q10 041410pm FIN 18 revised per disc w Mary_Guidance_Sheet4" xfId="3460"/>
    <cellStyle name="_FTQ Tri Charts April`05 (2) (2)_By Country Detail 1Q10 041410pm FIN 18 revised per disc w Mary_II.8. Sep&amp;Discrete" xfId="3461"/>
    <cellStyle name="_FTQ Tri Charts April`05 (2) (2)_By Country Detail 1Q10 041410pm FIN 18 revised per disc w Mary_II.8. Sep&amp;Discrete_Guidance" xfId="3462"/>
    <cellStyle name="_FTQ Tri Charts April`05 (2) (2)_By Country Detail 1Q10 041410pm FIN 18 revised per disc w Mary_II.8. Sep&amp;Discrete_Guidance 2" xfId="3463"/>
    <cellStyle name="_FTQ Tri Charts April`05 (2) (2)_By Country Detail 1Q10 041410pm FIN 18 revised per disc w Mary_II.8. Sep&amp;Discrete_Guidance_BS retrieve" xfId="3464"/>
    <cellStyle name="_FTQ Tri Charts April`05 (2) (2)_By Country Detail 1Q10 041410pm FIN 18 revised per disc w Mary_II.8. Sep&amp;Discrete_Guidance_Free CF" xfId="3465"/>
    <cellStyle name="_FTQ Tri Charts April`05 (2) (2)_By Country Detail 1Q10 041410pm FIN 18 revised per disc w Mary_II.8. Sep&amp;Discrete_Guidance_P&amp;L Rec Qtr" xfId="3466"/>
    <cellStyle name="_FTQ Tri Charts April`05 (2) (2)_By Country Detail 1Q10 041410pm FIN 18 revised per disc w Mary_II.8. Sep&amp;Discrete_Guidance_Sheet1" xfId="3467"/>
    <cellStyle name="_FTQ Tri Charts April`05 (2) (2)_By Country Detail 1Q10 041410pm FIN 18 revised per disc w Mary_II.8. Sep&amp;Discrete_Guidance_Sheet2" xfId="3468"/>
    <cellStyle name="_FTQ Tri Charts April`05 (2) (2)_By Country Detail 1Q10 041410pm FIN 18 revised per disc w Mary_II.8. Sep&amp;Discrete_Guidance_Sheet3" xfId="3469"/>
    <cellStyle name="_FTQ Tri Charts April`05 (2) (2)_By Country Detail 1Q10 041410pm FIN 18 revised per disc w Mary_II.8. Sep&amp;Discrete_Guidance_Sheet4" xfId="3470"/>
    <cellStyle name="_FTQ Tri Charts April`05 (2) (2)_By Country Detail 1Q10 041410pm FIN 18 revised per disc w Mary_Restructuring &amp; Separation" xfId="3471"/>
    <cellStyle name="_FTQ Tri Charts April`05 (2) (2)_By Country Detail 1Q10 041410pm FIN 18 revised per disc w Mary_Restructuring &amp; Separation_Guidance" xfId="3472"/>
    <cellStyle name="_FTQ Tri Charts April`05 (2) (2)_By Country Detail 1Q10 041410pm FIN 18 revised per disc w Mary_Restructuring &amp; Separation_Guidance 2" xfId="3473"/>
    <cellStyle name="_FTQ Tri Charts April`05 (2) (2)_By Country Detail 1Q10 041410pm FIN 18 revised per disc w Mary_Restructuring &amp; Separation_Guidance_BS retrieve" xfId="3474"/>
    <cellStyle name="_FTQ Tri Charts April`05 (2) (2)_By Country Detail 1Q10 041410pm FIN 18 revised per disc w Mary_Restructuring &amp; Separation_Guidance_Free CF" xfId="3475"/>
    <cellStyle name="_FTQ Tri Charts April`05 (2) (2)_By Country Detail 1Q10 041410pm FIN 18 revised per disc w Mary_Restructuring &amp; Separation_Guidance_P&amp;L Rec Qtr" xfId="3476"/>
    <cellStyle name="_FTQ Tri Charts April`05 (2) (2)_By Country Detail 1Q10 041410pm FIN 18 revised per disc w Mary_Restructuring &amp; Separation_Guidance_Sheet1" xfId="3477"/>
    <cellStyle name="_FTQ Tri Charts April`05 (2) (2)_By Country Detail 1Q10 041410pm FIN 18 revised per disc w Mary_Restructuring &amp; Separation_Guidance_Sheet2" xfId="3478"/>
    <cellStyle name="_FTQ Tri Charts April`05 (2) (2)_By Country Detail 1Q10 041410pm FIN 18 revised per disc w Mary_Restructuring &amp; Separation_Guidance_Sheet3" xfId="3479"/>
    <cellStyle name="_FTQ Tri Charts April`05 (2) (2)_By Country Detail 1Q10 041410pm FIN 18 revised per disc w Mary_Restructuring &amp; Separation_Guidance_Sheet4" xfId="3480"/>
    <cellStyle name="_FTQ Tri Charts April`05 (2) (2)_Guidance" xfId="3481"/>
    <cellStyle name="_FTQ Tri Charts April`05 (2) (2)_Guidance 2" xfId="3482"/>
    <cellStyle name="_FTQ Tri Charts April`05 (2) (2)_Guidance_BS retrieve" xfId="3483"/>
    <cellStyle name="_FTQ Tri Charts April`05 (2) (2)_Guidance_Free CF" xfId="3484"/>
    <cellStyle name="_FTQ Tri Charts April`05 (2) (2)_Guidance_P&amp;L Rec Qtr" xfId="3485"/>
    <cellStyle name="_FTQ Tri Charts April`05 (2) (2)_Guidance_Sheet1" xfId="3486"/>
    <cellStyle name="_FTQ Tri Charts April`05 (2) (2)_Guidance_Sheet2" xfId="3487"/>
    <cellStyle name="_FTQ Tri Charts April`05 (2) (2)_Guidance_Sheet3" xfId="3488"/>
    <cellStyle name="_FTQ Tri Charts April`05 (2) (2)_Guidance_Sheet4" xfId="3489"/>
    <cellStyle name="_FTQ Tri Charts April`05 (2) (2)_II.4. RawMaterials" xfId="3490"/>
    <cellStyle name="_FTQ Tri Charts April`05 (2) (2)_II.4. RawMaterials 2" xfId="3491"/>
    <cellStyle name="_FTQ Tri Charts April`05 (2) (2)_II.4. RawMaterials_BS retrieve" xfId="3492"/>
    <cellStyle name="_FTQ Tri Charts April`05 (2) (2)_II.4. RawMaterials_Free CF" xfId="3493"/>
    <cellStyle name="_FTQ Tri Charts April`05 (2) (2)_II.4. RawMaterials_P&amp;L Rec Qtr" xfId="3494"/>
    <cellStyle name="_FTQ Tri Charts April`05 (2) (2)_II.4. RawMaterials_Sheet1" xfId="3495"/>
    <cellStyle name="_FTQ Tri Charts April`05 (2) (2)_II.4. RawMaterials_Sheet2" xfId="3496"/>
    <cellStyle name="_FTQ Tri Charts April`05 (2) (2)_II.4. RawMaterials_Sheet3" xfId="3497"/>
    <cellStyle name="_FTQ Tri Charts April`05 (2) (2)_II.4. RawMaterials_Sheet4" xfId="3498"/>
    <cellStyle name="_FTQ Tri Charts April`05 (2) (2)_II.5. RawMaterials" xfId="3499"/>
    <cellStyle name="_FTQ Tri Charts April`05 (2) (2)_II.5. RawMaterials 2" xfId="3500"/>
    <cellStyle name="_FTQ Tri Charts April`05 (2) (2)_II.5. RawMaterials_BS retrieve" xfId="3501"/>
    <cellStyle name="_FTQ Tri Charts April`05 (2) (2)_II.5. RawMaterials_Free CF" xfId="3502"/>
    <cellStyle name="_FTQ Tri Charts April`05 (2) (2)_II.5. RawMaterials_Guidance" xfId="3503"/>
    <cellStyle name="_FTQ Tri Charts April`05 (2) (2)_II.5. RawMaterials_Guidance 2" xfId="3504"/>
    <cellStyle name="_FTQ Tri Charts April`05 (2) (2)_II.5. RawMaterials_Guidance_BS retrieve" xfId="3505"/>
    <cellStyle name="_FTQ Tri Charts April`05 (2) (2)_II.5. RawMaterials_Guidance_Free CF" xfId="3506"/>
    <cellStyle name="_FTQ Tri Charts April`05 (2) (2)_II.5. RawMaterials_Guidance_P&amp;L Rec Qtr" xfId="3507"/>
    <cellStyle name="_FTQ Tri Charts April`05 (2) (2)_II.5. RawMaterials_Guidance_Sheet1" xfId="3508"/>
    <cellStyle name="_FTQ Tri Charts April`05 (2) (2)_II.5. RawMaterials_Guidance_Sheet2" xfId="3509"/>
    <cellStyle name="_FTQ Tri Charts April`05 (2) (2)_II.5. RawMaterials_Guidance_Sheet3" xfId="3510"/>
    <cellStyle name="_FTQ Tri Charts April`05 (2) (2)_II.5. RawMaterials_Guidance_Sheet4" xfId="3511"/>
    <cellStyle name="_FTQ Tri Charts April`05 (2) (2)_II.5. RawMaterials_P&amp;L Rec Qtr" xfId="3512"/>
    <cellStyle name="_FTQ Tri Charts April`05 (2) (2)_II.5. RawMaterials_Sheet1" xfId="3513"/>
    <cellStyle name="_FTQ Tri Charts April`05 (2) (2)_II.5. RawMaterials_Sheet2" xfId="3514"/>
    <cellStyle name="_FTQ Tri Charts April`05 (2) (2)_II.5. RawMaterials_Sheet3" xfId="3515"/>
    <cellStyle name="_FTQ Tri Charts April`05 (2) (2)_II.5. RawMaterials_Sheet4" xfId="3516"/>
    <cellStyle name="_FTQ Tri Charts April`05 (2) (2)_II.5. RM Volume Sensitivities" xfId="3517"/>
    <cellStyle name="_FTQ Tri Charts April`05 (2) (2)_II.5. RM Volume Sensitivities 2" xfId="3518"/>
    <cellStyle name="_FTQ Tri Charts April`05 (2) (2)_II.5. RM Volume Sensitivities_BS retrieve" xfId="3519"/>
    <cellStyle name="_FTQ Tri Charts April`05 (2) (2)_II.5. RM Volume Sensitivities_Free CF" xfId="3520"/>
    <cellStyle name="_FTQ Tri Charts April`05 (2) (2)_II.5. RM Volume Sensitivities_P&amp;L Rec Qtr" xfId="3521"/>
    <cellStyle name="_FTQ Tri Charts April`05 (2) (2)_II.5. RM Volume Sensitivities_Sheet1" xfId="3522"/>
    <cellStyle name="_FTQ Tri Charts April`05 (2) (2)_II.5. RM Volume Sensitivities_Sheet2" xfId="3523"/>
    <cellStyle name="_FTQ Tri Charts April`05 (2) (2)_II.5. RM Volume Sensitivities_Sheet3" xfId="3524"/>
    <cellStyle name="_FTQ Tri Charts April`05 (2) (2)_II.5. RM Volume Sensitivities_Sheet4" xfId="3525"/>
    <cellStyle name="_FTQ Tri Charts April`05 (2) (2)_II.8. Sep&amp;Discrete" xfId="3526"/>
    <cellStyle name="_FTQ Tri Charts April`05 (2) (2)_II.8. Sep&amp;Discrete_Guidance" xfId="3527"/>
    <cellStyle name="_FTQ Tri Charts April`05 (2) (2)_II.8. Sep&amp;Discrete_Guidance 2" xfId="3528"/>
    <cellStyle name="_FTQ Tri Charts April`05 (2) (2)_II.8. Sep&amp;Discrete_Guidance_BS retrieve" xfId="3529"/>
    <cellStyle name="_FTQ Tri Charts April`05 (2) (2)_II.8. Sep&amp;Discrete_Guidance_Free CF" xfId="3530"/>
    <cellStyle name="_FTQ Tri Charts April`05 (2) (2)_II.8. Sep&amp;Discrete_Guidance_P&amp;L Rec Qtr" xfId="3531"/>
    <cellStyle name="_FTQ Tri Charts April`05 (2) (2)_II.8. Sep&amp;Discrete_Guidance_Sheet1" xfId="3532"/>
    <cellStyle name="_FTQ Tri Charts April`05 (2) (2)_II.8. Sep&amp;Discrete_Guidance_Sheet2" xfId="3533"/>
    <cellStyle name="_FTQ Tri Charts April`05 (2) (2)_II.8. Sep&amp;Discrete_Guidance_Sheet3" xfId="3534"/>
    <cellStyle name="_FTQ Tri Charts April`05 (2) (2)_II.8. Sep&amp;Discrete_Guidance_Sheet4" xfId="3535"/>
    <cellStyle name="_FTQ Tri Charts April`05 (2) (2)_Restructuring &amp; Separation" xfId="3536"/>
    <cellStyle name="_FTQ Tri Charts April`05 (2) (2)_Restructuring &amp; Separation_Guidance" xfId="3537"/>
    <cellStyle name="_FTQ Tri Charts April`05 (2) (2)_Restructuring &amp; Separation_Guidance 2" xfId="3538"/>
    <cellStyle name="_FTQ Tri Charts April`05 (2) (2)_Restructuring &amp; Separation_Guidance_BS retrieve" xfId="3539"/>
    <cellStyle name="_FTQ Tri Charts April`05 (2) (2)_Restructuring &amp; Separation_Guidance_Free CF" xfId="3540"/>
    <cellStyle name="_FTQ Tri Charts April`05 (2) (2)_Restructuring &amp; Separation_Guidance_P&amp;L Rec Qtr" xfId="3541"/>
    <cellStyle name="_FTQ Tri Charts April`05 (2) (2)_Restructuring &amp; Separation_Guidance_Sheet1" xfId="3542"/>
    <cellStyle name="_FTQ Tri Charts April`05 (2) (2)_Restructuring &amp; Separation_Guidance_Sheet2" xfId="3543"/>
    <cellStyle name="_FTQ Tri Charts April`05 (2) (2)_Restructuring &amp; Separation_Guidance_Sheet3" xfId="3544"/>
    <cellStyle name="_FTQ Tri Charts April`05 (2) (2)_Restructuring &amp; Separation_Guidance_Sheet4" xfId="3545"/>
    <cellStyle name="_FTQ Tri Charts April`05 (2) (2)_Restructuring_Separation_TAX_JuneFC2010 tf" xfId="3546"/>
    <cellStyle name="_FTQ Tri Charts April`05 (2) (2)_Restructuring_Separation_TAX_JuneFC2010 tf_BS_Separation_TaxResIndem_Q12412 tf" xfId="3547"/>
    <cellStyle name="_FTQ Tri Charts April`05 (2) (2)_Restructuring_Separation_TAX_JuneFC2010 tf_BS_Separation_TaxResIndem_Q12412 tf_Guidance" xfId="3548"/>
    <cellStyle name="_FTQ Tri Charts April`05 (2) (2)_Restructuring_Separation_TAX_JuneFC2010 tf_BS_Separation_TaxResIndem_Q12412 tf_Guidance 2" xfId="3549"/>
    <cellStyle name="_FTQ Tri Charts April`05 (2) (2)_Restructuring_Separation_TAX_JuneFC2010 tf_BS_Separation_TaxResIndem_Q12412 tf_Guidance_BS retrieve" xfId="3550"/>
    <cellStyle name="_FTQ Tri Charts April`05 (2) (2)_Restructuring_Separation_TAX_JuneFC2010 tf_BS_Separation_TaxResIndem_Q12412 tf_Guidance_Free CF" xfId="3551"/>
    <cellStyle name="_FTQ Tri Charts April`05 (2) (2)_Restructuring_Separation_TAX_JuneFC2010 tf_BS_Separation_TaxResIndem_Q12412 tf_Guidance_P&amp;L Rec Qtr" xfId="3552"/>
    <cellStyle name="_FTQ Tri Charts April`05 (2) (2)_Restructuring_Separation_TAX_JuneFC2010 tf_BS_Separation_TaxResIndem_Q12412 tf_Guidance_Sheet1" xfId="3553"/>
    <cellStyle name="_FTQ Tri Charts April`05 (2) (2)_Restructuring_Separation_TAX_JuneFC2010 tf_BS_Separation_TaxResIndem_Q12412 tf_Guidance_Sheet2" xfId="3554"/>
    <cellStyle name="_FTQ Tri Charts April`05 (2) (2)_Restructuring_Separation_TAX_JuneFC2010 tf_BS_Separation_TaxResIndem_Q12412 tf_Guidance_Sheet3" xfId="3555"/>
    <cellStyle name="_FTQ Tri Charts April`05 (2) (2)_Restructuring_Separation_TAX_JuneFC2010 tf_BS_Separation_TaxResIndem_Q12412 tf_Guidance_Sheet4" xfId="3556"/>
    <cellStyle name="_FTQ Tri Charts April`05 (2) (2)_Restructuring_Separation_TAX_JuneFC2010 tf_BS_Separation_TaxResIndem_Q12412 tf_Restructuring &amp; Separation" xfId="3557"/>
    <cellStyle name="_FTQ Tri Charts April`05 (2) (2)_Restructuring_Separation_TAX_JuneFC2010 tf_BS_Separation_TaxResIndem_Q12412 tf_Restructuring &amp; Separation_Guidance" xfId="3558"/>
    <cellStyle name="_FTQ Tri Charts April`05 (2) (2)_Restructuring_Separation_TAX_JuneFC2010 tf_BS_Separation_TaxResIndem_Q12412 tf_Restructuring &amp; Separation_Guidance 2" xfId="3559"/>
    <cellStyle name="_FTQ Tri Charts April`05 (2) (2)_Restructuring_Separation_TAX_JuneFC2010 tf_BS_Separation_TaxResIndem_Q12412 tf_Restructuring &amp; Separation_Guidance_BS retrieve" xfId="3560"/>
    <cellStyle name="_FTQ Tri Charts April`05 (2) (2)_Restructuring_Separation_TAX_JuneFC2010 tf_BS_Separation_TaxResIndem_Q12412 tf_Restructuring &amp; Separation_Guidance_Free CF" xfId="3561"/>
    <cellStyle name="_FTQ Tri Charts April`05 (2) (2)_Restructuring_Separation_TAX_JuneFC2010 tf_BS_Separation_TaxResIndem_Q12412 tf_Restructuring &amp; Separation_Guidance_P&amp;L Rec Qtr" xfId="3562"/>
    <cellStyle name="_FTQ Tri Charts April`05 (2) (2)_Restructuring_Separation_TAX_JuneFC2010 tf_BS_Separation_TaxResIndem_Q12412 tf_Restructuring &amp; Separation_Guidance_Sheet1" xfId="3563"/>
    <cellStyle name="_FTQ Tri Charts April`05 (2) (2)_Restructuring_Separation_TAX_JuneFC2010 tf_BS_Separation_TaxResIndem_Q12412 tf_Restructuring &amp; Separation_Guidance_Sheet2" xfId="3564"/>
    <cellStyle name="_FTQ Tri Charts April`05 (2) (2)_Restructuring_Separation_TAX_JuneFC2010 tf_BS_Separation_TaxResIndem_Q12412 tf_Restructuring &amp; Separation_Guidance_Sheet3" xfId="3565"/>
    <cellStyle name="_FTQ Tri Charts April`05 (2) (2)_Restructuring_Separation_TAX_JuneFC2010 tf_BS_Separation_TaxResIndem_Q12412 tf_Restructuring &amp; Separation_Guidance_Sheet4" xfId="3566"/>
    <cellStyle name="_FTQ Tri Charts April`05 (2) (2)_Restructuring_Separation_TAX_JuneFC2010 tf_Guidance" xfId="3567"/>
    <cellStyle name="_FTQ Tri Charts April`05 (2) (2)_Restructuring_Separation_TAX_JuneFC2010 tf_Guidance 2" xfId="3568"/>
    <cellStyle name="_FTQ Tri Charts April`05 (2) (2)_Restructuring_Separation_TAX_JuneFC2010 tf_Guidance_BS retrieve" xfId="3569"/>
    <cellStyle name="_FTQ Tri Charts April`05 (2) (2)_Restructuring_Separation_TAX_JuneFC2010 tf_Guidance_Free CF" xfId="3570"/>
    <cellStyle name="_FTQ Tri Charts April`05 (2) (2)_Restructuring_Separation_TAX_JuneFC2010 tf_Guidance_P&amp;L Rec Qtr" xfId="3571"/>
    <cellStyle name="_FTQ Tri Charts April`05 (2) (2)_Restructuring_Separation_TAX_JuneFC2010 tf_Guidance_Sheet1" xfId="3572"/>
    <cellStyle name="_FTQ Tri Charts April`05 (2) (2)_Restructuring_Separation_TAX_JuneFC2010 tf_Guidance_Sheet2" xfId="3573"/>
    <cellStyle name="_FTQ Tri Charts April`05 (2) (2)_Restructuring_Separation_TAX_JuneFC2010 tf_Guidance_Sheet3" xfId="3574"/>
    <cellStyle name="_FTQ Tri Charts April`05 (2) (2)_Restructuring_Separation_TAX_JuneFC2010 tf_Guidance_Sheet4" xfId="3575"/>
    <cellStyle name="_FTQ Tri Charts April`05 (2) (2)_Restructuring_Separation_TAX_JuneFC2010 tf_II.8. Sep&amp;Discrete" xfId="3576"/>
    <cellStyle name="_FTQ Tri Charts April`05 (2) (2)_Restructuring_Separation_TAX_JuneFC2010 tf_II.8. Sep&amp;Discrete_Guidance" xfId="3577"/>
    <cellStyle name="_FTQ Tri Charts April`05 (2) (2)_Restructuring_Separation_TAX_JuneFC2010 tf_II.8. Sep&amp;Discrete_Guidance 2" xfId="3578"/>
    <cellStyle name="_FTQ Tri Charts April`05 (2) (2)_Restructuring_Separation_TAX_JuneFC2010 tf_II.8. Sep&amp;Discrete_Guidance_BS retrieve" xfId="3579"/>
    <cellStyle name="_FTQ Tri Charts April`05 (2) (2)_Restructuring_Separation_TAX_JuneFC2010 tf_II.8. Sep&amp;Discrete_Guidance_Free CF" xfId="3580"/>
    <cellStyle name="_FTQ Tri Charts April`05 (2) (2)_Restructuring_Separation_TAX_JuneFC2010 tf_II.8. Sep&amp;Discrete_Guidance_P&amp;L Rec Qtr" xfId="3581"/>
    <cellStyle name="_FTQ Tri Charts April`05 (2) (2)_Restructuring_Separation_TAX_JuneFC2010 tf_II.8. Sep&amp;Discrete_Guidance_Sheet1" xfId="3582"/>
    <cellStyle name="_FTQ Tri Charts April`05 (2) (2)_Restructuring_Separation_TAX_JuneFC2010 tf_II.8. Sep&amp;Discrete_Guidance_Sheet2" xfId="3583"/>
    <cellStyle name="_FTQ Tri Charts April`05 (2) (2)_Restructuring_Separation_TAX_JuneFC2010 tf_II.8. Sep&amp;Discrete_Guidance_Sheet3" xfId="3584"/>
    <cellStyle name="_FTQ Tri Charts April`05 (2) (2)_Restructuring_Separation_TAX_JuneFC2010 tf_II.8. Sep&amp;Discrete_Guidance_Sheet4" xfId="3585"/>
    <cellStyle name="_FTQ Tri Charts April`05 (2) (2)_Restructuring_Separation_TAX_JuneFC2010 tf_Restructuring &amp; Separation" xfId="3586"/>
    <cellStyle name="_FTQ Tri Charts April`05 (2) (2)_Restructuring_Separation_TAX_JuneFC2010 tf_Restructuring &amp; Separation_Guidance" xfId="3587"/>
    <cellStyle name="_FTQ Tri Charts April`05 (2) (2)_Restructuring_Separation_TAX_JuneFC2010 tf_Restructuring &amp; Separation_Guidance 2" xfId="3588"/>
    <cellStyle name="_FTQ Tri Charts April`05 (2) (2)_Restructuring_Separation_TAX_JuneFC2010 tf_Restructuring &amp; Separation_Guidance_BS retrieve" xfId="3589"/>
    <cellStyle name="_FTQ Tri Charts April`05 (2) (2)_Restructuring_Separation_TAX_JuneFC2010 tf_Restructuring &amp; Separation_Guidance_Free CF" xfId="3590"/>
    <cellStyle name="_FTQ Tri Charts April`05 (2) (2)_Restructuring_Separation_TAX_JuneFC2010 tf_Restructuring &amp; Separation_Guidance_P&amp;L Rec Qtr" xfId="3591"/>
    <cellStyle name="_FTQ Tri Charts April`05 (2) (2)_Restructuring_Separation_TAX_JuneFC2010 tf_Restructuring &amp; Separation_Guidance_Sheet1" xfId="3592"/>
    <cellStyle name="_FTQ Tri Charts April`05 (2) (2)_Restructuring_Separation_TAX_JuneFC2010 tf_Restructuring &amp; Separation_Guidance_Sheet2" xfId="3593"/>
    <cellStyle name="_FTQ Tri Charts April`05 (2) (2)_Restructuring_Separation_TAX_JuneFC2010 tf_Restructuring &amp; Separation_Guidance_Sheet3" xfId="3594"/>
    <cellStyle name="_FTQ Tri Charts April`05 (2) (2)_Restructuring_Separation_TAX_JuneFC2010 tf_Restructuring &amp; Separation_Guidance_Sheet4" xfId="3595"/>
    <cellStyle name="_FTQ Tri Charts Feb'05" xfId="3596"/>
    <cellStyle name="_FTQ Tri Charts Feb'05_BS_Separation_TaxResIndem_Q12412 tf" xfId="3597"/>
    <cellStyle name="_FTQ Tri Charts Feb'05_BS_Separation_TaxResIndem_Q12412 tf_Guidance" xfId="3598"/>
    <cellStyle name="_FTQ Tri Charts Feb'05_BS_Separation_TaxResIndem_Q12412 tf_Guidance 2" xfId="3599"/>
    <cellStyle name="_FTQ Tri Charts Feb'05_BS_Separation_TaxResIndem_Q12412 tf_Guidance_BS retrieve" xfId="3600"/>
    <cellStyle name="_FTQ Tri Charts Feb'05_BS_Separation_TaxResIndem_Q12412 tf_Guidance_Free CF" xfId="3601"/>
    <cellStyle name="_FTQ Tri Charts Feb'05_BS_Separation_TaxResIndem_Q12412 tf_Guidance_P&amp;L Rec Qtr" xfId="3602"/>
    <cellStyle name="_FTQ Tri Charts Feb'05_BS_Separation_TaxResIndem_Q12412 tf_Guidance_Sheet1" xfId="3603"/>
    <cellStyle name="_FTQ Tri Charts Feb'05_BS_Separation_TaxResIndem_Q12412 tf_Guidance_Sheet2" xfId="3604"/>
    <cellStyle name="_FTQ Tri Charts Feb'05_BS_Separation_TaxResIndem_Q12412 tf_Guidance_Sheet3" xfId="3605"/>
    <cellStyle name="_FTQ Tri Charts Feb'05_BS_Separation_TaxResIndem_Q12412 tf_Guidance_Sheet4" xfId="3606"/>
    <cellStyle name="_FTQ Tri Charts Feb'05_BS_Separation_TaxResIndem_Q12412 tf_Restructuring &amp; Separation" xfId="3607"/>
    <cellStyle name="_FTQ Tri Charts Feb'05_BS_Separation_TaxResIndem_Q12412 tf_Restructuring &amp; Separation_Guidance" xfId="3608"/>
    <cellStyle name="_FTQ Tri Charts Feb'05_BS_Separation_TaxResIndem_Q12412 tf_Restructuring &amp; Separation_Guidance 2" xfId="3609"/>
    <cellStyle name="_FTQ Tri Charts Feb'05_BS_Separation_TaxResIndem_Q12412 tf_Restructuring &amp; Separation_Guidance_BS retrieve" xfId="3610"/>
    <cellStyle name="_FTQ Tri Charts Feb'05_BS_Separation_TaxResIndem_Q12412 tf_Restructuring &amp; Separation_Guidance_Free CF" xfId="3611"/>
    <cellStyle name="_FTQ Tri Charts Feb'05_BS_Separation_TaxResIndem_Q12412 tf_Restructuring &amp; Separation_Guidance_P&amp;L Rec Qtr" xfId="3612"/>
    <cellStyle name="_FTQ Tri Charts Feb'05_BS_Separation_TaxResIndem_Q12412 tf_Restructuring &amp; Separation_Guidance_Sheet1" xfId="3613"/>
    <cellStyle name="_FTQ Tri Charts Feb'05_BS_Separation_TaxResIndem_Q12412 tf_Restructuring &amp; Separation_Guidance_Sheet2" xfId="3614"/>
    <cellStyle name="_FTQ Tri Charts Feb'05_BS_Separation_TaxResIndem_Q12412 tf_Restructuring &amp; Separation_Guidance_Sheet3" xfId="3615"/>
    <cellStyle name="_FTQ Tri Charts Feb'05_BS_Separation_TaxResIndem_Q12412 tf_Restructuring &amp; Separation_Guidance_Sheet4" xfId="3616"/>
    <cellStyle name="_FTQ Tri Charts Feb'05_By Country Detail 1Q10 041410pm FIN 18 revised per disc w Mary" xfId="3617"/>
    <cellStyle name="_FTQ Tri Charts Feb'05_By Country Detail 1Q10 041410pm FIN 18 revised per disc w Mary_BS_Separation_TaxResIndem_Q12412 tf" xfId="3618"/>
    <cellStyle name="_FTQ Tri Charts Feb'05_By Country Detail 1Q10 041410pm FIN 18 revised per disc w Mary_BS_Separation_TaxResIndem_Q12412 tf_Guidance" xfId="3619"/>
    <cellStyle name="_FTQ Tri Charts Feb'05_By Country Detail 1Q10 041410pm FIN 18 revised per disc w Mary_BS_Separation_TaxResIndem_Q12412 tf_Guidance 2" xfId="3620"/>
    <cellStyle name="_FTQ Tri Charts Feb'05_By Country Detail 1Q10 041410pm FIN 18 revised per disc w Mary_BS_Separation_TaxResIndem_Q12412 tf_Guidance_BS retrieve" xfId="3621"/>
    <cellStyle name="_FTQ Tri Charts Feb'05_By Country Detail 1Q10 041410pm FIN 18 revised per disc w Mary_BS_Separation_TaxResIndem_Q12412 tf_Guidance_Free CF" xfId="3622"/>
    <cellStyle name="_FTQ Tri Charts Feb'05_By Country Detail 1Q10 041410pm FIN 18 revised per disc w Mary_BS_Separation_TaxResIndem_Q12412 tf_Guidance_P&amp;L Rec Qtr" xfId="3623"/>
    <cellStyle name="_FTQ Tri Charts Feb'05_By Country Detail 1Q10 041410pm FIN 18 revised per disc w Mary_BS_Separation_TaxResIndem_Q12412 tf_Guidance_Sheet1" xfId="3624"/>
    <cellStyle name="_FTQ Tri Charts Feb'05_By Country Detail 1Q10 041410pm FIN 18 revised per disc w Mary_BS_Separation_TaxResIndem_Q12412 tf_Guidance_Sheet2" xfId="3625"/>
    <cellStyle name="_FTQ Tri Charts Feb'05_By Country Detail 1Q10 041410pm FIN 18 revised per disc w Mary_BS_Separation_TaxResIndem_Q12412 tf_Guidance_Sheet3" xfId="3626"/>
    <cellStyle name="_FTQ Tri Charts Feb'05_By Country Detail 1Q10 041410pm FIN 18 revised per disc w Mary_BS_Separation_TaxResIndem_Q12412 tf_Guidance_Sheet4" xfId="3627"/>
    <cellStyle name="_FTQ Tri Charts Feb'05_By Country Detail 1Q10 041410pm FIN 18 revised per disc w Mary_BS_Separation_TaxResIndem_Q12412 tf_Restructuring &amp; Separation" xfId="3628"/>
    <cellStyle name="_FTQ Tri Charts Feb'05_By Country Detail 1Q10 041410pm FIN 18 revised per disc w Mary_BS_Separation_TaxResIndem_Q12412 tf_Restructuring &amp; Separation_Guidance" xfId="3629"/>
    <cellStyle name="_FTQ Tri Charts Feb'05_By Country Detail 1Q10 041410pm FIN 18 revised per disc w Mary_BS_Separation_TaxResIndem_Q12412 tf_Restructuring &amp; Separation_Guidance 2" xfId="3630"/>
    <cellStyle name="_FTQ Tri Charts Feb'05_By Country Detail 1Q10 041410pm FIN 18 revised per disc w Mary_BS_Separation_TaxResIndem_Q12412 tf_Restructuring &amp; Separation_Guidance_BS retrieve" xfId="3631"/>
    <cellStyle name="_FTQ Tri Charts Feb'05_By Country Detail 1Q10 041410pm FIN 18 revised per disc w Mary_BS_Separation_TaxResIndem_Q12412 tf_Restructuring &amp; Separation_Guidance_Free CF" xfId="3632"/>
    <cellStyle name="_FTQ Tri Charts Feb'05_By Country Detail 1Q10 041410pm FIN 18 revised per disc w Mary_BS_Separation_TaxResIndem_Q12412 tf_Restructuring &amp; Separation_Guidance_P&amp;L Rec Qtr" xfId="3633"/>
    <cellStyle name="_FTQ Tri Charts Feb'05_By Country Detail 1Q10 041410pm FIN 18 revised per disc w Mary_BS_Separation_TaxResIndem_Q12412 tf_Restructuring &amp; Separation_Guidance_Sheet1" xfId="3634"/>
    <cellStyle name="_FTQ Tri Charts Feb'05_By Country Detail 1Q10 041410pm FIN 18 revised per disc w Mary_BS_Separation_TaxResIndem_Q12412 tf_Restructuring &amp; Separation_Guidance_Sheet2" xfId="3635"/>
    <cellStyle name="_FTQ Tri Charts Feb'05_By Country Detail 1Q10 041410pm FIN 18 revised per disc w Mary_BS_Separation_TaxResIndem_Q12412 tf_Restructuring &amp; Separation_Guidance_Sheet3" xfId="3636"/>
    <cellStyle name="_FTQ Tri Charts Feb'05_By Country Detail 1Q10 041410pm FIN 18 revised per disc w Mary_BS_Separation_TaxResIndem_Q12412 tf_Restructuring &amp; Separation_Guidance_Sheet4" xfId="3637"/>
    <cellStyle name="_FTQ Tri Charts Feb'05_By Country Detail 1Q10 041410pm FIN 18 revised per disc w Mary_Guidance" xfId="3638"/>
    <cellStyle name="_FTQ Tri Charts Feb'05_By Country Detail 1Q10 041410pm FIN 18 revised per disc w Mary_Guidance 2" xfId="3639"/>
    <cellStyle name="_FTQ Tri Charts Feb'05_By Country Detail 1Q10 041410pm FIN 18 revised per disc w Mary_Guidance_BS retrieve" xfId="3640"/>
    <cellStyle name="_FTQ Tri Charts Feb'05_By Country Detail 1Q10 041410pm FIN 18 revised per disc w Mary_Guidance_Free CF" xfId="3641"/>
    <cellStyle name="_FTQ Tri Charts Feb'05_By Country Detail 1Q10 041410pm FIN 18 revised per disc w Mary_Guidance_P&amp;L Rec Qtr" xfId="3642"/>
    <cellStyle name="_FTQ Tri Charts Feb'05_By Country Detail 1Q10 041410pm FIN 18 revised per disc w Mary_Guidance_Sheet1" xfId="3643"/>
    <cellStyle name="_FTQ Tri Charts Feb'05_By Country Detail 1Q10 041410pm FIN 18 revised per disc w Mary_Guidance_Sheet2" xfId="3644"/>
    <cellStyle name="_FTQ Tri Charts Feb'05_By Country Detail 1Q10 041410pm FIN 18 revised per disc w Mary_Guidance_Sheet3" xfId="3645"/>
    <cellStyle name="_FTQ Tri Charts Feb'05_By Country Detail 1Q10 041410pm FIN 18 revised per disc w Mary_Guidance_Sheet4" xfId="3646"/>
    <cellStyle name="_FTQ Tri Charts Feb'05_By Country Detail 1Q10 041410pm FIN 18 revised per disc w Mary_II.8. Sep&amp;Discrete" xfId="3647"/>
    <cellStyle name="_FTQ Tri Charts Feb'05_By Country Detail 1Q10 041410pm FIN 18 revised per disc w Mary_II.8. Sep&amp;Discrete_Guidance" xfId="3648"/>
    <cellStyle name="_FTQ Tri Charts Feb'05_By Country Detail 1Q10 041410pm FIN 18 revised per disc w Mary_II.8. Sep&amp;Discrete_Guidance 2" xfId="3649"/>
    <cellStyle name="_FTQ Tri Charts Feb'05_By Country Detail 1Q10 041410pm FIN 18 revised per disc w Mary_II.8. Sep&amp;Discrete_Guidance_BS retrieve" xfId="3650"/>
    <cellStyle name="_FTQ Tri Charts Feb'05_By Country Detail 1Q10 041410pm FIN 18 revised per disc w Mary_II.8. Sep&amp;Discrete_Guidance_Free CF" xfId="3651"/>
    <cellStyle name="_FTQ Tri Charts Feb'05_By Country Detail 1Q10 041410pm FIN 18 revised per disc w Mary_II.8. Sep&amp;Discrete_Guidance_P&amp;L Rec Qtr" xfId="3652"/>
    <cellStyle name="_FTQ Tri Charts Feb'05_By Country Detail 1Q10 041410pm FIN 18 revised per disc w Mary_II.8. Sep&amp;Discrete_Guidance_Sheet1" xfId="3653"/>
    <cellStyle name="_FTQ Tri Charts Feb'05_By Country Detail 1Q10 041410pm FIN 18 revised per disc w Mary_II.8. Sep&amp;Discrete_Guidance_Sheet2" xfId="3654"/>
    <cellStyle name="_FTQ Tri Charts Feb'05_By Country Detail 1Q10 041410pm FIN 18 revised per disc w Mary_II.8. Sep&amp;Discrete_Guidance_Sheet3" xfId="3655"/>
    <cellStyle name="_FTQ Tri Charts Feb'05_By Country Detail 1Q10 041410pm FIN 18 revised per disc w Mary_II.8. Sep&amp;Discrete_Guidance_Sheet4" xfId="3656"/>
    <cellStyle name="_FTQ Tri Charts Feb'05_By Country Detail 1Q10 041410pm FIN 18 revised per disc w Mary_Restructuring &amp; Separation" xfId="3657"/>
    <cellStyle name="_FTQ Tri Charts Feb'05_By Country Detail 1Q10 041410pm FIN 18 revised per disc w Mary_Restructuring &amp; Separation_Guidance" xfId="3658"/>
    <cellStyle name="_FTQ Tri Charts Feb'05_By Country Detail 1Q10 041410pm FIN 18 revised per disc w Mary_Restructuring &amp; Separation_Guidance 2" xfId="3659"/>
    <cellStyle name="_FTQ Tri Charts Feb'05_By Country Detail 1Q10 041410pm FIN 18 revised per disc w Mary_Restructuring &amp; Separation_Guidance_BS retrieve" xfId="3660"/>
    <cellStyle name="_FTQ Tri Charts Feb'05_By Country Detail 1Q10 041410pm FIN 18 revised per disc w Mary_Restructuring &amp; Separation_Guidance_Free CF" xfId="3661"/>
    <cellStyle name="_FTQ Tri Charts Feb'05_By Country Detail 1Q10 041410pm FIN 18 revised per disc w Mary_Restructuring &amp; Separation_Guidance_P&amp;L Rec Qtr" xfId="3662"/>
    <cellStyle name="_FTQ Tri Charts Feb'05_By Country Detail 1Q10 041410pm FIN 18 revised per disc w Mary_Restructuring &amp; Separation_Guidance_Sheet1" xfId="3663"/>
    <cellStyle name="_FTQ Tri Charts Feb'05_By Country Detail 1Q10 041410pm FIN 18 revised per disc w Mary_Restructuring &amp; Separation_Guidance_Sheet2" xfId="3664"/>
    <cellStyle name="_FTQ Tri Charts Feb'05_By Country Detail 1Q10 041410pm FIN 18 revised per disc w Mary_Restructuring &amp; Separation_Guidance_Sheet3" xfId="3665"/>
    <cellStyle name="_FTQ Tri Charts Feb'05_By Country Detail 1Q10 041410pm FIN 18 revised per disc w Mary_Restructuring &amp; Separation_Guidance_Sheet4" xfId="3666"/>
    <cellStyle name="_FTQ Tri Charts Feb'05_Guidance" xfId="3667"/>
    <cellStyle name="_FTQ Tri Charts Feb'05_Guidance 2" xfId="3668"/>
    <cellStyle name="_FTQ Tri Charts Feb'05_Guidance_BS retrieve" xfId="3669"/>
    <cellStyle name="_FTQ Tri Charts Feb'05_Guidance_Free CF" xfId="3670"/>
    <cellStyle name="_FTQ Tri Charts Feb'05_Guidance_P&amp;L Rec Qtr" xfId="3671"/>
    <cellStyle name="_FTQ Tri Charts Feb'05_Guidance_Sheet1" xfId="3672"/>
    <cellStyle name="_FTQ Tri Charts Feb'05_Guidance_Sheet2" xfId="3673"/>
    <cellStyle name="_FTQ Tri Charts Feb'05_Guidance_Sheet3" xfId="3674"/>
    <cellStyle name="_FTQ Tri Charts Feb'05_Guidance_Sheet4" xfId="3675"/>
    <cellStyle name="_FTQ Tri Charts Feb'05_II.4. RawMaterials" xfId="3676"/>
    <cellStyle name="_FTQ Tri Charts Feb'05_II.4. RawMaterials 2" xfId="3677"/>
    <cellStyle name="_FTQ Tri Charts Feb'05_II.4. RawMaterials_BS retrieve" xfId="3678"/>
    <cellStyle name="_FTQ Tri Charts Feb'05_II.4. RawMaterials_Free CF" xfId="3679"/>
    <cellStyle name="_FTQ Tri Charts Feb'05_II.4. RawMaterials_P&amp;L Rec Qtr" xfId="3680"/>
    <cellStyle name="_FTQ Tri Charts Feb'05_II.4. RawMaterials_Sheet1" xfId="3681"/>
    <cellStyle name="_FTQ Tri Charts Feb'05_II.4. RawMaterials_Sheet2" xfId="3682"/>
    <cellStyle name="_FTQ Tri Charts Feb'05_II.4. RawMaterials_Sheet3" xfId="3683"/>
    <cellStyle name="_FTQ Tri Charts Feb'05_II.4. RawMaterials_Sheet4" xfId="3684"/>
    <cellStyle name="_FTQ Tri Charts Feb'05_II.5. RawMaterials" xfId="3685"/>
    <cellStyle name="_FTQ Tri Charts Feb'05_II.5. RawMaterials 2" xfId="3686"/>
    <cellStyle name="_FTQ Tri Charts Feb'05_II.5. RawMaterials_BS retrieve" xfId="3687"/>
    <cellStyle name="_FTQ Tri Charts Feb'05_II.5. RawMaterials_Free CF" xfId="3688"/>
    <cellStyle name="_FTQ Tri Charts Feb'05_II.5. RawMaterials_Guidance" xfId="3689"/>
    <cellStyle name="_FTQ Tri Charts Feb'05_II.5. RawMaterials_Guidance 2" xfId="3690"/>
    <cellStyle name="_FTQ Tri Charts Feb'05_II.5. RawMaterials_Guidance_BS retrieve" xfId="3691"/>
    <cellStyle name="_FTQ Tri Charts Feb'05_II.5. RawMaterials_Guidance_Free CF" xfId="3692"/>
    <cellStyle name="_FTQ Tri Charts Feb'05_II.5. RawMaterials_Guidance_P&amp;L Rec Qtr" xfId="3693"/>
    <cellStyle name="_FTQ Tri Charts Feb'05_II.5. RawMaterials_Guidance_Sheet1" xfId="3694"/>
    <cellStyle name="_FTQ Tri Charts Feb'05_II.5. RawMaterials_Guidance_Sheet2" xfId="3695"/>
    <cellStyle name="_FTQ Tri Charts Feb'05_II.5. RawMaterials_Guidance_Sheet3" xfId="3696"/>
    <cellStyle name="_FTQ Tri Charts Feb'05_II.5. RawMaterials_Guidance_Sheet4" xfId="3697"/>
    <cellStyle name="_FTQ Tri Charts Feb'05_II.5. RawMaterials_P&amp;L Rec Qtr" xfId="3698"/>
    <cellStyle name="_FTQ Tri Charts Feb'05_II.5. RawMaterials_Sheet1" xfId="3699"/>
    <cellStyle name="_FTQ Tri Charts Feb'05_II.5. RawMaterials_Sheet2" xfId="3700"/>
    <cellStyle name="_FTQ Tri Charts Feb'05_II.5. RawMaterials_Sheet3" xfId="3701"/>
    <cellStyle name="_FTQ Tri Charts Feb'05_II.5. RawMaterials_Sheet4" xfId="3702"/>
    <cellStyle name="_FTQ Tri Charts Feb'05_II.5. RM Volume Sensitivities" xfId="3703"/>
    <cellStyle name="_FTQ Tri Charts Feb'05_II.5. RM Volume Sensitivities 2" xfId="3704"/>
    <cellStyle name="_FTQ Tri Charts Feb'05_II.5. RM Volume Sensitivities_BS retrieve" xfId="3705"/>
    <cellStyle name="_FTQ Tri Charts Feb'05_II.5. RM Volume Sensitivities_Free CF" xfId="3706"/>
    <cellStyle name="_FTQ Tri Charts Feb'05_II.5. RM Volume Sensitivities_P&amp;L Rec Qtr" xfId="3707"/>
    <cellStyle name="_FTQ Tri Charts Feb'05_II.5. RM Volume Sensitivities_Sheet1" xfId="3708"/>
    <cellStyle name="_FTQ Tri Charts Feb'05_II.5. RM Volume Sensitivities_Sheet2" xfId="3709"/>
    <cellStyle name="_FTQ Tri Charts Feb'05_II.5. RM Volume Sensitivities_Sheet3" xfId="3710"/>
    <cellStyle name="_FTQ Tri Charts Feb'05_II.5. RM Volume Sensitivities_Sheet4" xfId="3711"/>
    <cellStyle name="_FTQ Tri Charts Feb'05_II.8. Sep&amp;Discrete" xfId="3712"/>
    <cellStyle name="_FTQ Tri Charts Feb'05_II.8. Sep&amp;Discrete_Guidance" xfId="3713"/>
    <cellStyle name="_FTQ Tri Charts Feb'05_II.8. Sep&amp;Discrete_Guidance 2" xfId="3714"/>
    <cellStyle name="_FTQ Tri Charts Feb'05_II.8. Sep&amp;Discrete_Guidance_BS retrieve" xfId="3715"/>
    <cellStyle name="_FTQ Tri Charts Feb'05_II.8. Sep&amp;Discrete_Guidance_Free CF" xfId="3716"/>
    <cellStyle name="_FTQ Tri Charts Feb'05_II.8. Sep&amp;Discrete_Guidance_P&amp;L Rec Qtr" xfId="3717"/>
    <cellStyle name="_FTQ Tri Charts Feb'05_II.8. Sep&amp;Discrete_Guidance_Sheet1" xfId="3718"/>
    <cellStyle name="_FTQ Tri Charts Feb'05_II.8. Sep&amp;Discrete_Guidance_Sheet2" xfId="3719"/>
    <cellStyle name="_FTQ Tri Charts Feb'05_II.8. Sep&amp;Discrete_Guidance_Sheet3" xfId="3720"/>
    <cellStyle name="_FTQ Tri Charts Feb'05_II.8. Sep&amp;Discrete_Guidance_Sheet4" xfId="3721"/>
    <cellStyle name="_FTQ Tri Charts Feb'05_Restructuring &amp; Separation" xfId="3722"/>
    <cellStyle name="_FTQ Tri Charts Feb'05_Restructuring &amp; Separation_Guidance" xfId="3723"/>
    <cellStyle name="_FTQ Tri Charts Feb'05_Restructuring &amp; Separation_Guidance 2" xfId="3724"/>
    <cellStyle name="_FTQ Tri Charts Feb'05_Restructuring &amp; Separation_Guidance_BS retrieve" xfId="3725"/>
    <cellStyle name="_FTQ Tri Charts Feb'05_Restructuring &amp; Separation_Guidance_Free CF" xfId="3726"/>
    <cellStyle name="_FTQ Tri Charts Feb'05_Restructuring &amp; Separation_Guidance_P&amp;L Rec Qtr" xfId="3727"/>
    <cellStyle name="_FTQ Tri Charts Feb'05_Restructuring &amp; Separation_Guidance_Sheet1" xfId="3728"/>
    <cellStyle name="_FTQ Tri Charts Feb'05_Restructuring &amp; Separation_Guidance_Sheet2" xfId="3729"/>
    <cellStyle name="_FTQ Tri Charts Feb'05_Restructuring &amp; Separation_Guidance_Sheet3" xfId="3730"/>
    <cellStyle name="_FTQ Tri Charts Feb'05_Restructuring &amp; Separation_Guidance_Sheet4" xfId="3731"/>
    <cellStyle name="_FTQ Tri Charts Feb'05_Restructuring_Separation_TAX_JuneFC2010 tf" xfId="3732"/>
    <cellStyle name="_FTQ Tri Charts Feb'05_Restructuring_Separation_TAX_JuneFC2010 tf_BS_Separation_TaxResIndem_Q12412 tf" xfId="3733"/>
    <cellStyle name="_FTQ Tri Charts Feb'05_Restructuring_Separation_TAX_JuneFC2010 tf_BS_Separation_TaxResIndem_Q12412 tf_Guidance" xfId="3734"/>
    <cellStyle name="_FTQ Tri Charts Feb'05_Restructuring_Separation_TAX_JuneFC2010 tf_BS_Separation_TaxResIndem_Q12412 tf_Guidance 2" xfId="3735"/>
    <cellStyle name="_FTQ Tri Charts Feb'05_Restructuring_Separation_TAX_JuneFC2010 tf_BS_Separation_TaxResIndem_Q12412 tf_Guidance_BS retrieve" xfId="3736"/>
    <cellStyle name="_FTQ Tri Charts Feb'05_Restructuring_Separation_TAX_JuneFC2010 tf_BS_Separation_TaxResIndem_Q12412 tf_Guidance_Free CF" xfId="3737"/>
    <cellStyle name="_FTQ Tri Charts Feb'05_Restructuring_Separation_TAX_JuneFC2010 tf_BS_Separation_TaxResIndem_Q12412 tf_Guidance_P&amp;L Rec Qtr" xfId="3738"/>
    <cellStyle name="_FTQ Tri Charts Feb'05_Restructuring_Separation_TAX_JuneFC2010 tf_BS_Separation_TaxResIndem_Q12412 tf_Guidance_Sheet1" xfId="3739"/>
    <cellStyle name="_FTQ Tri Charts Feb'05_Restructuring_Separation_TAX_JuneFC2010 tf_BS_Separation_TaxResIndem_Q12412 tf_Guidance_Sheet2" xfId="3740"/>
    <cellStyle name="_FTQ Tri Charts Feb'05_Restructuring_Separation_TAX_JuneFC2010 tf_BS_Separation_TaxResIndem_Q12412 tf_Guidance_Sheet3" xfId="3741"/>
    <cellStyle name="_FTQ Tri Charts Feb'05_Restructuring_Separation_TAX_JuneFC2010 tf_BS_Separation_TaxResIndem_Q12412 tf_Guidance_Sheet4" xfId="3742"/>
    <cellStyle name="_FTQ Tri Charts Feb'05_Restructuring_Separation_TAX_JuneFC2010 tf_BS_Separation_TaxResIndem_Q12412 tf_Restructuring &amp; Separation" xfId="3743"/>
    <cellStyle name="_FTQ Tri Charts Feb'05_Restructuring_Separation_TAX_JuneFC2010 tf_BS_Separation_TaxResIndem_Q12412 tf_Restructuring &amp; Separation_Guidance" xfId="3744"/>
    <cellStyle name="_FTQ Tri Charts Feb'05_Restructuring_Separation_TAX_JuneFC2010 tf_BS_Separation_TaxResIndem_Q12412 tf_Restructuring &amp; Separation_Guidance 2" xfId="3745"/>
    <cellStyle name="_FTQ Tri Charts Feb'05_Restructuring_Separation_TAX_JuneFC2010 tf_BS_Separation_TaxResIndem_Q12412 tf_Restructuring &amp; Separation_Guidance_BS retrieve" xfId="3746"/>
    <cellStyle name="_FTQ Tri Charts Feb'05_Restructuring_Separation_TAX_JuneFC2010 tf_BS_Separation_TaxResIndem_Q12412 tf_Restructuring &amp; Separation_Guidance_Free CF" xfId="3747"/>
    <cellStyle name="_FTQ Tri Charts Feb'05_Restructuring_Separation_TAX_JuneFC2010 tf_BS_Separation_TaxResIndem_Q12412 tf_Restructuring &amp; Separation_Guidance_P&amp;L Rec Qtr" xfId="3748"/>
    <cellStyle name="_FTQ Tri Charts Feb'05_Restructuring_Separation_TAX_JuneFC2010 tf_BS_Separation_TaxResIndem_Q12412 tf_Restructuring &amp; Separation_Guidance_Sheet1" xfId="3749"/>
    <cellStyle name="_FTQ Tri Charts Feb'05_Restructuring_Separation_TAX_JuneFC2010 tf_BS_Separation_TaxResIndem_Q12412 tf_Restructuring &amp; Separation_Guidance_Sheet2" xfId="3750"/>
    <cellStyle name="_FTQ Tri Charts Feb'05_Restructuring_Separation_TAX_JuneFC2010 tf_BS_Separation_TaxResIndem_Q12412 tf_Restructuring &amp; Separation_Guidance_Sheet3" xfId="3751"/>
    <cellStyle name="_FTQ Tri Charts Feb'05_Restructuring_Separation_TAX_JuneFC2010 tf_BS_Separation_TaxResIndem_Q12412 tf_Restructuring &amp; Separation_Guidance_Sheet4" xfId="3752"/>
    <cellStyle name="_FTQ Tri Charts Feb'05_Restructuring_Separation_TAX_JuneFC2010 tf_Guidance" xfId="3753"/>
    <cellStyle name="_FTQ Tri Charts Feb'05_Restructuring_Separation_TAX_JuneFC2010 tf_Guidance 2" xfId="3754"/>
    <cellStyle name="_FTQ Tri Charts Feb'05_Restructuring_Separation_TAX_JuneFC2010 tf_Guidance_BS retrieve" xfId="3755"/>
    <cellStyle name="_FTQ Tri Charts Feb'05_Restructuring_Separation_TAX_JuneFC2010 tf_Guidance_Free CF" xfId="3756"/>
    <cellStyle name="_FTQ Tri Charts Feb'05_Restructuring_Separation_TAX_JuneFC2010 tf_Guidance_P&amp;L Rec Qtr" xfId="3757"/>
    <cellStyle name="_FTQ Tri Charts Feb'05_Restructuring_Separation_TAX_JuneFC2010 tf_Guidance_Sheet1" xfId="3758"/>
    <cellStyle name="_FTQ Tri Charts Feb'05_Restructuring_Separation_TAX_JuneFC2010 tf_Guidance_Sheet2" xfId="3759"/>
    <cellStyle name="_FTQ Tri Charts Feb'05_Restructuring_Separation_TAX_JuneFC2010 tf_Guidance_Sheet3" xfId="3760"/>
    <cellStyle name="_FTQ Tri Charts Feb'05_Restructuring_Separation_TAX_JuneFC2010 tf_Guidance_Sheet4" xfId="3761"/>
    <cellStyle name="_FTQ Tri Charts Feb'05_Restructuring_Separation_TAX_JuneFC2010 tf_II.8. Sep&amp;Discrete" xfId="3762"/>
    <cellStyle name="_FTQ Tri Charts Feb'05_Restructuring_Separation_TAX_JuneFC2010 tf_II.8. Sep&amp;Discrete_Guidance" xfId="3763"/>
    <cellStyle name="_FTQ Tri Charts Feb'05_Restructuring_Separation_TAX_JuneFC2010 tf_II.8. Sep&amp;Discrete_Guidance 2" xfId="3764"/>
    <cellStyle name="_FTQ Tri Charts Feb'05_Restructuring_Separation_TAX_JuneFC2010 tf_II.8. Sep&amp;Discrete_Guidance_BS retrieve" xfId="3765"/>
    <cellStyle name="_FTQ Tri Charts Feb'05_Restructuring_Separation_TAX_JuneFC2010 tf_II.8. Sep&amp;Discrete_Guidance_Free CF" xfId="3766"/>
    <cellStyle name="_FTQ Tri Charts Feb'05_Restructuring_Separation_TAX_JuneFC2010 tf_II.8. Sep&amp;Discrete_Guidance_P&amp;L Rec Qtr" xfId="3767"/>
    <cellStyle name="_FTQ Tri Charts Feb'05_Restructuring_Separation_TAX_JuneFC2010 tf_II.8. Sep&amp;Discrete_Guidance_Sheet1" xfId="3768"/>
    <cellStyle name="_FTQ Tri Charts Feb'05_Restructuring_Separation_TAX_JuneFC2010 tf_II.8. Sep&amp;Discrete_Guidance_Sheet2" xfId="3769"/>
    <cellStyle name="_FTQ Tri Charts Feb'05_Restructuring_Separation_TAX_JuneFC2010 tf_II.8. Sep&amp;Discrete_Guidance_Sheet3" xfId="3770"/>
    <cellStyle name="_FTQ Tri Charts Feb'05_Restructuring_Separation_TAX_JuneFC2010 tf_II.8. Sep&amp;Discrete_Guidance_Sheet4" xfId="3771"/>
    <cellStyle name="_FTQ Tri Charts Feb'05_Restructuring_Separation_TAX_JuneFC2010 tf_Restructuring &amp; Separation" xfId="3772"/>
    <cellStyle name="_FTQ Tri Charts Feb'05_Restructuring_Separation_TAX_JuneFC2010 tf_Restructuring &amp; Separation_Guidance" xfId="3773"/>
    <cellStyle name="_FTQ Tri Charts Feb'05_Restructuring_Separation_TAX_JuneFC2010 tf_Restructuring &amp; Separation_Guidance 2" xfId="3774"/>
    <cellStyle name="_FTQ Tri Charts Feb'05_Restructuring_Separation_TAX_JuneFC2010 tf_Restructuring &amp; Separation_Guidance_BS retrieve" xfId="3775"/>
    <cellStyle name="_FTQ Tri Charts Feb'05_Restructuring_Separation_TAX_JuneFC2010 tf_Restructuring &amp; Separation_Guidance_Free CF" xfId="3776"/>
    <cellStyle name="_FTQ Tri Charts Feb'05_Restructuring_Separation_TAX_JuneFC2010 tf_Restructuring &amp; Separation_Guidance_P&amp;L Rec Qtr" xfId="3777"/>
    <cellStyle name="_FTQ Tri Charts Feb'05_Restructuring_Separation_TAX_JuneFC2010 tf_Restructuring &amp; Separation_Guidance_Sheet1" xfId="3778"/>
    <cellStyle name="_FTQ Tri Charts Feb'05_Restructuring_Separation_TAX_JuneFC2010 tf_Restructuring &amp; Separation_Guidance_Sheet2" xfId="3779"/>
    <cellStyle name="_FTQ Tri Charts Feb'05_Restructuring_Separation_TAX_JuneFC2010 tf_Restructuring &amp; Separation_Guidance_Sheet3" xfId="3780"/>
    <cellStyle name="_FTQ Tri Charts Feb'05_Restructuring_Separation_TAX_JuneFC2010 tf_Restructuring &amp; Separation_Guidance_Sheet4" xfId="3781"/>
    <cellStyle name="_FTQ Tri Charts Jan'05" xfId="3782"/>
    <cellStyle name="_FTQ Tri Charts Jan'05_BS_Separation_TaxResIndem_Q12412 tf" xfId="3783"/>
    <cellStyle name="_FTQ Tri Charts Jan'05_BS_Separation_TaxResIndem_Q12412 tf_Guidance" xfId="3784"/>
    <cellStyle name="_FTQ Tri Charts Jan'05_BS_Separation_TaxResIndem_Q12412 tf_Guidance 2" xfId="3785"/>
    <cellStyle name="_FTQ Tri Charts Jan'05_BS_Separation_TaxResIndem_Q12412 tf_Guidance_BS retrieve" xfId="3786"/>
    <cellStyle name="_FTQ Tri Charts Jan'05_BS_Separation_TaxResIndem_Q12412 tf_Guidance_Free CF" xfId="3787"/>
    <cellStyle name="_FTQ Tri Charts Jan'05_BS_Separation_TaxResIndem_Q12412 tf_Guidance_P&amp;L Rec Qtr" xfId="3788"/>
    <cellStyle name="_FTQ Tri Charts Jan'05_BS_Separation_TaxResIndem_Q12412 tf_Guidance_Sheet1" xfId="3789"/>
    <cellStyle name="_FTQ Tri Charts Jan'05_BS_Separation_TaxResIndem_Q12412 tf_Guidance_Sheet2" xfId="3790"/>
    <cellStyle name="_FTQ Tri Charts Jan'05_BS_Separation_TaxResIndem_Q12412 tf_Guidance_Sheet3" xfId="3791"/>
    <cellStyle name="_FTQ Tri Charts Jan'05_BS_Separation_TaxResIndem_Q12412 tf_Guidance_Sheet4" xfId="3792"/>
    <cellStyle name="_FTQ Tri Charts Jan'05_BS_Separation_TaxResIndem_Q12412 tf_Restructuring &amp; Separation" xfId="3793"/>
    <cellStyle name="_FTQ Tri Charts Jan'05_BS_Separation_TaxResIndem_Q12412 tf_Restructuring &amp; Separation_Guidance" xfId="3794"/>
    <cellStyle name="_FTQ Tri Charts Jan'05_BS_Separation_TaxResIndem_Q12412 tf_Restructuring &amp; Separation_Guidance 2" xfId="3795"/>
    <cellStyle name="_FTQ Tri Charts Jan'05_BS_Separation_TaxResIndem_Q12412 tf_Restructuring &amp; Separation_Guidance_BS retrieve" xfId="3796"/>
    <cellStyle name="_FTQ Tri Charts Jan'05_BS_Separation_TaxResIndem_Q12412 tf_Restructuring &amp; Separation_Guidance_Free CF" xfId="3797"/>
    <cellStyle name="_FTQ Tri Charts Jan'05_BS_Separation_TaxResIndem_Q12412 tf_Restructuring &amp; Separation_Guidance_P&amp;L Rec Qtr" xfId="3798"/>
    <cellStyle name="_FTQ Tri Charts Jan'05_BS_Separation_TaxResIndem_Q12412 tf_Restructuring &amp; Separation_Guidance_Sheet1" xfId="3799"/>
    <cellStyle name="_FTQ Tri Charts Jan'05_BS_Separation_TaxResIndem_Q12412 tf_Restructuring &amp; Separation_Guidance_Sheet2" xfId="3800"/>
    <cellStyle name="_FTQ Tri Charts Jan'05_BS_Separation_TaxResIndem_Q12412 tf_Restructuring &amp; Separation_Guidance_Sheet3" xfId="3801"/>
    <cellStyle name="_FTQ Tri Charts Jan'05_BS_Separation_TaxResIndem_Q12412 tf_Restructuring &amp; Separation_Guidance_Sheet4" xfId="3802"/>
    <cellStyle name="_FTQ Tri Charts Jan'05_By Country Detail 1Q10 041410pm FIN 18 revised per disc w Mary" xfId="3803"/>
    <cellStyle name="_FTQ Tri Charts Jan'05_By Country Detail 1Q10 041410pm FIN 18 revised per disc w Mary_BS_Separation_TaxResIndem_Q12412 tf" xfId="3804"/>
    <cellStyle name="_FTQ Tri Charts Jan'05_By Country Detail 1Q10 041410pm FIN 18 revised per disc w Mary_BS_Separation_TaxResIndem_Q12412 tf_Guidance" xfId="3805"/>
    <cellStyle name="_FTQ Tri Charts Jan'05_By Country Detail 1Q10 041410pm FIN 18 revised per disc w Mary_BS_Separation_TaxResIndem_Q12412 tf_Guidance 2" xfId="3806"/>
    <cellStyle name="_FTQ Tri Charts Jan'05_By Country Detail 1Q10 041410pm FIN 18 revised per disc w Mary_BS_Separation_TaxResIndem_Q12412 tf_Guidance_BS retrieve" xfId="3807"/>
    <cellStyle name="_FTQ Tri Charts Jan'05_By Country Detail 1Q10 041410pm FIN 18 revised per disc w Mary_BS_Separation_TaxResIndem_Q12412 tf_Guidance_Free CF" xfId="3808"/>
    <cellStyle name="_FTQ Tri Charts Jan'05_By Country Detail 1Q10 041410pm FIN 18 revised per disc w Mary_BS_Separation_TaxResIndem_Q12412 tf_Guidance_P&amp;L Rec Qtr" xfId="3809"/>
    <cellStyle name="_FTQ Tri Charts Jan'05_By Country Detail 1Q10 041410pm FIN 18 revised per disc w Mary_BS_Separation_TaxResIndem_Q12412 tf_Guidance_Sheet1" xfId="3810"/>
    <cellStyle name="_FTQ Tri Charts Jan'05_By Country Detail 1Q10 041410pm FIN 18 revised per disc w Mary_BS_Separation_TaxResIndem_Q12412 tf_Guidance_Sheet2" xfId="3811"/>
    <cellStyle name="_FTQ Tri Charts Jan'05_By Country Detail 1Q10 041410pm FIN 18 revised per disc w Mary_BS_Separation_TaxResIndem_Q12412 tf_Guidance_Sheet3" xfId="3812"/>
    <cellStyle name="_FTQ Tri Charts Jan'05_By Country Detail 1Q10 041410pm FIN 18 revised per disc w Mary_BS_Separation_TaxResIndem_Q12412 tf_Guidance_Sheet4" xfId="3813"/>
    <cellStyle name="_FTQ Tri Charts Jan'05_By Country Detail 1Q10 041410pm FIN 18 revised per disc w Mary_BS_Separation_TaxResIndem_Q12412 tf_Restructuring &amp; Separation" xfId="3814"/>
    <cellStyle name="_FTQ Tri Charts Jan'05_By Country Detail 1Q10 041410pm FIN 18 revised per disc w Mary_BS_Separation_TaxResIndem_Q12412 tf_Restructuring &amp; Separation_Guidance" xfId="3815"/>
    <cellStyle name="_FTQ Tri Charts Jan'05_By Country Detail 1Q10 041410pm FIN 18 revised per disc w Mary_BS_Separation_TaxResIndem_Q12412 tf_Restructuring &amp; Separation_Guidance 2" xfId="3816"/>
    <cellStyle name="_FTQ Tri Charts Jan'05_By Country Detail 1Q10 041410pm FIN 18 revised per disc w Mary_BS_Separation_TaxResIndem_Q12412 tf_Restructuring &amp; Separation_Guidance_BS retrieve" xfId="3817"/>
    <cellStyle name="_FTQ Tri Charts Jan'05_By Country Detail 1Q10 041410pm FIN 18 revised per disc w Mary_BS_Separation_TaxResIndem_Q12412 tf_Restructuring &amp; Separation_Guidance_Free CF" xfId="3818"/>
    <cellStyle name="_FTQ Tri Charts Jan'05_By Country Detail 1Q10 041410pm FIN 18 revised per disc w Mary_BS_Separation_TaxResIndem_Q12412 tf_Restructuring &amp; Separation_Guidance_P&amp;L Rec Qtr" xfId="3819"/>
    <cellStyle name="_FTQ Tri Charts Jan'05_By Country Detail 1Q10 041410pm FIN 18 revised per disc w Mary_BS_Separation_TaxResIndem_Q12412 tf_Restructuring &amp; Separation_Guidance_Sheet1" xfId="3820"/>
    <cellStyle name="_FTQ Tri Charts Jan'05_By Country Detail 1Q10 041410pm FIN 18 revised per disc w Mary_BS_Separation_TaxResIndem_Q12412 tf_Restructuring &amp; Separation_Guidance_Sheet2" xfId="3821"/>
    <cellStyle name="_FTQ Tri Charts Jan'05_By Country Detail 1Q10 041410pm FIN 18 revised per disc w Mary_BS_Separation_TaxResIndem_Q12412 tf_Restructuring &amp; Separation_Guidance_Sheet3" xfId="3822"/>
    <cellStyle name="_FTQ Tri Charts Jan'05_By Country Detail 1Q10 041410pm FIN 18 revised per disc w Mary_BS_Separation_TaxResIndem_Q12412 tf_Restructuring &amp; Separation_Guidance_Sheet4" xfId="3823"/>
    <cellStyle name="_FTQ Tri Charts Jan'05_By Country Detail 1Q10 041410pm FIN 18 revised per disc w Mary_Guidance" xfId="3824"/>
    <cellStyle name="_FTQ Tri Charts Jan'05_By Country Detail 1Q10 041410pm FIN 18 revised per disc w Mary_Guidance 2" xfId="3825"/>
    <cellStyle name="_FTQ Tri Charts Jan'05_By Country Detail 1Q10 041410pm FIN 18 revised per disc w Mary_Guidance_BS retrieve" xfId="3826"/>
    <cellStyle name="_FTQ Tri Charts Jan'05_By Country Detail 1Q10 041410pm FIN 18 revised per disc w Mary_Guidance_Free CF" xfId="3827"/>
    <cellStyle name="_FTQ Tri Charts Jan'05_By Country Detail 1Q10 041410pm FIN 18 revised per disc w Mary_Guidance_P&amp;L Rec Qtr" xfId="3828"/>
    <cellStyle name="_FTQ Tri Charts Jan'05_By Country Detail 1Q10 041410pm FIN 18 revised per disc w Mary_Guidance_Sheet1" xfId="3829"/>
    <cellStyle name="_FTQ Tri Charts Jan'05_By Country Detail 1Q10 041410pm FIN 18 revised per disc w Mary_Guidance_Sheet2" xfId="3830"/>
    <cellStyle name="_FTQ Tri Charts Jan'05_By Country Detail 1Q10 041410pm FIN 18 revised per disc w Mary_Guidance_Sheet3" xfId="3831"/>
    <cellStyle name="_FTQ Tri Charts Jan'05_By Country Detail 1Q10 041410pm FIN 18 revised per disc w Mary_Guidance_Sheet4" xfId="3832"/>
    <cellStyle name="_FTQ Tri Charts Jan'05_By Country Detail 1Q10 041410pm FIN 18 revised per disc w Mary_II.8. Sep&amp;Discrete" xfId="3833"/>
    <cellStyle name="_FTQ Tri Charts Jan'05_By Country Detail 1Q10 041410pm FIN 18 revised per disc w Mary_II.8. Sep&amp;Discrete_Guidance" xfId="3834"/>
    <cellStyle name="_FTQ Tri Charts Jan'05_By Country Detail 1Q10 041410pm FIN 18 revised per disc w Mary_II.8. Sep&amp;Discrete_Guidance 2" xfId="3835"/>
    <cellStyle name="_FTQ Tri Charts Jan'05_By Country Detail 1Q10 041410pm FIN 18 revised per disc w Mary_II.8. Sep&amp;Discrete_Guidance_BS retrieve" xfId="3836"/>
    <cellStyle name="_FTQ Tri Charts Jan'05_By Country Detail 1Q10 041410pm FIN 18 revised per disc w Mary_II.8. Sep&amp;Discrete_Guidance_Free CF" xfId="3837"/>
    <cellStyle name="_FTQ Tri Charts Jan'05_By Country Detail 1Q10 041410pm FIN 18 revised per disc w Mary_II.8. Sep&amp;Discrete_Guidance_P&amp;L Rec Qtr" xfId="3838"/>
    <cellStyle name="_FTQ Tri Charts Jan'05_By Country Detail 1Q10 041410pm FIN 18 revised per disc w Mary_II.8. Sep&amp;Discrete_Guidance_Sheet1" xfId="3839"/>
    <cellStyle name="_FTQ Tri Charts Jan'05_By Country Detail 1Q10 041410pm FIN 18 revised per disc w Mary_II.8. Sep&amp;Discrete_Guidance_Sheet2" xfId="3840"/>
    <cellStyle name="_FTQ Tri Charts Jan'05_By Country Detail 1Q10 041410pm FIN 18 revised per disc w Mary_II.8. Sep&amp;Discrete_Guidance_Sheet3" xfId="3841"/>
    <cellStyle name="_FTQ Tri Charts Jan'05_By Country Detail 1Q10 041410pm FIN 18 revised per disc w Mary_II.8. Sep&amp;Discrete_Guidance_Sheet4" xfId="3842"/>
    <cellStyle name="_FTQ Tri Charts Jan'05_By Country Detail 1Q10 041410pm FIN 18 revised per disc w Mary_Restructuring &amp; Separation" xfId="3843"/>
    <cellStyle name="_FTQ Tri Charts Jan'05_By Country Detail 1Q10 041410pm FIN 18 revised per disc w Mary_Restructuring &amp; Separation_Guidance" xfId="3844"/>
    <cellStyle name="_FTQ Tri Charts Jan'05_By Country Detail 1Q10 041410pm FIN 18 revised per disc w Mary_Restructuring &amp; Separation_Guidance 2" xfId="3845"/>
    <cellStyle name="_FTQ Tri Charts Jan'05_By Country Detail 1Q10 041410pm FIN 18 revised per disc w Mary_Restructuring &amp; Separation_Guidance_BS retrieve" xfId="3846"/>
    <cellStyle name="_FTQ Tri Charts Jan'05_By Country Detail 1Q10 041410pm FIN 18 revised per disc w Mary_Restructuring &amp; Separation_Guidance_Free CF" xfId="3847"/>
    <cellStyle name="_FTQ Tri Charts Jan'05_By Country Detail 1Q10 041410pm FIN 18 revised per disc w Mary_Restructuring &amp; Separation_Guidance_P&amp;L Rec Qtr" xfId="3848"/>
    <cellStyle name="_FTQ Tri Charts Jan'05_By Country Detail 1Q10 041410pm FIN 18 revised per disc w Mary_Restructuring &amp; Separation_Guidance_Sheet1" xfId="3849"/>
    <cellStyle name="_FTQ Tri Charts Jan'05_By Country Detail 1Q10 041410pm FIN 18 revised per disc w Mary_Restructuring &amp; Separation_Guidance_Sheet2" xfId="3850"/>
    <cellStyle name="_FTQ Tri Charts Jan'05_By Country Detail 1Q10 041410pm FIN 18 revised per disc w Mary_Restructuring &amp; Separation_Guidance_Sheet3" xfId="3851"/>
    <cellStyle name="_FTQ Tri Charts Jan'05_By Country Detail 1Q10 041410pm FIN 18 revised per disc w Mary_Restructuring &amp; Separation_Guidance_Sheet4" xfId="3852"/>
    <cellStyle name="_FTQ Tri Charts Jan'05_Guidance" xfId="3853"/>
    <cellStyle name="_FTQ Tri Charts Jan'05_Guidance 2" xfId="3854"/>
    <cellStyle name="_FTQ Tri Charts Jan'05_Guidance_BS retrieve" xfId="3855"/>
    <cellStyle name="_FTQ Tri Charts Jan'05_Guidance_Free CF" xfId="3856"/>
    <cellStyle name="_FTQ Tri Charts Jan'05_Guidance_P&amp;L Rec Qtr" xfId="3857"/>
    <cellStyle name="_FTQ Tri Charts Jan'05_Guidance_Sheet1" xfId="3858"/>
    <cellStyle name="_FTQ Tri Charts Jan'05_Guidance_Sheet2" xfId="3859"/>
    <cellStyle name="_FTQ Tri Charts Jan'05_Guidance_Sheet3" xfId="3860"/>
    <cellStyle name="_FTQ Tri Charts Jan'05_Guidance_Sheet4" xfId="3861"/>
    <cellStyle name="_FTQ Tri Charts Jan'05_II.4. RawMaterials" xfId="3862"/>
    <cellStyle name="_FTQ Tri Charts Jan'05_II.4. RawMaterials 2" xfId="3863"/>
    <cellStyle name="_FTQ Tri Charts Jan'05_II.4. RawMaterials_BS retrieve" xfId="3864"/>
    <cellStyle name="_FTQ Tri Charts Jan'05_II.4. RawMaterials_Free CF" xfId="3865"/>
    <cellStyle name="_FTQ Tri Charts Jan'05_II.4. RawMaterials_P&amp;L Rec Qtr" xfId="3866"/>
    <cellStyle name="_FTQ Tri Charts Jan'05_II.4. RawMaterials_Sheet1" xfId="3867"/>
    <cellStyle name="_FTQ Tri Charts Jan'05_II.4. RawMaterials_Sheet2" xfId="3868"/>
    <cellStyle name="_FTQ Tri Charts Jan'05_II.4. RawMaterials_Sheet3" xfId="3869"/>
    <cellStyle name="_FTQ Tri Charts Jan'05_II.4. RawMaterials_Sheet4" xfId="3870"/>
    <cellStyle name="_FTQ Tri Charts Jan'05_II.5. RawMaterials" xfId="3871"/>
    <cellStyle name="_FTQ Tri Charts Jan'05_II.5. RawMaterials 2" xfId="3872"/>
    <cellStyle name="_FTQ Tri Charts Jan'05_II.5. RawMaterials_BS retrieve" xfId="3873"/>
    <cellStyle name="_FTQ Tri Charts Jan'05_II.5. RawMaterials_Free CF" xfId="3874"/>
    <cellStyle name="_FTQ Tri Charts Jan'05_II.5. RawMaterials_Guidance" xfId="3875"/>
    <cellStyle name="_FTQ Tri Charts Jan'05_II.5. RawMaterials_Guidance 2" xfId="3876"/>
    <cellStyle name="_FTQ Tri Charts Jan'05_II.5. RawMaterials_Guidance_BS retrieve" xfId="3877"/>
    <cellStyle name="_FTQ Tri Charts Jan'05_II.5. RawMaterials_Guidance_Free CF" xfId="3878"/>
    <cellStyle name="_FTQ Tri Charts Jan'05_II.5. RawMaterials_Guidance_P&amp;L Rec Qtr" xfId="3879"/>
    <cellStyle name="_FTQ Tri Charts Jan'05_II.5. RawMaterials_Guidance_Sheet1" xfId="3880"/>
    <cellStyle name="_FTQ Tri Charts Jan'05_II.5. RawMaterials_Guidance_Sheet2" xfId="3881"/>
    <cellStyle name="_FTQ Tri Charts Jan'05_II.5. RawMaterials_Guidance_Sheet3" xfId="3882"/>
    <cellStyle name="_FTQ Tri Charts Jan'05_II.5. RawMaterials_Guidance_Sheet4" xfId="3883"/>
    <cellStyle name="_FTQ Tri Charts Jan'05_II.5. RawMaterials_P&amp;L Rec Qtr" xfId="3884"/>
    <cellStyle name="_FTQ Tri Charts Jan'05_II.5. RawMaterials_Sheet1" xfId="3885"/>
    <cellStyle name="_FTQ Tri Charts Jan'05_II.5. RawMaterials_Sheet2" xfId="3886"/>
    <cellStyle name="_FTQ Tri Charts Jan'05_II.5. RawMaterials_Sheet3" xfId="3887"/>
    <cellStyle name="_FTQ Tri Charts Jan'05_II.5. RawMaterials_Sheet4" xfId="3888"/>
    <cellStyle name="_FTQ Tri Charts Jan'05_II.5. RM Volume Sensitivities" xfId="3889"/>
    <cellStyle name="_FTQ Tri Charts Jan'05_II.5. RM Volume Sensitivities 2" xfId="3890"/>
    <cellStyle name="_FTQ Tri Charts Jan'05_II.5. RM Volume Sensitivities_BS retrieve" xfId="3891"/>
    <cellStyle name="_FTQ Tri Charts Jan'05_II.5. RM Volume Sensitivities_Free CF" xfId="3892"/>
    <cellStyle name="_FTQ Tri Charts Jan'05_II.5. RM Volume Sensitivities_P&amp;L Rec Qtr" xfId="3893"/>
    <cellStyle name="_FTQ Tri Charts Jan'05_II.5. RM Volume Sensitivities_Sheet1" xfId="3894"/>
    <cellStyle name="_FTQ Tri Charts Jan'05_II.5. RM Volume Sensitivities_Sheet2" xfId="3895"/>
    <cellStyle name="_FTQ Tri Charts Jan'05_II.5. RM Volume Sensitivities_Sheet3" xfId="3896"/>
    <cellStyle name="_FTQ Tri Charts Jan'05_II.5. RM Volume Sensitivities_Sheet4" xfId="3897"/>
    <cellStyle name="_FTQ Tri Charts Jan'05_II.8. Sep&amp;Discrete" xfId="3898"/>
    <cellStyle name="_FTQ Tri Charts Jan'05_II.8. Sep&amp;Discrete_Guidance" xfId="3899"/>
    <cellStyle name="_FTQ Tri Charts Jan'05_II.8. Sep&amp;Discrete_Guidance 2" xfId="3900"/>
    <cellStyle name="_FTQ Tri Charts Jan'05_II.8. Sep&amp;Discrete_Guidance_BS retrieve" xfId="3901"/>
    <cellStyle name="_FTQ Tri Charts Jan'05_II.8. Sep&amp;Discrete_Guidance_Free CF" xfId="3902"/>
    <cellStyle name="_FTQ Tri Charts Jan'05_II.8. Sep&amp;Discrete_Guidance_P&amp;L Rec Qtr" xfId="3903"/>
    <cellStyle name="_FTQ Tri Charts Jan'05_II.8. Sep&amp;Discrete_Guidance_Sheet1" xfId="3904"/>
    <cellStyle name="_FTQ Tri Charts Jan'05_II.8. Sep&amp;Discrete_Guidance_Sheet2" xfId="3905"/>
    <cellStyle name="_FTQ Tri Charts Jan'05_II.8. Sep&amp;Discrete_Guidance_Sheet3" xfId="3906"/>
    <cellStyle name="_FTQ Tri Charts Jan'05_II.8. Sep&amp;Discrete_Guidance_Sheet4" xfId="3907"/>
    <cellStyle name="_FTQ Tri Charts Jan'05_Restructuring &amp; Separation" xfId="3908"/>
    <cellStyle name="_FTQ Tri Charts Jan'05_Restructuring &amp; Separation_Guidance" xfId="3909"/>
    <cellStyle name="_FTQ Tri Charts Jan'05_Restructuring &amp; Separation_Guidance 2" xfId="3910"/>
    <cellStyle name="_FTQ Tri Charts Jan'05_Restructuring &amp; Separation_Guidance_BS retrieve" xfId="3911"/>
    <cellStyle name="_FTQ Tri Charts Jan'05_Restructuring &amp; Separation_Guidance_Free CF" xfId="3912"/>
    <cellStyle name="_FTQ Tri Charts Jan'05_Restructuring &amp; Separation_Guidance_P&amp;L Rec Qtr" xfId="3913"/>
    <cellStyle name="_FTQ Tri Charts Jan'05_Restructuring &amp; Separation_Guidance_Sheet1" xfId="3914"/>
    <cellStyle name="_FTQ Tri Charts Jan'05_Restructuring &amp; Separation_Guidance_Sheet2" xfId="3915"/>
    <cellStyle name="_FTQ Tri Charts Jan'05_Restructuring &amp; Separation_Guidance_Sheet3" xfId="3916"/>
    <cellStyle name="_FTQ Tri Charts Jan'05_Restructuring &amp; Separation_Guidance_Sheet4" xfId="3917"/>
    <cellStyle name="_FTQ Tri Charts Jan'05_Restructuring_Separation_TAX_JuneFC2010 tf" xfId="3918"/>
    <cellStyle name="_FTQ Tri Charts Jan'05_Restructuring_Separation_TAX_JuneFC2010 tf_BS_Separation_TaxResIndem_Q12412 tf" xfId="3919"/>
    <cellStyle name="_FTQ Tri Charts Jan'05_Restructuring_Separation_TAX_JuneFC2010 tf_BS_Separation_TaxResIndem_Q12412 tf_Guidance" xfId="3920"/>
    <cellStyle name="_FTQ Tri Charts Jan'05_Restructuring_Separation_TAX_JuneFC2010 tf_BS_Separation_TaxResIndem_Q12412 tf_Guidance 2" xfId="3921"/>
    <cellStyle name="_FTQ Tri Charts Jan'05_Restructuring_Separation_TAX_JuneFC2010 tf_BS_Separation_TaxResIndem_Q12412 tf_Guidance_BS retrieve" xfId="3922"/>
    <cellStyle name="_FTQ Tri Charts Jan'05_Restructuring_Separation_TAX_JuneFC2010 tf_BS_Separation_TaxResIndem_Q12412 tf_Guidance_Free CF" xfId="3923"/>
    <cellStyle name="_FTQ Tri Charts Jan'05_Restructuring_Separation_TAX_JuneFC2010 tf_BS_Separation_TaxResIndem_Q12412 tf_Guidance_P&amp;L Rec Qtr" xfId="3924"/>
    <cellStyle name="_FTQ Tri Charts Jan'05_Restructuring_Separation_TAX_JuneFC2010 tf_BS_Separation_TaxResIndem_Q12412 tf_Guidance_Sheet1" xfId="3925"/>
    <cellStyle name="_FTQ Tri Charts Jan'05_Restructuring_Separation_TAX_JuneFC2010 tf_BS_Separation_TaxResIndem_Q12412 tf_Guidance_Sheet2" xfId="3926"/>
    <cellStyle name="_FTQ Tri Charts Jan'05_Restructuring_Separation_TAX_JuneFC2010 tf_BS_Separation_TaxResIndem_Q12412 tf_Guidance_Sheet3" xfId="3927"/>
    <cellStyle name="_FTQ Tri Charts Jan'05_Restructuring_Separation_TAX_JuneFC2010 tf_BS_Separation_TaxResIndem_Q12412 tf_Guidance_Sheet4" xfId="3928"/>
    <cellStyle name="_FTQ Tri Charts Jan'05_Restructuring_Separation_TAX_JuneFC2010 tf_BS_Separation_TaxResIndem_Q12412 tf_Restructuring &amp; Separation" xfId="3929"/>
    <cellStyle name="_FTQ Tri Charts Jan'05_Restructuring_Separation_TAX_JuneFC2010 tf_BS_Separation_TaxResIndem_Q12412 tf_Restructuring &amp; Separation_Guidance" xfId="3930"/>
    <cellStyle name="_FTQ Tri Charts Jan'05_Restructuring_Separation_TAX_JuneFC2010 tf_BS_Separation_TaxResIndem_Q12412 tf_Restructuring &amp; Separation_Guidance 2" xfId="3931"/>
    <cellStyle name="_FTQ Tri Charts Jan'05_Restructuring_Separation_TAX_JuneFC2010 tf_BS_Separation_TaxResIndem_Q12412 tf_Restructuring &amp; Separation_Guidance_BS retrieve" xfId="3932"/>
    <cellStyle name="_FTQ Tri Charts Jan'05_Restructuring_Separation_TAX_JuneFC2010 tf_BS_Separation_TaxResIndem_Q12412 tf_Restructuring &amp; Separation_Guidance_Free CF" xfId="3933"/>
    <cellStyle name="_FTQ Tri Charts Jan'05_Restructuring_Separation_TAX_JuneFC2010 tf_BS_Separation_TaxResIndem_Q12412 tf_Restructuring &amp; Separation_Guidance_P&amp;L Rec Qtr" xfId="3934"/>
    <cellStyle name="_FTQ Tri Charts Jan'05_Restructuring_Separation_TAX_JuneFC2010 tf_BS_Separation_TaxResIndem_Q12412 tf_Restructuring &amp; Separation_Guidance_Sheet1" xfId="3935"/>
    <cellStyle name="_FTQ Tri Charts Jan'05_Restructuring_Separation_TAX_JuneFC2010 tf_BS_Separation_TaxResIndem_Q12412 tf_Restructuring &amp; Separation_Guidance_Sheet2" xfId="3936"/>
    <cellStyle name="_FTQ Tri Charts Jan'05_Restructuring_Separation_TAX_JuneFC2010 tf_BS_Separation_TaxResIndem_Q12412 tf_Restructuring &amp; Separation_Guidance_Sheet3" xfId="3937"/>
    <cellStyle name="_FTQ Tri Charts Jan'05_Restructuring_Separation_TAX_JuneFC2010 tf_BS_Separation_TaxResIndem_Q12412 tf_Restructuring &amp; Separation_Guidance_Sheet4" xfId="3938"/>
    <cellStyle name="_FTQ Tri Charts Jan'05_Restructuring_Separation_TAX_JuneFC2010 tf_Guidance" xfId="3939"/>
    <cellStyle name="_FTQ Tri Charts Jan'05_Restructuring_Separation_TAX_JuneFC2010 tf_Guidance 2" xfId="3940"/>
    <cellStyle name="_FTQ Tri Charts Jan'05_Restructuring_Separation_TAX_JuneFC2010 tf_Guidance_BS retrieve" xfId="3941"/>
    <cellStyle name="_FTQ Tri Charts Jan'05_Restructuring_Separation_TAX_JuneFC2010 tf_Guidance_Free CF" xfId="3942"/>
    <cellStyle name="_FTQ Tri Charts Jan'05_Restructuring_Separation_TAX_JuneFC2010 tf_Guidance_P&amp;L Rec Qtr" xfId="3943"/>
    <cellStyle name="_FTQ Tri Charts Jan'05_Restructuring_Separation_TAX_JuneFC2010 tf_Guidance_Sheet1" xfId="3944"/>
    <cellStyle name="_FTQ Tri Charts Jan'05_Restructuring_Separation_TAX_JuneFC2010 tf_Guidance_Sheet2" xfId="3945"/>
    <cellStyle name="_FTQ Tri Charts Jan'05_Restructuring_Separation_TAX_JuneFC2010 tf_Guidance_Sheet3" xfId="3946"/>
    <cellStyle name="_FTQ Tri Charts Jan'05_Restructuring_Separation_TAX_JuneFC2010 tf_Guidance_Sheet4" xfId="3947"/>
    <cellStyle name="_FTQ Tri Charts Jan'05_Restructuring_Separation_TAX_JuneFC2010 tf_II.8. Sep&amp;Discrete" xfId="3948"/>
    <cellStyle name="_FTQ Tri Charts Jan'05_Restructuring_Separation_TAX_JuneFC2010 tf_II.8. Sep&amp;Discrete_Guidance" xfId="3949"/>
    <cellStyle name="_FTQ Tri Charts Jan'05_Restructuring_Separation_TAX_JuneFC2010 tf_II.8. Sep&amp;Discrete_Guidance 2" xfId="3950"/>
    <cellStyle name="_FTQ Tri Charts Jan'05_Restructuring_Separation_TAX_JuneFC2010 tf_II.8. Sep&amp;Discrete_Guidance_BS retrieve" xfId="3951"/>
    <cellStyle name="_FTQ Tri Charts Jan'05_Restructuring_Separation_TAX_JuneFC2010 tf_II.8. Sep&amp;Discrete_Guidance_Free CF" xfId="3952"/>
    <cellStyle name="_FTQ Tri Charts Jan'05_Restructuring_Separation_TAX_JuneFC2010 tf_II.8. Sep&amp;Discrete_Guidance_P&amp;L Rec Qtr" xfId="3953"/>
    <cellStyle name="_FTQ Tri Charts Jan'05_Restructuring_Separation_TAX_JuneFC2010 tf_II.8. Sep&amp;Discrete_Guidance_Sheet1" xfId="3954"/>
    <cellStyle name="_FTQ Tri Charts Jan'05_Restructuring_Separation_TAX_JuneFC2010 tf_II.8. Sep&amp;Discrete_Guidance_Sheet2" xfId="3955"/>
    <cellStyle name="_FTQ Tri Charts Jan'05_Restructuring_Separation_TAX_JuneFC2010 tf_II.8. Sep&amp;Discrete_Guidance_Sheet3" xfId="3956"/>
    <cellStyle name="_FTQ Tri Charts Jan'05_Restructuring_Separation_TAX_JuneFC2010 tf_II.8. Sep&amp;Discrete_Guidance_Sheet4" xfId="3957"/>
    <cellStyle name="_FTQ Tri Charts Jan'05_Restructuring_Separation_TAX_JuneFC2010 tf_Restructuring &amp; Separation" xfId="3958"/>
    <cellStyle name="_FTQ Tri Charts Jan'05_Restructuring_Separation_TAX_JuneFC2010 tf_Restructuring &amp; Separation_Guidance" xfId="3959"/>
    <cellStyle name="_FTQ Tri Charts Jan'05_Restructuring_Separation_TAX_JuneFC2010 tf_Restructuring &amp; Separation_Guidance 2" xfId="3960"/>
    <cellStyle name="_FTQ Tri Charts Jan'05_Restructuring_Separation_TAX_JuneFC2010 tf_Restructuring &amp; Separation_Guidance_BS retrieve" xfId="3961"/>
    <cellStyle name="_FTQ Tri Charts Jan'05_Restructuring_Separation_TAX_JuneFC2010 tf_Restructuring &amp; Separation_Guidance_Free CF" xfId="3962"/>
    <cellStyle name="_FTQ Tri Charts Jan'05_Restructuring_Separation_TAX_JuneFC2010 tf_Restructuring &amp; Separation_Guidance_P&amp;L Rec Qtr" xfId="3963"/>
    <cellStyle name="_FTQ Tri Charts Jan'05_Restructuring_Separation_TAX_JuneFC2010 tf_Restructuring &amp; Separation_Guidance_Sheet1" xfId="3964"/>
    <cellStyle name="_FTQ Tri Charts Jan'05_Restructuring_Separation_TAX_JuneFC2010 tf_Restructuring &amp; Separation_Guidance_Sheet2" xfId="3965"/>
    <cellStyle name="_FTQ Tri Charts Jan'05_Restructuring_Separation_TAX_JuneFC2010 tf_Restructuring &amp; Separation_Guidance_Sheet3" xfId="3966"/>
    <cellStyle name="_FTQ Tri Charts Jan'05_Restructuring_Separation_TAX_JuneFC2010 tf_Restructuring &amp; Separation_Guidance_Sheet4" xfId="3967"/>
    <cellStyle name="_FTQ Tri Charts March`05" xfId="3968"/>
    <cellStyle name="_FTQ Tri Charts March`05_BS_Separation_TaxResIndem_Q12412 tf" xfId="3969"/>
    <cellStyle name="_FTQ Tri Charts March`05_BS_Separation_TaxResIndem_Q12412 tf_Guidance" xfId="3970"/>
    <cellStyle name="_FTQ Tri Charts March`05_BS_Separation_TaxResIndem_Q12412 tf_Guidance 2" xfId="3971"/>
    <cellStyle name="_FTQ Tri Charts March`05_BS_Separation_TaxResIndem_Q12412 tf_Guidance_BS retrieve" xfId="3972"/>
    <cellStyle name="_FTQ Tri Charts March`05_BS_Separation_TaxResIndem_Q12412 tf_Guidance_Free CF" xfId="3973"/>
    <cellStyle name="_FTQ Tri Charts March`05_BS_Separation_TaxResIndem_Q12412 tf_Guidance_P&amp;L Rec Qtr" xfId="3974"/>
    <cellStyle name="_FTQ Tri Charts March`05_BS_Separation_TaxResIndem_Q12412 tf_Guidance_Sheet1" xfId="3975"/>
    <cellStyle name="_FTQ Tri Charts March`05_BS_Separation_TaxResIndem_Q12412 tf_Guidance_Sheet2" xfId="3976"/>
    <cellStyle name="_FTQ Tri Charts March`05_BS_Separation_TaxResIndem_Q12412 tf_Guidance_Sheet3" xfId="3977"/>
    <cellStyle name="_FTQ Tri Charts March`05_BS_Separation_TaxResIndem_Q12412 tf_Guidance_Sheet4" xfId="3978"/>
    <cellStyle name="_FTQ Tri Charts March`05_BS_Separation_TaxResIndem_Q12412 tf_Restructuring &amp; Separation" xfId="3979"/>
    <cellStyle name="_FTQ Tri Charts March`05_BS_Separation_TaxResIndem_Q12412 tf_Restructuring &amp; Separation_Guidance" xfId="3980"/>
    <cellStyle name="_FTQ Tri Charts March`05_BS_Separation_TaxResIndem_Q12412 tf_Restructuring &amp; Separation_Guidance 2" xfId="3981"/>
    <cellStyle name="_FTQ Tri Charts March`05_BS_Separation_TaxResIndem_Q12412 tf_Restructuring &amp; Separation_Guidance_BS retrieve" xfId="3982"/>
    <cellStyle name="_FTQ Tri Charts March`05_BS_Separation_TaxResIndem_Q12412 tf_Restructuring &amp; Separation_Guidance_Free CF" xfId="3983"/>
    <cellStyle name="_FTQ Tri Charts March`05_BS_Separation_TaxResIndem_Q12412 tf_Restructuring &amp; Separation_Guidance_P&amp;L Rec Qtr" xfId="3984"/>
    <cellStyle name="_FTQ Tri Charts March`05_BS_Separation_TaxResIndem_Q12412 tf_Restructuring &amp; Separation_Guidance_Sheet1" xfId="3985"/>
    <cellStyle name="_FTQ Tri Charts March`05_BS_Separation_TaxResIndem_Q12412 tf_Restructuring &amp; Separation_Guidance_Sheet2" xfId="3986"/>
    <cellStyle name="_FTQ Tri Charts March`05_BS_Separation_TaxResIndem_Q12412 tf_Restructuring &amp; Separation_Guidance_Sheet3" xfId="3987"/>
    <cellStyle name="_FTQ Tri Charts March`05_BS_Separation_TaxResIndem_Q12412 tf_Restructuring &amp; Separation_Guidance_Sheet4" xfId="3988"/>
    <cellStyle name="_FTQ Tri Charts March`05_By Country Detail 1Q10 041410pm FIN 18 revised per disc w Mary" xfId="3989"/>
    <cellStyle name="_FTQ Tri Charts March`05_By Country Detail 1Q10 041410pm FIN 18 revised per disc w Mary_BS_Separation_TaxResIndem_Q12412 tf" xfId="3990"/>
    <cellStyle name="_FTQ Tri Charts March`05_By Country Detail 1Q10 041410pm FIN 18 revised per disc w Mary_BS_Separation_TaxResIndem_Q12412 tf_Guidance" xfId="3991"/>
    <cellStyle name="_FTQ Tri Charts March`05_By Country Detail 1Q10 041410pm FIN 18 revised per disc w Mary_BS_Separation_TaxResIndem_Q12412 tf_Guidance 2" xfId="3992"/>
    <cellStyle name="_FTQ Tri Charts March`05_By Country Detail 1Q10 041410pm FIN 18 revised per disc w Mary_BS_Separation_TaxResIndem_Q12412 tf_Guidance_BS retrieve" xfId="3993"/>
    <cellStyle name="_FTQ Tri Charts March`05_By Country Detail 1Q10 041410pm FIN 18 revised per disc w Mary_BS_Separation_TaxResIndem_Q12412 tf_Guidance_Free CF" xfId="3994"/>
    <cellStyle name="_FTQ Tri Charts March`05_By Country Detail 1Q10 041410pm FIN 18 revised per disc w Mary_BS_Separation_TaxResIndem_Q12412 tf_Guidance_P&amp;L Rec Qtr" xfId="3995"/>
    <cellStyle name="_FTQ Tri Charts March`05_By Country Detail 1Q10 041410pm FIN 18 revised per disc w Mary_BS_Separation_TaxResIndem_Q12412 tf_Guidance_Sheet1" xfId="3996"/>
    <cellStyle name="_FTQ Tri Charts March`05_By Country Detail 1Q10 041410pm FIN 18 revised per disc w Mary_BS_Separation_TaxResIndem_Q12412 tf_Guidance_Sheet2" xfId="3997"/>
    <cellStyle name="_FTQ Tri Charts March`05_By Country Detail 1Q10 041410pm FIN 18 revised per disc w Mary_BS_Separation_TaxResIndem_Q12412 tf_Guidance_Sheet3" xfId="3998"/>
    <cellStyle name="_FTQ Tri Charts March`05_By Country Detail 1Q10 041410pm FIN 18 revised per disc w Mary_BS_Separation_TaxResIndem_Q12412 tf_Guidance_Sheet4" xfId="3999"/>
    <cellStyle name="_FTQ Tri Charts March`05_By Country Detail 1Q10 041410pm FIN 18 revised per disc w Mary_BS_Separation_TaxResIndem_Q12412 tf_Restructuring &amp; Separation" xfId="4000"/>
    <cellStyle name="_FTQ Tri Charts March`05_By Country Detail 1Q10 041410pm FIN 18 revised per disc w Mary_BS_Separation_TaxResIndem_Q12412 tf_Restructuring &amp; Separation_Guidance" xfId="4001"/>
    <cellStyle name="_FTQ Tri Charts March`05_By Country Detail 1Q10 041410pm FIN 18 revised per disc w Mary_BS_Separation_TaxResIndem_Q12412 tf_Restructuring &amp; Separation_Guidance 2" xfId="4002"/>
    <cellStyle name="_FTQ Tri Charts March`05_By Country Detail 1Q10 041410pm FIN 18 revised per disc w Mary_BS_Separation_TaxResIndem_Q12412 tf_Restructuring &amp; Separation_Guidance_BS retrieve" xfId="4003"/>
    <cellStyle name="_FTQ Tri Charts March`05_By Country Detail 1Q10 041410pm FIN 18 revised per disc w Mary_BS_Separation_TaxResIndem_Q12412 tf_Restructuring &amp; Separation_Guidance_Free CF" xfId="4004"/>
    <cellStyle name="_FTQ Tri Charts March`05_By Country Detail 1Q10 041410pm FIN 18 revised per disc w Mary_BS_Separation_TaxResIndem_Q12412 tf_Restructuring &amp; Separation_Guidance_P&amp;L Rec Qtr" xfId="4005"/>
    <cellStyle name="_FTQ Tri Charts March`05_By Country Detail 1Q10 041410pm FIN 18 revised per disc w Mary_BS_Separation_TaxResIndem_Q12412 tf_Restructuring &amp; Separation_Guidance_Sheet1" xfId="4006"/>
    <cellStyle name="_FTQ Tri Charts March`05_By Country Detail 1Q10 041410pm FIN 18 revised per disc w Mary_BS_Separation_TaxResIndem_Q12412 tf_Restructuring &amp; Separation_Guidance_Sheet2" xfId="4007"/>
    <cellStyle name="_FTQ Tri Charts March`05_By Country Detail 1Q10 041410pm FIN 18 revised per disc w Mary_BS_Separation_TaxResIndem_Q12412 tf_Restructuring &amp; Separation_Guidance_Sheet3" xfId="4008"/>
    <cellStyle name="_FTQ Tri Charts March`05_By Country Detail 1Q10 041410pm FIN 18 revised per disc w Mary_BS_Separation_TaxResIndem_Q12412 tf_Restructuring &amp; Separation_Guidance_Sheet4" xfId="4009"/>
    <cellStyle name="_FTQ Tri Charts March`05_By Country Detail 1Q10 041410pm FIN 18 revised per disc w Mary_Guidance" xfId="4010"/>
    <cellStyle name="_FTQ Tri Charts March`05_By Country Detail 1Q10 041410pm FIN 18 revised per disc w Mary_Guidance 2" xfId="4011"/>
    <cellStyle name="_FTQ Tri Charts March`05_By Country Detail 1Q10 041410pm FIN 18 revised per disc w Mary_Guidance_BS retrieve" xfId="4012"/>
    <cellStyle name="_FTQ Tri Charts March`05_By Country Detail 1Q10 041410pm FIN 18 revised per disc w Mary_Guidance_Free CF" xfId="4013"/>
    <cellStyle name="_FTQ Tri Charts March`05_By Country Detail 1Q10 041410pm FIN 18 revised per disc w Mary_Guidance_P&amp;L Rec Qtr" xfId="4014"/>
    <cellStyle name="_FTQ Tri Charts March`05_By Country Detail 1Q10 041410pm FIN 18 revised per disc w Mary_Guidance_Sheet1" xfId="4015"/>
    <cellStyle name="_FTQ Tri Charts March`05_By Country Detail 1Q10 041410pm FIN 18 revised per disc w Mary_Guidance_Sheet2" xfId="4016"/>
    <cellStyle name="_FTQ Tri Charts March`05_By Country Detail 1Q10 041410pm FIN 18 revised per disc w Mary_Guidance_Sheet3" xfId="4017"/>
    <cellStyle name="_FTQ Tri Charts March`05_By Country Detail 1Q10 041410pm FIN 18 revised per disc w Mary_Guidance_Sheet4" xfId="4018"/>
    <cellStyle name="_FTQ Tri Charts March`05_By Country Detail 1Q10 041410pm FIN 18 revised per disc w Mary_II.8. Sep&amp;Discrete" xfId="4019"/>
    <cellStyle name="_FTQ Tri Charts March`05_By Country Detail 1Q10 041410pm FIN 18 revised per disc w Mary_II.8. Sep&amp;Discrete_Guidance" xfId="4020"/>
    <cellStyle name="_FTQ Tri Charts March`05_By Country Detail 1Q10 041410pm FIN 18 revised per disc w Mary_II.8. Sep&amp;Discrete_Guidance 2" xfId="4021"/>
    <cellStyle name="_FTQ Tri Charts March`05_By Country Detail 1Q10 041410pm FIN 18 revised per disc w Mary_II.8. Sep&amp;Discrete_Guidance_BS retrieve" xfId="4022"/>
    <cellStyle name="_FTQ Tri Charts March`05_By Country Detail 1Q10 041410pm FIN 18 revised per disc w Mary_II.8. Sep&amp;Discrete_Guidance_Free CF" xfId="4023"/>
    <cellStyle name="_FTQ Tri Charts March`05_By Country Detail 1Q10 041410pm FIN 18 revised per disc w Mary_II.8. Sep&amp;Discrete_Guidance_P&amp;L Rec Qtr" xfId="4024"/>
    <cellStyle name="_FTQ Tri Charts March`05_By Country Detail 1Q10 041410pm FIN 18 revised per disc w Mary_II.8. Sep&amp;Discrete_Guidance_Sheet1" xfId="4025"/>
    <cellStyle name="_FTQ Tri Charts March`05_By Country Detail 1Q10 041410pm FIN 18 revised per disc w Mary_II.8. Sep&amp;Discrete_Guidance_Sheet2" xfId="4026"/>
    <cellStyle name="_FTQ Tri Charts March`05_By Country Detail 1Q10 041410pm FIN 18 revised per disc w Mary_II.8. Sep&amp;Discrete_Guidance_Sheet3" xfId="4027"/>
    <cellStyle name="_FTQ Tri Charts March`05_By Country Detail 1Q10 041410pm FIN 18 revised per disc w Mary_II.8. Sep&amp;Discrete_Guidance_Sheet4" xfId="4028"/>
    <cellStyle name="_FTQ Tri Charts March`05_By Country Detail 1Q10 041410pm FIN 18 revised per disc w Mary_Restructuring &amp; Separation" xfId="4029"/>
    <cellStyle name="_FTQ Tri Charts March`05_By Country Detail 1Q10 041410pm FIN 18 revised per disc w Mary_Restructuring &amp; Separation_Guidance" xfId="4030"/>
    <cellStyle name="_FTQ Tri Charts March`05_By Country Detail 1Q10 041410pm FIN 18 revised per disc w Mary_Restructuring &amp; Separation_Guidance 2" xfId="4031"/>
    <cellStyle name="_FTQ Tri Charts March`05_By Country Detail 1Q10 041410pm FIN 18 revised per disc w Mary_Restructuring &amp; Separation_Guidance_BS retrieve" xfId="4032"/>
    <cellStyle name="_FTQ Tri Charts March`05_By Country Detail 1Q10 041410pm FIN 18 revised per disc w Mary_Restructuring &amp; Separation_Guidance_Free CF" xfId="4033"/>
    <cellStyle name="_FTQ Tri Charts March`05_By Country Detail 1Q10 041410pm FIN 18 revised per disc w Mary_Restructuring &amp; Separation_Guidance_P&amp;L Rec Qtr" xfId="4034"/>
    <cellStyle name="_FTQ Tri Charts March`05_By Country Detail 1Q10 041410pm FIN 18 revised per disc w Mary_Restructuring &amp; Separation_Guidance_Sheet1" xfId="4035"/>
    <cellStyle name="_FTQ Tri Charts March`05_By Country Detail 1Q10 041410pm FIN 18 revised per disc w Mary_Restructuring &amp; Separation_Guidance_Sheet2" xfId="4036"/>
    <cellStyle name="_FTQ Tri Charts March`05_By Country Detail 1Q10 041410pm FIN 18 revised per disc w Mary_Restructuring &amp; Separation_Guidance_Sheet3" xfId="4037"/>
    <cellStyle name="_FTQ Tri Charts March`05_By Country Detail 1Q10 041410pm FIN 18 revised per disc w Mary_Restructuring &amp; Separation_Guidance_Sheet4" xfId="4038"/>
    <cellStyle name="_FTQ Tri Charts March`05_Guidance" xfId="4039"/>
    <cellStyle name="_FTQ Tri Charts March`05_Guidance 2" xfId="4040"/>
    <cellStyle name="_FTQ Tri Charts March`05_Guidance_BS retrieve" xfId="4041"/>
    <cellStyle name="_FTQ Tri Charts March`05_Guidance_Free CF" xfId="4042"/>
    <cellStyle name="_FTQ Tri Charts March`05_Guidance_P&amp;L Rec Qtr" xfId="4043"/>
    <cellStyle name="_FTQ Tri Charts March`05_Guidance_Sheet1" xfId="4044"/>
    <cellStyle name="_FTQ Tri Charts March`05_Guidance_Sheet2" xfId="4045"/>
    <cellStyle name="_FTQ Tri Charts March`05_Guidance_Sheet3" xfId="4046"/>
    <cellStyle name="_FTQ Tri Charts March`05_Guidance_Sheet4" xfId="4047"/>
    <cellStyle name="_FTQ Tri Charts March`05_II.4. RawMaterials" xfId="4048"/>
    <cellStyle name="_FTQ Tri Charts March`05_II.4. RawMaterials 2" xfId="4049"/>
    <cellStyle name="_FTQ Tri Charts March`05_II.4. RawMaterials_BS retrieve" xfId="4050"/>
    <cellStyle name="_FTQ Tri Charts March`05_II.4. RawMaterials_Free CF" xfId="4051"/>
    <cellStyle name="_FTQ Tri Charts March`05_II.4. RawMaterials_P&amp;L Rec Qtr" xfId="4052"/>
    <cellStyle name="_FTQ Tri Charts March`05_II.4. RawMaterials_Sheet1" xfId="4053"/>
    <cellStyle name="_FTQ Tri Charts March`05_II.4. RawMaterials_Sheet2" xfId="4054"/>
    <cellStyle name="_FTQ Tri Charts March`05_II.4. RawMaterials_Sheet3" xfId="4055"/>
    <cellStyle name="_FTQ Tri Charts March`05_II.4. RawMaterials_Sheet4" xfId="4056"/>
    <cellStyle name="_FTQ Tri Charts March`05_II.5. RawMaterials" xfId="4057"/>
    <cellStyle name="_FTQ Tri Charts March`05_II.5. RawMaterials 2" xfId="4058"/>
    <cellStyle name="_FTQ Tri Charts March`05_II.5. RawMaterials_BS retrieve" xfId="4059"/>
    <cellStyle name="_FTQ Tri Charts March`05_II.5. RawMaterials_Free CF" xfId="4060"/>
    <cellStyle name="_FTQ Tri Charts March`05_II.5. RawMaterials_Guidance" xfId="4061"/>
    <cellStyle name="_FTQ Tri Charts March`05_II.5. RawMaterials_Guidance 2" xfId="4062"/>
    <cellStyle name="_FTQ Tri Charts March`05_II.5. RawMaterials_Guidance_BS retrieve" xfId="4063"/>
    <cellStyle name="_FTQ Tri Charts March`05_II.5. RawMaterials_Guidance_Free CF" xfId="4064"/>
    <cellStyle name="_FTQ Tri Charts March`05_II.5. RawMaterials_Guidance_P&amp;L Rec Qtr" xfId="4065"/>
    <cellStyle name="_FTQ Tri Charts March`05_II.5. RawMaterials_Guidance_Sheet1" xfId="4066"/>
    <cellStyle name="_FTQ Tri Charts March`05_II.5. RawMaterials_Guidance_Sheet2" xfId="4067"/>
    <cellStyle name="_FTQ Tri Charts March`05_II.5. RawMaterials_Guidance_Sheet3" xfId="4068"/>
    <cellStyle name="_FTQ Tri Charts March`05_II.5. RawMaterials_Guidance_Sheet4" xfId="4069"/>
    <cellStyle name="_FTQ Tri Charts March`05_II.5. RawMaterials_P&amp;L Rec Qtr" xfId="4070"/>
    <cellStyle name="_FTQ Tri Charts March`05_II.5. RawMaterials_Sheet1" xfId="4071"/>
    <cellStyle name="_FTQ Tri Charts March`05_II.5. RawMaterials_Sheet2" xfId="4072"/>
    <cellStyle name="_FTQ Tri Charts March`05_II.5. RawMaterials_Sheet3" xfId="4073"/>
    <cellStyle name="_FTQ Tri Charts March`05_II.5. RawMaterials_Sheet4" xfId="4074"/>
    <cellStyle name="_FTQ Tri Charts March`05_II.5. RM Volume Sensitivities" xfId="4075"/>
    <cellStyle name="_FTQ Tri Charts March`05_II.5. RM Volume Sensitivities 2" xfId="4076"/>
    <cellStyle name="_FTQ Tri Charts March`05_II.5. RM Volume Sensitivities_BS retrieve" xfId="4077"/>
    <cellStyle name="_FTQ Tri Charts March`05_II.5. RM Volume Sensitivities_Free CF" xfId="4078"/>
    <cellStyle name="_FTQ Tri Charts March`05_II.5. RM Volume Sensitivities_P&amp;L Rec Qtr" xfId="4079"/>
    <cellStyle name="_FTQ Tri Charts March`05_II.5. RM Volume Sensitivities_Sheet1" xfId="4080"/>
    <cellStyle name="_FTQ Tri Charts March`05_II.5. RM Volume Sensitivities_Sheet2" xfId="4081"/>
    <cellStyle name="_FTQ Tri Charts March`05_II.5. RM Volume Sensitivities_Sheet3" xfId="4082"/>
    <cellStyle name="_FTQ Tri Charts March`05_II.5. RM Volume Sensitivities_Sheet4" xfId="4083"/>
    <cellStyle name="_FTQ Tri Charts March`05_II.8. Sep&amp;Discrete" xfId="4084"/>
    <cellStyle name="_FTQ Tri Charts March`05_II.8. Sep&amp;Discrete_Guidance" xfId="4085"/>
    <cellStyle name="_FTQ Tri Charts March`05_II.8. Sep&amp;Discrete_Guidance 2" xfId="4086"/>
    <cellStyle name="_FTQ Tri Charts March`05_II.8. Sep&amp;Discrete_Guidance_BS retrieve" xfId="4087"/>
    <cellStyle name="_FTQ Tri Charts March`05_II.8. Sep&amp;Discrete_Guidance_Free CF" xfId="4088"/>
    <cellStyle name="_FTQ Tri Charts March`05_II.8. Sep&amp;Discrete_Guidance_P&amp;L Rec Qtr" xfId="4089"/>
    <cellStyle name="_FTQ Tri Charts March`05_II.8. Sep&amp;Discrete_Guidance_Sheet1" xfId="4090"/>
    <cellStyle name="_FTQ Tri Charts March`05_II.8. Sep&amp;Discrete_Guidance_Sheet2" xfId="4091"/>
    <cellStyle name="_FTQ Tri Charts March`05_II.8. Sep&amp;Discrete_Guidance_Sheet3" xfId="4092"/>
    <cellStyle name="_FTQ Tri Charts March`05_II.8. Sep&amp;Discrete_Guidance_Sheet4" xfId="4093"/>
    <cellStyle name="_FTQ Tri Charts March`05_Restructuring &amp; Separation" xfId="4094"/>
    <cellStyle name="_FTQ Tri Charts March`05_Restructuring &amp; Separation_Guidance" xfId="4095"/>
    <cellStyle name="_FTQ Tri Charts March`05_Restructuring &amp; Separation_Guidance 2" xfId="4096"/>
    <cellStyle name="_FTQ Tri Charts March`05_Restructuring &amp; Separation_Guidance_BS retrieve" xfId="4097"/>
    <cellStyle name="_FTQ Tri Charts March`05_Restructuring &amp; Separation_Guidance_Free CF" xfId="4098"/>
    <cellStyle name="_FTQ Tri Charts March`05_Restructuring &amp; Separation_Guidance_P&amp;L Rec Qtr" xfId="4099"/>
    <cellStyle name="_FTQ Tri Charts March`05_Restructuring &amp; Separation_Guidance_Sheet1" xfId="4100"/>
    <cellStyle name="_FTQ Tri Charts March`05_Restructuring &amp; Separation_Guidance_Sheet2" xfId="4101"/>
    <cellStyle name="_FTQ Tri Charts March`05_Restructuring &amp; Separation_Guidance_Sheet3" xfId="4102"/>
    <cellStyle name="_FTQ Tri Charts March`05_Restructuring &amp; Separation_Guidance_Sheet4" xfId="4103"/>
    <cellStyle name="_FTQ Tri Charts March`05_Restructuring_Separation_TAX_JuneFC2010 tf" xfId="4104"/>
    <cellStyle name="_FTQ Tri Charts March`05_Restructuring_Separation_TAX_JuneFC2010 tf_BS_Separation_TaxResIndem_Q12412 tf" xfId="4105"/>
    <cellStyle name="_FTQ Tri Charts March`05_Restructuring_Separation_TAX_JuneFC2010 tf_BS_Separation_TaxResIndem_Q12412 tf_Guidance" xfId="4106"/>
    <cellStyle name="_FTQ Tri Charts March`05_Restructuring_Separation_TAX_JuneFC2010 tf_BS_Separation_TaxResIndem_Q12412 tf_Guidance 2" xfId="4107"/>
    <cellStyle name="_FTQ Tri Charts March`05_Restructuring_Separation_TAX_JuneFC2010 tf_BS_Separation_TaxResIndem_Q12412 tf_Guidance_BS retrieve" xfId="4108"/>
    <cellStyle name="_FTQ Tri Charts March`05_Restructuring_Separation_TAX_JuneFC2010 tf_BS_Separation_TaxResIndem_Q12412 tf_Guidance_Free CF" xfId="4109"/>
    <cellStyle name="_FTQ Tri Charts March`05_Restructuring_Separation_TAX_JuneFC2010 tf_BS_Separation_TaxResIndem_Q12412 tf_Guidance_P&amp;L Rec Qtr" xfId="4110"/>
    <cellStyle name="_FTQ Tri Charts March`05_Restructuring_Separation_TAX_JuneFC2010 tf_BS_Separation_TaxResIndem_Q12412 tf_Guidance_Sheet1" xfId="4111"/>
    <cellStyle name="_FTQ Tri Charts March`05_Restructuring_Separation_TAX_JuneFC2010 tf_BS_Separation_TaxResIndem_Q12412 tf_Guidance_Sheet2" xfId="4112"/>
    <cellStyle name="_FTQ Tri Charts March`05_Restructuring_Separation_TAX_JuneFC2010 tf_BS_Separation_TaxResIndem_Q12412 tf_Guidance_Sheet3" xfId="4113"/>
    <cellStyle name="_FTQ Tri Charts March`05_Restructuring_Separation_TAX_JuneFC2010 tf_BS_Separation_TaxResIndem_Q12412 tf_Guidance_Sheet4" xfId="4114"/>
    <cellStyle name="_FTQ Tri Charts March`05_Restructuring_Separation_TAX_JuneFC2010 tf_BS_Separation_TaxResIndem_Q12412 tf_Restructuring &amp; Separation" xfId="4115"/>
    <cellStyle name="_FTQ Tri Charts March`05_Restructuring_Separation_TAX_JuneFC2010 tf_BS_Separation_TaxResIndem_Q12412 tf_Restructuring &amp; Separation_Guidance" xfId="4116"/>
    <cellStyle name="_FTQ Tri Charts March`05_Restructuring_Separation_TAX_JuneFC2010 tf_BS_Separation_TaxResIndem_Q12412 tf_Restructuring &amp; Separation_Guidance 2" xfId="4117"/>
    <cellStyle name="_FTQ Tri Charts March`05_Restructuring_Separation_TAX_JuneFC2010 tf_BS_Separation_TaxResIndem_Q12412 tf_Restructuring &amp; Separation_Guidance_BS retrieve" xfId="4118"/>
    <cellStyle name="_FTQ Tri Charts March`05_Restructuring_Separation_TAX_JuneFC2010 tf_BS_Separation_TaxResIndem_Q12412 tf_Restructuring &amp; Separation_Guidance_Free CF" xfId="4119"/>
    <cellStyle name="_FTQ Tri Charts March`05_Restructuring_Separation_TAX_JuneFC2010 tf_BS_Separation_TaxResIndem_Q12412 tf_Restructuring &amp; Separation_Guidance_P&amp;L Rec Qtr" xfId="4120"/>
    <cellStyle name="_FTQ Tri Charts March`05_Restructuring_Separation_TAX_JuneFC2010 tf_BS_Separation_TaxResIndem_Q12412 tf_Restructuring &amp; Separation_Guidance_Sheet1" xfId="4121"/>
    <cellStyle name="_FTQ Tri Charts March`05_Restructuring_Separation_TAX_JuneFC2010 tf_BS_Separation_TaxResIndem_Q12412 tf_Restructuring &amp; Separation_Guidance_Sheet2" xfId="4122"/>
    <cellStyle name="_FTQ Tri Charts March`05_Restructuring_Separation_TAX_JuneFC2010 tf_BS_Separation_TaxResIndem_Q12412 tf_Restructuring &amp; Separation_Guidance_Sheet3" xfId="4123"/>
    <cellStyle name="_FTQ Tri Charts March`05_Restructuring_Separation_TAX_JuneFC2010 tf_BS_Separation_TaxResIndem_Q12412 tf_Restructuring &amp; Separation_Guidance_Sheet4" xfId="4124"/>
    <cellStyle name="_FTQ Tri Charts March`05_Restructuring_Separation_TAX_JuneFC2010 tf_Guidance" xfId="4125"/>
    <cellStyle name="_FTQ Tri Charts March`05_Restructuring_Separation_TAX_JuneFC2010 tf_Guidance 2" xfId="4126"/>
    <cellStyle name="_FTQ Tri Charts March`05_Restructuring_Separation_TAX_JuneFC2010 tf_Guidance_BS retrieve" xfId="4127"/>
    <cellStyle name="_FTQ Tri Charts March`05_Restructuring_Separation_TAX_JuneFC2010 tf_Guidance_Free CF" xfId="4128"/>
    <cellStyle name="_FTQ Tri Charts March`05_Restructuring_Separation_TAX_JuneFC2010 tf_Guidance_P&amp;L Rec Qtr" xfId="4129"/>
    <cellStyle name="_FTQ Tri Charts March`05_Restructuring_Separation_TAX_JuneFC2010 tf_Guidance_Sheet1" xfId="4130"/>
    <cellStyle name="_FTQ Tri Charts March`05_Restructuring_Separation_TAX_JuneFC2010 tf_Guidance_Sheet2" xfId="4131"/>
    <cellStyle name="_FTQ Tri Charts March`05_Restructuring_Separation_TAX_JuneFC2010 tf_Guidance_Sheet3" xfId="4132"/>
    <cellStyle name="_FTQ Tri Charts March`05_Restructuring_Separation_TAX_JuneFC2010 tf_Guidance_Sheet4" xfId="4133"/>
    <cellStyle name="_FTQ Tri Charts March`05_Restructuring_Separation_TAX_JuneFC2010 tf_II.8. Sep&amp;Discrete" xfId="4134"/>
    <cellStyle name="_FTQ Tri Charts March`05_Restructuring_Separation_TAX_JuneFC2010 tf_II.8. Sep&amp;Discrete_Guidance" xfId="4135"/>
    <cellStyle name="_FTQ Tri Charts March`05_Restructuring_Separation_TAX_JuneFC2010 tf_II.8. Sep&amp;Discrete_Guidance 2" xfId="4136"/>
    <cellStyle name="_FTQ Tri Charts March`05_Restructuring_Separation_TAX_JuneFC2010 tf_II.8. Sep&amp;Discrete_Guidance_BS retrieve" xfId="4137"/>
    <cellStyle name="_FTQ Tri Charts March`05_Restructuring_Separation_TAX_JuneFC2010 tf_II.8. Sep&amp;Discrete_Guidance_Free CF" xfId="4138"/>
    <cellStyle name="_FTQ Tri Charts March`05_Restructuring_Separation_TAX_JuneFC2010 tf_II.8. Sep&amp;Discrete_Guidance_P&amp;L Rec Qtr" xfId="4139"/>
    <cellStyle name="_FTQ Tri Charts March`05_Restructuring_Separation_TAX_JuneFC2010 tf_II.8. Sep&amp;Discrete_Guidance_Sheet1" xfId="4140"/>
    <cellStyle name="_FTQ Tri Charts March`05_Restructuring_Separation_TAX_JuneFC2010 tf_II.8. Sep&amp;Discrete_Guidance_Sheet2" xfId="4141"/>
    <cellStyle name="_FTQ Tri Charts March`05_Restructuring_Separation_TAX_JuneFC2010 tf_II.8. Sep&amp;Discrete_Guidance_Sheet3" xfId="4142"/>
    <cellStyle name="_FTQ Tri Charts March`05_Restructuring_Separation_TAX_JuneFC2010 tf_II.8. Sep&amp;Discrete_Guidance_Sheet4" xfId="4143"/>
    <cellStyle name="_FTQ Tri Charts March`05_Restructuring_Separation_TAX_JuneFC2010 tf_Restructuring &amp; Separation" xfId="4144"/>
    <cellStyle name="_FTQ Tri Charts March`05_Restructuring_Separation_TAX_JuneFC2010 tf_Restructuring &amp; Separation_Guidance" xfId="4145"/>
    <cellStyle name="_FTQ Tri Charts March`05_Restructuring_Separation_TAX_JuneFC2010 tf_Restructuring &amp; Separation_Guidance 2" xfId="4146"/>
    <cellStyle name="_FTQ Tri Charts March`05_Restructuring_Separation_TAX_JuneFC2010 tf_Restructuring &amp; Separation_Guidance_BS retrieve" xfId="4147"/>
    <cellStyle name="_FTQ Tri Charts March`05_Restructuring_Separation_TAX_JuneFC2010 tf_Restructuring &amp; Separation_Guidance_Free CF" xfId="4148"/>
    <cellStyle name="_FTQ Tri Charts March`05_Restructuring_Separation_TAX_JuneFC2010 tf_Restructuring &amp; Separation_Guidance_P&amp;L Rec Qtr" xfId="4149"/>
    <cellStyle name="_FTQ Tri Charts March`05_Restructuring_Separation_TAX_JuneFC2010 tf_Restructuring &amp; Separation_Guidance_Sheet1" xfId="4150"/>
    <cellStyle name="_FTQ Tri Charts March`05_Restructuring_Separation_TAX_JuneFC2010 tf_Restructuring &amp; Separation_Guidance_Sheet2" xfId="4151"/>
    <cellStyle name="_FTQ Tri Charts March`05_Restructuring_Separation_TAX_JuneFC2010 tf_Restructuring &amp; Separation_Guidance_Sheet3" xfId="4152"/>
    <cellStyle name="_FTQ Tri Charts March`05_Restructuring_Separation_TAX_JuneFC2010 tf_Restructuring &amp; Separation_Guidance_Sheet4" xfId="4153"/>
    <cellStyle name="_II.2. Qtly Fin-Bridge" xfId="4154"/>
    <cellStyle name="_II.2. Qtly Fin-Bridge 2" xfId="4155"/>
    <cellStyle name="_II.2. Qtly Fin-Bridge_BS retrieve" xfId="4156"/>
    <cellStyle name="_II.2. Qtly Fin-Bridge_Free CF" xfId="4157"/>
    <cellStyle name="_II.2. Qtly Fin-Bridge_II.8. Sep&amp;Discrete" xfId="4158"/>
    <cellStyle name="_II.2. Qtly Fin-Bridge_II.8. Sep&amp;Discrete_Guidance" xfId="4159"/>
    <cellStyle name="_II.2. Qtly Fin-Bridge_II.8. Sep&amp;Discrete_Guidance 2" xfId="4160"/>
    <cellStyle name="_II.2. Qtly Fin-Bridge_II.8. Sep&amp;Discrete_Guidance_BS retrieve" xfId="4161"/>
    <cellStyle name="_II.2. Qtly Fin-Bridge_II.8. Sep&amp;Discrete_Guidance_Free CF" xfId="4162"/>
    <cellStyle name="_II.2. Qtly Fin-Bridge_II.8. Sep&amp;Discrete_Guidance_P&amp;L Rec Qtr" xfId="4163"/>
    <cellStyle name="_II.2. Qtly Fin-Bridge_II.8. Sep&amp;Discrete_Guidance_Sheet1" xfId="4164"/>
    <cellStyle name="_II.2. Qtly Fin-Bridge_II.8. Sep&amp;Discrete_Guidance_Sheet2" xfId="4165"/>
    <cellStyle name="_II.2. Qtly Fin-Bridge_II.8. Sep&amp;Discrete_Guidance_Sheet3" xfId="4166"/>
    <cellStyle name="_II.2. Qtly Fin-Bridge_II.8. Sep&amp;Discrete_Guidance_Sheet4" xfId="4167"/>
    <cellStyle name="_II.2. Qtly Fin-Bridge_P&amp;L Rec Qtr" xfId="4168"/>
    <cellStyle name="_II.2. Qtly Fin-Bridge_Restructuring &amp; Separation" xfId="4169"/>
    <cellStyle name="_II.2. Qtly Fin-Bridge_Restructuring &amp; Separation_Guidance" xfId="4170"/>
    <cellStyle name="_II.2. Qtly Fin-Bridge_Restructuring &amp; Separation_Guidance 2" xfId="4171"/>
    <cellStyle name="_II.2. Qtly Fin-Bridge_Restructuring &amp; Separation_Guidance_BS retrieve" xfId="4172"/>
    <cellStyle name="_II.2. Qtly Fin-Bridge_Restructuring &amp; Separation_Guidance_Free CF" xfId="4173"/>
    <cellStyle name="_II.2. Qtly Fin-Bridge_Restructuring &amp; Separation_Guidance_P&amp;L Rec Qtr" xfId="4174"/>
    <cellStyle name="_II.2. Qtly Fin-Bridge_Restructuring &amp; Separation_Guidance_Sheet1" xfId="4175"/>
    <cellStyle name="_II.2. Qtly Fin-Bridge_Restructuring &amp; Separation_Guidance_Sheet2" xfId="4176"/>
    <cellStyle name="_II.2. Qtly Fin-Bridge_Restructuring &amp; Separation_Guidance_Sheet3" xfId="4177"/>
    <cellStyle name="_II.2. Qtly Fin-Bridge_Restructuring &amp; Separation_Guidance_Sheet4" xfId="4178"/>
    <cellStyle name="_II.2. Qtly Fin-Bridge_Sheet1" xfId="4179"/>
    <cellStyle name="_II.2. Qtly Fin-Bridge_Sheet2" xfId="4180"/>
    <cellStyle name="_II.2. Qtly Fin-Bridge_Sheet3" xfId="4181"/>
    <cellStyle name="_II.2. Qtly Fin-Bridge_Sheet4" xfId="4182"/>
    <cellStyle name="_II.5. RawMaterials" xfId="4183"/>
    <cellStyle name="_II.5. RawMaterials 2" xfId="4184"/>
    <cellStyle name="_II.5. RawMaterials_BS retrieve" xfId="4185"/>
    <cellStyle name="_II.5. RawMaterials_Free CF" xfId="4186"/>
    <cellStyle name="_II.5. RawMaterials_P&amp;L Rec Qtr" xfId="4187"/>
    <cellStyle name="_II.5. RawMaterials_Sheet1" xfId="4188"/>
    <cellStyle name="_II.5. RawMaterials_Sheet2" xfId="4189"/>
    <cellStyle name="_II.5. RawMaterials_Sheet3" xfId="4190"/>
    <cellStyle name="_II.5. RawMaterials_Sheet4" xfId="4191"/>
    <cellStyle name="_II.6. RawMaterials" xfId="4192"/>
    <cellStyle name="_II.6. RawMaterials 2" xfId="4193"/>
    <cellStyle name="_II.6. RawMaterials_BS retrieve" xfId="4194"/>
    <cellStyle name="_II.6. RawMaterials_Free CF" xfId="4195"/>
    <cellStyle name="_II.6. RawMaterials_P&amp;L Rec Qtr" xfId="4196"/>
    <cellStyle name="_II.6. RawMaterials_Sheet1" xfId="4197"/>
    <cellStyle name="_II.6. RawMaterials_Sheet2" xfId="4198"/>
    <cellStyle name="_II.6. RawMaterials_Sheet3" xfId="4199"/>
    <cellStyle name="_II.6. RawMaterials_Sheet4" xfId="4200"/>
    <cellStyle name="_II.7. RM Volume Sensitivities" xfId="4201"/>
    <cellStyle name="_II.7. RM Volume Sensitivities 2" xfId="4202"/>
    <cellStyle name="_II.7. RM Volume Sensitivities_BS retrieve" xfId="4203"/>
    <cellStyle name="_II.7. RM Volume Sensitivities_Free CF" xfId="4204"/>
    <cellStyle name="_II.7. RM Volume Sensitivities_P&amp;L Rec Qtr" xfId="4205"/>
    <cellStyle name="_II.7. RM Volume Sensitivities_Sheet1" xfId="4206"/>
    <cellStyle name="_II.7. RM Volume Sensitivities_Sheet2" xfId="4207"/>
    <cellStyle name="_II.7. RM Volume Sensitivities_Sheet3" xfId="4208"/>
    <cellStyle name="_II.7. RM Volume Sensitivities_Sheet4" xfId="4209"/>
    <cellStyle name="_IncStatement (monthly)" xfId="4210"/>
    <cellStyle name="_Labor" xfId="4211"/>
    <cellStyle name="_Labor_BS_Separation_TaxResIndem_Q12412 tf" xfId="4212"/>
    <cellStyle name="_Labor_BS_Separation_TaxResIndem_Q12412 tf_Guidance" xfId="4213"/>
    <cellStyle name="_Labor_BS_Separation_TaxResIndem_Q12412 tf_Guidance 2" xfId="4214"/>
    <cellStyle name="_Labor_BS_Separation_TaxResIndem_Q12412 tf_Guidance_BS retrieve" xfId="4215"/>
    <cellStyle name="_Labor_BS_Separation_TaxResIndem_Q12412 tf_Guidance_Free CF" xfId="4216"/>
    <cellStyle name="_Labor_BS_Separation_TaxResIndem_Q12412 tf_Guidance_P&amp;L Rec Qtr" xfId="4217"/>
    <cellStyle name="_Labor_BS_Separation_TaxResIndem_Q12412 tf_Guidance_Sheet1" xfId="4218"/>
    <cellStyle name="_Labor_BS_Separation_TaxResIndem_Q12412 tf_Guidance_Sheet2" xfId="4219"/>
    <cellStyle name="_Labor_BS_Separation_TaxResIndem_Q12412 tf_Guidance_Sheet3" xfId="4220"/>
    <cellStyle name="_Labor_BS_Separation_TaxResIndem_Q12412 tf_Guidance_Sheet4" xfId="4221"/>
    <cellStyle name="_Labor_BS_Separation_TaxResIndem_Q12412 tf_Restructuring &amp; Separation" xfId="4222"/>
    <cellStyle name="_Labor_BS_Separation_TaxResIndem_Q12412 tf_Restructuring &amp; Separation_Guidance" xfId="4223"/>
    <cellStyle name="_Labor_BS_Separation_TaxResIndem_Q12412 tf_Restructuring &amp; Separation_Guidance 2" xfId="4224"/>
    <cellStyle name="_Labor_BS_Separation_TaxResIndem_Q12412 tf_Restructuring &amp; Separation_Guidance_BS retrieve" xfId="4225"/>
    <cellStyle name="_Labor_BS_Separation_TaxResIndem_Q12412 tf_Restructuring &amp; Separation_Guidance_Free CF" xfId="4226"/>
    <cellStyle name="_Labor_BS_Separation_TaxResIndem_Q12412 tf_Restructuring &amp; Separation_Guidance_P&amp;L Rec Qtr" xfId="4227"/>
    <cellStyle name="_Labor_BS_Separation_TaxResIndem_Q12412 tf_Restructuring &amp; Separation_Guidance_Sheet1" xfId="4228"/>
    <cellStyle name="_Labor_BS_Separation_TaxResIndem_Q12412 tf_Restructuring &amp; Separation_Guidance_Sheet2" xfId="4229"/>
    <cellStyle name="_Labor_BS_Separation_TaxResIndem_Q12412 tf_Restructuring &amp; Separation_Guidance_Sheet3" xfId="4230"/>
    <cellStyle name="_Labor_BS_Separation_TaxResIndem_Q12412 tf_Restructuring &amp; Separation_Guidance_Sheet4" xfId="4231"/>
    <cellStyle name="_Labor_Guidance" xfId="4232"/>
    <cellStyle name="_Labor_Guidance 2" xfId="4233"/>
    <cellStyle name="_Labor_Guidance_BS retrieve" xfId="4234"/>
    <cellStyle name="_Labor_Guidance_Free CF" xfId="4235"/>
    <cellStyle name="_Labor_Guidance_P&amp;L Rec Qtr" xfId="4236"/>
    <cellStyle name="_Labor_Guidance_Sheet1" xfId="4237"/>
    <cellStyle name="_Labor_Guidance_Sheet2" xfId="4238"/>
    <cellStyle name="_Labor_Guidance_Sheet3" xfId="4239"/>
    <cellStyle name="_Labor_Guidance_Sheet4" xfId="4240"/>
    <cellStyle name="_Labor_II.8. Sep&amp;Discrete" xfId="4241"/>
    <cellStyle name="_Labor_II.8. Sep&amp;Discrete_Guidance" xfId="4242"/>
    <cellStyle name="_Labor_II.8. Sep&amp;Discrete_Guidance 2" xfId="4243"/>
    <cellStyle name="_Labor_II.8. Sep&amp;Discrete_Guidance_BS retrieve" xfId="4244"/>
    <cellStyle name="_Labor_II.8. Sep&amp;Discrete_Guidance_Free CF" xfId="4245"/>
    <cellStyle name="_Labor_II.8. Sep&amp;Discrete_Guidance_P&amp;L Rec Qtr" xfId="4246"/>
    <cellStyle name="_Labor_II.8. Sep&amp;Discrete_Guidance_Sheet1" xfId="4247"/>
    <cellStyle name="_Labor_II.8. Sep&amp;Discrete_Guidance_Sheet2" xfId="4248"/>
    <cellStyle name="_Labor_II.8. Sep&amp;Discrete_Guidance_Sheet3" xfId="4249"/>
    <cellStyle name="_Labor_II.8. Sep&amp;Discrete_Guidance_Sheet4" xfId="4250"/>
    <cellStyle name="_Labor_Restructuring &amp; Separation" xfId="4251"/>
    <cellStyle name="_Labor_Restructuring &amp; Separation_Guidance" xfId="4252"/>
    <cellStyle name="_Labor_Restructuring &amp; Separation_Guidance 2" xfId="4253"/>
    <cellStyle name="_Labor_Restructuring &amp; Separation_Guidance_BS retrieve" xfId="4254"/>
    <cellStyle name="_Labor_Restructuring &amp; Separation_Guidance_Free CF" xfId="4255"/>
    <cellStyle name="_Labor_Restructuring &amp; Separation_Guidance_P&amp;L Rec Qtr" xfId="4256"/>
    <cellStyle name="_Labor_Restructuring &amp; Separation_Guidance_Sheet1" xfId="4257"/>
    <cellStyle name="_Labor_Restructuring &amp; Separation_Guidance_Sheet2" xfId="4258"/>
    <cellStyle name="_Labor_Restructuring &amp; Separation_Guidance_Sheet3" xfId="4259"/>
    <cellStyle name="_Labor_Restructuring &amp; Separation_Guidance_Sheet4" xfId="4260"/>
    <cellStyle name="_Labor_Sheet1" xfId="4261"/>
    <cellStyle name="_Labor_Sheet1_1" xfId="4262"/>
    <cellStyle name="_Labor_Sheet1_1_Guidance" xfId="4263"/>
    <cellStyle name="_Labor_Sheet1_1_Guidance 2" xfId="4264"/>
    <cellStyle name="_Labor_Sheet1_1_Guidance_BS retrieve" xfId="4265"/>
    <cellStyle name="_Labor_Sheet1_1_Guidance_Free CF" xfId="4266"/>
    <cellStyle name="_Labor_Sheet1_1_Guidance_P&amp;L Rec Qtr" xfId="4267"/>
    <cellStyle name="_Labor_Sheet1_1_Guidance_Sheet1" xfId="4268"/>
    <cellStyle name="_Labor_Sheet1_1_Guidance_Sheet2" xfId="4269"/>
    <cellStyle name="_Labor_Sheet1_1_Guidance_Sheet3" xfId="4270"/>
    <cellStyle name="_Labor_Sheet1_1_Guidance_Sheet4" xfId="4271"/>
    <cellStyle name="_Labor_Sheet1_1_Restructuring &amp; Separation" xfId="4272"/>
    <cellStyle name="_Labor_Sheet1_1_Restructuring &amp; Separation_Guidance" xfId="4273"/>
    <cellStyle name="_Labor_Sheet1_1_Restructuring &amp; Separation_Guidance 2" xfId="4274"/>
    <cellStyle name="_Labor_Sheet1_1_Restructuring &amp; Separation_Guidance_BS retrieve" xfId="4275"/>
    <cellStyle name="_Labor_Sheet1_1_Restructuring &amp; Separation_Guidance_Free CF" xfId="4276"/>
    <cellStyle name="_Labor_Sheet1_1_Restructuring &amp; Separation_Guidance_P&amp;L Rec Qtr" xfId="4277"/>
    <cellStyle name="_Labor_Sheet1_1_Restructuring &amp; Separation_Guidance_Sheet1" xfId="4278"/>
    <cellStyle name="_Labor_Sheet1_1_Restructuring &amp; Separation_Guidance_Sheet2" xfId="4279"/>
    <cellStyle name="_Labor_Sheet1_1_Restructuring &amp; Separation_Guidance_Sheet3" xfId="4280"/>
    <cellStyle name="_Labor_Sheet1_1_Restructuring &amp; Separation_Guidance_Sheet4" xfId="4281"/>
    <cellStyle name="_Labor_Sheet1_BS_Separation_TaxResIndem_Q12412 tf" xfId="4282"/>
    <cellStyle name="_Labor_Sheet1_BS_Separation_TaxResIndem_Q12412 tf_Guidance" xfId="4283"/>
    <cellStyle name="_Labor_Sheet1_BS_Separation_TaxResIndem_Q12412 tf_Guidance 2" xfId="4284"/>
    <cellStyle name="_Labor_Sheet1_BS_Separation_TaxResIndem_Q12412 tf_Guidance_BS retrieve" xfId="4285"/>
    <cellStyle name="_Labor_Sheet1_BS_Separation_TaxResIndem_Q12412 tf_Guidance_Free CF" xfId="4286"/>
    <cellStyle name="_Labor_Sheet1_BS_Separation_TaxResIndem_Q12412 tf_Guidance_P&amp;L Rec Qtr" xfId="4287"/>
    <cellStyle name="_Labor_Sheet1_BS_Separation_TaxResIndem_Q12412 tf_Guidance_Sheet1" xfId="4288"/>
    <cellStyle name="_Labor_Sheet1_BS_Separation_TaxResIndem_Q12412 tf_Guidance_Sheet2" xfId="4289"/>
    <cellStyle name="_Labor_Sheet1_BS_Separation_TaxResIndem_Q12412 tf_Guidance_Sheet3" xfId="4290"/>
    <cellStyle name="_Labor_Sheet1_BS_Separation_TaxResIndem_Q12412 tf_Guidance_Sheet4" xfId="4291"/>
    <cellStyle name="_Labor_Sheet1_BS_Separation_TaxResIndem_Q12412 tf_Restructuring &amp; Separation" xfId="4292"/>
    <cellStyle name="_Labor_Sheet1_BS_Separation_TaxResIndem_Q12412 tf_Restructuring &amp; Separation_Guidance" xfId="4293"/>
    <cellStyle name="_Labor_Sheet1_BS_Separation_TaxResIndem_Q12412 tf_Restructuring &amp; Separation_Guidance 2" xfId="4294"/>
    <cellStyle name="_Labor_Sheet1_BS_Separation_TaxResIndem_Q12412 tf_Restructuring &amp; Separation_Guidance_BS retrieve" xfId="4295"/>
    <cellStyle name="_Labor_Sheet1_BS_Separation_TaxResIndem_Q12412 tf_Restructuring &amp; Separation_Guidance_Free CF" xfId="4296"/>
    <cellStyle name="_Labor_Sheet1_BS_Separation_TaxResIndem_Q12412 tf_Restructuring &amp; Separation_Guidance_P&amp;L Rec Qtr" xfId="4297"/>
    <cellStyle name="_Labor_Sheet1_BS_Separation_TaxResIndem_Q12412 tf_Restructuring &amp; Separation_Guidance_Sheet1" xfId="4298"/>
    <cellStyle name="_Labor_Sheet1_BS_Separation_TaxResIndem_Q12412 tf_Restructuring &amp; Separation_Guidance_Sheet2" xfId="4299"/>
    <cellStyle name="_Labor_Sheet1_BS_Separation_TaxResIndem_Q12412 tf_Restructuring &amp; Separation_Guidance_Sheet3" xfId="4300"/>
    <cellStyle name="_Labor_Sheet1_BS_Separation_TaxResIndem_Q12412 tf_Restructuring &amp; Separation_Guidance_Sheet4" xfId="4301"/>
    <cellStyle name="_Labor_Sheet1_Guidance" xfId="4302"/>
    <cellStyle name="_Labor_Sheet1_Guidance 2" xfId="4303"/>
    <cellStyle name="_Labor_Sheet1_Guidance_BS retrieve" xfId="4304"/>
    <cellStyle name="_Labor_Sheet1_Guidance_Free CF" xfId="4305"/>
    <cellStyle name="_Labor_Sheet1_Guidance_P&amp;L Rec Qtr" xfId="4306"/>
    <cellStyle name="_Labor_Sheet1_Guidance_Sheet1" xfId="4307"/>
    <cellStyle name="_Labor_Sheet1_Guidance_Sheet2" xfId="4308"/>
    <cellStyle name="_Labor_Sheet1_Guidance_Sheet3" xfId="4309"/>
    <cellStyle name="_Labor_Sheet1_Guidance_Sheet4" xfId="4310"/>
    <cellStyle name="_Labor_Sheet1_II.8. Sep&amp;Discrete" xfId="4311"/>
    <cellStyle name="_Labor_Sheet1_II.8. Sep&amp;Discrete_Guidance" xfId="4312"/>
    <cellStyle name="_Labor_Sheet1_II.8. Sep&amp;Discrete_Guidance 2" xfId="4313"/>
    <cellStyle name="_Labor_Sheet1_II.8. Sep&amp;Discrete_Guidance_BS retrieve" xfId="4314"/>
    <cellStyle name="_Labor_Sheet1_II.8. Sep&amp;Discrete_Guidance_Free CF" xfId="4315"/>
    <cellStyle name="_Labor_Sheet1_II.8. Sep&amp;Discrete_Guidance_P&amp;L Rec Qtr" xfId="4316"/>
    <cellStyle name="_Labor_Sheet1_II.8. Sep&amp;Discrete_Guidance_Sheet1" xfId="4317"/>
    <cellStyle name="_Labor_Sheet1_II.8. Sep&amp;Discrete_Guidance_Sheet2" xfId="4318"/>
    <cellStyle name="_Labor_Sheet1_II.8. Sep&amp;Discrete_Guidance_Sheet3" xfId="4319"/>
    <cellStyle name="_Labor_Sheet1_II.8. Sep&amp;Discrete_Guidance_Sheet4" xfId="4320"/>
    <cellStyle name="_Labor_Sheet1_Restructuring &amp; Separation" xfId="4321"/>
    <cellStyle name="_Labor_Sheet1_Restructuring &amp; Separation_Guidance" xfId="4322"/>
    <cellStyle name="_Labor_Sheet1_Restructuring &amp; Separation_Guidance 2" xfId="4323"/>
    <cellStyle name="_Labor_Sheet1_Restructuring &amp; Separation_Guidance_BS retrieve" xfId="4324"/>
    <cellStyle name="_Labor_Sheet1_Restructuring &amp; Separation_Guidance_Free CF" xfId="4325"/>
    <cellStyle name="_Labor_Sheet1_Restructuring &amp; Separation_Guidance_P&amp;L Rec Qtr" xfId="4326"/>
    <cellStyle name="_Labor_Sheet1_Restructuring &amp; Separation_Guidance_Sheet1" xfId="4327"/>
    <cellStyle name="_Labor_Sheet1_Restructuring &amp; Separation_Guidance_Sheet2" xfId="4328"/>
    <cellStyle name="_Labor_Sheet1_Restructuring &amp; Separation_Guidance_Sheet3" xfId="4329"/>
    <cellStyle name="_Labor_Sheet1_Restructuring &amp; Separation_Guidance_Sheet4" xfId="4330"/>
    <cellStyle name="_MOR - Australia -  EC - 1+11" xfId="4331"/>
    <cellStyle name="_MOR - Australia -  EC - 1+11_BS_Separation_TaxResIndem_Q12412 tf" xfId="4332"/>
    <cellStyle name="_MOR - Australia -  EC - 1+11_BS_Separation_TaxResIndem_Q12412 tf_Guidance" xfId="4333"/>
    <cellStyle name="_MOR - Australia -  EC - 1+11_BS_Separation_TaxResIndem_Q12412 tf_Guidance 2" xfId="4334"/>
    <cellStyle name="_MOR - Australia -  EC - 1+11_BS_Separation_TaxResIndem_Q12412 tf_Guidance_BS retrieve" xfId="4335"/>
    <cellStyle name="_MOR - Australia -  EC - 1+11_BS_Separation_TaxResIndem_Q12412 tf_Guidance_Free CF" xfId="4336"/>
    <cellStyle name="_MOR - Australia -  EC - 1+11_BS_Separation_TaxResIndem_Q12412 tf_Guidance_P&amp;L Rec Qtr" xfId="4337"/>
    <cellStyle name="_MOR - Australia -  EC - 1+11_BS_Separation_TaxResIndem_Q12412 tf_Guidance_Sheet1" xfId="4338"/>
    <cellStyle name="_MOR - Australia -  EC - 1+11_BS_Separation_TaxResIndem_Q12412 tf_Guidance_Sheet2" xfId="4339"/>
    <cellStyle name="_MOR - Australia -  EC - 1+11_BS_Separation_TaxResIndem_Q12412 tf_Guidance_Sheet3" xfId="4340"/>
    <cellStyle name="_MOR - Australia -  EC - 1+11_BS_Separation_TaxResIndem_Q12412 tf_Guidance_Sheet4" xfId="4341"/>
    <cellStyle name="_MOR - Australia -  EC - 1+11_BS_Separation_TaxResIndem_Q12412 tf_Restructuring &amp; Separation" xfId="4342"/>
    <cellStyle name="_MOR - Australia -  EC - 1+11_BS_Separation_TaxResIndem_Q12412 tf_Restructuring &amp; Separation_Guidance" xfId="4343"/>
    <cellStyle name="_MOR - Australia -  EC - 1+11_BS_Separation_TaxResIndem_Q12412 tf_Restructuring &amp; Separation_Guidance 2" xfId="4344"/>
    <cellStyle name="_MOR - Australia -  EC - 1+11_BS_Separation_TaxResIndem_Q12412 tf_Restructuring &amp; Separation_Guidance_BS retrieve" xfId="4345"/>
    <cellStyle name="_MOR - Australia -  EC - 1+11_BS_Separation_TaxResIndem_Q12412 tf_Restructuring &amp; Separation_Guidance_Free CF" xfId="4346"/>
    <cellStyle name="_MOR - Australia -  EC - 1+11_BS_Separation_TaxResIndem_Q12412 tf_Restructuring &amp; Separation_Guidance_P&amp;L Rec Qtr" xfId="4347"/>
    <cellStyle name="_MOR - Australia -  EC - 1+11_BS_Separation_TaxResIndem_Q12412 tf_Restructuring &amp; Separation_Guidance_Sheet1" xfId="4348"/>
    <cellStyle name="_MOR - Australia -  EC - 1+11_BS_Separation_TaxResIndem_Q12412 tf_Restructuring &amp; Separation_Guidance_Sheet2" xfId="4349"/>
    <cellStyle name="_MOR - Australia -  EC - 1+11_BS_Separation_TaxResIndem_Q12412 tf_Restructuring &amp; Separation_Guidance_Sheet3" xfId="4350"/>
    <cellStyle name="_MOR - Australia -  EC - 1+11_BS_Separation_TaxResIndem_Q12412 tf_Restructuring &amp; Separation_Guidance_Sheet4" xfId="4351"/>
    <cellStyle name="_MOR - Australia -  EC - 1+11_By Country Detail 1Q10 041410pm FIN 18 revised per disc w Mary" xfId="4352"/>
    <cellStyle name="_MOR - Australia -  EC - 1+11_By Country Detail 1Q10 041410pm FIN 18 revised per disc w Mary_BS_Separation_TaxResIndem_Q12412 tf" xfId="4353"/>
    <cellStyle name="_MOR - Australia -  EC - 1+11_By Country Detail 1Q10 041410pm FIN 18 revised per disc w Mary_BS_Separation_TaxResIndem_Q12412 tf_Guidance" xfId="4354"/>
    <cellStyle name="_MOR - Australia -  EC - 1+11_By Country Detail 1Q10 041410pm FIN 18 revised per disc w Mary_BS_Separation_TaxResIndem_Q12412 tf_Guidance 2" xfId="4355"/>
    <cellStyle name="_MOR - Australia -  EC - 1+11_By Country Detail 1Q10 041410pm FIN 18 revised per disc w Mary_BS_Separation_TaxResIndem_Q12412 tf_Guidance_BS retrieve" xfId="4356"/>
    <cellStyle name="_MOR - Australia -  EC - 1+11_By Country Detail 1Q10 041410pm FIN 18 revised per disc w Mary_BS_Separation_TaxResIndem_Q12412 tf_Guidance_Free CF" xfId="4357"/>
    <cellStyle name="_MOR - Australia -  EC - 1+11_By Country Detail 1Q10 041410pm FIN 18 revised per disc w Mary_BS_Separation_TaxResIndem_Q12412 tf_Guidance_P&amp;L Rec Qtr" xfId="4358"/>
    <cellStyle name="_MOR - Australia -  EC - 1+11_By Country Detail 1Q10 041410pm FIN 18 revised per disc w Mary_BS_Separation_TaxResIndem_Q12412 tf_Guidance_Sheet1" xfId="4359"/>
    <cellStyle name="_MOR - Australia -  EC - 1+11_By Country Detail 1Q10 041410pm FIN 18 revised per disc w Mary_BS_Separation_TaxResIndem_Q12412 tf_Guidance_Sheet2" xfId="4360"/>
    <cellStyle name="_MOR - Australia -  EC - 1+11_By Country Detail 1Q10 041410pm FIN 18 revised per disc w Mary_BS_Separation_TaxResIndem_Q12412 tf_Guidance_Sheet3" xfId="4361"/>
    <cellStyle name="_MOR - Australia -  EC - 1+11_By Country Detail 1Q10 041410pm FIN 18 revised per disc w Mary_BS_Separation_TaxResIndem_Q12412 tf_Guidance_Sheet4" xfId="4362"/>
    <cellStyle name="_MOR - Australia -  EC - 1+11_By Country Detail 1Q10 041410pm FIN 18 revised per disc w Mary_BS_Separation_TaxResIndem_Q12412 tf_Restructuring &amp; Separation" xfId="4363"/>
    <cellStyle name="_MOR - Australia -  EC - 1+11_By Country Detail 1Q10 041410pm FIN 18 revised per disc w Mary_BS_Separation_TaxResIndem_Q12412 tf_Restructuring &amp; Separation_Guidance" xfId="4364"/>
    <cellStyle name="_MOR - Australia -  EC - 1+11_By Country Detail 1Q10 041410pm FIN 18 revised per disc w Mary_BS_Separation_TaxResIndem_Q12412 tf_Restructuring &amp; Separation_Guidance 2" xfId="4365"/>
    <cellStyle name="_MOR - Australia -  EC - 1+11_By Country Detail 1Q10 041410pm FIN 18 revised per disc w Mary_BS_Separation_TaxResIndem_Q12412 tf_Restructuring &amp; Separation_Guidance_BS retrieve" xfId="4366"/>
    <cellStyle name="_MOR - Australia -  EC - 1+11_By Country Detail 1Q10 041410pm FIN 18 revised per disc w Mary_BS_Separation_TaxResIndem_Q12412 tf_Restructuring &amp; Separation_Guidance_Free CF" xfId="4367"/>
    <cellStyle name="_MOR - Australia -  EC - 1+11_By Country Detail 1Q10 041410pm FIN 18 revised per disc w Mary_BS_Separation_TaxResIndem_Q12412 tf_Restructuring &amp; Separation_Guidance_P&amp;L Rec Qtr" xfId="4368"/>
    <cellStyle name="_MOR - Australia -  EC - 1+11_By Country Detail 1Q10 041410pm FIN 18 revised per disc w Mary_BS_Separation_TaxResIndem_Q12412 tf_Restructuring &amp; Separation_Guidance_Sheet1" xfId="4369"/>
    <cellStyle name="_MOR - Australia -  EC - 1+11_By Country Detail 1Q10 041410pm FIN 18 revised per disc w Mary_BS_Separation_TaxResIndem_Q12412 tf_Restructuring &amp; Separation_Guidance_Sheet2" xfId="4370"/>
    <cellStyle name="_MOR - Australia -  EC - 1+11_By Country Detail 1Q10 041410pm FIN 18 revised per disc w Mary_BS_Separation_TaxResIndem_Q12412 tf_Restructuring &amp; Separation_Guidance_Sheet3" xfId="4371"/>
    <cellStyle name="_MOR - Australia -  EC - 1+11_By Country Detail 1Q10 041410pm FIN 18 revised per disc w Mary_BS_Separation_TaxResIndem_Q12412 tf_Restructuring &amp; Separation_Guidance_Sheet4" xfId="4372"/>
    <cellStyle name="_MOR - Australia -  EC - 1+11_By Country Detail 1Q10 041410pm FIN 18 revised per disc w Mary_Guidance" xfId="4373"/>
    <cellStyle name="_MOR - Australia -  EC - 1+11_By Country Detail 1Q10 041410pm FIN 18 revised per disc w Mary_Guidance 2" xfId="4374"/>
    <cellStyle name="_MOR - Australia -  EC - 1+11_By Country Detail 1Q10 041410pm FIN 18 revised per disc w Mary_Guidance_BS retrieve" xfId="4375"/>
    <cellStyle name="_MOR - Australia -  EC - 1+11_By Country Detail 1Q10 041410pm FIN 18 revised per disc w Mary_Guidance_Free CF" xfId="4376"/>
    <cellStyle name="_MOR - Australia -  EC - 1+11_By Country Detail 1Q10 041410pm FIN 18 revised per disc w Mary_Guidance_P&amp;L Rec Qtr" xfId="4377"/>
    <cellStyle name="_MOR - Australia -  EC - 1+11_By Country Detail 1Q10 041410pm FIN 18 revised per disc w Mary_Guidance_Sheet1" xfId="4378"/>
    <cellStyle name="_MOR - Australia -  EC - 1+11_By Country Detail 1Q10 041410pm FIN 18 revised per disc w Mary_Guidance_Sheet2" xfId="4379"/>
    <cellStyle name="_MOR - Australia -  EC - 1+11_By Country Detail 1Q10 041410pm FIN 18 revised per disc w Mary_Guidance_Sheet3" xfId="4380"/>
    <cellStyle name="_MOR - Australia -  EC - 1+11_By Country Detail 1Q10 041410pm FIN 18 revised per disc w Mary_Guidance_Sheet4" xfId="4381"/>
    <cellStyle name="_MOR - Australia -  EC - 1+11_By Country Detail 1Q10 041410pm FIN 18 revised per disc w Mary_II.8. Sep&amp;Discrete" xfId="4382"/>
    <cellStyle name="_MOR - Australia -  EC - 1+11_By Country Detail 1Q10 041410pm FIN 18 revised per disc w Mary_II.8. Sep&amp;Discrete_Guidance" xfId="4383"/>
    <cellStyle name="_MOR - Australia -  EC - 1+11_By Country Detail 1Q10 041410pm FIN 18 revised per disc w Mary_II.8. Sep&amp;Discrete_Guidance 2" xfId="4384"/>
    <cellStyle name="_MOR - Australia -  EC - 1+11_By Country Detail 1Q10 041410pm FIN 18 revised per disc w Mary_II.8. Sep&amp;Discrete_Guidance_BS retrieve" xfId="4385"/>
    <cellStyle name="_MOR - Australia -  EC - 1+11_By Country Detail 1Q10 041410pm FIN 18 revised per disc w Mary_II.8. Sep&amp;Discrete_Guidance_Free CF" xfId="4386"/>
    <cellStyle name="_MOR - Australia -  EC - 1+11_By Country Detail 1Q10 041410pm FIN 18 revised per disc w Mary_II.8. Sep&amp;Discrete_Guidance_P&amp;L Rec Qtr" xfId="4387"/>
    <cellStyle name="_MOR - Australia -  EC - 1+11_By Country Detail 1Q10 041410pm FIN 18 revised per disc w Mary_II.8. Sep&amp;Discrete_Guidance_Sheet1" xfId="4388"/>
    <cellStyle name="_MOR - Australia -  EC - 1+11_By Country Detail 1Q10 041410pm FIN 18 revised per disc w Mary_II.8. Sep&amp;Discrete_Guidance_Sheet2" xfId="4389"/>
    <cellStyle name="_MOR - Australia -  EC - 1+11_By Country Detail 1Q10 041410pm FIN 18 revised per disc w Mary_II.8. Sep&amp;Discrete_Guidance_Sheet3" xfId="4390"/>
    <cellStyle name="_MOR - Australia -  EC - 1+11_By Country Detail 1Q10 041410pm FIN 18 revised per disc w Mary_II.8. Sep&amp;Discrete_Guidance_Sheet4" xfId="4391"/>
    <cellStyle name="_MOR - Australia -  EC - 1+11_By Country Detail 1Q10 041410pm FIN 18 revised per disc w Mary_Restructuring &amp; Separation" xfId="4392"/>
    <cellStyle name="_MOR - Australia -  EC - 1+11_By Country Detail 1Q10 041410pm FIN 18 revised per disc w Mary_Restructuring &amp; Separation_Guidance" xfId="4393"/>
    <cellStyle name="_MOR - Australia -  EC - 1+11_By Country Detail 1Q10 041410pm FIN 18 revised per disc w Mary_Restructuring &amp; Separation_Guidance 2" xfId="4394"/>
    <cellStyle name="_MOR - Australia -  EC - 1+11_By Country Detail 1Q10 041410pm FIN 18 revised per disc w Mary_Restructuring &amp; Separation_Guidance_BS retrieve" xfId="4395"/>
    <cellStyle name="_MOR - Australia -  EC - 1+11_By Country Detail 1Q10 041410pm FIN 18 revised per disc w Mary_Restructuring &amp; Separation_Guidance_Free CF" xfId="4396"/>
    <cellStyle name="_MOR - Australia -  EC - 1+11_By Country Detail 1Q10 041410pm FIN 18 revised per disc w Mary_Restructuring &amp; Separation_Guidance_P&amp;L Rec Qtr" xfId="4397"/>
    <cellStyle name="_MOR - Australia -  EC - 1+11_By Country Detail 1Q10 041410pm FIN 18 revised per disc w Mary_Restructuring &amp; Separation_Guidance_Sheet1" xfId="4398"/>
    <cellStyle name="_MOR - Australia -  EC - 1+11_By Country Detail 1Q10 041410pm FIN 18 revised per disc w Mary_Restructuring &amp; Separation_Guidance_Sheet2" xfId="4399"/>
    <cellStyle name="_MOR - Australia -  EC - 1+11_By Country Detail 1Q10 041410pm FIN 18 revised per disc w Mary_Restructuring &amp; Separation_Guidance_Sheet3" xfId="4400"/>
    <cellStyle name="_MOR - Australia -  EC - 1+11_By Country Detail 1Q10 041410pm FIN 18 revised per disc w Mary_Restructuring &amp; Separation_Guidance_Sheet4" xfId="4401"/>
    <cellStyle name="_MOR - Australia -  EC - 1+11_Guidance" xfId="4402"/>
    <cellStyle name="_MOR - Australia -  EC - 1+11_Guidance 2" xfId="4403"/>
    <cellStyle name="_MOR - Australia -  EC - 1+11_Guidance_BS retrieve" xfId="4404"/>
    <cellStyle name="_MOR - Australia -  EC - 1+11_Guidance_Free CF" xfId="4405"/>
    <cellStyle name="_MOR - Australia -  EC - 1+11_Guidance_P&amp;L Rec Qtr" xfId="4406"/>
    <cellStyle name="_MOR - Australia -  EC - 1+11_Guidance_Sheet1" xfId="4407"/>
    <cellStyle name="_MOR - Australia -  EC - 1+11_Guidance_Sheet2" xfId="4408"/>
    <cellStyle name="_MOR - Australia -  EC - 1+11_Guidance_Sheet3" xfId="4409"/>
    <cellStyle name="_MOR - Australia -  EC - 1+11_Guidance_Sheet4" xfId="4410"/>
    <cellStyle name="_MOR - Australia -  EC - 1+11_II.4. RawMaterials" xfId="4411"/>
    <cellStyle name="_MOR - Australia -  EC - 1+11_II.4. RawMaterials 2" xfId="4412"/>
    <cellStyle name="_MOR - Australia -  EC - 1+11_II.4. RawMaterials_BS retrieve" xfId="4413"/>
    <cellStyle name="_MOR - Australia -  EC - 1+11_II.4. RawMaterials_Free CF" xfId="4414"/>
    <cellStyle name="_MOR - Australia -  EC - 1+11_II.4. RawMaterials_P&amp;L Rec Qtr" xfId="4415"/>
    <cellStyle name="_MOR - Australia -  EC - 1+11_II.4. RawMaterials_Sheet1" xfId="4416"/>
    <cellStyle name="_MOR - Australia -  EC - 1+11_II.4. RawMaterials_Sheet2" xfId="4417"/>
    <cellStyle name="_MOR - Australia -  EC - 1+11_II.4. RawMaterials_Sheet3" xfId="4418"/>
    <cellStyle name="_MOR - Australia -  EC - 1+11_II.4. RawMaterials_Sheet4" xfId="4419"/>
    <cellStyle name="_MOR - Australia -  EC - 1+11_II.5. RawMaterials" xfId="4420"/>
    <cellStyle name="_MOR - Australia -  EC - 1+11_II.5. RawMaterials 2" xfId="4421"/>
    <cellStyle name="_MOR - Australia -  EC - 1+11_II.5. RawMaterials_BS retrieve" xfId="4422"/>
    <cellStyle name="_MOR - Australia -  EC - 1+11_II.5. RawMaterials_Free CF" xfId="4423"/>
    <cellStyle name="_MOR - Australia -  EC - 1+11_II.5. RawMaterials_Guidance" xfId="4424"/>
    <cellStyle name="_MOR - Australia -  EC - 1+11_II.5. RawMaterials_Guidance 2" xfId="4425"/>
    <cellStyle name="_MOR - Australia -  EC - 1+11_II.5. RawMaterials_Guidance_BS retrieve" xfId="4426"/>
    <cellStyle name="_MOR - Australia -  EC - 1+11_II.5. RawMaterials_Guidance_Free CF" xfId="4427"/>
    <cellStyle name="_MOR - Australia -  EC - 1+11_II.5. RawMaterials_Guidance_P&amp;L Rec Qtr" xfId="4428"/>
    <cellStyle name="_MOR - Australia -  EC - 1+11_II.5. RawMaterials_Guidance_Sheet1" xfId="4429"/>
    <cellStyle name="_MOR - Australia -  EC - 1+11_II.5. RawMaterials_Guidance_Sheet2" xfId="4430"/>
    <cellStyle name="_MOR - Australia -  EC - 1+11_II.5. RawMaterials_Guidance_Sheet3" xfId="4431"/>
    <cellStyle name="_MOR - Australia -  EC - 1+11_II.5. RawMaterials_Guidance_Sheet4" xfId="4432"/>
    <cellStyle name="_MOR - Australia -  EC - 1+11_II.5. RawMaterials_P&amp;L Rec Qtr" xfId="4433"/>
    <cellStyle name="_MOR - Australia -  EC - 1+11_II.5. RawMaterials_Sheet1" xfId="4434"/>
    <cellStyle name="_MOR - Australia -  EC - 1+11_II.5. RawMaterials_Sheet2" xfId="4435"/>
    <cellStyle name="_MOR - Australia -  EC - 1+11_II.5. RawMaterials_Sheet3" xfId="4436"/>
    <cellStyle name="_MOR - Australia -  EC - 1+11_II.5. RawMaterials_Sheet4" xfId="4437"/>
    <cellStyle name="_MOR - Australia -  EC - 1+11_II.5. RM Volume Sensitivities" xfId="4438"/>
    <cellStyle name="_MOR - Australia -  EC - 1+11_II.5. RM Volume Sensitivities 2" xfId="4439"/>
    <cellStyle name="_MOR - Australia -  EC - 1+11_II.5. RM Volume Sensitivities_BS retrieve" xfId="4440"/>
    <cellStyle name="_MOR - Australia -  EC - 1+11_II.5. RM Volume Sensitivities_Free CF" xfId="4441"/>
    <cellStyle name="_MOR - Australia -  EC - 1+11_II.5. RM Volume Sensitivities_P&amp;L Rec Qtr" xfId="4442"/>
    <cellStyle name="_MOR - Australia -  EC - 1+11_II.5. RM Volume Sensitivities_Sheet1" xfId="4443"/>
    <cellStyle name="_MOR - Australia -  EC - 1+11_II.5. RM Volume Sensitivities_Sheet2" xfId="4444"/>
    <cellStyle name="_MOR - Australia -  EC - 1+11_II.5. RM Volume Sensitivities_Sheet3" xfId="4445"/>
    <cellStyle name="_MOR - Australia -  EC - 1+11_II.5. RM Volume Sensitivities_Sheet4" xfId="4446"/>
    <cellStyle name="_MOR - Australia -  EC - 1+11_II.8. Sep&amp;Discrete" xfId="4447"/>
    <cellStyle name="_MOR - Australia -  EC - 1+11_II.8. Sep&amp;Discrete_Guidance" xfId="4448"/>
    <cellStyle name="_MOR - Australia -  EC - 1+11_II.8. Sep&amp;Discrete_Guidance 2" xfId="4449"/>
    <cellStyle name="_MOR - Australia -  EC - 1+11_II.8. Sep&amp;Discrete_Guidance_BS retrieve" xfId="4450"/>
    <cellStyle name="_MOR - Australia -  EC - 1+11_II.8. Sep&amp;Discrete_Guidance_Free CF" xfId="4451"/>
    <cellStyle name="_MOR - Australia -  EC - 1+11_II.8. Sep&amp;Discrete_Guidance_P&amp;L Rec Qtr" xfId="4452"/>
    <cellStyle name="_MOR - Australia -  EC - 1+11_II.8. Sep&amp;Discrete_Guidance_Sheet1" xfId="4453"/>
    <cellStyle name="_MOR - Australia -  EC - 1+11_II.8. Sep&amp;Discrete_Guidance_Sheet2" xfId="4454"/>
    <cellStyle name="_MOR - Australia -  EC - 1+11_II.8. Sep&amp;Discrete_Guidance_Sheet3" xfId="4455"/>
    <cellStyle name="_MOR - Australia -  EC - 1+11_II.8. Sep&amp;Discrete_Guidance_Sheet4" xfId="4456"/>
    <cellStyle name="_MOR - Australia -  EC - 1+11_Restructuring &amp; Separation" xfId="4457"/>
    <cellStyle name="_MOR - Australia -  EC - 1+11_Restructuring &amp; Separation_Guidance" xfId="4458"/>
    <cellStyle name="_MOR - Australia -  EC - 1+11_Restructuring &amp; Separation_Guidance 2" xfId="4459"/>
    <cellStyle name="_MOR - Australia -  EC - 1+11_Restructuring &amp; Separation_Guidance_BS retrieve" xfId="4460"/>
    <cellStyle name="_MOR - Australia -  EC - 1+11_Restructuring &amp; Separation_Guidance_Free CF" xfId="4461"/>
    <cellStyle name="_MOR - Australia -  EC - 1+11_Restructuring &amp; Separation_Guidance_P&amp;L Rec Qtr" xfId="4462"/>
    <cellStyle name="_MOR - Australia -  EC - 1+11_Restructuring &amp; Separation_Guidance_Sheet1" xfId="4463"/>
    <cellStyle name="_MOR - Australia -  EC - 1+11_Restructuring &amp; Separation_Guidance_Sheet2" xfId="4464"/>
    <cellStyle name="_MOR - Australia -  EC - 1+11_Restructuring &amp; Separation_Guidance_Sheet3" xfId="4465"/>
    <cellStyle name="_MOR - Australia -  EC - 1+11_Restructuring &amp; Separation_Guidance_Sheet4" xfId="4466"/>
    <cellStyle name="_MOR - Australia -  EC - 1+11_Restructuring_Separation_TAX_JuneFC2010 tf" xfId="4467"/>
    <cellStyle name="_MOR - Australia -  EC - 1+11_Restructuring_Separation_TAX_JuneFC2010 tf_BS_Separation_TaxResIndem_Q12412 tf" xfId="4468"/>
    <cellStyle name="_MOR - Australia -  EC - 1+11_Restructuring_Separation_TAX_JuneFC2010 tf_BS_Separation_TaxResIndem_Q12412 tf_Guidance" xfId="4469"/>
    <cellStyle name="_MOR - Australia -  EC - 1+11_Restructuring_Separation_TAX_JuneFC2010 tf_BS_Separation_TaxResIndem_Q12412 tf_Guidance 2" xfId="4470"/>
    <cellStyle name="_MOR - Australia -  EC - 1+11_Restructuring_Separation_TAX_JuneFC2010 tf_BS_Separation_TaxResIndem_Q12412 tf_Guidance_BS retrieve" xfId="4471"/>
    <cellStyle name="_MOR - Australia -  EC - 1+11_Restructuring_Separation_TAX_JuneFC2010 tf_BS_Separation_TaxResIndem_Q12412 tf_Guidance_Free CF" xfId="4472"/>
    <cellStyle name="_MOR - Australia -  EC - 1+11_Restructuring_Separation_TAX_JuneFC2010 tf_BS_Separation_TaxResIndem_Q12412 tf_Guidance_P&amp;L Rec Qtr" xfId="4473"/>
    <cellStyle name="_MOR - Australia -  EC - 1+11_Restructuring_Separation_TAX_JuneFC2010 tf_BS_Separation_TaxResIndem_Q12412 tf_Guidance_Sheet1" xfId="4474"/>
    <cellStyle name="_MOR - Australia -  EC - 1+11_Restructuring_Separation_TAX_JuneFC2010 tf_BS_Separation_TaxResIndem_Q12412 tf_Guidance_Sheet2" xfId="4475"/>
    <cellStyle name="_MOR - Australia -  EC - 1+11_Restructuring_Separation_TAX_JuneFC2010 tf_BS_Separation_TaxResIndem_Q12412 tf_Guidance_Sheet3" xfId="4476"/>
    <cellStyle name="_MOR - Australia -  EC - 1+11_Restructuring_Separation_TAX_JuneFC2010 tf_BS_Separation_TaxResIndem_Q12412 tf_Guidance_Sheet4" xfId="4477"/>
    <cellStyle name="_MOR - Australia -  EC - 1+11_Restructuring_Separation_TAX_JuneFC2010 tf_BS_Separation_TaxResIndem_Q12412 tf_Restructuring &amp; Separation" xfId="4478"/>
    <cellStyle name="_MOR - Australia -  EC - 1+11_Restructuring_Separation_TAX_JuneFC2010 tf_BS_Separation_TaxResIndem_Q12412 tf_Restructuring &amp; Separation_Guidance" xfId="4479"/>
    <cellStyle name="_MOR - Australia -  EC - 1+11_Restructuring_Separation_TAX_JuneFC2010 tf_BS_Separation_TaxResIndem_Q12412 tf_Restructuring &amp; Separation_Guidance 2" xfId="4480"/>
    <cellStyle name="_MOR - Australia -  EC - 1+11_Restructuring_Separation_TAX_JuneFC2010 tf_BS_Separation_TaxResIndem_Q12412 tf_Restructuring &amp; Separation_Guidance_BS retrieve" xfId="4481"/>
    <cellStyle name="_MOR - Australia -  EC - 1+11_Restructuring_Separation_TAX_JuneFC2010 tf_BS_Separation_TaxResIndem_Q12412 tf_Restructuring &amp; Separation_Guidance_Free CF" xfId="4482"/>
    <cellStyle name="_MOR - Australia -  EC - 1+11_Restructuring_Separation_TAX_JuneFC2010 tf_BS_Separation_TaxResIndem_Q12412 tf_Restructuring &amp; Separation_Guidance_P&amp;L Rec Qtr" xfId="4483"/>
    <cellStyle name="_MOR - Australia -  EC - 1+11_Restructuring_Separation_TAX_JuneFC2010 tf_BS_Separation_TaxResIndem_Q12412 tf_Restructuring &amp; Separation_Guidance_Sheet1" xfId="4484"/>
    <cellStyle name="_MOR - Australia -  EC - 1+11_Restructuring_Separation_TAX_JuneFC2010 tf_BS_Separation_TaxResIndem_Q12412 tf_Restructuring &amp; Separation_Guidance_Sheet2" xfId="4485"/>
    <cellStyle name="_MOR - Australia -  EC - 1+11_Restructuring_Separation_TAX_JuneFC2010 tf_BS_Separation_TaxResIndem_Q12412 tf_Restructuring &amp; Separation_Guidance_Sheet3" xfId="4486"/>
    <cellStyle name="_MOR - Australia -  EC - 1+11_Restructuring_Separation_TAX_JuneFC2010 tf_BS_Separation_TaxResIndem_Q12412 tf_Restructuring &amp; Separation_Guidance_Sheet4" xfId="4487"/>
    <cellStyle name="_MOR - Australia -  EC - 1+11_Restructuring_Separation_TAX_JuneFC2010 tf_Guidance" xfId="4488"/>
    <cellStyle name="_MOR - Australia -  EC - 1+11_Restructuring_Separation_TAX_JuneFC2010 tf_Guidance 2" xfId="4489"/>
    <cellStyle name="_MOR - Australia -  EC - 1+11_Restructuring_Separation_TAX_JuneFC2010 tf_Guidance_BS retrieve" xfId="4490"/>
    <cellStyle name="_MOR - Australia -  EC - 1+11_Restructuring_Separation_TAX_JuneFC2010 tf_Guidance_Free CF" xfId="4491"/>
    <cellStyle name="_MOR - Australia -  EC - 1+11_Restructuring_Separation_TAX_JuneFC2010 tf_Guidance_P&amp;L Rec Qtr" xfId="4492"/>
    <cellStyle name="_MOR - Australia -  EC - 1+11_Restructuring_Separation_TAX_JuneFC2010 tf_Guidance_Sheet1" xfId="4493"/>
    <cellStyle name="_MOR - Australia -  EC - 1+11_Restructuring_Separation_TAX_JuneFC2010 tf_Guidance_Sheet2" xfId="4494"/>
    <cellStyle name="_MOR - Australia -  EC - 1+11_Restructuring_Separation_TAX_JuneFC2010 tf_Guidance_Sheet3" xfId="4495"/>
    <cellStyle name="_MOR - Australia -  EC - 1+11_Restructuring_Separation_TAX_JuneFC2010 tf_Guidance_Sheet4" xfId="4496"/>
    <cellStyle name="_MOR - Australia -  EC - 1+11_Restructuring_Separation_TAX_JuneFC2010 tf_II.8. Sep&amp;Discrete" xfId="4497"/>
    <cellStyle name="_MOR - Australia -  EC - 1+11_Restructuring_Separation_TAX_JuneFC2010 tf_II.8. Sep&amp;Discrete_Guidance" xfId="4498"/>
    <cellStyle name="_MOR - Australia -  EC - 1+11_Restructuring_Separation_TAX_JuneFC2010 tf_II.8. Sep&amp;Discrete_Guidance 2" xfId="4499"/>
    <cellStyle name="_MOR - Australia -  EC - 1+11_Restructuring_Separation_TAX_JuneFC2010 tf_II.8. Sep&amp;Discrete_Guidance_BS retrieve" xfId="4500"/>
    <cellStyle name="_MOR - Australia -  EC - 1+11_Restructuring_Separation_TAX_JuneFC2010 tf_II.8. Sep&amp;Discrete_Guidance_Free CF" xfId="4501"/>
    <cellStyle name="_MOR - Australia -  EC - 1+11_Restructuring_Separation_TAX_JuneFC2010 tf_II.8. Sep&amp;Discrete_Guidance_P&amp;L Rec Qtr" xfId="4502"/>
    <cellStyle name="_MOR - Australia -  EC - 1+11_Restructuring_Separation_TAX_JuneFC2010 tf_II.8. Sep&amp;Discrete_Guidance_Sheet1" xfId="4503"/>
    <cellStyle name="_MOR - Australia -  EC - 1+11_Restructuring_Separation_TAX_JuneFC2010 tf_II.8. Sep&amp;Discrete_Guidance_Sheet2" xfId="4504"/>
    <cellStyle name="_MOR - Australia -  EC - 1+11_Restructuring_Separation_TAX_JuneFC2010 tf_II.8. Sep&amp;Discrete_Guidance_Sheet3" xfId="4505"/>
    <cellStyle name="_MOR - Australia -  EC - 1+11_Restructuring_Separation_TAX_JuneFC2010 tf_II.8. Sep&amp;Discrete_Guidance_Sheet4" xfId="4506"/>
    <cellStyle name="_MOR - Australia -  EC - 1+11_Restructuring_Separation_TAX_JuneFC2010 tf_Restructuring &amp; Separation" xfId="4507"/>
    <cellStyle name="_MOR - Australia -  EC - 1+11_Restructuring_Separation_TAX_JuneFC2010 tf_Restructuring &amp; Separation_Guidance" xfId="4508"/>
    <cellStyle name="_MOR - Australia -  EC - 1+11_Restructuring_Separation_TAX_JuneFC2010 tf_Restructuring &amp; Separation_Guidance 2" xfId="4509"/>
    <cellStyle name="_MOR - Australia -  EC - 1+11_Restructuring_Separation_TAX_JuneFC2010 tf_Restructuring &amp; Separation_Guidance_BS retrieve" xfId="4510"/>
    <cellStyle name="_MOR - Australia -  EC - 1+11_Restructuring_Separation_TAX_JuneFC2010 tf_Restructuring &amp; Separation_Guidance_Free CF" xfId="4511"/>
    <cellStyle name="_MOR - Australia -  EC - 1+11_Restructuring_Separation_TAX_JuneFC2010 tf_Restructuring &amp; Separation_Guidance_P&amp;L Rec Qtr" xfId="4512"/>
    <cellStyle name="_MOR - Australia -  EC - 1+11_Restructuring_Separation_TAX_JuneFC2010 tf_Restructuring &amp; Separation_Guidance_Sheet1" xfId="4513"/>
    <cellStyle name="_MOR - Australia -  EC - 1+11_Restructuring_Separation_TAX_JuneFC2010 tf_Restructuring &amp; Separation_Guidance_Sheet2" xfId="4514"/>
    <cellStyle name="_MOR - Australia -  EC - 1+11_Restructuring_Separation_TAX_JuneFC2010 tf_Restructuring &amp; Separation_Guidance_Sheet3" xfId="4515"/>
    <cellStyle name="_MOR - Australia -  EC - 1+11_Restructuring_Separation_TAX_JuneFC2010 tf_Restructuring &amp; Separation_Guidance_Sheet4" xfId="4516"/>
    <cellStyle name="_MOR - Australia -  EC - 2+10" xfId="4517"/>
    <cellStyle name="_MOR - Australia -  EC - 2+10_BS_Separation_TaxResIndem_Q12412 tf" xfId="4518"/>
    <cellStyle name="_MOR - Australia -  EC - 2+10_BS_Separation_TaxResIndem_Q12412 tf_Guidance" xfId="4519"/>
    <cellStyle name="_MOR - Australia -  EC - 2+10_BS_Separation_TaxResIndem_Q12412 tf_Guidance 2" xfId="4520"/>
    <cellStyle name="_MOR - Australia -  EC - 2+10_BS_Separation_TaxResIndem_Q12412 tf_Guidance_BS retrieve" xfId="4521"/>
    <cellStyle name="_MOR - Australia -  EC - 2+10_BS_Separation_TaxResIndem_Q12412 tf_Guidance_Free CF" xfId="4522"/>
    <cellStyle name="_MOR - Australia -  EC - 2+10_BS_Separation_TaxResIndem_Q12412 tf_Guidance_P&amp;L Rec Qtr" xfId="4523"/>
    <cellStyle name="_MOR - Australia -  EC - 2+10_BS_Separation_TaxResIndem_Q12412 tf_Guidance_Sheet1" xfId="4524"/>
    <cellStyle name="_MOR - Australia -  EC - 2+10_BS_Separation_TaxResIndem_Q12412 tf_Guidance_Sheet2" xfId="4525"/>
    <cellStyle name="_MOR - Australia -  EC - 2+10_BS_Separation_TaxResIndem_Q12412 tf_Guidance_Sheet3" xfId="4526"/>
    <cellStyle name="_MOR - Australia -  EC - 2+10_BS_Separation_TaxResIndem_Q12412 tf_Guidance_Sheet4" xfId="4527"/>
    <cellStyle name="_MOR - Australia -  EC - 2+10_BS_Separation_TaxResIndem_Q12412 tf_Restructuring &amp; Separation" xfId="4528"/>
    <cellStyle name="_MOR - Australia -  EC - 2+10_BS_Separation_TaxResIndem_Q12412 tf_Restructuring &amp; Separation_Guidance" xfId="4529"/>
    <cellStyle name="_MOR - Australia -  EC - 2+10_BS_Separation_TaxResIndem_Q12412 tf_Restructuring &amp; Separation_Guidance 2" xfId="4530"/>
    <cellStyle name="_MOR - Australia -  EC - 2+10_BS_Separation_TaxResIndem_Q12412 tf_Restructuring &amp; Separation_Guidance_BS retrieve" xfId="4531"/>
    <cellStyle name="_MOR - Australia -  EC - 2+10_BS_Separation_TaxResIndem_Q12412 tf_Restructuring &amp; Separation_Guidance_Free CF" xfId="4532"/>
    <cellStyle name="_MOR - Australia -  EC - 2+10_BS_Separation_TaxResIndem_Q12412 tf_Restructuring &amp; Separation_Guidance_P&amp;L Rec Qtr" xfId="4533"/>
    <cellStyle name="_MOR - Australia -  EC - 2+10_BS_Separation_TaxResIndem_Q12412 tf_Restructuring &amp; Separation_Guidance_Sheet1" xfId="4534"/>
    <cellStyle name="_MOR - Australia -  EC - 2+10_BS_Separation_TaxResIndem_Q12412 tf_Restructuring &amp; Separation_Guidance_Sheet2" xfId="4535"/>
    <cellStyle name="_MOR - Australia -  EC - 2+10_BS_Separation_TaxResIndem_Q12412 tf_Restructuring &amp; Separation_Guidance_Sheet3" xfId="4536"/>
    <cellStyle name="_MOR - Australia -  EC - 2+10_BS_Separation_TaxResIndem_Q12412 tf_Restructuring &amp; Separation_Guidance_Sheet4" xfId="4537"/>
    <cellStyle name="_MOR - Australia -  EC - 2+10_By Country Detail 1Q10 041410pm FIN 18 revised per disc w Mary" xfId="4538"/>
    <cellStyle name="_MOR - Australia -  EC - 2+10_By Country Detail 1Q10 041410pm FIN 18 revised per disc w Mary_BS_Separation_TaxResIndem_Q12412 tf" xfId="4539"/>
    <cellStyle name="_MOR - Australia -  EC - 2+10_By Country Detail 1Q10 041410pm FIN 18 revised per disc w Mary_BS_Separation_TaxResIndem_Q12412 tf_Guidance" xfId="4540"/>
    <cellStyle name="_MOR - Australia -  EC - 2+10_By Country Detail 1Q10 041410pm FIN 18 revised per disc w Mary_BS_Separation_TaxResIndem_Q12412 tf_Guidance 2" xfId="4541"/>
    <cellStyle name="_MOR - Australia -  EC - 2+10_By Country Detail 1Q10 041410pm FIN 18 revised per disc w Mary_BS_Separation_TaxResIndem_Q12412 tf_Guidance_BS retrieve" xfId="4542"/>
    <cellStyle name="_MOR - Australia -  EC - 2+10_By Country Detail 1Q10 041410pm FIN 18 revised per disc w Mary_BS_Separation_TaxResIndem_Q12412 tf_Guidance_Free CF" xfId="4543"/>
    <cellStyle name="_MOR - Australia -  EC - 2+10_By Country Detail 1Q10 041410pm FIN 18 revised per disc w Mary_BS_Separation_TaxResIndem_Q12412 tf_Guidance_P&amp;L Rec Qtr" xfId="4544"/>
    <cellStyle name="_MOR - Australia -  EC - 2+10_By Country Detail 1Q10 041410pm FIN 18 revised per disc w Mary_BS_Separation_TaxResIndem_Q12412 tf_Guidance_Sheet1" xfId="4545"/>
    <cellStyle name="_MOR - Australia -  EC - 2+10_By Country Detail 1Q10 041410pm FIN 18 revised per disc w Mary_BS_Separation_TaxResIndem_Q12412 tf_Guidance_Sheet2" xfId="4546"/>
    <cellStyle name="_MOR - Australia -  EC - 2+10_By Country Detail 1Q10 041410pm FIN 18 revised per disc w Mary_BS_Separation_TaxResIndem_Q12412 tf_Guidance_Sheet3" xfId="4547"/>
    <cellStyle name="_MOR - Australia -  EC - 2+10_By Country Detail 1Q10 041410pm FIN 18 revised per disc w Mary_BS_Separation_TaxResIndem_Q12412 tf_Guidance_Sheet4" xfId="4548"/>
    <cellStyle name="_MOR - Australia -  EC - 2+10_By Country Detail 1Q10 041410pm FIN 18 revised per disc w Mary_BS_Separation_TaxResIndem_Q12412 tf_Restructuring &amp; Separation" xfId="4549"/>
    <cellStyle name="_MOR - Australia -  EC - 2+10_By Country Detail 1Q10 041410pm FIN 18 revised per disc w Mary_BS_Separation_TaxResIndem_Q12412 tf_Restructuring &amp; Separation_Guidance" xfId="4550"/>
    <cellStyle name="_MOR - Australia -  EC - 2+10_By Country Detail 1Q10 041410pm FIN 18 revised per disc w Mary_BS_Separation_TaxResIndem_Q12412 tf_Restructuring &amp; Separation_Guidance 2" xfId="4551"/>
    <cellStyle name="_MOR - Australia -  EC - 2+10_By Country Detail 1Q10 041410pm FIN 18 revised per disc w Mary_BS_Separation_TaxResIndem_Q12412 tf_Restructuring &amp; Separation_Guidance_BS retrieve" xfId="4552"/>
    <cellStyle name="_MOR - Australia -  EC - 2+10_By Country Detail 1Q10 041410pm FIN 18 revised per disc w Mary_BS_Separation_TaxResIndem_Q12412 tf_Restructuring &amp; Separation_Guidance_Free CF" xfId="4553"/>
    <cellStyle name="_MOR - Australia -  EC - 2+10_By Country Detail 1Q10 041410pm FIN 18 revised per disc w Mary_BS_Separation_TaxResIndem_Q12412 tf_Restructuring &amp; Separation_Guidance_P&amp;L Rec Qtr" xfId="4554"/>
    <cellStyle name="_MOR - Australia -  EC - 2+10_By Country Detail 1Q10 041410pm FIN 18 revised per disc w Mary_BS_Separation_TaxResIndem_Q12412 tf_Restructuring &amp; Separation_Guidance_Sheet1" xfId="4555"/>
    <cellStyle name="_MOR - Australia -  EC - 2+10_By Country Detail 1Q10 041410pm FIN 18 revised per disc w Mary_BS_Separation_TaxResIndem_Q12412 tf_Restructuring &amp; Separation_Guidance_Sheet2" xfId="4556"/>
    <cellStyle name="_MOR - Australia -  EC - 2+10_By Country Detail 1Q10 041410pm FIN 18 revised per disc w Mary_BS_Separation_TaxResIndem_Q12412 tf_Restructuring &amp; Separation_Guidance_Sheet3" xfId="4557"/>
    <cellStyle name="_MOR - Australia -  EC - 2+10_By Country Detail 1Q10 041410pm FIN 18 revised per disc w Mary_BS_Separation_TaxResIndem_Q12412 tf_Restructuring &amp; Separation_Guidance_Sheet4" xfId="4558"/>
    <cellStyle name="_MOR - Australia -  EC - 2+10_By Country Detail 1Q10 041410pm FIN 18 revised per disc w Mary_Guidance" xfId="4559"/>
    <cellStyle name="_MOR - Australia -  EC - 2+10_By Country Detail 1Q10 041410pm FIN 18 revised per disc w Mary_Guidance 2" xfId="4560"/>
    <cellStyle name="_MOR - Australia -  EC - 2+10_By Country Detail 1Q10 041410pm FIN 18 revised per disc w Mary_Guidance_BS retrieve" xfId="4561"/>
    <cellStyle name="_MOR - Australia -  EC - 2+10_By Country Detail 1Q10 041410pm FIN 18 revised per disc w Mary_Guidance_Free CF" xfId="4562"/>
    <cellStyle name="_MOR - Australia -  EC - 2+10_By Country Detail 1Q10 041410pm FIN 18 revised per disc w Mary_Guidance_P&amp;L Rec Qtr" xfId="4563"/>
    <cellStyle name="_MOR - Australia -  EC - 2+10_By Country Detail 1Q10 041410pm FIN 18 revised per disc w Mary_Guidance_Sheet1" xfId="4564"/>
    <cellStyle name="_MOR - Australia -  EC - 2+10_By Country Detail 1Q10 041410pm FIN 18 revised per disc w Mary_Guidance_Sheet2" xfId="4565"/>
    <cellStyle name="_MOR - Australia -  EC - 2+10_By Country Detail 1Q10 041410pm FIN 18 revised per disc w Mary_Guidance_Sheet3" xfId="4566"/>
    <cellStyle name="_MOR - Australia -  EC - 2+10_By Country Detail 1Q10 041410pm FIN 18 revised per disc w Mary_Guidance_Sheet4" xfId="4567"/>
    <cellStyle name="_MOR - Australia -  EC - 2+10_By Country Detail 1Q10 041410pm FIN 18 revised per disc w Mary_II.8. Sep&amp;Discrete" xfId="4568"/>
    <cellStyle name="_MOR - Australia -  EC - 2+10_By Country Detail 1Q10 041410pm FIN 18 revised per disc w Mary_II.8. Sep&amp;Discrete_Guidance" xfId="4569"/>
    <cellStyle name="_MOR - Australia -  EC - 2+10_By Country Detail 1Q10 041410pm FIN 18 revised per disc w Mary_II.8. Sep&amp;Discrete_Guidance 2" xfId="4570"/>
    <cellStyle name="_MOR - Australia -  EC - 2+10_By Country Detail 1Q10 041410pm FIN 18 revised per disc w Mary_II.8. Sep&amp;Discrete_Guidance_BS retrieve" xfId="4571"/>
    <cellStyle name="_MOR - Australia -  EC - 2+10_By Country Detail 1Q10 041410pm FIN 18 revised per disc w Mary_II.8. Sep&amp;Discrete_Guidance_Free CF" xfId="4572"/>
    <cellStyle name="_MOR - Australia -  EC - 2+10_By Country Detail 1Q10 041410pm FIN 18 revised per disc w Mary_II.8. Sep&amp;Discrete_Guidance_P&amp;L Rec Qtr" xfId="4573"/>
    <cellStyle name="_MOR - Australia -  EC - 2+10_By Country Detail 1Q10 041410pm FIN 18 revised per disc w Mary_II.8. Sep&amp;Discrete_Guidance_Sheet1" xfId="4574"/>
    <cellStyle name="_MOR - Australia -  EC - 2+10_By Country Detail 1Q10 041410pm FIN 18 revised per disc w Mary_II.8. Sep&amp;Discrete_Guidance_Sheet2" xfId="4575"/>
    <cellStyle name="_MOR - Australia -  EC - 2+10_By Country Detail 1Q10 041410pm FIN 18 revised per disc w Mary_II.8. Sep&amp;Discrete_Guidance_Sheet3" xfId="4576"/>
    <cellStyle name="_MOR - Australia -  EC - 2+10_By Country Detail 1Q10 041410pm FIN 18 revised per disc w Mary_II.8. Sep&amp;Discrete_Guidance_Sheet4" xfId="4577"/>
    <cellStyle name="_MOR - Australia -  EC - 2+10_By Country Detail 1Q10 041410pm FIN 18 revised per disc w Mary_Restructuring &amp; Separation" xfId="4578"/>
    <cellStyle name="_MOR - Australia -  EC - 2+10_By Country Detail 1Q10 041410pm FIN 18 revised per disc w Mary_Restructuring &amp; Separation_Guidance" xfId="4579"/>
    <cellStyle name="_MOR - Australia -  EC - 2+10_By Country Detail 1Q10 041410pm FIN 18 revised per disc w Mary_Restructuring &amp; Separation_Guidance 2" xfId="4580"/>
    <cellStyle name="_MOR - Australia -  EC - 2+10_By Country Detail 1Q10 041410pm FIN 18 revised per disc w Mary_Restructuring &amp; Separation_Guidance_BS retrieve" xfId="4581"/>
    <cellStyle name="_MOR - Australia -  EC - 2+10_By Country Detail 1Q10 041410pm FIN 18 revised per disc w Mary_Restructuring &amp; Separation_Guidance_Free CF" xfId="4582"/>
    <cellStyle name="_MOR - Australia -  EC - 2+10_By Country Detail 1Q10 041410pm FIN 18 revised per disc w Mary_Restructuring &amp; Separation_Guidance_P&amp;L Rec Qtr" xfId="4583"/>
    <cellStyle name="_MOR - Australia -  EC - 2+10_By Country Detail 1Q10 041410pm FIN 18 revised per disc w Mary_Restructuring &amp; Separation_Guidance_Sheet1" xfId="4584"/>
    <cellStyle name="_MOR - Australia -  EC - 2+10_By Country Detail 1Q10 041410pm FIN 18 revised per disc w Mary_Restructuring &amp; Separation_Guidance_Sheet2" xfId="4585"/>
    <cellStyle name="_MOR - Australia -  EC - 2+10_By Country Detail 1Q10 041410pm FIN 18 revised per disc w Mary_Restructuring &amp; Separation_Guidance_Sheet3" xfId="4586"/>
    <cellStyle name="_MOR - Australia -  EC - 2+10_By Country Detail 1Q10 041410pm FIN 18 revised per disc w Mary_Restructuring &amp; Separation_Guidance_Sheet4" xfId="4587"/>
    <cellStyle name="_MOR - Australia -  EC - 2+10_Guidance" xfId="4588"/>
    <cellStyle name="_MOR - Australia -  EC - 2+10_Guidance 2" xfId="4589"/>
    <cellStyle name="_MOR - Australia -  EC - 2+10_Guidance_BS retrieve" xfId="4590"/>
    <cellStyle name="_MOR - Australia -  EC - 2+10_Guidance_Free CF" xfId="4591"/>
    <cellStyle name="_MOR - Australia -  EC - 2+10_Guidance_P&amp;L Rec Qtr" xfId="4592"/>
    <cellStyle name="_MOR - Australia -  EC - 2+10_Guidance_Sheet1" xfId="4593"/>
    <cellStyle name="_MOR - Australia -  EC - 2+10_Guidance_Sheet2" xfId="4594"/>
    <cellStyle name="_MOR - Australia -  EC - 2+10_Guidance_Sheet3" xfId="4595"/>
    <cellStyle name="_MOR - Australia -  EC - 2+10_Guidance_Sheet4" xfId="4596"/>
    <cellStyle name="_MOR - Australia -  EC - 2+10_II.4. RawMaterials" xfId="4597"/>
    <cellStyle name="_MOR - Australia -  EC - 2+10_II.4. RawMaterials 2" xfId="4598"/>
    <cellStyle name="_MOR - Australia -  EC - 2+10_II.4. RawMaterials_BS retrieve" xfId="4599"/>
    <cellStyle name="_MOR - Australia -  EC - 2+10_II.4. RawMaterials_Free CF" xfId="4600"/>
    <cellStyle name="_MOR - Australia -  EC - 2+10_II.4. RawMaterials_P&amp;L Rec Qtr" xfId="4601"/>
    <cellStyle name="_MOR - Australia -  EC - 2+10_II.4. RawMaterials_Sheet1" xfId="4602"/>
    <cellStyle name="_MOR - Australia -  EC - 2+10_II.4. RawMaterials_Sheet2" xfId="4603"/>
    <cellStyle name="_MOR - Australia -  EC - 2+10_II.4. RawMaterials_Sheet3" xfId="4604"/>
    <cellStyle name="_MOR - Australia -  EC - 2+10_II.4. RawMaterials_Sheet4" xfId="4605"/>
    <cellStyle name="_MOR - Australia -  EC - 2+10_II.5. RawMaterials" xfId="4606"/>
    <cellStyle name="_MOR - Australia -  EC - 2+10_II.5. RawMaterials 2" xfId="4607"/>
    <cellStyle name="_MOR - Australia -  EC - 2+10_II.5. RawMaterials_BS retrieve" xfId="4608"/>
    <cellStyle name="_MOR - Australia -  EC - 2+10_II.5. RawMaterials_Free CF" xfId="4609"/>
    <cellStyle name="_MOR - Australia -  EC - 2+10_II.5. RawMaterials_Guidance" xfId="4610"/>
    <cellStyle name="_MOR - Australia -  EC - 2+10_II.5. RawMaterials_Guidance 2" xfId="4611"/>
    <cellStyle name="_MOR - Australia -  EC - 2+10_II.5. RawMaterials_Guidance_BS retrieve" xfId="4612"/>
    <cellStyle name="_MOR - Australia -  EC - 2+10_II.5. RawMaterials_Guidance_Free CF" xfId="4613"/>
    <cellStyle name="_MOR - Australia -  EC - 2+10_II.5. RawMaterials_Guidance_P&amp;L Rec Qtr" xfId="4614"/>
    <cellStyle name="_MOR - Australia -  EC - 2+10_II.5. RawMaterials_Guidance_Sheet1" xfId="4615"/>
    <cellStyle name="_MOR - Australia -  EC - 2+10_II.5. RawMaterials_Guidance_Sheet2" xfId="4616"/>
    <cellStyle name="_MOR - Australia -  EC - 2+10_II.5. RawMaterials_Guidance_Sheet3" xfId="4617"/>
    <cellStyle name="_MOR - Australia -  EC - 2+10_II.5. RawMaterials_Guidance_Sheet4" xfId="4618"/>
    <cellStyle name="_MOR - Australia -  EC - 2+10_II.5. RawMaterials_P&amp;L Rec Qtr" xfId="4619"/>
    <cellStyle name="_MOR - Australia -  EC - 2+10_II.5. RawMaterials_Sheet1" xfId="4620"/>
    <cellStyle name="_MOR - Australia -  EC - 2+10_II.5. RawMaterials_Sheet2" xfId="4621"/>
    <cellStyle name="_MOR - Australia -  EC - 2+10_II.5. RawMaterials_Sheet3" xfId="4622"/>
    <cellStyle name="_MOR - Australia -  EC - 2+10_II.5. RawMaterials_Sheet4" xfId="4623"/>
    <cellStyle name="_MOR - Australia -  EC - 2+10_II.5. RM Volume Sensitivities" xfId="4624"/>
    <cellStyle name="_MOR - Australia -  EC - 2+10_II.5. RM Volume Sensitivities 2" xfId="4625"/>
    <cellStyle name="_MOR - Australia -  EC - 2+10_II.5. RM Volume Sensitivities_BS retrieve" xfId="4626"/>
    <cellStyle name="_MOR - Australia -  EC - 2+10_II.5. RM Volume Sensitivities_Free CF" xfId="4627"/>
    <cellStyle name="_MOR - Australia -  EC - 2+10_II.5. RM Volume Sensitivities_P&amp;L Rec Qtr" xfId="4628"/>
    <cellStyle name="_MOR - Australia -  EC - 2+10_II.5. RM Volume Sensitivities_Sheet1" xfId="4629"/>
    <cellStyle name="_MOR - Australia -  EC - 2+10_II.5. RM Volume Sensitivities_Sheet2" xfId="4630"/>
    <cellStyle name="_MOR - Australia -  EC - 2+10_II.5. RM Volume Sensitivities_Sheet3" xfId="4631"/>
    <cellStyle name="_MOR - Australia -  EC - 2+10_II.5. RM Volume Sensitivities_Sheet4" xfId="4632"/>
    <cellStyle name="_MOR - Australia -  EC - 2+10_II.8. Sep&amp;Discrete" xfId="4633"/>
    <cellStyle name="_MOR - Australia -  EC - 2+10_II.8. Sep&amp;Discrete_Guidance" xfId="4634"/>
    <cellStyle name="_MOR - Australia -  EC - 2+10_II.8. Sep&amp;Discrete_Guidance 2" xfId="4635"/>
    <cellStyle name="_MOR - Australia -  EC - 2+10_II.8. Sep&amp;Discrete_Guidance_BS retrieve" xfId="4636"/>
    <cellStyle name="_MOR - Australia -  EC - 2+10_II.8. Sep&amp;Discrete_Guidance_Free CF" xfId="4637"/>
    <cellStyle name="_MOR - Australia -  EC - 2+10_II.8. Sep&amp;Discrete_Guidance_P&amp;L Rec Qtr" xfId="4638"/>
    <cellStyle name="_MOR - Australia -  EC - 2+10_II.8. Sep&amp;Discrete_Guidance_Sheet1" xfId="4639"/>
    <cellStyle name="_MOR - Australia -  EC - 2+10_II.8. Sep&amp;Discrete_Guidance_Sheet2" xfId="4640"/>
    <cellStyle name="_MOR - Australia -  EC - 2+10_II.8. Sep&amp;Discrete_Guidance_Sheet3" xfId="4641"/>
    <cellStyle name="_MOR - Australia -  EC - 2+10_II.8. Sep&amp;Discrete_Guidance_Sheet4" xfId="4642"/>
    <cellStyle name="_MOR - Australia -  EC - 2+10_Restructuring &amp; Separation" xfId="4643"/>
    <cellStyle name="_MOR - Australia -  EC - 2+10_Restructuring &amp; Separation_Guidance" xfId="4644"/>
    <cellStyle name="_MOR - Australia -  EC - 2+10_Restructuring &amp; Separation_Guidance 2" xfId="4645"/>
    <cellStyle name="_MOR - Australia -  EC - 2+10_Restructuring &amp; Separation_Guidance_BS retrieve" xfId="4646"/>
    <cellStyle name="_MOR - Australia -  EC - 2+10_Restructuring &amp; Separation_Guidance_Free CF" xfId="4647"/>
    <cellStyle name="_MOR - Australia -  EC - 2+10_Restructuring &amp; Separation_Guidance_P&amp;L Rec Qtr" xfId="4648"/>
    <cellStyle name="_MOR - Australia -  EC - 2+10_Restructuring &amp; Separation_Guidance_Sheet1" xfId="4649"/>
    <cellStyle name="_MOR - Australia -  EC - 2+10_Restructuring &amp; Separation_Guidance_Sheet2" xfId="4650"/>
    <cellStyle name="_MOR - Australia -  EC - 2+10_Restructuring &amp; Separation_Guidance_Sheet3" xfId="4651"/>
    <cellStyle name="_MOR - Australia -  EC - 2+10_Restructuring &amp; Separation_Guidance_Sheet4" xfId="4652"/>
    <cellStyle name="_MOR - Australia -  EC - 2+10_Restructuring_Separation_TAX_JuneFC2010 tf" xfId="4653"/>
    <cellStyle name="_MOR - Australia -  EC - 2+10_Restructuring_Separation_TAX_JuneFC2010 tf_BS_Separation_TaxResIndem_Q12412 tf" xfId="4654"/>
    <cellStyle name="_MOR - Australia -  EC - 2+10_Restructuring_Separation_TAX_JuneFC2010 tf_BS_Separation_TaxResIndem_Q12412 tf_Guidance" xfId="4655"/>
    <cellStyle name="_MOR - Australia -  EC - 2+10_Restructuring_Separation_TAX_JuneFC2010 tf_BS_Separation_TaxResIndem_Q12412 tf_Guidance 2" xfId="4656"/>
    <cellStyle name="_MOR - Australia -  EC - 2+10_Restructuring_Separation_TAX_JuneFC2010 tf_BS_Separation_TaxResIndem_Q12412 tf_Guidance_BS retrieve" xfId="4657"/>
    <cellStyle name="_MOR - Australia -  EC - 2+10_Restructuring_Separation_TAX_JuneFC2010 tf_BS_Separation_TaxResIndem_Q12412 tf_Guidance_Free CF" xfId="4658"/>
    <cellStyle name="_MOR - Australia -  EC - 2+10_Restructuring_Separation_TAX_JuneFC2010 tf_BS_Separation_TaxResIndem_Q12412 tf_Guidance_P&amp;L Rec Qtr" xfId="4659"/>
    <cellStyle name="_MOR - Australia -  EC - 2+10_Restructuring_Separation_TAX_JuneFC2010 tf_BS_Separation_TaxResIndem_Q12412 tf_Guidance_Sheet1" xfId="4660"/>
    <cellStyle name="_MOR - Australia -  EC - 2+10_Restructuring_Separation_TAX_JuneFC2010 tf_BS_Separation_TaxResIndem_Q12412 tf_Guidance_Sheet2" xfId="4661"/>
    <cellStyle name="_MOR - Australia -  EC - 2+10_Restructuring_Separation_TAX_JuneFC2010 tf_BS_Separation_TaxResIndem_Q12412 tf_Guidance_Sheet3" xfId="4662"/>
    <cellStyle name="_MOR - Australia -  EC - 2+10_Restructuring_Separation_TAX_JuneFC2010 tf_BS_Separation_TaxResIndem_Q12412 tf_Guidance_Sheet4" xfId="4663"/>
    <cellStyle name="_MOR - Australia -  EC - 2+10_Restructuring_Separation_TAX_JuneFC2010 tf_BS_Separation_TaxResIndem_Q12412 tf_Restructuring &amp; Separation" xfId="4664"/>
    <cellStyle name="_MOR - Australia -  EC - 2+10_Restructuring_Separation_TAX_JuneFC2010 tf_BS_Separation_TaxResIndem_Q12412 tf_Restructuring &amp; Separation_Guidance" xfId="4665"/>
    <cellStyle name="_MOR - Australia -  EC - 2+10_Restructuring_Separation_TAX_JuneFC2010 tf_BS_Separation_TaxResIndem_Q12412 tf_Restructuring &amp; Separation_Guidance 2" xfId="4666"/>
    <cellStyle name="_MOR - Australia -  EC - 2+10_Restructuring_Separation_TAX_JuneFC2010 tf_BS_Separation_TaxResIndem_Q12412 tf_Restructuring &amp; Separation_Guidance_BS retrieve" xfId="4667"/>
    <cellStyle name="_MOR - Australia -  EC - 2+10_Restructuring_Separation_TAX_JuneFC2010 tf_BS_Separation_TaxResIndem_Q12412 tf_Restructuring &amp; Separation_Guidance_Free CF" xfId="4668"/>
    <cellStyle name="_MOR - Australia -  EC - 2+10_Restructuring_Separation_TAX_JuneFC2010 tf_BS_Separation_TaxResIndem_Q12412 tf_Restructuring &amp; Separation_Guidance_P&amp;L Rec Qtr" xfId="4669"/>
    <cellStyle name="_MOR - Australia -  EC - 2+10_Restructuring_Separation_TAX_JuneFC2010 tf_BS_Separation_TaxResIndem_Q12412 tf_Restructuring &amp; Separation_Guidance_Sheet1" xfId="4670"/>
    <cellStyle name="_MOR - Australia -  EC - 2+10_Restructuring_Separation_TAX_JuneFC2010 tf_BS_Separation_TaxResIndem_Q12412 tf_Restructuring &amp; Separation_Guidance_Sheet2" xfId="4671"/>
    <cellStyle name="_MOR - Australia -  EC - 2+10_Restructuring_Separation_TAX_JuneFC2010 tf_BS_Separation_TaxResIndem_Q12412 tf_Restructuring &amp; Separation_Guidance_Sheet3" xfId="4672"/>
    <cellStyle name="_MOR - Australia -  EC - 2+10_Restructuring_Separation_TAX_JuneFC2010 tf_BS_Separation_TaxResIndem_Q12412 tf_Restructuring &amp; Separation_Guidance_Sheet4" xfId="4673"/>
    <cellStyle name="_MOR - Australia -  EC - 2+10_Restructuring_Separation_TAX_JuneFC2010 tf_Guidance" xfId="4674"/>
    <cellStyle name="_MOR - Australia -  EC - 2+10_Restructuring_Separation_TAX_JuneFC2010 tf_Guidance 2" xfId="4675"/>
    <cellStyle name="_MOR - Australia -  EC - 2+10_Restructuring_Separation_TAX_JuneFC2010 tf_Guidance_BS retrieve" xfId="4676"/>
    <cellStyle name="_MOR - Australia -  EC - 2+10_Restructuring_Separation_TAX_JuneFC2010 tf_Guidance_Free CF" xfId="4677"/>
    <cellStyle name="_MOR - Australia -  EC - 2+10_Restructuring_Separation_TAX_JuneFC2010 tf_Guidance_P&amp;L Rec Qtr" xfId="4678"/>
    <cellStyle name="_MOR - Australia -  EC - 2+10_Restructuring_Separation_TAX_JuneFC2010 tf_Guidance_Sheet1" xfId="4679"/>
    <cellStyle name="_MOR - Australia -  EC - 2+10_Restructuring_Separation_TAX_JuneFC2010 tf_Guidance_Sheet2" xfId="4680"/>
    <cellStyle name="_MOR - Australia -  EC - 2+10_Restructuring_Separation_TAX_JuneFC2010 tf_Guidance_Sheet3" xfId="4681"/>
    <cellStyle name="_MOR - Australia -  EC - 2+10_Restructuring_Separation_TAX_JuneFC2010 tf_Guidance_Sheet4" xfId="4682"/>
    <cellStyle name="_MOR - Australia -  EC - 2+10_Restructuring_Separation_TAX_JuneFC2010 tf_II.8. Sep&amp;Discrete" xfId="4683"/>
    <cellStyle name="_MOR - Australia -  EC - 2+10_Restructuring_Separation_TAX_JuneFC2010 tf_II.8. Sep&amp;Discrete_Guidance" xfId="4684"/>
    <cellStyle name="_MOR - Australia -  EC - 2+10_Restructuring_Separation_TAX_JuneFC2010 tf_II.8. Sep&amp;Discrete_Guidance 2" xfId="4685"/>
    <cellStyle name="_MOR - Australia -  EC - 2+10_Restructuring_Separation_TAX_JuneFC2010 tf_II.8. Sep&amp;Discrete_Guidance_BS retrieve" xfId="4686"/>
    <cellStyle name="_MOR - Australia -  EC - 2+10_Restructuring_Separation_TAX_JuneFC2010 tf_II.8. Sep&amp;Discrete_Guidance_Free CF" xfId="4687"/>
    <cellStyle name="_MOR - Australia -  EC - 2+10_Restructuring_Separation_TAX_JuneFC2010 tf_II.8. Sep&amp;Discrete_Guidance_P&amp;L Rec Qtr" xfId="4688"/>
    <cellStyle name="_MOR - Australia -  EC - 2+10_Restructuring_Separation_TAX_JuneFC2010 tf_II.8. Sep&amp;Discrete_Guidance_Sheet1" xfId="4689"/>
    <cellStyle name="_MOR - Australia -  EC - 2+10_Restructuring_Separation_TAX_JuneFC2010 tf_II.8. Sep&amp;Discrete_Guidance_Sheet2" xfId="4690"/>
    <cellStyle name="_MOR - Australia -  EC - 2+10_Restructuring_Separation_TAX_JuneFC2010 tf_II.8. Sep&amp;Discrete_Guidance_Sheet3" xfId="4691"/>
    <cellStyle name="_MOR - Australia -  EC - 2+10_Restructuring_Separation_TAX_JuneFC2010 tf_II.8. Sep&amp;Discrete_Guidance_Sheet4" xfId="4692"/>
    <cellStyle name="_MOR - Australia -  EC - 2+10_Restructuring_Separation_TAX_JuneFC2010 tf_Restructuring &amp; Separation" xfId="4693"/>
    <cellStyle name="_MOR - Australia -  EC - 2+10_Restructuring_Separation_TAX_JuneFC2010 tf_Restructuring &amp; Separation_Guidance" xfId="4694"/>
    <cellStyle name="_MOR - Australia -  EC - 2+10_Restructuring_Separation_TAX_JuneFC2010 tf_Restructuring &amp; Separation_Guidance 2" xfId="4695"/>
    <cellStyle name="_MOR - Australia -  EC - 2+10_Restructuring_Separation_TAX_JuneFC2010 tf_Restructuring &amp; Separation_Guidance_BS retrieve" xfId="4696"/>
    <cellStyle name="_MOR - Australia -  EC - 2+10_Restructuring_Separation_TAX_JuneFC2010 tf_Restructuring &amp; Separation_Guidance_Free CF" xfId="4697"/>
    <cellStyle name="_MOR - Australia -  EC - 2+10_Restructuring_Separation_TAX_JuneFC2010 tf_Restructuring &amp; Separation_Guidance_P&amp;L Rec Qtr" xfId="4698"/>
    <cellStyle name="_MOR - Australia -  EC - 2+10_Restructuring_Separation_TAX_JuneFC2010 tf_Restructuring &amp; Separation_Guidance_Sheet1" xfId="4699"/>
    <cellStyle name="_MOR - Australia -  EC - 2+10_Restructuring_Separation_TAX_JuneFC2010 tf_Restructuring &amp; Separation_Guidance_Sheet2" xfId="4700"/>
    <cellStyle name="_MOR - Australia -  EC - 2+10_Restructuring_Separation_TAX_JuneFC2010 tf_Restructuring &amp; Separation_Guidance_Sheet3" xfId="4701"/>
    <cellStyle name="_MOR - Australia -  EC - 2+10_Restructuring_Separation_TAX_JuneFC2010 tf_Restructuring &amp; Separation_Guidance_Sheet4" xfId="4702"/>
    <cellStyle name="_MOR - Australia -  EC - 3+9" xfId="4703"/>
    <cellStyle name="_MOR - Australia -  EC - 3+9_BS_Separation_TaxResIndem_Q12412 tf" xfId="4704"/>
    <cellStyle name="_MOR - Australia -  EC - 3+9_BS_Separation_TaxResIndem_Q12412 tf_Guidance" xfId="4705"/>
    <cellStyle name="_MOR - Australia -  EC - 3+9_BS_Separation_TaxResIndem_Q12412 tf_Guidance 2" xfId="4706"/>
    <cellStyle name="_MOR - Australia -  EC - 3+9_BS_Separation_TaxResIndem_Q12412 tf_Guidance_BS retrieve" xfId="4707"/>
    <cellStyle name="_MOR - Australia -  EC - 3+9_BS_Separation_TaxResIndem_Q12412 tf_Guidance_Free CF" xfId="4708"/>
    <cellStyle name="_MOR - Australia -  EC - 3+9_BS_Separation_TaxResIndem_Q12412 tf_Guidance_P&amp;L Rec Qtr" xfId="4709"/>
    <cellStyle name="_MOR - Australia -  EC - 3+9_BS_Separation_TaxResIndem_Q12412 tf_Guidance_Sheet1" xfId="4710"/>
    <cellStyle name="_MOR - Australia -  EC - 3+9_BS_Separation_TaxResIndem_Q12412 tf_Guidance_Sheet2" xfId="4711"/>
    <cellStyle name="_MOR - Australia -  EC - 3+9_BS_Separation_TaxResIndem_Q12412 tf_Guidance_Sheet3" xfId="4712"/>
    <cellStyle name="_MOR - Australia -  EC - 3+9_BS_Separation_TaxResIndem_Q12412 tf_Guidance_Sheet4" xfId="4713"/>
    <cellStyle name="_MOR - Australia -  EC - 3+9_BS_Separation_TaxResIndem_Q12412 tf_Restructuring &amp; Separation" xfId="4714"/>
    <cellStyle name="_MOR - Australia -  EC - 3+9_BS_Separation_TaxResIndem_Q12412 tf_Restructuring &amp; Separation_Guidance" xfId="4715"/>
    <cellStyle name="_MOR - Australia -  EC - 3+9_BS_Separation_TaxResIndem_Q12412 tf_Restructuring &amp; Separation_Guidance 2" xfId="4716"/>
    <cellStyle name="_MOR - Australia -  EC - 3+9_BS_Separation_TaxResIndem_Q12412 tf_Restructuring &amp; Separation_Guidance_BS retrieve" xfId="4717"/>
    <cellStyle name="_MOR - Australia -  EC - 3+9_BS_Separation_TaxResIndem_Q12412 tf_Restructuring &amp; Separation_Guidance_Free CF" xfId="4718"/>
    <cellStyle name="_MOR - Australia -  EC - 3+9_BS_Separation_TaxResIndem_Q12412 tf_Restructuring &amp; Separation_Guidance_P&amp;L Rec Qtr" xfId="4719"/>
    <cellStyle name="_MOR - Australia -  EC - 3+9_BS_Separation_TaxResIndem_Q12412 tf_Restructuring &amp; Separation_Guidance_Sheet1" xfId="4720"/>
    <cellStyle name="_MOR - Australia -  EC - 3+9_BS_Separation_TaxResIndem_Q12412 tf_Restructuring &amp; Separation_Guidance_Sheet2" xfId="4721"/>
    <cellStyle name="_MOR - Australia -  EC - 3+9_BS_Separation_TaxResIndem_Q12412 tf_Restructuring &amp; Separation_Guidance_Sheet3" xfId="4722"/>
    <cellStyle name="_MOR - Australia -  EC - 3+9_BS_Separation_TaxResIndem_Q12412 tf_Restructuring &amp; Separation_Guidance_Sheet4" xfId="4723"/>
    <cellStyle name="_MOR - Australia -  EC - 3+9_By Country Detail 1Q10 041410pm FIN 18 revised per disc w Mary" xfId="4724"/>
    <cellStyle name="_MOR - Australia -  EC - 3+9_By Country Detail 1Q10 041410pm FIN 18 revised per disc w Mary_BS_Separation_TaxResIndem_Q12412 tf" xfId="4725"/>
    <cellStyle name="_MOR - Australia -  EC - 3+9_By Country Detail 1Q10 041410pm FIN 18 revised per disc w Mary_BS_Separation_TaxResIndem_Q12412 tf_Guidance" xfId="4726"/>
    <cellStyle name="_MOR - Australia -  EC - 3+9_By Country Detail 1Q10 041410pm FIN 18 revised per disc w Mary_BS_Separation_TaxResIndem_Q12412 tf_Guidance 2" xfId="4727"/>
    <cellStyle name="_MOR - Australia -  EC - 3+9_By Country Detail 1Q10 041410pm FIN 18 revised per disc w Mary_BS_Separation_TaxResIndem_Q12412 tf_Guidance_BS retrieve" xfId="4728"/>
    <cellStyle name="_MOR - Australia -  EC - 3+9_By Country Detail 1Q10 041410pm FIN 18 revised per disc w Mary_BS_Separation_TaxResIndem_Q12412 tf_Guidance_Free CF" xfId="4729"/>
    <cellStyle name="_MOR - Australia -  EC - 3+9_By Country Detail 1Q10 041410pm FIN 18 revised per disc w Mary_BS_Separation_TaxResIndem_Q12412 tf_Guidance_P&amp;L Rec Qtr" xfId="4730"/>
    <cellStyle name="_MOR - Australia -  EC - 3+9_By Country Detail 1Q10 041410pm FIN 18 revised per disc w Mary_BS_Separation_TaxResIndem_Q12412 tf_Guidance_Sheet1" xfId="4731"/>
    <cellStyle name="_MOR - Australia -  EC - 3+9_By Country Detail 1Q10 041410pm FIN 18 revised per disc w Mary_BS_Separation_TaxResIndem_Q12412 tf_Guidance_Sheet2" xfId="4732"/>
    <cellStyle name="_MOR - Australia -  EC - 3+9_By Country Detail 1Q10 041410pm FIN 18 revised per disc w Mary_BS_Separation_TaxResIndem_Q12412 tf_Guidance_Sheet3" xfId="4733"/>
    <cellStyle name="_MOR - Australia -  EC - 3+9_By Country Detail 1Q10 041410pm FIN 18 revised per disc w Mary_BS_Separation_TaxResIndem_Q12412 tf_Guidance_Sheet4" xfId="4734"/>
    <cellStyle name="_MOR - Australia -  EC - 3+9_By Country Detail 1Q10 041410pm FIN 18 revised per disc w Mary_BS_Separation_TaxResIndem_Q12412 tf_Restructuring &amp; Separation" xfId="4735"/>
    <cellStyle name="_MOR - Australia -  EC - 3+9_By Country Detail 1Q10 041410pm FIN 18 revised per disc w Mary_BS_Separation_TaxResIndem_Q12412 tf_Restructuring &amp; Separation_Guidance" xfId="4736"/>
    <cellStyle name="_MOR - Australia -  EC - 3+9_By Country Detail 1Q10 041410pm FIN 18 revised per disc w Mary_BS_Separation_TaxResIndem_Q12412 tf_Restructuring &amp; Separation_Guidance 2" xfId="4737"/>
    <cellStyle name="_MOR - Australia -  EC - 3+9_By Country Detail 1Q10 041410pm FIN 18 revised per disc w Mary_BS_Separation_TaxResIndem_Q12412 tf_Restructuring &amp; Separation_Guidance_BS retrieve" xfId="4738"/>
    <cellStyle name="_MOR - Australia -  EC - 3+9_By Country Detail 1Q10 041410pm FIN 18 revised per disc w Mary_BS_Separation_TaxResIndem_Q12412 tf_Restructuring &amp; Separation_Guidance_Free CF" xfId="4739"/>
    <cellStyle name="_MOR - Australia -  EC - 3+9_By Country Detail 1Q10 041410pm FIN 18 revised per disc w Mary_BS_Separation_TaxResIndem_Q12412 tf_Restructuring &amp; Separation_Guidance_P&amp;L Rec Qtr" xfId="4740"/>
    <cellStyle name="_MOR - Australia -  EC - 3+9_By Country Detail 1Q10 041410pm FIN 18 revised per disc w Mary_BS_Separation_TaxResIndem_Q12412 tf_Restructuring &amp; Separation_Guidance_Sheet1" xfId="4741"/>
    <cellStyle name="_MOR - Australia -  EC - 3+9_By Country Detail 1Q10 041410pm FIN 18 revised per disc w Mary_BS_Separation_TaxResIndem_Q12412 tf_Restructuring &amp; Separation_Guidance_Sheet2" xfId="4742"/>
    <cellStyle name="_MOR - Australia -  EC - 3+9_By Country Detail 1Q10 041410pm FIN 18 revised per disc w Mary_BS_Separation_TaxResIndem_Q12412 tf_Restructuring &amp; Separation_Guidance_Sheet3" xfId="4743"/>
    <cellStyle name="_MOR - Australia -  EC - 3+9_By Country Detail 1Q10 041410pm FIN 18 revised per disc w Mary_BS_Separation_TaxResIndem_Q12412 tf_Restructuring &amp; Separation_Guidance_Sheet4" xfId="4744"/>
    <cellStyle name="_MOR - Australia -  EC - 3+9_By Country Detail 1Q10 041410pm FIN 18 revised per disc w Mary_Guidance" xfId="4745"/>
    <cellStyle name="_MOR - Australia -  EC - 3+9_By Country Detail 1Q10 041410pm FIN 18 revised per disc w Mary_Guidance 2" xfId="4746"/>
    <cellStyle name="_MOR - Australia -  EC - 3+9_By Country Detail 1Q10 041410pm FIN 18 revised per disc w Mary_Guidance_BS retrieve" xfId="4747"/>
    <cellStyle name="_MOR - Australia -  EC - 3+9_By Country Detail 1Q10 041410pm FIN 18 revised per disc w Mary_Guidance_Free CF" xfId="4748"/>
    <cellStyle name="_MOR - Australia -  EC - 3+9_By Country Detail 1Q10 041410pm FIN 18 revised per disc w Mary_Guidance_P&amp;L Rec Qtr" xfId="4749"/>
    <cellStyle name="_MOR - Australia -  EC - 3+9_By Country Detail 1Q10 041410pm FIN 18 revised per disc w Mary_Guidance_Sheet1" xfId="4750"/>
    <cellStyle name="_MOR - Australia -  EC - 3+9_By Country Detail 1Q10 041410pm FIN 18 revised per disc w Mary_Guidance_Sheet2" xfId="4751"/>
    <cellStyle name="_MOR - Australia -  EC - 3+9_By Country Detail 1Q10 041410pm FIN 18 revised per disc w Mary_Guidance_Sheet3" xfId="4752"/>
    <cellStyle name="_MOR - Australia -  EC - 3+9_By Country Detail 1Q10 041410pm FIN 18 revised per disc w Mary_Guidance_Sheet4" xfId="4753"/>
    <cellStyle name="_MOR - Australia -  EC - 3+9_By Country Detail 1Q10 041410pm FIN 18 revised per disc w Mary_II.8. Sep&amp;Discrete" xfId="4754"/>
    <cellStyle name="_MOR - Australia -  EC - 3+9_By Country Detail 1Q10 041410pm FIN 18 revised per disc w Mary_II.8. Sep&amp;Discrete_Guidance" xfId="4755"/>
    <cellStyle name="_MOR - Australia -  EC - 3+9_By Country Detail 1Q10 041410pm FIN 18 revised per disc w Mary_II.8. Sep&amp;Discrete_Guidance 2" xfId="4756"/>
    <cellStyle name="_MOR - Australia -  EC - 3+9_By Country Detail 1Q10 041410pm FIN 18 revised per disc w Mary_II.8. Sep&amp;Discrete_Guidance_BS retrieve" xfId="4757"/>
    <cellStyle name="_MOR - Australia -  EC - 3+9_By Country Detail 1Q10 041410pm FIN 18 revised per disc w Mary_II.8. Sep&amp;Discrete_Guidance_Free CF" xfId="4758"/>
    <cellStyle name="_MOR - Australia -  EC - 3+9_By Country Detail 1Q10 041410pm FIN 18 revised per disc w Mary_II.8. Sep&amp;Discrete_Guidance_P&amp;L Rec Qtr" xfId="4759"/>
    <cellStyle name="_MOR - Australia -  EC - 3+9_By Country Detail 1Q10 041410pm FIN 18 revised per disc w Mary_II.8. Sep&amp;Discrete_Guidance_Sheet1" xfId="4760"/>
    <cellStyle name="_MOR - Australia -  EC - 3+9_By Country Detail 1Q10 041410pm FIN 18 revised per disc w Mary_II.8. Sep&amp;Discrete_Guidance_Sheet2" xfId="4761"/>
    <cellStyle name="_MOR - Australia -  EC - 3+9_By Country Detail 1Q10 041410pm FIN 18 revised per disc w Mary_II.8. Sep&amp;Discrete_Guidance_Sheet3" xfId="4762"/>
    <cellStyle name="_MOR - Australia -  EC - 3+9_By Country Detail 1Q10 041410pm FIN 18 revised per disc w Mary_II.8. Sep&amp;Discrete_Guidance_Sheet4" xfId="4763"/>
    <cellStyle name="_MOR - Australia -  EC - 3+9_By Country Detail 1Q10 041410pm FIN 18 revised per disc w Mary_Restructuring &amp; Separation" xfId="4764"/>
    <cellStyle name="_MOR - Australia -  EC - 3+9_By Country Detail 1Q10 041410pm FIN 18 revised per disc w Mary_Restructuring &amp; Separation_Guidance" xfId="4765"/>
    <cellStyle name="_MOR - Australia -  EC - 3+9_By Country Detail 1Q10 041410pm FIN 18 revised per disc w Mary_Restructuring &amp; Separation_Guidance 2" xfId="4766"/>
    <cellStyle name="_MOR - Australia -  EC - 3+9_By Country Detail 1Q10 041410pm FIN 18 revised per disc w Mary_Restructuring &amp; Separation_Guidance_BS retrieve" xfId="4767"/>
    <cellStyle name="_MOR - Australia -  EC - 3+9_By Country Detail 1Q10 041410pm FIN 18 revised per disc w Mary_Restructuring &amp; Separation_Guidance_Free CF" xfId="4768"/>
    <cellStyle name="_MOR - Australia -  EC - 3+9_By Country Detail 1Q10 041410pm FIN 18 revised per disc w Mary_Restructuring &amp; Separation_Guidance_P&amp;L Rec Qtr" xfId="4769"/>
    <cellStyle name="_MOR - Australia -  EC - 3+9_By Country Detail 1Q10 041410pm FIN 18 revised per disc w Mary_Restructuring &amp; Separation_Guidance_Sheet1" xfId="4770"/>
    <cellStyle name="_MOR - Australia -  EC - 3+9_By Country Detail 1Q10 041410pm FIN 18 revised per disc w Mary_Restructuring &amp; Separation_Guidance_Sheet2" xfId="4771"/>
    <cellStyle name="_MOR - Australia -  EC - 3+9_By Country Detail 1Q10 041410pm FIN 18 revised per disc w Mary_Restructuring &amp; Separation_Guidance_Sheet3" xfId="4772"/>
    <cellStyle name="_MOR - Australia -  EC - 3+9_By Country Detail 1Q10 041410pm FIN 18 revised per disc w Mary_Restructuring &amp; Separation_Guidance_Sheet4" xfId="4773"/>
    <cellStyle name="_MOR - Australia -  EC - 3+9_Guidance" xfId="4774"/>
    <cellStyle name="_MOR - Australia -  EC - 3+9_Guidance 2" xfId="4775"/>
    <cellStyle name="_MOR - Australia -  EC - 3+9_Guidance_BS retrieve" xfId="4776"/>
    <cellStyle name="_MOR - Australia -  EC - 3+9_Guidance_Free CF" xfId="4777"/>
    <cellStyle name="_MOR - Australia -  EC - 3+9_Guidance_P&amp;L Rec Qtr" xfId="4778"/>
    <cellStyle name="_MOR - Australia -  EC - 3+9_Guidance_Sheet1" xfId="4779"/>
    <cellStyle name="_MOR - Australia -  EC - 3+9_Guidance_Sheet2" xfId="4780"/>
    <cellStyle name="_MOR - Australia -  EC - 3+9_Guidance_Sheet3" xfId="4781"/>
    <cellStyle name="_MOR - Australia -  EC - 3+9_Guidance_Sheet4" xfId="4782"/>
    <cellStyle name="_MOR - Australia -  EC - 3+9_II.4. RawMaterials" xfId="4783"/>
    <cellStyle name="_MOR - Australia -  EC - 3+9_II.4. RawMaterials 2" xfId="4784"/>
    <cellStyle name="_MOR - Australia -  EC - 3+9_II.4. RawMaterials_BS retrieve" xfId="4785"/>
    <cellStyle name="_MOR - Australia -  EC - 3+9_II.4. RawMaterials_Free CF" xfId="4786"/>
    <cellStyle name="_MOR - Australia -  EC - 3+9_II.4. RawMaterials_P&amp;L Rec Qtr" xfId="4787"/>
    <cellStyle name="_MOR - Australia -  EC - 3+9_II.4. RawMaterials_Sheet1" xfId="4788"/>
    <cellStyle name="_MOR - Australia -  EC - 3+9_II.4. RawMaterials_Sheet2" xfId="4789"/>
    <cellStyle name="_MOR - Australia -  EC - 3+9_II.4. RawMaterials_Sheet3" xfId="4790"/>
    <cellStyle name="_MOR - Australia -  EC - 3+9_II.4. RawMaterials_Sheet4" xfId="4791"/>
    <cellStyle name="_MOR - Australia -  EC - 3+9_II.5. RawMaterials" xfId="4792"/>
    <cellStyle name="_MOR - Australia -  EC - 3+9_II.5. RawMaterials 2" xfId="4793"/>
    <cellStyle name="_MOR - Australia -  EC - 3+9_II.5. RawMaterials_BS retrieve" xfId="4794"/>
    <cellStyle name="_MOR - Australia -  EC - 3+9_II.5. RawMaterials_Free CF" xfId="4795"/>
    <cellStyle name="_MOR - Australia -  EC - 3+9_II.5. RawMaterials_Guidance" xfId="4796"/>
    <cellStyle name="_MOR - Australia -  EC - 3+9_II.5. RawMaterials_Guidance 2" xfId="4797"/>
    <cellStyle name="_MOR - Australia -  EC - 3+9_II.5. RawMaterials_Guidance_BS retrieve" xfId="4798"/>
    <cellStyle name="_MOR - Australia -  EC - 3+9_II.5. RawMaterials_Guidance_Free CF" xfId="4799"/>
    <cellStyle name="_MOR - Australia -  EC - 3+9_II.5. RawMaterials_Guidance_P&amp;L Rec Qtr" xfId="4800"/>
    <cellStyle name="_MOR - Australia -  EC - 3+9_II.5. RawMaterials_Guidance_Sheet1" xfId="4801"/>
    <cellStyle name="_MOR - Australia -  EC - 3+9_II.5. RawMaterials_Guidance_Sheet2" xfId="4802"/>
    <cellStyle name="_MOR - Australia -  EC - 3+9_II.5. RawMaterials_Guidance_Sheet3" xfId="4803"/>
    <cellStyle name="_MOR - Australia -  EC - 3+9_II.5. RawMaterials_Guidance_Sheet4" xfId="4804"/>
    <cellStyle name="_MOR - Australia -  EC - 3+9_II.5. RawMaterials_P&amp;L Rec Qtr" xfId="4805"/>
    <cellStyle name="_MOR - Australia -  EC - 3+9_II.5. RawMaterials_Sheet1" xfId="4806"/>
    <cellStyle name="_MOR - Australia -  EC - 3+9_II.5. RawMaterials_Sheet2" xfId="4807"/>
    <cellStyle name="_MOR - Australia -  EC - 3+9_II.5. RawMaterials_Sheet3" xfId="4808"/>
    <cellStyle name="_MOR - Australia -  EC - 3+9_II.5. RawMaterials_Sheet4" xfId="4809"/>
    <cellStyle name="_MOR - Australia -  EC - 3+9_II.5. RM Volume Sensitivities" xfId="4810"/>
    <cellStyle name="_MOR - Australia -  EC - 3+9_II.5. RM Volume Sensitivities 2" xfId="4811"/>
    <cellStyle name="_MOR - Australia -  EC - 3+9_II.5. RM Volume Sensitivities_BS retrieve" xfId="4812"/>
    <cellStyle name="_MOR - Australia -  EC - 3+9_II.5. RM Volume Sensitivities_Free CF" xfId="4813"/>
    <cellStyle name="_MOR - Australia -  EC - 3+9_II.5. RM Volume Sensitivities_P&amp;L Rec Qtr" xfId="4814"/>
    <cellStyle name="_MOR - Australia -  EC - 3+9_II.5. RM Volume Sensitivities_Sheet1" xfId="4815"/>
    <cellStyle name="_MOR - Australia -  EC - 3+9_II.5. RM Volume Sensitivities_Sheet2" xfId="4816"/>
    <cellStyle name="_MOR - Australia -  EC - 3+9_II.5. RM Volume Sensitivities_Sheet3" xfId="4817"/>
    <cellStyle name="_MOR - Australia -  EC - 3+9_II.5. RM Volume Sensitivities_Sheet4" xfId="4818"/>
    <cellStyle name="_MOR - Australia -  EC - 3+9_II.8. Sep&amp;Discrete" xfId="4819"/>
    <cellStyle name="_MOR - Australia -  EC - 3+9_II.8. Sep&amp;Discrete_Guidance" xfId="4820"/>
    <cellStyle name="_MOR - Australia -  EC - 3+9_II.8. Sep&amp;Discrete_Guidance 2" xfId="4821"/>
    <cellStyle name="_MOR - Australia -  EC - 3+9_II.8. Sep&amp;Discrete_Guidance_BS retrieve" xfId="4822"/>
    <cellStyle name="_MOR - Australia -  EC - 3+9_II.8. Sep&amp;Discrete_Guidance_Free CF" xfId="4823"/>
    <cellStyle name="_MOR - Australia -  EC - 3+9_II.8. Sep&amp;Discrete_Guidance_P&amp;L Rec Qtr" xfId="4824"/>
    <cellStyle name="_MOR - Australia -  EC - 3+9_II.8. Sep&amp;Discrete_Guidance_Sheet1" xfId="4825"/>
    <cellStyle name="_MOR - Australia -  EC - 3+9_II.8. Sep&amp;Discrete_Guidance_Sheet2" xfId="4826"/>
    <cellStyle name="_MOR - Australia -  EC - 3+9_II.8. Sep&amp;Discrete_Guidance_Sheet3" xfId="4827"/>
    <cellStyle name="_MOR - Australia -  EC - 3+9_II.8. Sep&amp;Discrete_Guidance_Sheet4" xfId="4828"/>
    <cellStyle name="_MOR - Australia -  EC - 3+9_Restructuring &amp; Separation" xfId="4829"/>
    <cellStyle name="_MOR - Australia -  EC - 3+9_Restructuring &amp; Separation_Guidance" xfId="4830"/>
    <cellStyle name="_MOR - Australia -  EC - 3+9_Restructuring &amp; Separation_Guidance 2" xfId="4831"/>
    <cellStyle name="_MOR - Australia -  EC - 3+9_Restructuring &amp; Separation_Guidance_BS retrieve" xfId="4832"/>
    <cellStyle name="_MOR - Australia -  EC - 3+9_Restructuring &amp; Separation_Guidance_Free CF" xfId="4833"/>
    <cellStyle name="_MOR - Australia -  EC - 3+9_Restructuring &amp; Separation_Guidance_P&amp;L Rec Qtr" xfId="4834"/>
    <cellStyle name="_MOR - Australia -  EC - 3+9_Restructuring &amp; Separation_Guidance_Sheet1" xfId="4835"/>
    <cellStyle name="_MOR - Australia -  EC - 3+9_Restructuring &amp; Separation_Guidance_Sheet2" xfId="4836"/>
    <cellStyle name="_MOR - Australia -  EC - 3+9_Restructuring &amp; Separation_Guidance_Sheet3" xfId="4837"/>
    <cellStyle name="_MOR - Australia -  EC - 3+9_Restructuring &amp; Separation_Guidance_Sheet4" xfId="4838"/>
    <cellStyle name="_MOR - Australia -  EC - 3+9_Restructuring_Separation_TAX_JuneFC2010 tf" xfId="4839"/>
    <cellStyle name="_MOR - Australia -  EC - 3+9_Restructuring_Separation_TAX_JuneFC2010 tf_BS_Separation_TaxResIndem_Q12412 tf" xfId="4840"/>
    <cellStyle name="_MOR - Australia -  EC - 3+9_Restructuring_Separation_TAX_JuneFC2010 tf_BS_Separation_TaxResIndem_Q12412 tf_Guidance" xfId="4841"/>
    <cellStyle name="_MOR - Australia -  EC - 3+9_Restructuring_Separation_TAX_JuneFC2010 tf_BS_Separation_TaxResIndem_Q12412 tf_Guidance 2" xfId="4842"/>
    <cellStyle name="_MOR - Australia -  EC - 3+9_Restructuring_Separation_TAX_JuneFC2010 tf_BS_Separation_TaxResIndem_Q12412 tf_Guidance_BS retrieve" xfId="4843"/>
    <cellStyle name="_MOR - Australia -  EC - 3+9_Restructuring_Separation_TAX_JuneFC2010 tf_BS_Separation_TaxResIndem_Q12412 tf_Guidance_Free CF" xfId="4844"/>
    <cellStyle name="_MOR - Australia -  EC - 3+9_Restructuring_Separation_TAX_JuneFC2010 tf_BS_Separation_TaxResIndem_Q12412 tf_Guidance_P&amp;L Rec Qtr" xfId="4845"/>
    <cellStyle name="_MOR - Australia -  EC - 3+9_Restructuring_Separation_TAX_JuneFC2010 tf_BS_Separation_TaxResIndem_Q12412 tf_Guidance_Sheet1" xfId="4846"/>
    <cellStyle name="_MOR - Australia -  EC - 3+9_Restructuring_Separation_TAX_JuneFC2010 tf_BS_Separation_TaxResIndem_Q12412 tf_Guidance_Sheet2" xfId="4847"/>
    <cellStyle name="_MOR - Australia -  EC - 3+9_Restructuring_Separation_TAX_JuneFC2010 tf_BS_Separation_TaxResIndem_Q12412 tf_Guidance_Sheet3" xfId="4848"/>
    <cellStyle name="_MOR - Australia -  EC - 3+9_Restructuring_Separation_TAX_JuneFC2010 tf_BS_Separation_TaxResIndem_Q12412 tf_Guidance_Sheet4" xfId="4849"/>
    <cellStyle name="_MOR - Australia -  EC - 3+9_Restructuring_Separation_TAX_JuneFC2010 tf_BS_Separation_TaxResIndem_Q12412 tf_Restructuring &amp; Separation" xfId="4850"/>
    <cellStyle name="_MOR - Australia -  EC - 3+9_Restructuring_Separation_TAX_JuneFC2010 tf_BS_Separation_TaxResIndem_Q12412 tf_Restructuring &amp; Separation_Guidance" xfId="4851"/>
    <cellStyle name="_MOR - Australia -  EC - 3+9_Restructuring_Separation_TAX_JuneFC2010 tf_BS_Separation_TaxResIndem_Q12412 tf_Restructuring &amp; Separation_Guidance 2" xfId="4852"/>
    <cellStyle name="_MOR - Australia -  EC - 3+9_Restructuring_Separation_TAX_JuneFC2010 tf_BS_Separation_TaxResIndem_Q12412 tf_Restructuring &amp; Separation_Guidance_BS retrieve" xfId="4853"/>
    <cellStyle name="_MOR - Australia -  EC - 3+9_Restructuring_Separation_TAX_JuneFC2010 tf_BS_Separation_TaxResIndem_Q12412 tf_Restructuring &amp; Separation_Guidance_Free CF" xfId="4854"/>
    <cellStyle name="_MOR - Australia -  EC - 3+9_Restructuring_Separation_TAX_JuneFC2010 tf_BS_Separation_TaxResIndem_Q12412 tf_Restructuring &amp; Separation_Guidance_P&amp;L Rec Qtr" xfId="4855"/>
    <cellStyle name="_MOR - Australia -  EC - 3+9_Restructuring_Separation_TAX_JuneFC2010 tf_BS_Separation_TaxResIndem_Q12412 tf_Restructuring &amp; Separation_Guidance_Sheet1" xfId="4856"/>
    <cellStyle name="_MOR - Australia -  EC - 3+9_Restructuring_Separation_TAX_JuneFC2010 tf_BS_Separation_TaxResIndem_Q12412 tf_Restructuring &amp; Separation_Guidance_Sheet2" xfId="4857"/>
    <cellStyle name="_MOR - Australia -  EC - 3+9_Restructuring_Separation_TAX_JuneFC2010 tf_BS_Separation_TaxResIndem_Q12412 tf_Restructuring &amp; Separation_Guidance_Sheet3" xfId="4858"/>
    <cellStyle name="_MOR - Australia -  EC - 3+9_Restructuring_Separation_TAX_JuneFC2010 tf_BS_Separation_TaxResIndem_Q12412 tf_Restructuring &amp; Separation_Guidance_Sheet4" xfId="4859"/>
    <cellStyle name="_MOR - Australia -  EC - 3+9_Restructuring_Separation_TAX_JuneFC2010 tf_Guidance" xfId="4860"/>
    <cellStyle name="_MOR - Australia -  EC - 3+9_Restructuring_Separation_TAX_JuneFC2010 tf_Guidance 2" xfId="4861"/>
    <cellStyle name="_MOR - Australia -  EC - 3+9_Restructuring_Separation_TAX_JuneFC2010 tf_Guidance_BS retrieve" xfId="4862"/>
    <cellStyle name="_MOR - Australia -  EC - 3+9_Restructuring_Separation_TAX_JuneFC2010 tf_Guidance_Free CF" xfId="4863"/>
    <cellStyle name="_MOR - Australia -  EC - 3+9_Restructuring_Separation_TAX_JuneFC2010 tf_Guidance_P&amp;L Rec Qtr" xfId="4864"/>
    <cellStyle name="_MOR - Australia -  EC - 3+9_Restructuring_Separation_TAX_JuneFC2010 tf_Guidance_Sheet1" xfId="4865"/>
    <cellStyle name="_MOR - Australia -  EC - 3+9_Restructuring_Separation_TAX_JuneFC2010 tf_Guidance_Sheet2" xfId="4866"/>
    <cellStyle name="_MOR - Australia -  EC - 3+9_Restructuring_Separation_TAX_JuneFC2010 tf_Guidance_Sheet3" xfId="4867"/>
    <cellStyle name="_MOR - Australia -  EC - 3+9_Restructuring_Separation_TAX_JuneFC2010 tf_Guidance_Sheet4" xfId="4868"/>
    <cellStyle name="_MOR - Australia -  EC - 3+9_Restructuring_Separation_TAX_JuneFC2010 tf_II.8. Sep&amp;Discrete" xfId="4869"/>
    <cellStyle name="_MOR - Australia -  EC - 3+9_Restructuring_Separation_TAX_JuneFC2010 tf_II.8. Sep&amp;Discrete_Guidance" xfId="4870"/>
    <cellStyle name="_MOR - Australia -  EC - 3+9_Restructuring_Separation_TAX_JuneFC2010 tf_II.8. Sep&amp;Discrete_Guidance 2" xfId="4871"/>
    <cellStyle name="_MOR - Australia -  EC - 3+9_Restructuring_Separation_TAX_JuneFC2010 tf_II.8. Sep&amp;Discrete_Guidance_BS retrieve" xfId="4872"/>
    <cellStyle name="_MOR - Australia -  EC - 3+9_Restructuring_Separation_TAX_JuneFC2010 tf_II.8. Sep&amp;Discrete_Guidance_Free CF" xfId="4873"/>
    <cellStyle name="_MOR - Australia -  EC - 3+9_Restructuring_Separation_TAX_JuneFC2010 tf_II.8. Sep&amp;Discrete_Guidance_P&amp;L Rec Qtr" xfId="4874"/>
    <cellStyle name="_MOR - Australia -  EC - 3+9_Restructuring_Separation_TAX_JuneFC2010 tf_II.8. Sep&amp;Discrete_Guidance_Sheet1" xfId="4875"/>
    <cellStyle name="_MOR - Australia -  EC - 3+9_Restructuring_Separation_TAX_JuneFC2010 tf_II.8. Sep&amp;Discrete_Guidance_Sheet2" xfId="4876"/>
    <cellStyle name="_MOR - Australia -  EC - 3+9_Restructuring_Separation_TAX_JuneFC2010 tf_II.8. Sep&amp;Discrete_Guidance_Sheet3" xfId="4877"/>
    <cellStyle name="_MOR - Australia -  EC - 3+9_Restructuring_Separation_TAX_JuneFC2010 tf_II.8. Sep&amp;Discrete_Guidance_Sheet4" xfId="4878"/>
    <cellStyle name="_MOR - Australia -  EC - 3+9_Restructuring_Separation_TAX_JuneFC2010 tf_Restructuring &amp; Separation" xfId="4879"/>
    <cellStyle name="_MOR - Australia -  EC - 3+9_Restructuring_Separation_TAX_JuneFC2010 tf_Restructuring &amp; Separation_Guidance" xfId="4880"/>
    <cellStyle name="_MOR - Australia -  EC - 3+9_Restructuring_Separation_TAX_JuneFC2010 tf_Restructuring &amp; Separation_Guidance 2" xfId="4881"/>
    <cellStyle name="_MOR - Australia -  EC - 3+9_Restructuring_Separation_TAX_JuneFC2010 tf_Restructuring &amp; Separation_Guidance_BS retrieve" xfId="4882"/>
    <cellStyle name="_MOR - Australia -  EC - 3+9_Restructuring_Separation_TAX_JuneFC2010 tf_Restructuring &amp; Separation_Guidance_Free CF" xfId="4883"/>
    <cellStyle name="_MOR - Australia -  EC - 3+9_Restructuring_Separation_TAX_JuneFC2010 tf_Restructuring &amp; Separation_Guidance_P&amp;L Rec Qtr" xfId="4884"/>
    <cellStyle name="_MOR - Australia -  EC - 3+9_Restructuring_Separation_TAX_JuneFC2010 tf_Restructuring &amp; Separation_Guidance_Sheet1" xfId="4885"/>
    <cellStyle name="_MOR - Australia -  EC - 3+9_Restructuring_Separation_TAX_JuneFC2010 tf_Restructuring &amp; Separation_Guidance_Sheet2" xfId="4886"/>
    <cellStyle name="_MOR - Australia -  EC - 3+9_Restructuring_Separation_TAX_JuneFC2010 tf_Restructuring &amp; Separation_Guidance_Sheet3" xfId="4887"/>
    <cellStyle name="_MOR - Australia -  EC - 3+9_Restructuring_Separation_TAX_JuneFC2010 tf_Restructuring &amp; Separation_Guidance_Sheet4" xfId="4888"/>
    <cellStyle name="_MOR - Australia -  EC - 4+8" xfId="4889"/>
    <cellStyle name="_MOR - Australia -  EC - 4+8_BS_Separation_TaxResIndem_Q12412 tf" xfId="4890"/>
    <cellStyle name="_MOR - Australia -  EC - 4+8_BS_Separation_TaxResIndem_Q12412 tf_Guidance" xfId="4891"/>
    <cellStyle name="_MOR - Australia -  EC - 4+8_BS_Separation_TaxResIndem_Q12412 tf_Guidance 2" xfId="4892"/>
    <cellStyle name="_MOR - Australia -  EC - 4+8_BS_Separation_TaxResIndem_Q12412 tf_Guidance_BS retrieve" xfId="4893"/>
    <cellStyle name="_MOR - Australia -  EC - 4+8_BS_Separation_TaxResIndem_Q12412 tf_Guidance_Free CF" xfId="4894"/>
    <cellStyle name="_MOR - Australia -  EC - 4+8_BS_Separation_TaxResIndem_Q12412 tf_Guidance_P&amp;L Rec Qtr" xfId="4895"/>
    <cellStyle name="_MOR - Australia -  EC - 4+8_BS_Separation_TaxResIndem_Q12412 tf_Guidance_Sheet1" xfId="4896"/>
    <cellStyle name="_MOR - Australia -  EC - 4+8_BS_Separation_TaxResIndem_Q12412 tf_Guidance_Sheet2" xfId="4897"/>
    <cellStyle name="_MOR - Australia -  EC - 4+8_BS_Separation_TaxResIndem_Q12412 tf_Guidance_Sheet3" xfId="4898"/>
    <cellStyle name="_MOR - Australia -  EC - 4+8_BS_Separation_TaxResIndem_Q12412 tf_Guidance_Sheet4" xfId="4899"/>
    <cellStyle name="_MOR - Australia -  EC - 4+8_BS_Separation_TaxResIndem_Q12412 tf_Restructuring &amp; Separation" xfId="4900"/>
    <cellStyle name="_MOR - Australia -  EC - 4+8_BS_Separation_TaxResIndem_Q12412 tf_Restructuring &amp; Separation_Guidance" xfId="4901"/>
    <cellStyle name="_MOR - Australia -  EC - 4+8_BS_Separation_TaxResIndem_Q12412 tf_Restructuring &amp; Separation_Guidance 2" xfId="4902"/>
    <cellStyle name="_MOR - Australia -  EC - 4+8_BS_Separation_TaxResIndem_Q12412 tf_Restructuring &amp; Separation_Guidance_BS retrieve" xfId="4903"/>
    <cellStyle name="_MOR - Australia -  EC - 4+8_BS_Separation_TaxResIndem_Q12412 tf_Restructuring &amp; Separation_Guidance_Free CF" xfId="4904"/>
    <cellStyle name="_MOR - Australia -  EC - 4+8_BS_Separation_TaxResIndem_Q12412 tf_Restructuring &amp; Separation_Guidance_P&amp;L Rec Qtr" xfId="4905"/>
    <cellStyle name="_MOR - Australia -  EC - 4+8_BS_Separation_TaxResIndem_Q12412 tf_Restructuring &amp; Separation_Guidance_Sheet1" xfId="4906"/>
    <cellStyle name="_MOR - Australia -  EC - 4+8_BS_Separation_TaxResIndem_Q12412 tf_Restructuring &amp; Separation_Guidance_Sheet2" xfId="4907"/>
    <cellStyle name="_MOR - Australia -  EC - 4+8_BS_Separation_TaxResIndem_Q12412 tf_Restructuring &amp; Separation_Guidance_Sheet3" xfId="4908"/>
    <cellStyle name="_MOR - Australia -  EC - 4+8_BS_Separation_TaxResIndem_Q12412 tf_Restructuring &amp; Separation_Guidance_Sheet4" xfId="4909"/>
    <cellStyle name="_MOR - Australia -  EC - 4+8_By Country Detail 1Q10 041410pm FIN 18 revised per disc w Mary" xfId="4910"/>
    <cellStyle name="_MOR - Australia -  EC - 4+8_By Country Detail 1Q10 041410pm FIN 18 revised per disc w Mary_BS_Separation_TaxResIndem_Q12412 tf" xfId="4911"/>
    <cellStyle name="_MOR - Australia -  EC - 4+8_By Country Detail 1Q10 041410pm FIN 18 revised per disc w Mary_BS_Separation_TaxResIndem_Q12412 tf_Guidance" xfId="4912"/>
    <cellStyle name="_MOR - Australia -  EC - 4+8_By Country Detail 1Q10 041410pm FIN 18 revised per disc w Mary_BS_Separation_TaxResIndem_Q12412 tf_Guidance 2" xfId="4913"/>
    <cellStyle name="_MOR - Australia -  EC - 4+8_By Country Detail 1Q10 041410pm FIN 18 revised per disc w Mary_BS_Separation_TaxResIndem_Q12412 tf_Guidance_BS retrieve" xfId="4914"/>
    <cellStyle name="_MOR - Australia -  EC - 4+8_By Country Detail 1Q10 041410pm FIN 18 revised per disc w Mary_BS_Separation_TaxResIndem_Q12412 tf_Guidance_Free CF" xfId="4915"/>
    <cellStyle name="_MOR - Australia -  EC - 4+8_By Country Detail 1Q10 041410pm FIN 18 revised per disc w Mary_BS_Separation_TaxResIndem_Q12412 tf_Guidance_P&amp;L Rec Qtr" xfId="4916"/>
    <cellStyle name="_MOR - Australia -  EC - 4+8_By Country Detail 1Q10 041410pm FIN 18 revised per disc w Mary_BS_Separation_TaxResIndem_Q12412 tf_Guidance_Sheet1" xfId="4917"/>
    <cellStyle name="_MOR - Australia -  EC - 4+8_By Country Detail 1Q10 041410pm FIN 18 revised per disc w Mary_BS_Separation_TaxResIndem_Q12412 tf_Guidance_Sheet2" xfId="4918"/>
    <cellStyle name="_MOR - Australia -  EC - 4+8_By Country Detail 1Q10 041410pm FIN 18 revised per disc w Mary_BS_Separation_TaxResIndem_Q12412 tf_Guidance_Sheet3" xfId="4919"/>
    <cellStyle name="_MOR - Australia -  EC - 4+8_By Country Detail 1Q10 041410pm FIN 18 revised per disc w Mary_BS_Separation_TaxResIndem_Q12412 tf_Guidance_Sheet4" xfId="4920"/>
    <cellStyle name="_MOR - Australia -  EC - 4+8_By Country Detail 1Q10 041410pm FIN 18 revised per disc w Mary_BS_Separation_TaxResIndem_Q12412 tf_Restructuring &amp; Separation" xfId="4921"/>
    <cellStyle name="_MOR - Australia -  EC - 4+8_By Country Detail 1Q10 041410pm FIN 18 revised per disc w Mary_BS_Separation_TaxResIndem_Q12412 tf_Restructuring &amp; Separation_Guidance" xfId="4922"/>
    <cellStyle name="_MOR - Australia -  EC - 4+8_By Country Detail 1Q10 041410pm FIN 18 revised per disc w Mary_BS_Separation_TaxResIndem_Q12412 tf_Restructuring &amp; Separation_Guidance 2" xfId="4923"/>
    <cellStyle name="_MOR - Australia -  EC - 4+8_By Country Detail 1Q10 041410pm FIN 18 revised per disc w Mary_BS_Separation_TaxResIndem_Q12412 tf_Restructuring &amp; Separation_Guidance_BS retrieve" xfId="4924"/>
    <cellStyle name="_MOR - Australia -  EC - 4+8_By Country Detail 1Q10 041410pm FIN 18 revised per disc w Mary_BS_Separation_TaxResIndem_Q12412 tf_Restructuring &amp; Separation_Guidance_Free CF" xfId="4925"/>
    <cellStyle name="_MOR - Australia -  EC - 4+8_By Country Detail 1Q10 041410pm FIN 18 revised per disc w Mary_BS_Separation_TaxResIndem_Q12412 tf_Restructuring &amp; Separation_Guidance_P&amp;L Rec Qtr" xfId="4926"/>
    <cellStyle name="_MOR - Australia -  EC - 4+8_By Country Detail 1Q10 041410pm FIN 18 revised per disc w Mary_BS_Separation_TaxResIndem_Q12412 tf_Restructuring &amp; Separation_Guidance_Sheet1" xfId="4927"/>
    <cellStyle name="_MOR - Australia -  EC - 4+8_By Country Detail 1Q10 041410pm FIN 18 revised per disc w Mary_BS_Separation_TaxResIndem_Q12412 tf_Restructuring &amp; Separation_Guidance_Sheet2" xfId="4928"/>
    <cellStyle name="_MOR - Australia -  EC - 4+8_By Country Detail 1Q10 041410pm FIN 18 revised per disc w Mary_BS_Separation_TaxResIndem_Q12412 tf_Restructuring &amp; Separation_Guidance_Sheet3" xfId="4929"/>
    <cellStyle name="_MOR - Australia -  EC - 4+8_By Country Detail 1Q10 041410pm FIN 18 revised per disc w Mary_BS_Separation_TaxResIndem_Q12412 tf_Restructuring &amp; Separation_Guidance_Sheet4" xfId="4930"/>
    <cellStyle name="_MOR - Australia -  EC - 4+8_By Country Detail 1Q10 041410pm FIN 18 revised per disc w Mary_Guidance" xfId="4931"/>
    <cellStyle name="_MOR - Australia -  EC - 4+8_By Country Detail 1Q10 041410pm FIN 18 revised per disc w Mary_Guidance 2" xfId="4932"/>
    <cellStyle name="_MOR - Australia -  EC - 4+8_By Country Detail 1Q10 041410pm FIN 18 revised per disc w Mary_Guidance_BS retrieve" xfId="4933"/>
    <cellStyle name="_MOR - Australia -  EC - 4+8_By Country Detail 1Q10 041410pm FIN 18 revised per disc w Mary_Guidance_Free CF" xfId="4934"/>
    <cellStyle name="_MOR - Australia -  EC - 4+8_By Country Detail 1Q10 041410pm FIN 18 revised per disc w Mary_Guidance_P&amp;L Rec Qtr" xfId="4935"/>
    <cellStyle name="_MOR - Australia -  EC - 4+8_By Country Detail 1Q10 041410pm FIN 18 revised per disc w Mary_Guidance_Sheet1" xfId="4936"/>
    <cellStyle name="_MOR - Australia -  EC - 4+8_By Country Detail 1Q10 041410pm FIN 18 revised per disc w Mary_Guidance_Sheet2" xfId="4937"/>
    <cellStyle name="_MOR - Australia -  EC - 4+8_By Country Detail 1Q10 041410pm FIN 18 revised per disc w Mary_Guidance_Sheet3" xfId="4938"/>
    <cellStyle name="_MOR - Australia -  EC - 4+8_By Country Detail 1Q10 041410pm FIN 18 revised per disc w Mary_Guidance_Sheet4" xfId="4939"/>
    <cellStyle name="_MOR - Australia -  EC - 4+8_By Country Detail 1Q10 041410pm FIN 18 revised per disc w Mary_II.8. Sep&amp;Discrete" xfId="4940"/>
    <cellStyle name="_MOR - Australia -  EC - 4+8_By Country Detail 1Q10 041410pm FIN 18 revised per disc w Mary_II.8. Sep&amp;Discrete_Guidance" xfId="4941"/>
    <cellStyle name="_MOR - Australia -  EC - 4+8_By Country Detail 1Q10 041410pm FIN 18 revised per disc w Mary_II.8. Sep&amp;Discrete_Guidance 2" xfId="4942"/>
    <cellStyle name="_MOR - Australia -  EC - 4+8_By Country Detail 1Q10 041410pm FIN 18 revised per disc w Mary_II.8. Sep&amp;Discrete_Guidance_BS retrieve" xfId="4943"/>
    <cellStyle name="_MOR - Australia -  EC - 4+8_By Country Detail 1Q10 041410pm FIN 18 revised per disc w Mary_II.8. Sep&amp;Discrete_Guidance_Free CF" xfId="4944"/>
    <cellStyle name="_MOR - Australia -  EC - 4+8_By Country Detail 1Q10 041410pm FIN 18 revised per disc w Mary_II.8. Sep&amp;Discrete_Guidance_P&amp;L Rec Qtr" xfId="4945"/>
    <cellStyle name="_MOR - Australia -  EC - 4+8_By Country Detail 1Q10 041410pm FIN 18 revised per disc w Mary_II.8. Sep&amp;Discrete_Guidance_Sheet1" xfId="4946"/>
    <cellStyle name="_MOR - Australia -  EC - 4+8_By Country Detail 1Q10 041410pm FIN 18 revised per disc w Mary_II.8. Sep&amp;Discrete_Guidance_Sheet2" xfId="4947"/>
    <cellStyle name="_MOR - Australia -  EC - 4+8_By Country Detail 1Q10 041410pm FIN 18 revised per disc w Mary_II.8. Sep&amp;Discrete_Guidance_Sheet3" xfId="4948"/>
    <cellStyle name="_MOR - Australia -  EC - 4+8_By Country Detail 1Q10 041410pm FIN 18 revised per disc w Mary_II.8. Sep&amp;Discrete_Guidance_Sheet4" xfId="4949"/>
    <cellStyle name="_MOR - Australia -  EC - 4+8_By Country Detail 1Q10 041410pm FIN 18 revised per disc w Mary_Restructuring &amp; Separation" xfId="4950"/>
    <cellStyle name="_MOR - Australia -  EC - 4+8_By Country Detail 1Q10 041410pm FIN 18 revised per disc w Mary_Restructuring &amp; Separation_Guidance" xfId="4951"/>
    <cellStyle name="_MOR - Australia -  EC - 4+8_By Country Detail 1Q10 041410pm FIN 18 revised per disc w Mary_Restructuring &amp; Separation_Guidance 2" xfId="4952"/>
    <cellStyle name="_MOR - Australia -  EC - 4+8_By Country Detail 1Q10 041410pm FIN 18 revised per disc w Mary_Restructuring &amp; Separation_Guidance_BS retrieve" xfId="4953"/>
    <cellStyle name="_MOR - Australia -  EC - 4+8_By Country Detail 1Q10 041410pm FIN 18 revised per disc w Mary_Restructuring &amp; Separation_Guidance_Free CF" xfId="4954"/>
    <cellStyle name="_MOR - Australia -  EC - 4+8_By Country Detail 1Q10 041410pm FIN 18 revised per disc w Mary_Restructuring &amp; Separation_Guidance_P&amp;L Rec Qtr" xfId="4955"/>
    <cellStyle name="_MOR - Australia -  EC - 4+8_By Country Detail 1Q10 041410pm FIN 18 revised per disc w Mary_Restructuring &amp; Separation_Guidance_Sheet1" xfId="4956"/>
    <cellStyle name="_MOR - Australia -  EC - 4+8_By Country Detail 1Q10 041410pm FIN 18 revised per disc w Mary_Restructuring &amp; Separation_Guidance_Sheet2" xfId="4957"/>
    <cellStyle name="_MOR - Australia -  EC - 4+8_By Country Detail 1Q10 041410pm FIN 18 revised per disc w Mary_Restructuring &amp; Separation_Guidance_Sheet3" xfId="4958"/>
    <cellStyle name="_MOR - Australia -  EC - 4+8_By Country Detail 1Q10 041410pm FIN 18 revised per disc w Mary_Restructuring &amp; Separation_Guidance_Sheet4" xfId="4959"/>
    <cellStyle name="_MOR - Australia -  EC - 4+8_Guidance" xfId="4960"/>
    <cellStyle name="_MOR - Australia -  EC - 4+8_Guidance 2" xfId="4961"/>
    <cellStyle name="_MOR - Australia -  EC - 4+8_Guidance_BS retrieve" xfId="4962"/>
    <cellStyle name="_MOR - Australia -  EC - 4+8_Guidance_Free CF" xfId="4963"/>
    <cellStyle name="_MOR - Australia -  EC - 4+8_Guidance_P&amp;L Rec Qtr" xfId="4964"/>
    <cellStyle name="_MOR - Australia -  EC - 4+8_Guidance_Sheet1" xfId="4965"/>
    <cellStyle name="_MOR - Australia -  EC - 4+8_Guidance_Sheet2" xfId="4966"/>
    <cellStyle name="_MOR - Australia -  EC - 4+8_Guidance_Sheet3" xfId="4967"/>
    <cellStyle name="_MOR - Australia -  EC - 4+8_Guidance_Sheet4" xfId="4968"/>
    <cellStyle name="_MOR - Australia -  EC - 4+8_II.4. RawMaterials" xfId="4969"/>
    <cellStyle name="_MOR - Australia -  EC - 4+8_II.4. RawMaterials 2" xfId="4970"/>
    <cellStyle name="_MOR - Australia -  EC - 4+8_II.4. RawMaterials_BS retrieve" xfId="4971"/>
    <cellStyle name="_MOR - Australia -  EC - 4+8_II.4. RawMaterials_Free CF" xfId="4972"/>
    <cellStyle name="_MOR - Australia -  EC - 4+8_II.4. RawMaterials_P&amp;L Rec Qtr" xfId="4973"/>
    <cellStyle name="_MOR - Australia -  EC - 4+8_II.4. RawMaterials_Sheet1" xfId="4974"/>
    <cellStyle name="_MOR - Australia -  EC - 4+8_II.4. RawMaterials_Sheet2" xfId="4975"/>
    <cellStyle name="_MOR - Australia -  EC - 4+8_II.4. RawMaterials_Sheet3" xfId="4976"/>
    <cellStyle name="_MOR - Australia -  EC - 4+8_II.4. RawMaterials_Sheet4" xfId="4977"/>
    <cellStyle name="_MOR - Australia -  EC - 4+8_II.5. RawMaterials" xfId="4978"/>
    <cellStyle name="_MOR - Australia -  EC - 4+8_II.5. RawMaterials 2" xfId="4979"/>
    <cellStyle name="_MOR - Australia -  EC - 4+8_II.5. RawMaterials_BS retrieve" xfId="4980"/>
    <cellStyle name="_MOR - Australia -  EC - 4+8_II.5. RawMaterials_Free CF" xfId="4981"/>
    <cellStyle name="_MOR - Australia -  EC - 4+8_II.5. RawMaterials_Guidance" xfId="4982"/>
    <cellStyle name="_MOR - Australia -  EC - 4+8_II.5. RawMaterials_Guidance 2" xfId="4983"/>
    <cellStyle name="_MOR - Australia -  EC - 4+8_II.5. RawMaterials_Guidance_BS retrieve" xfId="4984"/>
    <cellStyle name="_MOR - Australia -  EC - 4+8_II.5. RawMaterials_Guidance_Free CF" xfId="4985"/>
    <cellStyle name="_MOR - Australia -  EC - 4+8_II.5. RawMaterials_Guidance_P&amp;L Rec Qtr" xfId="4986"/>
    <cellStyle name="_MOR - Australia -  EC - 4+8_II.5. RawMaterials_Guidance_Sheet1" xfId="4987"/>
    <cellStyle name="_MOR - Australia -  EC - 4+8_II.5. RawMaterials_Guidance_Sheet2" xfId="4988"/>
    <cellStyle name="_MOR - Australia -  EC - 4+8_II.5. RawMaterials_Guidance_Sheet3" xfId="4989"/>
    <cellStyle name="_MOR - Australia -  EC - 4+8_II.5. RawMaterials_Guidance_Sheet4" xfId="4990"/>
    <cellStyle name="_MOR - Australia -  EC - 4+8_II.5. RawMaterials_P&amp;L Rec Qtr" xfId="4991"/>
    <cellStyle name="_MOR - Australia -  EC - 4+8_II.5. RawMaterials_Sheet1" xfId="4992"/>
    <cellStyle name="_MOR - Australia -  EC - 4+8_II.5. RawMaterials_Sheet2" xfId="4993"/>
    <cellStyle name="_MOR - Australia -  EC - 4+8_II.5. RawMaterials_Sheet3" xfId="4994"/>
    <cellStyle name="_MOR - Australia -  EC - 4+8_II.5. RawMaterials_Sheet4" xfId="4995"/>
    <cellStyle name="_MOR - Australia -  EC - 4+8_II.5. RM Volume Sensitivities" xfId="4996"/>
    <cellStyle name="_MOR - Australia -  EC - 4+8_II.5. RM Volume Sensitivities 2" xfId="4997"/>
    <cellStyle name="_MOR - Australia -  EC - 4+8_II.5. RM Volume Sensitivities_BS retrieve" xfId="4998"/>
    <cellStyle name="_MOR - Australia -  EC - 4+8_II.5. RM Volume Sensitivities_Free CF" xfId="4999"/>
    <cellStyle name="_MOR - Australia -  EC - 4+8_II.5. RM Volume Sensitivities_P&amp;L Rec Qtr" xfId="5000"/>
    <cellStyle name="_MOR - Australia -  EC - 4+8_II.5. RM Volume Sensitivities_Sheet1" xfId="5001"/>
    <cellStyle name="_MOR - Australia -  EC - 4+8_II.5. RM Volume Sensitivities_Sheet2" xfId="5002"/>
    <cellStyle name="_MOR - Australia -  EC - 4+8_II.5. RM Volume Sensitivities_Sheet3" xfId="5003"/>
    <cellStyle name="_MOR - Australia -  EC - 4+8_II.5. RM Volume Sensitivities_Sheet4" xfId="5004"/>
    <cellStyle name="_MOR - Australia -  EC - 4+8_II.8. Sep&amp;Discrete" xfId="5005"/>
    <cellStyle name="_MOR - Australia -  EC - 4+8_II.8. Sep&amp;Discrete_Guidance" xfId="5006"/>
    <cellStyle name="_MOR - Australia -  EC - 4+8_II.8. Sep&amp;Discrete_Guidance 2" xfId="5007"/>
    <cellStyle name="_MOR - Australia -  EC - 4+8_II.8. Sep&amp;Discrete_Guidance_BS retrieve" xfId="5008"/>
    <cellStyle name="_MOR - Australia -  EC - 4+8_II.8. Sep&amp;Discrete_Guidance_Free CF" xfId="5009"/>
    <cellStyle name="_MOR - Australia -  EC - 4+8_II.8. Sep&amp;Discrete_Guidance_P&amp;L Rec Qtr" xfId="5010"/>
    <cellStyle name="_MOR - Australia -  EC - 4+8_II.8. Sep&amp;Discrete_Guidance_Sheet1" xfId="5011"/>
    <cellStyle name="_MOR - Australia -  EC - 4+8_II.8. Sep&amp;Discrete_Guidance_Sheet2" xfId="5012"/>
    <cellStyle name="_MOR - Australia -  EC - 4+8_II.8. Sep&amp;Discrete_Guidance_Sheet3" xfId="5013"/>
    <cellStyle name="_MOR - Australia -  EC - 4+8_II.8. Sep&amp;Discrete_Guidance_Sheet4" xfId="5014"/>
    <cellStyle name="_MOR - Australia -  EC - 4+8_Restructuring &amp; Separation" xfId="5015"/>
    <cellStyle name="_MOR - Australia -  EC - 4+8_Restructuring &amp; Separation_Guidance" xfId="5016"/>
    <cellStyle name="_MOR - Australia -  EC - 4+8_Restructuring &amp; Separation_Guidance 2" xfId="5017"/>
    <cellStyle name="_MOR - Australia -  EC - 4+8_Restructuring &amp; Separation_Guidance_BS retrieve" xfId="5018"/>
    <cellStyle name="_MOR - Australia -  EC - 4+8_Restructuring &amp; Separation_Guidance_Free CF" xfId="5019"/>
    <cellStyle name="_MOR - Australia -  EC - 4+8_Restructuring &amp; Separation_Guidance_P&amp;L Rec Qtr" xfId="5020"/>
    <cellStyle name="_MOR - Australia -  EC - 4+8_Restructuring &amp; Separation_Guidance_Sheet1" xfId="5021"/>
    <cellStyle name="_MOR - Australia -  EC - 4+8_Restructuring &amp; Separation_Guidance_Sheet2" xfId="5022"/>
    <cellStyle name="_MOR - Australia -  EC - 4+8_Restructuring &amp; Separation_Guidance_Sheet3" xfId="5023"/>
    <cellStyle name="_MOR - Australia -  EC - 4+8_Restructuring &amp; Separation_Guidance_Sheet4" xfId="5024"/>
    <cellStyle name="_MOR - Australia -  EC - 4+8_Restructuring_Separation_TAX_JuneFC2010 tf" xfId="5025"/>
    <cellStyle name="_MOR - Australia -  EC - 4+8_Restructuring_Separation_TAX_JuneFC2010 tf_BS_Separation_TaxResIndem_Q12412 tf" xfId="5026"/>
    <cellStyle name="_MOR - Australia -  EC - 4+8_Restructuring_Separation_TAX_JuneFC2010 tf_BS_Separation_TaxResIndem_Q12412 tf_Guidance" xfId="5027"/>
    <cellStyle name="_MOR - Australia -  EC - 4+8_Restructuring_Separation_TAX_JuneFC2010 tf_BS_Separation_TaxResIndem_Q12412 tf_Guidance 2" xfId="5028"/>
    <cellStyle name="_MOR - Australia -  EC - 4+8_Restructuring_Separation_TAX_JuneFC2010 tf_BS_Separation_TaxResIndem_Q12412 tf_Guidance_BS retrieve" xfId="5029"/>
    <cellStyle name="_MOR - Australia -  EC - 4+8_Restructuring_Separation_TAX_JuneFC2010 tf_BS_Separation_TaxResIndem_Q12412 tf_Guidance_Free CF" xfId="5030"/>
    <cellStyle name="_MOR - Australia -  EC - 4+8_Restructuring_Separation_TAX_JuneFC2010 tf_BS_Separation_TaxResIndem_Q12412 tf_Guidance_P&amp;L Rec Qtr" xfId="5031"/>
    <cellStyle name="_MOR - Australia -  EC - 4+8_Restructuring_Separation_TAX_JuneFC2010 tf_BS_Separation_TaxResIndem_Q12412 tf_Guidance_Sheet1" xfId="5032"/>
    <cellStyle name="_MOR - Australia -  EC - 4+8_Restructuring_Separation_TAX_JuneFC2010 tf_BS_Separation_TaxResIndem_Q12412 tf_Guidance_Sheet2" xfId="5033"/>
    <cellStyle name="_MOR - Australia -  EC - 4+8_Restructuring_Separation_TAX_JuneFC2010 tf_BS_Separation_TaxResIndem_Q12412 tf_Guidance_Sheet3" xfId="5034"/>
    <cellStyle name="_MOR - Australia -  EC - 4+8_Restructuring_Separation_TAX_JuneFC2010 tf_BS_Separation_TaxResIndem_Q12412 tf_Guidance_Sheet4" xfId="5035"/>
    <cellStyle name="_MOR - Australia -  EC - 4+8_Restructuring_Separation_TAX_JuneFC2010 tf_BS_Separation_TaxResIndem_Q12412 tf_Restructuring &amp; Separation" xfId="5036"/>
    <cellStyle name="_MOR - Australia -  EC - 4+8_Restructuring_Separation_TAX_JuneFC2010 tf_BS_Separation_TaxResIndem_Q12412 tf_Restructuring &amp; Separation_Guidance" xfId="5037"/>
    <cellStyle name="_MOR - Australia -  EC - 4+8_Restructuring_Separation_TAX_JuneFC2010 tf_BS_Separation_TaxResIndem_Q12412 tf_Restructuring &amp; Separation_Guidance 2" xfId="5038"/>
    <cellStyle name="_MOR - Australia -  EC - 4+8_Restructuring_Separation_TAX_JuneFC2010 tf_BS_Separation_TaxResIndem_Q12412 tf_Restructuring &amp; Separation_Guidance_BS retrieve" xfId="5039"/>
    <cellStyle name="_MOR - Australia -  EC - 4+8_Restructuring_Separation_TAX_JuneFC2010 tf_BS_Separation_TaxResIndem_Q12412 tf_Restructuring &amp; Separation_Guidance_Free CF" xfId="5040"/>
    <cellStyle name="_MOR - Australia -  EC - 4+8_Restructuring_Separation_TAX_JuneFC2010 tf_BS_Separation_TaxResIndem_Q12412 tf_Restructuring &amp; Separation_Guidance_P&amp;L Rec Qtr" xfId="5041"/>
    <cellStyle name="_MOR - Australia -  EC - 4+8_Restructuring_Separation_TAX_JuneFC2010 tf_BS_Separation_TaxResIndem_Q12412 tf_Restructuring &amp; Separation_Guidance_Sheet1" xfId="5042"/>
    <cellStyle name="_MOR - Australia -  EC - 4+8_Restructuring_Separation_TAX_JuneFC2010 tf_BS_Separation_TaxResIndem_Q12412 tf_Restructuring &amp; Separation_Guidance_Sheet2" xfId="5043"/>
    <cellStyle name="_MOR - Australia -  EC - 4+8_Restructuring_Separation_TAX_JuneFC2010 tf_BS_Separation_TaxResIndem_Q12412 tf_Restructuring &amp; Separation_Guidance_Sheet3" xfId="5044"/>
    <cellStyle name="_MOR - Australia -  EC - 4+8_Restructuring_Separation_TAX_JuneFC2010 tf_BS_Separation_TaxResIndem_Q12412 tf_Restructuring &amp; Separation_Guidance_Sheet4" xfId="5045"/>
    <cellStyle name="_MOR - Australia -  EC - 4+8_Restructuring_Separation_TAX_JuneFC2010 tf_Guidance" xfId="5046"/>
    <cellStyle name="_MOR - Australia -  EC - 4+8_Restructuring_Separation_TAX_JuneFC2010 tf_Guidance 2" xfId="5047"/>
    <cellStyle name="_MOR - Australia -  EC - 4+8_Restructuring_Separation_TAX_JuneFC2010 tf_Guidance_BS retrieve" xfId="5048"/>
    <cellStyle name="_MOR - Australia -  EC - 4+8_Restructuring_Separation_TAX_JuneFC2010 tf_Guidance_Free CF" xfId="5049"/>
    <cellStyle name="_MOR - Australia -  EC - 4+8_Restructuring_Separation_TAX_JuneFC2010 tf_Guidance_P&amp;L Rec Qtr" xfId="5050"/>
    <cellStyle name="_MOR - Australia -  EC - 4+8_Restructuring_Separation_TAX_JuneFC2010 tf_Guidance_Sheet1" xfId="5051"/>
    <cellStyle name="_MOR - Australia -  EC - 4+8_Restructuring_Separation_TAX_JuneFC2010 tf_Guidance_Sheet2" xfId="5052"/>
    <cellStyle name="_MOR - Australia -  EC - 4+8_Restructuring_Separation_TAX_JuneFC2010 tf_Guidance_Sheet3" xfId="5053"/>
    <cellStyle name="_MOR - Australia -  EC - 4+8_Restructuring_Separation_TAX_JuneFC2010 tf_Guidance_Sheet4" xfId="5054"/>
    <cellStyle name="_MOR - Australia -  EC - 4+8_Restructuring_Separation_TAX_JuneFC2010 tf_II.8. Sep&amp;Discrete" xfId="5055"/>
    <cellStyle name="_MOR - Australia -  EC - 4+8_Restructuring_Separation_TAX_JuneFC2010 tf_II.8. Sep&amp;Discrete_Guidance" xfId="5056"/>
    <cellStyle name="_MOR - Australia -  EC - 4+8_Restructuring_Separation_TAX_JuneFC2010 tf_II.8. Sep&amp;Discrete_Guidance 2" xfId="5057"/>
    <cellStyle name="_MOR - Australia -  EC - 4+8_Restructuring_Separation_TAX_JuneFC2010 tf_II.8. Sep&amp;Discrete_Guidance_BS retrieve" xfId="5058"/>
    <cellStyle name="_MOR - Australia -  EC - 4+8_Restructuring_Separation_TAX_JuneFC2010 tf_II.8. Sep&amp;Discrete_Guidance_Free CF" xfId="5059"/>
    <cellStyle name="_MOR - Australia -  EC - 4+8_Restructuring_Separation_TAX_JuneFC2010 tf_II.8. Sep&amp;Discrete_Guidance_P&amp;L Rec Qtr" xfId="5060"/>
    <cellStyle name="_MOR - Australia -  EC - 4+8_Restructuring_Separation_TAX_JuneFC2010 tf_II.8. Sep&amp;Discrete_Guidance_Sheet1" xfId="5061"/>
    <cellStyle name="_MOR - Australia -  EC - 4+8_Restructuring_Separation_TAX_JuneFC2010 tf_II.8. Sep&amp;Discrete_Guidance_Sheet2" xfId="5062"/>
    <cellStyle name="_MOR - Australia -  EC - 4+8_Restructuring_Separation_TAX_JuneFC2010 tf_II.8. Sep&amp;Discrete_Guidance_Sheet3" xfId="5063"/>
    <cellStyle name="_MOR - Australia -  EC - 4+8_Restructuring_Separation_TAX_JuneFC2010 tf_II.8. Sep&amp;Discrete_Guidance_Sheet4" xfId="5064"/>
    <cellStyle name="_MOR - Australia -  EC - 4+8_Restructuring_Separation_TAX_JuneFC2010 tf_Restructuring &amp; Separation" xfId="5065"/>
    <cellStyle name="_MOR - Australia -  EC - 4+8_Restructuring_Separation_TAX_JuneFC2010 tf_Restructuring &amp; Separation_Guidance" xfId="5066"/>
    <cellStyle name="_MOR - Australia -  EC - 4+8_Restructuring_Separation_TAX_JuneFC2010 tf_Restructuring &amp; Separation_Guidance 2" xfId="5067"/>
    <cellStyle name="_MOR - Australia -  EC - 4+8_Restructuring_Separation_TAX_JuneFC2010 tf_Restructuring &amp; Separation_Guidance_BS retrieve" xfId="5068"/>
    <cellStyle name="_MOR - Australia -  EC - 4+8_Restructuring_Separation_TAX_JuneFC2010 tf_Restructuring &amp; Separation_Guidance_Free CF" xfId="5069"/>
    <cellStyle name="_MOR - Australia -  EC - 4+8_Restructuring_Separation_TAX_JuneFC2010 tf_Restructuring &amp; Separation_Guidance_P&amp;L Rec Qtr" xfId="5070"/>
    <cellStyle name="_MOR - Australia -  EC - 4+8_Restructuring_Separation_TAX_JuneFC2010 tf_Restructuring &amp; Separation_Guidance_Sheet1" xfId="5071"/>
    <cellStyle name="_MOR - Australia -  EC - 4+8_Restructuring_Separation_TAX_JuneFC2010 tf_Restructuring &amp; Separation_Guidance_Sheet2" xfId="5072"/>
    <cellStyle name="_MOR - Australia -  EC - 4+8_Restructuring_Separation_TAX_JuneFC2010 tf_Restructuring &amp; Separation_Guidance_Sheet3" xfId="5073"/>
    <cellStyle name="_MOR - Australia -  EC - 4+8_Restructuring_Separation_TAX_JuneFC2010 tf_Restructuring &amp; Separation_Guidance_Sheet4" xfId="5074"/>
    <cellStyle name="_MOR - Australia - EC - 12+0" xfId="5075"/>
    <cellStyle name="_MOR - Australia - EC - 12+0_BS_Separation_TaxResIndem_Q12412 tf" xfId="5076"/>
    <cellStyle name="_MOR - Australia - EC - 12+0_BS_Separation_TaxResIndem_Q12412 tf_Guidance" xfId="5077"/>
    <cellStyle name="_MOR - Australia - EC - 12+0_BS_Separation_TaxResIndem_Q12412 tf_Guidance 2" xfId="5078"/>
    <cellStyle name="_MOR - Australia - EC - 12+0_BS_Separation_TaxResIndem_Q12412 tf_Guidance_BS retrieve" xfId="5079"/>
    <cellStyle name="_MOR - Australia - EC - 12+0_BS_Separation_TaxResIndem_Q12412 tf_Guidance_Free CF" xfId="5080"/>
    <cellStyle name="_MOR - Australia - EC - 12+0_BS_Separation_TaxResIndem_Q12412 tf_Guidance_P&amp;L Rec Qtr" xfId="5081"/>
    <cellStyle name="_MOR - Australia - EC - 12+0_BS_Separation_TaxResIndem_Q12412 tf_Guidance_Sheet1" xfId="5082"/>
    <cellStyle name="_MOR - Australia - EC - 12+0_BS_Separation_TaxResIndem_Q12412 tf_Guidance_Sheet2" xfId="5083"/>
    <cellStyle name="_MOR - Australia - EC - 12+0_BS_Separation_TaxResIndem_Q12412 tf_Guidance_Sheet3" xfId="5084"/>
    <cellStyle name="_MOR - Australia - EC - 12+0_BS_Separation_TaxResIndem_Q12412 tf_Guidance_Sheet4" xfId="5085"/>
    <cellStyle name="_MOR - Australia - EC - 12+0_BS_Separation_TaxResIndem_Q12412 tf_Restructuring &amp; Separation" xfId="5086"/>
    <cellStyle name="_MOR - Australia - EC - 12+0_BS_Separation_TaxResIndem_Q12412 tf_Restructuring &amp; Separation_Guidance" xfId="5087"/>
    <cellStyle name="_MOR - Australia - EC - 12+0_BS_Separation_TaxResIndem_Q12412 tf_Restructuring &amp; Separation_Guidance 2" xfId="5088"/>
    <cellStyle name="_MOR - Australia - EC - 12+0_BS_Separation_TaxResIndem_Q12412 tf_Restructuring &amp; Separation_Guidance_BS retrieve" xfId="5089"/>
    <cellStyle name="_MOR - Australia - EC - 12+0_BS_Separation_TaxResIndem_Q12412 tf_Restructuring &amp; Separation_Guidance_Free CF" xfId="5090"/>
    <cellStyle name="_MOR - Australia - EC - 12+0_BS_Separation_TaxResIndem_Q12412 tf_Restructuring &amp; Separation_Guidance_P&amp;L Rec Qtr" xfId="5091"/>
    <cellStyle name="_MOR - Australia - EC - 12+0_BS_Separation_TaxResIndem_Q12412 tf_Restructuring &amp; Separation_Guidance_Sheet1" xfId="5092"/>
    <cellStyle name="_MOR - Australia - EC - 12+0_BS_Separation_TaxResIndem_Q12412 tf_Restructuring &amp; Separation_Guidance_Sheet2" xfId="5093"/>
    <cellStyle name="_MOR - Australia - EC - 12+0_BS_Separation_TaxResIndem_Q12412 tf_Restructuring &amp; Separation_Guidance_Sheet3" xfId="5094"/>
    <cellStyle name="_MOR - Australia - EC - 12+0_BS_Separation_TaxResIndem_Q12412 tf_Restructuring &amp; Separation_Guidance_Sheet4" xfId="5095"/>
    <cellStyle name="_MOR - Australia - EC - 12+0_By Country Detail 1Q10 041410pm FIN 18 revised per disc w Mary" xfId="5096"/>
    <cellStyle name="_MOR - Australia - EC - 12+0_By Country Detail 1Q10 041410pm FIN 18 revised per disc w Mary_BS_Separation_TaxResIndem_Q12412 tf" xfId="5097"/>
    <cellStyle name="_MOR - Australia - EC - 12+0_By Country Detail 1Q10 041410pm FIN 18 revised per disc w Mary_BS_Separation_TaxResIndem_Q12412 tf_Guidance" xfId="5098"/>
    <cellStyle name="_MOR - Australia - EC - 12+0_By Country Detail 1Q10 041410pm FIN 18 revised per disc w Mary_BS_Separation_TaxResIndem_Q12412 tf_Guidance 2" xfId="5099"/>
    <cellStyle name="_MOR - Australia - EC - 12+0_By Country Detail 1Q10 041410pm FIN 18 revised per disc w Mary_BS_Separation_TaxResIndem_Q12412 tf_Guidance_BS retrieve" xfId="5100"/>
    <cellStyle name="_MOR - Australia - EC - 12+0_By Country Detail 1Q10 041410pm FIN 18 revised per disc w Mary_BS_Separation_TaxResIndem_Q12412 tf_Guidance_Free CF" xfId="5101"/>
    <cellStyle name="_MOR - Australia - EC - 12+0_By Country Detail 1Q10 041410pm FIN 18 revised per disc w Mary_BS_Separation_TaxResIndem_Q12412 tf_Guidance_P&amp;L Rec Qtr" xfId="5102"/>
    <cellStyle name="_MOR - Australia - EC - 12+0_By Country Detail 1Q10 041410pm FIN 18 revised per disc w Mary_BS_Separation_TaxResIndem_Q12412 tf_Guidance_Sheet1" xfId="5103"/>
    <cellStyle name="_MOR - Australia - EC - 12+0_By Country Detail 1Q10 041410pm FIN 18 revised per disc w Mary_BS_Separation_TaxResIndem_Q12412 tf_Guidance_Sheet2" xfId="5104"/>
    <cellStyle name="_MOR - Australia - EC - 12+0_By Country Detail 1Q10 041410pm FIN 18 revised per disc w Mary_BS_Separation_TaxResIndem_Q12412 tf_Guidance_Sheet3" xfId="5105"/>
    <cellStyle name="_MOR - Australia - EC - 12+0_By Country Detail 1Q10 041410pm FIN 18 revised per disc w Mary_BS_Separation_TaxResIndem_Q12412 tf_Guidance_Sheet4" xfId="5106"/>
    <cellStyle name="_MOR - Australia - EC - 12+0_By Country Detail 1Q10 041410pm FIN 18 revised per disc w Mary_BS_Separation_TaxResIndem_Q12412 tf_Restructuring &amp; Separation" xfId="5107"/>
    <cellStyle name="_MOR - Australia - EC - 12+0_By Country Detail 1Q10 041410pm FIN 18 revised per disc w Mary_BS_Separation_TaxResIndem_Q12412 tf_Restructuring &amp; Separation_Guidance" xfId="5108"/>
    <cellStyle name="_MOR - Australia - EC - 12+0_By Country Detail 1Q10 041410pm FIN 18 revised per disc w Mary_BS_Separation_TaxResIndem_Q12412 tf_Restructuring &amp; Separation_Guidance 2" xfId="5109"/>
    <cellStyle name="_MOR - Australia - EC - 12+0_By Country Detail 1Q10 041410pm FIN 18 revised per disc w Mary_BS_Separation_TaxResIndem_Q12412 tf_Restructuring &amp; Separation_Guidance_BS retrieve" xfId="5110"/>
    <cellStyle name="_MOR - Australia - EC - 12+0_By Country Detail 1Q10 041410pm FIN 18 revised per disc w Mary_BS_Separation_TaxResIndem_Q12412 tf_Restructuring &amp; Separation_Guidance_Free CF" xfId="5111"/>
    <cellStyle name="_MOR - Australia - EC - 12+0_By Country Detail 1Q10 041410pm FIN 18 revised per disc w Mary_BS_Separation_TaxResIndem_Q12412 tf_Restructuring &amp; Separation_Guidance_P&amp;L Rec Qtr" xfId="5112"/>
    <cellStyle name="_MOR - Australia - EC - 12+0_By Country Detail 1Q10 041410pm FIN 18 revised per disc w Mary_BS_Separation_TaxResIndem_Q12412 tf_Restructuring &amp; Separation_Guidance_Sheet1" xfId="5113"/>
    <cellStyle name="_MOR - Australia - EC - 12+0_By Country Detail 1Q10 041410pm FIN 18 revised per disc w Mary_BS_Separation_TaxResIndem_Q12412 tf_Restructuring &amp; Separation_Guidance_Sheet2" xfId="5114"/>
    <cellStyle name="_MOR - Australia - EC - 12+0_By Country Detail 1Q10 041410pm FIN 18 revised per disc w Mary_BS_Separation_TaxResIndem_Q12412 tf_Restructuring &amp; Separation_Guidance_Sheet3" xfId="5115"/>
    <cellStyle name="_MOR - Australia - EC - 12+0_By Country Detail 1Q10 041410pm FIN 18 revised per disc w Mary_BS_Separation_TaxResIndem_Q12412 tf_Restructuring &amp; Separation_Guidance_Sheet4" xfId="5116"/>
    <cellStyle name="_MOR - Australia - EC - 12+0_By Country Detail 1Q10 041410pm FIN 18 revised per disc w Mary_Guidance" xfId="5117"/>
    <cellStyle name="_MOR - Australia - EC - 12+0_By Country Detail 1Q10 041410pm FIN 18 revised per disc w Mary_Guidance 2" xfId="5118"/>
    <cellStyle name="_MOR - Australia - EC - 12+0_By Country Detail 1Q10 041410pm FIN 18 revised per disc w Mary_Guidance_BS retrieve" xfId="5119"/>
    <cellStyle name="_MOR - Australia - EC - 12+0_By Country Detail 1Q10 041410pm FIN 18 revised per disc w Mary_Guidance_Free CF" xfId="5120"/>
    <cellStyle name="_MOR - Australia - EC - 12+0_By Country Detail 1Q10 041410pm FIN 18 revised per disc w Mary_Guidance_P&amp;L Rec Qtr" xfId="5121"/>
    <cellStyle name="_MOR - Australia - EC - 12+0_By Country Detail 1Q10 041410pm FIN 18 revised per disc w Mary_Guidance_Sheet1" xfId="5122"/>
    <cellStyle name="_MOR - Australia - EC - 12+0_By Country Detail 1Q10 041410pm FIN 18 revised per disc w Mary_Guidance_Sheet2" xfId="5123"/>
    <cellStyle name="_MOR - Australia - EC - 12+0_By Country Detail 1Q10 041410pm FIN 18 revised per disc w Mary_Guidance_Sheet3" xfId="5124"/>
    <cellStyle name="_MOR - Australia - EC - 12+0_By Country Detail 1Q10 041410pm FIN 18 revised per disc w Mary_Guidance_Sheet4" xfId="5125"/>
    <cellStyle name="_MOR - Australia - EC - 12+0_By Country Detail 1Q10 041410pm FIN 18 revised per disc w Mary_II.8. Sep&amp;Discrete" xfId="5126"/>
    <cellStyle name="_MOR - Australia - EC - 12+0_By Country Detail 1Q10 041410pm FIN 18 revised per disc w Mary_II.8. Sep&amp;Discrete_Guidance" xfId="5127"/>
    <cellStyle name="_MOR - Australia - EC - 12+0_By Country Detail 1Q10 041410pm FIN 18 revised per disc w Mary_II.8. Sep&amp;Discrete_Guidance 2" xfId="5128"/>
    <cellStyle name="_MOR - Australia - EC - 12+0_By Country Detail 1Q10 041410pm FIN 18 revised per disc w Mary_II.8. Sep&amp;Discrete_Guidance_BS retrieve" xfId="5129"/>
    <cellStyle name="_MOR - Australia - EC - 12+0_By Country Detail 1Q10 041410pm FIN 18 revised per disc w Mary_II.8. Sep&amp;Discrete_Guidance_Free CF" xfId="5130"/>
    <cellStyle name="_MOR - Australia - EC - 12+0_By Country Detail 1Q10 041410pm FIN 18 revised per disc w Mary_II.8. Sep&amp;Discrete_Guidance_P&amp;L Rec Qtr" xfId="5131"/>
    <cellStyle name="_MOR - Australia - EC - 12+0_By Country Detail 1Q10 041410pm FIN 18 revised per disc w Mary_II.8. Sep&amp;Discrete_Guidance_Sheet1" xfId="5132"/>
    <cellStyle name="_MOR - Australia - EC - 12+0_By Country Detail 1Q10 041410pm FIN 18 revised per disc w Mary_II.8. Sep&amp;Discrete_Guidance_Sheet2" xfId="5133"/>
    <cellStyle name="_MOR - Australia - EC - 12+0_By Country Detail 1Q10 041410pm FIN 18 revised per disc w Mary_II.8. Sep&amp;Discrete_Guidance_Sheet3" xfId="5134"/>
    <cellStyle name="_MOR - Australia - EC - 12+0_By Country Detail 1Q10 041410pm FIN 18 revised per disc w Mary_II.8. Sep&amp;Discrete_Guidance_Sheet4" xfId="5135"/>
    <cellStyle name="_MOR - Australia - EC - 12+0_By Country Detail 1Q10 041410pm FIN 18 revised per disc w Mary_Restructuring &amp; Separation" xfId="5136"/>
    <cellStyle name="_MOR - Australia - EC - 12+0_By Country Detail 1Q10 041410pm FIN 18 revised per disc w Mary_Restructuring &amp; Separation_Guidance" xfId="5137"/>
    <cellStyle name="_MOR - Australia - EC - 12+0_By Country Detail 1Q10 041410pm FIN 18 revised per disc w Mary_Restructuring &amp; Separation_Guidance 2" xfId="5138"/>
    <cellStyle name="_MOR - Australia - EC - 12+0_By Country Detail 1Q10 041410pm FIN 18 revised per disc w Mary_Restructuring &amp; Separation_Guidance_BS retrieve" xfId="5139"/>
    <cellStyle name="_MOR - Australia - EC - 12+0_By Country Detail 1Q10 041410pm FIN 18 revised per disc w Mary_Restructuring &amp; Separation_Guidance_Free CF" xfId="5140"/>
    <cellStyle name="_MOR - Australia - EC - 12+0_By Country Detail 1Q10 041410pm FIN 18 revised per disc w Mary_Restructuring &amp; Separation_Guidance_P&amp;L Rec Qtr" xfId="5141"/>
    <cellStyle name="_MOR - Australia - EC - 12+0_By Country Detail 1Q10 041410pm FIN 18 revised per disc w Mary_Restructuring &amp; Separation_Guidance_Sheet1" xfId="5142"/>
    <cellStyle name="_MOR - Australia - EC - 12+0_By Country Detail 1Q10 041410pm FIN 18 revised per disc w Mary_Restructuring &amp; Separation_Guidance_Sheet2" xfId="5143"/>
    <cellStyle name="_MOR - Australia - EC - 12+0_By Country Detail 1Q10 041410pm FIN 18 revised per disc w Mary_Restructuring &amp; Separation_Guidance_Sheet3" xfId="5144"/>
    <cellStyle name="_MOR - Australia - EC - 12+0_By Country Detail 1Q10 041410pm FIN 18 revised per disc w Mary_Restructuring &amp; Separation_Guidance_Sheet4" xfId="5145"/>
    <cellStyle name="_MOR - Australia - EC - 12+0_Guidance" xfId="5146"/>
    <cellStyle name="_MOR - Australia - EC - 12+0_Guidance 2" xfId="5147"/>
    <cellStyle name="_MOR - Australia - EC - 12+0_Guidance_BS retrieve" xfId="5148"/>
    <cellStyle name="_MOR - Australia - EC - 12+0_Guidance_Free CF" xfId="5149"/>
    <cellStyle name="_MOR - Australia - EC - 12+0_Guidance_P&amp;L Rec Qtr" xfId="5150"/>
    <cellStyle name="_MOR - Australia - EC - 12+0_Guidance_Sheet1" xfId="5151"/>
    <cellStyle name="_MOR - Australia - EC - 12+0_Guidance_Sheet2" xfId="5152"/>
    <cellStyle name="_MOR - Australia - EC - 12+0_Guidance_Sheet3" xfId="5153"/>
    <cellStyle name="_MOR - Australia - EC - 12+0_Guidance_Sheet4" xfId="5154"/>
    <cellStyle name="_MOR - Australia - EC - 12+0_II.4. RawMaterials" xfId="5155"/>
    <cellStyle name="_MOR - Australia - EC - 12+0_II.4. RawMaterials 2" xfId="5156"/>
    <cellStyle name="_MOR - Australia - EC - 12+0_II.4. RawMaterials_BS retrieve" xfId="5157"/>
    <cellStyle name="_MOR - Australia - EC - 12+0_II.4. RawMaterials_Free CF" xfId="5158"/>
    <cellStyle name="_MOR - Australia - EC - 12+0_II.4. RawMaterials_P&amp;L Rec Qtr" xfId="5159"/>
    <cellStyle name="_MOR - Australia - EC - 12+0_II.4. RawMaterials_Sheet1" xfId="5160"/>
    <cellStyle name="_MOR - Australia - EC - 12+0_II.4. RawMaterials_Sheet2" xfId="5161"/>
    <cellStyle name="_MOR - Australia - EC - 12+0_II.4. RawMaterials_Sheet3" xfId="5162"/>
    <cellStyle name="_MOR - Australia - EC - 12+0_II.4. RawMaterials_Sheet4" xfId="5163"/>
    <cellStyle name="_MOR - Australia - EC - 12+0_II.5. RawMaterials" xfId="5164"/>
    <cellStyle name="_MOR - Australia - EC - 12+0_II.5. RawMaterials 2" xfId="5165"/>
    <cellStyle name="_MOR - Australia - EC - 12+0_II.5. RawMaterials_BS retrieve" xfId="5166"/>
    <cellStyle name="_MOR - Australia - EC - 12+0_II.5. RawMaterials_Free CF" xfId="5167"/>
    <cellStyle name="_MOR - Australia - EC - 12+0_II.5. RawMaterials_Guidance" xfId="5168"/>
    <cellStyle name="_MOR - Australia - EC - 12+0_II.5. RawMaterials_Guidance 2" xfId="5169"/>
    <cellStyle name="_MOR - Australia - EC - 12+0_II.5. RawMaterials_Guidance_BS retrieve" xfId="5170"/>
    <cellStyle name="_MOR - Australia - EC - 12+0_II.5. RawMaterials_Guidance_Free CF" xfId="5171"/>
    <cellStyle name="_MOR - Australia - EC - 12+0_II.5. RawMaterials_Guidance_P&amp;L Rec Qtr" xfId="5172"/>
    <cellStyle name="_MOR - Australia - EC - 12+0_II.5. RawMaterials_Guidance_Sheet1" xfId="5173"/>
    <cellStyle name="_MOR - Australia - EC - 12+0_II.5. RawMaterials_Guidance_Sheet2" xfId="5174"/>
    <cellStyle name="_MOR - Australia - EC - 12+0_II.5. RawMaterials_Guidance_Sheet3" xfId="5175"/>
    <cellStyle name="_MOR - Australia - EC - 12+0_II.5. RawMaterials_Guidance_Sheet4" xfId="5176"/>
    <cellStyle name="_MOR - Australia - EC - 12+0_II.5. RawMaterials_P&amp;L Rec Qtr" xfId="5177"/>
    <cellStyle name="_MOR - Australia - EC - 12+0_II.5. RawMaterials_Sheet1" xfId="5178"/>
    <cellStyle name="_MOR - Australia - EC - 12+0_II.5. RawMaterials_Sheet2" xfId="5179"/>
    <cellStyle name="_MOR - Australia - EC - 12+0_II.5. RawMaterials_Sheet3" xfId="5180"/>
    <cellStyle name="_MOR - Australia - EC - 12+0_II.5. RawMaterials_Sheet4" xfId="5181"/>
    <cellStyle name="_MOR - Australia - EC - 12+0_II.5. RM Volume Sensitivities" xfId="5182"/>
    <cellStyle name="_MOR - Australia - EC - 12+0_II.5. RM Volume Sensitivities 2" xfId="5183"/>
    <cellStyle name="_MOR - Australia - EC - 12+0_II.5. RM Volume Sensitivities_BS retrieve" xfId="5184"/>
    <cellStyle name="_MOR - Australia - EC - 12+0_II.5. RM Volume Sensitivities_Free CF" xfId="5185"/>
    <cellStyle name="_MOR - Australia - EC - 12+0_II.5. RM Volume Sensitivities_P&amp;L Rec Qtr" xfId="5186"/>
    <cellStyle name="_MOR - Australia - EC - 12+0_II.5. RM Volume Sensitivities_Sheet1" xfId="5187"/>
    <cellStyle name="_MOR - Australia - EC - 12+0_II.5. RM Volume Sensitivities_Sheet2" xfId="5188"/>
    <cellStyle name="_MOR - Australia - EC - 12+0_II.5. RM Volume Sensitivities_Sheet3" xfId="5189"/>
    <cellStyle name="_MOR - Australia - EC - 12+0_II.5. RM Volume Sensitivities_Sheet4" xfId="5190"/>
    <cellStyle name="_MOR - Australia - EC - 12+0_II.8. Sep&amp;Discrete" xfId="5191"/>
    <cellStyle name="_MOR - Australia - EC - 12+0_II.8. Sep&amp;Discrete_Guidance" xfId="5192"/>
    <cellStyle name="_MOR - Australia - EC - 12+0_II.8. Sep&amp;Discrete_Guidance 2" xfId="5193"/>
    <cellStyle name="_MOR - Australia - EC - 12+0_II.8. Sep&amp;Discrete_Guidance_BS retrieve" xfId="5194"/>
    <cellStyle name="_MOR - Australia - EC - 12+0_II.8. Sep&amp;Discrete_Guidance_Free CF" xfId="5195"/>
    <cellStyle name="_MOR - Australia - EC - 12+0_II.8. Sep&amp;Discrete_Guidance_P&amp;L Rec Qtr" xfId="5196"/>
    <cellStyle name="_MOR - Australia - EC - 12+0_II.8. Sep&amp;Discrete_Guidance_Sheet1" xfId="5197"/>
    <cellStyle name="_MOR - Australia - EC - 12+0_II.8. Sep&amp;Discrete_Guidance_Sheet2" xfId="5198"/>
    <cellStyle name="_MOR - Australia - EC - 12+0_II.8. Sep&amp;Discrete_Guidance_Sheet3" xfId="5199"/>
    <cellStyle name="_MOR - Australia - EC - 12+0_II.8. Sep&amp;Discrete_Guidance_Sheet4" xfId="5200"/>
    <cellStyle name="_MOR - Australia - EC - 12+0_Restructuring &amp; Separation" xfId="5201"/>
    <cellStyle name="_MOR - Australia - EC - 12+0_Restructuring &amp; Separation_Guidance" xfId="5202"/>
    <cellStyle name="_MOR - Australia - EC - 12+0_Restructuring &amp; Separation_Guidance 2" xfId="5203"/>
    <cellStyle name="_MOR - Australia - EC - 12+0_Restructuring &amp; Separation_Guidance_BS retrieve" xfId="5204"/>
    <cellStyle name="_MOR - Australia - EC - 12+0_Restructuring &amp; Separation_Guidance_Free CF" xfId="5205"/>
    <cellStyle name="_MOR - Australia - EC - 12+0_Restructuring &amp; Separation_Guidance_P&amp;L Rec Qtr" xfId="5206"/>
    <cellStyle name="_MOR - Australia - EC - 12+0_Restructuring &amp; Separation_Guidance_Sheet1" xfId="5207"/>
    <cellStyle name="_MOR - Australia - EC - 12+0_Restructuring &amp; Separation_Guidance_Sheet2" xfId="5208"/>
    <cellStyle name="_MOR - Australia - EC - 12+0_Restructuring &amp; Separation_Guidance_Sheet3" xfId="5209"/>
    <cellStyle name="_MOR - Australia - EC - 12+0_Restructuring &amp; Separation_Guidance_Sheet4" xfId="5210"/>
    <cellStyle name="_MOR - Australia - EC - 12+0_Restructuring_Separation_TAX_JuneFC2010 tf" xfId="5211"/>
    <cellStyle name="_MOR - Australia - EC - 12+0_Restructuring_Separation_TAX_JuneFC2010 tf_BS_Separation_TaxResIndem_Q12412 tf" xfId="5212"/>
    <cellStyle name="_MOR - Australia - EC - 12+0_Restructuring_Separation_TAX_JuneFC2010 tf_BS_Separation_TaxResIndem_Q12412 tf_Guidance" xfId="5213"/>
    <cellStyle name="_MOR - Australia - EC - 12+0_Restructuring_Separation_TAX_JuneFC2010 tf_BS_Separation_TaxResIndem_Q12412 tf_Guidance 2" xfId="5214"/>
    <cellStyle name="_MOR - Australia - EC - 12+0_Restructuring_Separation_TAX_JuneFC2010 tf_BS_Separation_TaxResIndem_Q12412 tf_Guidance_BS retrieve" xfId="5215"/>
    <cellStyle name="_MOR - Australia - EC - 12+0_Restructuring_Separation_TAX_JuneFC2010 tf_BS_Separation_TaxResIndem_Q12412 tf_Guidance_Free CF" xfId="5216"/>
    <cellStyle name="_MOR - Australia - EC - 12+0_Restructuring_Separation_TAX_JuneFC2010 tf_BS_Separation_TaxResIndem_Q12412 tf_Guidance_P&amp;L Rec Qtr" xfId="5217"/>
    <cellStyle name="_MOR - Australia - EC - 12+0_Restructuring_Separation_TAX_JuneFC2010 tf_BS_Separation_TaxResIndem_Q12412 tf_Guidance_Sheet1" xfId="5218"/>
    <cellStyle name="_MOR - Australia - EC - 12+0_Restructuring_Separation_TAX_JuneFC2010 tf_BS_Separation_TaxResIndem_Q12412 tf_Guidance_Sheet2" xfId="5219"/>
    <cellStyle name="_MOR - Australia - EC - 12+0_Restructuring_Separation_TAX_JuneFC2010 tf_BS_Separation_TaxResIndem_Q12412 tf_Guidance_Sheet3" xfId="5220"/>
    <cellStyle name="_MOR - Australia - EC - 12+0_Restructuring_Separation_TAX_JuneFC2010 tf_BS_Separation_TaxResIndem_Q12412 tf_Guidance_Sheet4" xfId="5221"/>
    <cellStyle name="_MOR - Australia - EC - 12+0_Restructuring_Separation_TAX_JuneFC2010 tf_BS_Separation_TaxResIndem_Q12412 tf_Restructuring &amp; Separation" xfId="5222"/>
    <cellStyle name="_MOR - Australia - EC - 12+0_Restructuring_Separation_TAX_JuneFC2010 tf_BS_Separation_TaxResIndem_Q12412 tf_Restructuring &amp; Separation_Guidance" xfId="5223"/>
    <cellStyle name="_MOR - Australia - EC - 12+0_Restructuring_Separation_TAX_JuneFC2010 tf_BS_Separation_TaxResIndem_Q12412 tf_Restructuring &amp; Separation_Guidance 2" xfId="5224"/>
    <cellStyle name="_MOR - Australia - EC - 12+0_Restructuring_Separation_TAX_JuneFC2010 tf_BS_Separation_TaxResIndem_Q12412 tf_Restructuring &amp; Separation_Guidance_BS retrieve" xfId="5225"/>
    <cellStyle name="_MOR - Australia - EC - 12+0_Restructuring_Separation_TAX_JuneFC2010 tf_BS_Separation_TaxResIndem_Q12412 tf_Restructuring &amp; Separation_Guidance_Free CF" xfId="5226"/>
    <cellStyle name="_MOR - Australia - EC - 12+0_Restructuring_Separation_TAX_JuneFC2010 tf_BS_Separation_TaxResIndem_Q12412 tf_Restructuring &amp; Separation_Guidance_P&amp;L Rec Qtr" xfId="5227"/>
    <cellStyle name="_MOR - Australia - EC - 12+0_Restructuring_Separation_TAX_JuneFC2010 tf_BS_Separation_TaxResIndem_Q12412 tf_Restructuring &amp; Separation_Guidance_Sheet1" xfId="5228"/>
    <cellStyle name="_MOR - Australia - EC - 12+0_Restructuring_Separation_TAX_JuneFC2010 tf_BS_Separation_TaxResIndem_Q12412 tf_Restructuring &amp; Separation_Guidance_Sheet2" xfId="5229"/>
    <cellStyle name="_MOR - Australia - EC - 12+0_Restructuring_Separation_TAX_JuneFC2010 tf_BS_Separation_TaxResIndem_Q12412 tf_Restructuring &amp; Separation_Guidance_Sheet3" xfId="5230"/>
    <cellStyle name="_MOR - Australia - EC - 12+0_Restructuring_Separation_TAX_JuneFC2010 tf_BS_Separation_TaxResIndem_Q12412 tf_Restructuring &amp; Separation_Guidance_Sheet4" xfId="5231"/>
    <cellStyle name="_MOR - Australia - EC - 12+0_Restructuring_Separation_TAX_JuneFC2010 tf_Guidance" xfId="5232"/>
    <cellStyle name="_MOR - Australia - EC - 12+0_Restructuring_Separation_TAX_JuneFC2010 tf_Guidance 2" xfId="5233"/>
    <cellStyle name="_MOR - Australia - EC - 12+0_Restructuring_Separation_TAX_JuneFC2010 tf_Guidance_BS retrieve" xfId="5234"/>
    <cellStyle name="_MOR - Australia - EC - 12+0_Restructuring_Separation_TAX_JuneFC2010 tf_Guidance_Free CF" xfId="5235"/>
    <cellStyle name="_MOR - Australia - EC - 12+0_Restructuring_Separation_TAX_JuneFC2010 tf_Guidance_P&amp;L Rec Qtr" xfId="5236"/>
    <cellStyle name="_MOR - Australia - EC - 12+0_Restructuring_Separation_TAX_JuneFC2010 tf_Guidance_Sheet1" xfId="5237"/>
    <cellStyle name="_MOR - Australia - EC - 12+0_Restructuring_Separation_TAX_JuneFC2010 tf_Guidance_Sheet2" xfId="5238"/>
    <cellStyle name="_MOR - Australia - EC - 12+0_Restructuring_Separation_TAX_JuneFC2010 tf_Guidance_Sheet3" xfId="5239"/>
    <cellStyle name="_MOR - Australia - EC - 12+0_Restructuring_Separation_TAX_JuneFC2010 tf_Guidance_Sheet4" xfId="5240"/>
    <cellStyle name="_MOR - Australia - EC - 12+0_Restructuring_Separation_TAX_JuneFC2010 tf_II.8. Sep&amp;Discrete" xfId="5241"/>
    <cellStyle name="_MOR - Australia - EC - 12+0_Restructuring_Separation_TAX_JuneFC2010 tf_II.8. Sep&amp;Discrete_Guidance" xfId="5242"/>
    <cellStyle name="_MOR - Australia - EC - 12+0_Restructuring_Separation_TAX_JuneFC2010 tf_II.8. Sep&amp;Discrete_Guidance 2" xfId="5243"/>
    <cellStyle name="_MOR - Australia - EC - 12+0_Restructuring_Separation_TAX_JuneFC2010 tf_II.8. Sep&amp;Discrete_Guidance_BS retrieve" xfId="5244"/>
    <cellStyle name="_MOR - Australia - EC - 12+0_Restructuring_Separation_TAX_JuneFC2010 tf_II.8. Sep&amp;Discrete_Guidance_Free CF" xfId="5245"/>
    <cellStyle name="_MOR - Australia - EC - 12+0_Restructuring_Separation_TAX_JuneFC2010 tf_II.8. Sep&amp;Discrete_Guidance_P&amp;L Rec Qtr" xfId="5246"/>
    <cellStyle name="_MOR - Australia - EC - 12+0_Restructuring_Separation_TAX_JuneFC2010 tf_II.8. Sep&amp;Discrete_Guidance_Sheet1" xfId="5247"/>
    <cellStyle name="_MOR - Australia - EC - 12+0_Restructuring_Separation_TAX_JuneFC2010 tf_II.8. Sep&amp;Discrete_Guidance_Sheet2" xfId="5248"/>
    <cellStyle name="_MOR - Australia - EC - 12+0_Restructuring_Separation_TAX_JuneFC2010 tf_II.8. Sep&amp;Discrete_Guidance_Sheet3" xfId="5249"/>
    <cellStyle name="_MOR - Australia - EC - 12+0_Restructuring_Separation_TAX_JuneFC2010 tf_II.8. Sep&amp;Discrete_Guidance_Sheet4" xfId="5250"/>
    <cellStyle name="_MOR - Australia - EC - 12+0_Restructuring_Separation_TAX_JuneFC2010 tf_Restructuring &amp; Separation" xfId="5251"/>
    <cellStyle name="_MOR - Australia - EC - 12+0_Restructuring_Separation_TAX_JuneFC2010 tf_Restructuring &amp; Separation_Guidance" xfId="5252"/>
    <cellStyle name="_MOR - Australia - EC - 12+0_Restructuring_Separation_TAX_JuneFC2010 tf_Restructuring &amp; Separation_Guidance 2" xfId="5253"/>
    <cellStyle name="_MOR - Australia - EC - 12+0_Restructuring_Separation_TAX_JuneFC2010 tf_Restructuring &amp; Separation_Guidance_BS retrieve" xfId="5254"/>
    <cellStyle name="_MOR - Australia - EC - 12+0_Restructuring_Separation_TAX_JuneFC2010 tf_Restructuring &amp; Separation_Guidance_Free CF" xfId="5255"/>
    <cellStyle name="_MOR - Australia - EC - 12+0_Restructuring_Separation_TAX_JuneFC2010 tf_Restructuring &amp; Separation_Guidance_P&amp;L Rec Qtr" xfId="5256"/>
    <cellStyle name="_MOR - Australia - EC - 12+0_Restructuring_Separation_TAX_JuneFC2010 tf_Restructuring &amp; Separation_Guidance_Sheet1" xfId="5257"/>
    <cellStyle name="_MOR - Australia - EC - 12+0_Restructuring_Separation_TAX_JuneFC2010 tf_Restructuring &amp; Separation_Guidance_Sheet2" xfId="5258"/>
    <cellStyle name="_MOR - Australia - EC - 12+0_Restructuring_Separation_TAX_JuneFC2010 tf_Restructuring &amp; Separation_Guidance_Sheet3" xfId="5259"/>
    <cellStyle name="_MOR - Australia - EC - 12+0_Restructuring_Separation_TAX_JuneFC2010 tf_Restructuring &amp; Separation_Guidance_Sheet4" xfId="5260"/>
    <cellStyle name="_MOR - BDWY - 1+11" xfId="5261"/>
    <cellStyle name="_MOR - BDWY - 1+11_~0039877" xfId="5262"/>
    <cellStyle name="_MOR - BDWY - 1+11_~0039877_BS_Separation_TaxResIndem_Q12412 tf" xfId="5263"/>
    <cellStyle name="_MOR - BDWY - 1+11_~0039877_BS_Separation_TaxResIndem_Q12412 tf_Guidance" xfId="5264"/>
    <cellStyle name="_MOR - BDWY - 1+11_~0039877_BS_Separation_TaxResIndem_Q12412 tf_Guidance 2" xfId="5265"/>
    <cellStyle name="_MOR - BDWY - 1+11_~0039877_BS_Separation_TaxResIndem_Q12412 tf_Guidance_BS retrieve" xfId="5266"/>
    <cellStyle name="_MOR - BDWY - 1+11_~0039877_BS_Separation_TaxResIndem_Q12412 tf_Guidance_Free CF" xfId="5267"/>
    <cellStyle name="_MOR - BDWY - 1+11_~0039877_BS_Separation_TaxResIndem_Q12412 tf_Guidance_P&amp;L Rec Qtr" xfId="5268"/>
    <cellStyle name="_MOR - BDWY - 1+11_~0039877_BS_Separation_TaxResIndem_Q12412 tf_Guidance_Sheet1" xfId="5269"/>
    <cellStyle name="_MOR - BDWY - 1+11_~0039877_BS_Separation_TaxResIndem_Q12412 tf_Guidance_Sheet2" xfId="5270"/>
    <cellStyle name="_MOR - BDWY - 1+11_~0039877_BS_Separation_TaxResIndem_Q12412 tf_Guidance_Sheet3" xfId="5271"/>
    <cellStyle name="_MOR - BDWY - 1+11_~0039877_BS_Separation_TaxResIndem_Q12412 tf_Guidance_Sheet4" xfId="5272"/>
    <cellStyle name="_MOR - BDWY - 1+11_~0039877_BS_Separation_TaxResIndem_Q12412 tf_Restructuring &amp; Separation" xfId="5273"/>
    <cellStyle name="_MOR - BDWY - 1+11_~0039877_BS_Separation_TaxResIndem_Q12412 tf_Restructuring &amp; Separation_Guidance" xfId="5274"/>
    <cellStyle name="_MOR - BDWY - 1+11_~0039877_BS_Separation_TaxResIndem_Q12412 tf_Restructuring &amp; Separation_Guidance 2" xfId="5275"/>
    <cellStyle name="_MOR - BDWY - 1+11_~0039877_BS_Separation_TaxResIndem_Q12412 tf_Restructuring &amp; Separation_Guidance_BS retrieve" xfId="5276"/>
    <cellStyle name="_MOR - BDWY - 1+11_~0039877_BS_Separation_TaxResIndem_Q12412 tf_Restructuring &amp; Separation_Guidance_Free CF" xfId="5277"/>
    <cellStyle name="_MOR - BDWY - 1+11_~0039877_BS_Separation_TaxResIndem_Q12412 tf_Restructuring &amp; Separation_Guidance_P&amp;L Rec Qtr" xfId="5278"/>
    <cellStyle name="_MOR - BDWY - 1+11_~0039877_BS_Separation_TaxResIndem_Q12412 tf_Restructuring &amp; Separation_Guidance_Sheet1" xfId="5279"/>
    <cellStyle name="_MOR - BDWY - 1+11_~0039877_BS_Separation_TaxResIndem_Q12412 tf_Restructuring &amp; Separation_Guidance_Sheet2" xfId="5280"/>
    <cellStyle name="_MOR - BDWY - 1+11_~0039877_BS_Separation_TaxResIndem_Q12412 tf_Restructuring &amp; Separation_Guidance_Sheet3" xfId="5281"/>
    <cellStyle name="_MOR - BDWY - 1+11_~0039877_BS_Separation_TaxResIndem_Q12412 tf_Restructuring &amp; Separation_Guidance_Sheet4" xfId="5282"/>
    <cellStyle name="_MOR - BDWY - 1+11_~0039877_By Country Detail 1Q10 041410pm FIN 18 revised per disc w Mary" xfId="5283"/>
    <cellStyle name="_MOR - BDWY - 1+11_~0039877_By Country Detail 1Q10 041410pm FIN 18 revised per disc w Mary_BS_Separation_TaxResIndem_Q12412 tf" xfId="5284"/>
    <cellStyle name="_MOR - BDWY - 1+11_~0039877_By Country Detail 1Q10 041410pm FIN 18 revised per disc w Mary_BS_Separation_TaxResIndem_Q12412 tf_Guidance" xfId="5285"/>
    <cellStyle name="_MOR - BDWY - 1+11_~0039877_By Country Detail 1Q10 041410pm FIN 18 revised per disc w Mary_BS_Separation_TaxResIndem_Q12412 tf_Guidance 2" xfId="5286"/>
    <cellStyle name="_MOR - BDWY - 1+11_~0039877_By Country Detail 1Q10 041410pm FIN 18 revised per disc w Mary_BS_Separation_TaxResIndem_Q12412 tf_Guidance_BS retrieve" xfId="5287"/>
    <cellStyle name="_MOR - BDWY - 1+11_~0039877_By Country Detail 1Q10 041410pm FIN 18 revised per disc w Mary_BS_Separation_TaxResIndem_Q12412 tf_Guidance_Free CF" xfId="5288"/>
    <cellStyle name="_MOR - BDWY - 1+11_~0039877_By Country Detail 1Q10 041410pm FIN 18 revised per disc w Mary_BS_Separation_TaxResIndem_Q12412 tf_Guidance_P&amp;L Rec Qtr" xfId="5289"/>
    <cellStyle name="_MOR - BDWY - 1+11_~0039877_By Country Detail 1Q10 041410pm FIN 18 revised per disc w Mary_BS_Separation_TaxResIndem_Q12412 tf_Guidance_Sheet1" xfId="5290"/>
    <cellStyle name="_MOR - BDWY - 1+11_~0039877_By Country Detail 1Q10 041410pm FIN 18 revised per disc w Mary_BS_Separation_TaxResIndem_Q12412 tf_Guidance_Sheet2" xfId="5291"/>
    <cellStyle name="_MOR - BDWY - 1+11_~0039877_By Country Detail 1Q10 041410pm FIN 18 revised per disc w Mary_BS_Separation_TaxResIndem_Q12412 tf_Guidance_Sheet3" xfId="5292"/>
    <cellStyle name="_MOR - BDWY - 1+11_~0039877_By Country Detail 1Q10 041410pm FIN 18 revised per disc w Mary_BS_Separation_TaxResIndem_Q12412 tf_Guidance_Sheet4" xfId="5293"/>
    <cellStyle name="_MOR - BDWY - 1+11_~0039877_By Country Detail 1Q10 041410pm FIN 18 revised per disc w Mary_BS_Separation_TaxResIndem_Q12412 tf_Restructuring &amp; Separation" xfId="5294"/>
    <cellStyle name="_MOR - BDWY - 1+11_~0039877_By Country Detail 1Q10 041410pm FIN 18 revised per disc w Mary_BS_Separation_TaxResIndem_Q12412 tf_Restructuring &amp; Separation_Guidance" xfId="5295"/>
    <cellStyle name="_MOR - BDWY - 1+11_~0039877_By Country Detail 1Q10 041410pm FIN 18 revised per disc w Mary_BS_Separation_TaxResIndem_Q12412 tf_Restructuring &amp; Separation_Guidance 2" xfId="5296"/>
    <cellStyle name="_MOR - BDWY - 1+11_~0039877_By Country Detail 1Q10 041410pm FIN 18 revised per disc w Mary_BS_Separation_TaxResIndem_Q12412 tf_Restructuring &amp; Separation_Guidance_BS retrieve" xfId="5297"/>
    <cellStyle name="_MOR - BDWY - 1+11_~0039877_By Country Detail 1Q10 041410pm FIN 18 revised per disc w Mary_BS_Separation_TaxResIndem_Q12412 tf_Restructuring &amp; Separation_Guidance_Free CF" xfId="5298"/>
    <cellStyle name="_MOR - BDWY - 1+11_~0039877_By Country Detail 1Q10 041410pm FIN 18 revised per disc w Mary_BS_Separation_TaxResIndem_Q12412 tf_Restructuring &amp; Separation_Guidance_P&amp;L Rec Qtr" xfId="5299"/>
    <cellStyle name="_MOR - BDWY - 1+11_~0039877_By Country Detail 1Q10 041410pm FIN 18 revised per disc w Mary_BS_Separation_TaxResIndem_Q12412 tf_Restructuring &amp; Separation_Guidance_Sheet1" xfId="5300"/>
    <cellStyle name="_MOR - BDWY - 1+11_~0039877_By Country Detail 1Q10 041410pm FIN 18 revised per disc w Mary_BS_Separation_TaxResIndem_Q12412 tf_Restructuring &amp; Separation_Guidance_Sheet2" xfId="5301"/>
    <cellStyle name="_MOR - BDWY - 1+11_~0039877_By Country Detail 1Q10 041410pm FIN 18 revised per disc w Mary_BS_Separation_TaxResIndem_Q12412 tf_Restructuring &amp; Separation_Guidance_Sheet3" xfId="5302"/>
    <cellStyle name="_MOR - BDWY - 1+11_~0039877_By Country Detail 1Q10 041410pm FIN 18 revised per disc w Mary_BS_Separation_TaxResIndem_Q12412 tf_Restructuring &amp; Separation_Guidance_Sheet4" xfId="5303"/>
    <cellStyle name="_MOR - BDWY - 1+11_~0039877_By Country Detail 1Q10 041410pm FIN 18 revised per disc w Mary_Guidance" xfId="5304"/>
    <cellStyle name="_MOR - BDWY - 1+11_~0039877_By Country Detail 1Q10 041410pm FIN 18 revised per disc w Mary_Guidance 2" xfId="5305"/>
    <cellStyle name="_MOR - BDWY - 1+11_~0039877_By Country Detail 1Q10 041410pm FIN 18 revised per disc w Mary_Guidance_BS retrieve" xfId="5306"/>
    <cellStyle name="_MOR - BDWY - 1+11_~0039877_By Country Detail 1Q10 041410pm FIN 18 revised per disc w Mary_Guidance_Free CF" xfId="5307"/>
    <cellStyle name="_MOR - BDWY - 1+11_~0039877_By Country Detail 1Q10 041410pm FIN 18 revised per disc w Mary_Guidance_P&amp;L Rec Qtr" xfId="5308"/>
    <cellStyle name="_MOR - BDWY - 1+11_~0039877_By Country Detail 1Q10 041410pm FIN 18 revised per disc w Mary_Guidance_Sheet1" xfId="5309"/>
    <cellStyle name="_MOR - BDWY - 1+11_~0039877_By Country Detail 1Q10 041410pm FIN 18 revised per disc w Mary_Guidance_Sheet2" xfId="5310"/>
    <cellStyle name="_MOR - BDWY - 1+11_~0039877_By Country Detail 1Q10 041410pm FIN 18 revised per disc w Mary_Guidance_Sheet3" xfId="5311"/>
    <cellStyle name="_MOR - BDWY - 1+11_~0039877_By Country Detail 1Q10 041410pm FIN 18 revised per disc w Mary_Guidance_Sheet4" xfId="5312"/>
    <cellStyle name="_MOR - BDWY - 1+11_~0039877_By Country Detail 1Q10 041410pm FIN 18 revised per disc w Mary_II.8. Sep&amp;Discrete" xfId="5313"/>
    <cellStyle name="_MOR - BDWY - 1+11_~0039877_By Country Detail 1Q10 041410pm FIN 18 revised per disc w Mary_II.8. Sep&amp;Discrete_Guidance" xfId="5314"/>
    <cellStyle name="_MOR - BDWY - 1+11_~0039877_By Country Detail 1Q10 041410pm FIN 18 revised per disc w Mary_II.8. Sep&amp;Discrete_Guidance 2" xfId="5315"/>
    <cellStyle name="_MOR - BDWY - 1+11_~0039877_By Country Detail 1Q10 041410pm FIN 18 revised per disc w Mary_II.8. Sep&amp;Discrete_Guidance_BS retrieve" xfId="5316"/>
    <cellStyle name="_MOR - BDWY - 1+11_~0039877_By Country Detail 1Q10 041410pm FIN 18 revised per disc w Mary_II.8. Sep&amp;Discrete_Guidance_Free CF" xfId="5317"/>
    <cellStyle name="_MOR - BDWY - 1+11_~0039877_By Country Detail 1Q10 041410pm FIN 18 revised per disc w Mary_II.8. Sep&amp;Discrete_Guidance_P&amp;L Rec Qtr" xfId="5318"/>
    <cellStyle name="_MOR - BDWY - 1+11_~0039877_By Country Detail 1Q10 041410pm FIN 18 revised per disc w Mary_II.8. Sep&amp;Discrete_Guidance_Sheet1" xfId="5319"/>
    <cellStyle name="_MOR - BDWY - 1+11_~0039877_By Country Detail 1Q10 041410pm FIN 18 revised per disc w Mary_II.8. Sep&amp;Discrete_Guidance_Sheet2" xfId="5320"/>
    <cellStyle name="_MOR - BDWY - 1+11_~0039877_By Country Detail 1Q10 041410pm FIN 18 revised per disc w Mary_II.8. Sep&amp;Discrete_Guidance_Sheet3" xfId="5321"/>
    <cellStyle name="_MOR - BDWY - 1+11_~0039877_By Country Detail 1Q10 041410pm FIN 18 revised per disc w Mary_II.8. Sep&amp;Discrete_Guidance_Sheet4" xfId="5322"/>
    <cellStyle name="_MOR - BDWY - 1+11_~0039877_By Country Detail 1Q10 041410pm FIN 18 revised per disc w Mary_Restructuring &amp; Separation" xfId="5323"/>
    <cellStyle name="_MOR - BDWY - 1+11_~0039877_By Country Detail 1Q10 041410pm FIN 18 revised per disc w Mary_Restructuring &amp; Separation_Guidance" xfId="5324"/>
    <cellStyle name="_MOR - BDWY - 1+11_~0039877_By Country Detail 1Q10 041410pm FIN 18 revised per disc w Mary_Restructuring &amp; Separation_Guidance 2" xfId="5325"/>
    <cellStyle name="_MOR - BDWY - 1+11_~0039877_By Country Detail 1Q10 041410pm FIN 18 revised per disc w Mary_Restructuring &amp; Separation_Guidance_BS retrieve" xfId="5326"/>
    <cellStyle name="_MOR - BDWY - 1+11_~0039877_By Country Detail 1Q10 041410pm FIN 18 revised per disc w Mary_Restructuring &amp; Separation_Guidance_Free CF" xfId="5327"/>
    <cellStyle name="_MOR - BDWY - 1+11_~0039877_By Country Detail 1Q10 041410pm FIN 18 revised per disc w Mary_Restructuring &amp; Separation_Guidance_P&amp;L Rec Qtr" xfId="5328"/>
    <cellStyle name="_MOR - BDWY - 1+11_~0039877_By Country Detail 1Q10 041410pm FIN 18 revised per disc w Mary_Restructuring &amp; Separation_Guidance_Sheet1" xfId="5329"/>
    <cellStyle name="_MOR - BDWY - 1+11_~0039877_By Country Detail 1Q10 041410pm FIN 18 revised per disc w Mary_Restructuring &amp; Separation_Guidance_Sheet2" xfId="5330"/>
    <cellStyle name="_MOR - BDWY - 1+11_~0039877_By Country Detail 1Q10 041410pm FIN 18 revised per disc w Mary_Restructuring &amp; Separation_Guidance_Sheet3" xfId="5331"/>
    <cellStyle name="_MOR - BDWY - 1+11_~0039877_By Country Detail 1Q10 041410pm FIN 18 revised per disc w Mary_Restructuring &amp; Separation_Guidance_Sheet4" xfId="5332"/>
    <cellStyle name="_MOR - BDWY - 1+11_~0039877_Guidance" xfId="5333"/>
    <cellStyle name="_MOR - BDWY - 1+11_~0039877_Guidance 2" xfId="5334"/>
    <cellStyle name="_MOR - BDWY - 1+11_~0039877_Guidance_BS retrieve" xfId="5335"/>
    <cellStyle name="_MOR - BDWY - 1+11_~0039877_Guidance_Free CF" xfId="5336"/>
    <cellStyle name="_MOR - BDWY - 1+11_~0039877_Guidance_P&amp;L Rec Qtr" xfId="5337"/>
    <cellStyle name="_MOR - BDWY - 1+11_~0039877_Guidance_Sheet1" xfId="5338"/>
    <cellStyle name="_MOR - BDWY - 1+11_~0039877_Guidance_Sheet2" xfId="5339"/>
    <cellStyle name="_MOR - BDWY - 1+11_~0039877_Guidance_Sheet3" xfId="5340"/>
    <cellStyle name="_MOR - BDWY - 1+11_~0039877_Guidance_Sheet4" xfId="5341"/>
    <cellStyle name="_MOR - BDWY - 1+11_~0039877_II.4. RawMaterials" xfId="5342"/>
    <cellStyle name="_MOR - BDWY - 1+11_~0039877_II.4. RawMaterials 2" xfId="5343"/>
    <cellStyle name="_MOR - BDWY - 1+11_~0039877_II.4. RawMaterials_BS retrieve" xfId="5344"/>
    <cellStyle name="_MOR - BDWY - 1+11_~0039877_II.4. RawMaterials_Free CF" xfId="5345"/>
    <cellStyle name="_MOR - BDWY - 1+11_~0039877_II.4. RawMaterials_P&amp;L Rec Qtr" xfId="5346"/>
    <cellStyle name="_MOR - BDWY - 1+11_~0039877_II.4. RawMaterials_Sheet1" xfId="5347"/>
    <cellStyle name="_MOR - BDWY - 1+11_~0039877_II.4. RawMaterials_Sheet2" xfId="5348"/>
    <cellStyle name="_MOR - BDWY - 1+11_~0039877_II.4. RawMaterials_Sheet3" xfId="5349"/>
    <cellStyle name="_MOR - BDWY - 1+11_~0039877_II.4. RawMaterials_Sheet4" xfId="5350"/>
    <cellStyle name="_MOR - BDWY - 1+11_~0039877_II.5. RawMaterials" xfId="5351"/>
    <cellStyle name="_MOR - BDWY - 1+11_~0039877_II.5. RawMaterials 2" xfId="5352"/>
    <cellStyle name="_MOR - BDWY - 1+11_~0039877_II.5. RawMaterials_BS retrieve" xfId="5353"/>
    <cellStyle name="_MOR - BDWY - 1+11_~0039877_II.5. RawMaterials_Free CF" xfId="5354"/>
    <cellStyle name="_MOR - BDWY - 1+11_~0039877_II.5. RawMaterials_Guidance" xfId="5355"/>
    <cellStyle name="_MOR - BDWY - 1+11_~0039877_II.5. RawMaterials_Guidance 2" xfId="5356"/>
    <cellStyle name="_MOR - BDWY - 1+11_~0039877_II.5. RawMaterials_Guidance_BS retrieve" xfId="5357"/>
    <cellStyle name="_MOR - BDWY - 1+11_~0039877_II.5. RawMaterials_Guidance_Free CF" xfId="5358"/>
    <cellStyle name="_MOR - BDWY - 1+11_~0039877_II.5. RawMaterials_Guidance_P&amp;L Rec Qtr" xfId="5359"/>
    <cellStyle name="_MOR - BDWY - 1+11_~0039877_II.5. RawMaterials_Guidance_Sheet1" xfId="5360"/>
    <cellStyle name="_MOR - BDWY - 1+11_~0039877_II.5. RawMaterials_Guidance_Sheet2" xfId="5361"/>
    <cellStyle name="_MOR - BDWY - 1+11_~0039877_II.5. RawMaterials_Guidance_Sheet3" xfId="5362"/>
    <cellStyle name="_MOR - BDWY - 1+11_~0039877_II.5. RawMaterials_Guidance_Sheet4" xfId="5363"/>
    <cellStyle name="_MOR - BDWY - 1+11_~0039877_II.5. RawMaterials_P&amp;L Rec Qtr" xfId="5364"/>
    <cellStyle name="_MOR - BDWY - 1+11_~0039877_II.5. RawMaterials_Sheet1" xfId="5365"/>
    <cellStyle name="_MOR - BDWY - 1+11_~0039877_II.5. RawMaterials_Sheet2" xfId="5366"/>
    <cellStyle name="_MOR - BDWY - 1+11_~0039877_II.5. RawMaterials_Sheet3" xfId="5367"/>
    <cellStyle name="_MOR - BDWY - 1+11_~0039877_II.5. RawMaterials_Sheet4" xfId="5368"/>
    <cellStyle name="_MOR - BDWY - 1+11_~0039877_II.5. RM Volume Sensitivities" xfId="5369"/>
    <cellStyle name="_MOR - BDWY - 1+11_~0039877_II.5. RM Volume Sensitivities 2" xfId="5370"/>
    <cellStyle name="_MOR - BDWY - 1+11_~0039877_II.5. RM Volume Sensitivities_BS retrieve" xfId="5371"/>
    <cellStyle name="_MOR - BDWY - 1+11_~0039877_II.5. RM Volume Sensitivities_Free CF" xfId="5372"/>
    <cellStyle name="_MOR - BDWY - 1+11_~0039877_II.5. RM Volume Sensitivities_P&amp;L Rec Qtr" xfId="5373"/>
    <cellStyle name="_MOR - BDWY - 1+11_~0039877_II.5. RM Volume Sensitivities_Sheet1" xfId="5374"/>
    <cellStyle name="_MOR - BDWY - 1+11_~0039877_II.5. RM Volume Sensitivities_Sheet2" xfId="5375"/>
    <cellStyle name="_MOR - BDWY - 1+11_~0039877_II.5. RM Volume Sensitivities_Sheet3" xfId="5376"/>
    <cellStyle name="_MOR - BDWY - 1+11_~0039877_II.5. RM Volume Sensitivities_Sheet4" xfId="5377"/>
    <cellStyle name="_MOR - BDWY - 1+11_~0039877_II.8. Sep&amp;Discrete" xfId="5378"/>
    <cellStyle name="_MOR - BDWY - 1+11_~0039877_II.8. Sep&amp;Discrete_Guidance" xfId="5379"/>
    <cellStyle name="_MOR - BDWY - 1+11_~0039877_II.8. Sep&amp;Discrete_Guidance 2" xfId="5380"/>
    <cellStyle name="_MOR - BDWY - 1+11_~0039877_II.8. Sep&amp;Discrete_Guidance_BS retrieve" xfId="5381"/>
    <cellStyle name="_MOR - BDWY - 1+11_~0039877_II.8. Sep&amp;Discrete_Guidance_Free CF" xfId="5382"/>
    <cellStyle name="_MOR - BDWY - 1+11_~0039877_II.8. Sep&amp;Discrete_Guidance_P&amp;L Rec Qtr" xfId="5383"/>
    <cellStyle name="_MOR - BDWY - 1+11_~0039877_II.8. Sep&amp;Discrete_Guidance_Sheet1" xfId="5384"/>
    <cellStyle name="_MOR - BDWY - 1+11_~0039877_II.8. Sep&amp;Discrete_Guidance_Sheet2" xfId="5385"/>
    <cellStyle name="_MOR - BDWY - 1+11_~0039877_II.8. Sep&amp;Discrete_Guidance_Sheet3" xfId="5386"/>
    <cellStyle name="_MOR - BDWY - 1+11_~0039877_II.8. Sep&amp;Discrete_Guidance_Sheet4" xfId="5387"/>
    <cellStyle name="_MOR - BDWY - 1+11_~0039877_Restructuring &amp; Separation" xfId="5388"/>
    <cellStyle name="_MOR - BDWY - 1+11_~0039877_Restructuring &amp; Separation_Guidance" xfId="5389"/>
    <cellStyle name="_MOR - BDWY - 1+11_~0039877_Restructuring &amp; Separation_Guidance 2" xfId="5390"/>
    <cellStyle name="_MOR - BDWY - 1+11_~0039877_Restructuring &amp; Separation_Guidance_BS retrieve" xfId="5391"/>
    <cellStyle name="_MOR - BDWY - 1+11_~0039877_Restructuring &amp; Separation_Guidance_Free CF" xfId="5392"/>
    <cellStyle name="_MOR - BDWY - 1+11_~0039877_Restructuring &amp; Separation_Guidance_P&amp;L Rec Qtr" xfId="5393"/>
    <cellStyle name="_MOR - BDWY - 1+11_~0039877_Restructuring &amp; Separation_Guidance_Sheet1" xfId="5394"/>
    <cellStyle name="_MOR - BDWY - 1+11_~0039877_Restructuring &amp; Separation_Guidance_Sheet2" xfId="5395"/>
    <cellStyle name="_MOR - BDWY - 1+11_~0039877_Restructuring &amp; Separation_Guidance_Sheet3" xfId="5396"/>
    <cellStyle name="_MOR - BDWY - 1+11_~0039877_Restructuring &amp; Separation_Guidance_Sheet4" xfId="5397"/>
    <cellStyle name="_MOR - BDWY - 1+11_~0039877_Restructuring_Separation_TAX_JuneFC2010 tf" xfId="5398"/>
    <cellStyle name="_MOR - BDWY - 1+11_~0039877_Restructuring_Separation_TAX_JuneFC2010 tf_BS_Separation_TaxResIndem_Q12412 tf" xfId="5399"/>
    <cellStyle name="_MOR - BDWY - 1+11_~0039877_Restructuring_Separation_TAX_JuneFC2010 tf_BS_Separation_TaxResIndem_Q12412 tf_Guidance" xfId="5400"/>
    <cellStyle name="_MOR - BDWY - 1+11_~0039877_Restructuring_Separation_TAX_JuneFC2010 tf_BS_Separation_TaxResIndem_Q12412 tf_Guidance 2" xfId="5401"/>
    <cellStyle name="_MOR - BDWY - 1+11_~0039877_Restructuring_Separation_TAX_JuneFC2010 tf_BS_Separation_TaxResIndem_Q12412 tf_Guidance_BS retrieve" xfId="5402"/>
    <cellStyle name="_MOR - BDWY - 1+11_~0039877_Restructuring_Separation_TAX_JuneFC2010 tf_BS_Separation_TaxResIndem_Q12412 tf_Guidance_Free CF" xfId="5403"/>
    <cellStyle name="_MOR - BDWY - 1+11_~0039877_Restructuring_Separation_TAX_JuneFC2010 tf_BS_Separation_TaxResIndem_Q12412 tf_Guidance_P&amp;L Rec Qtr" xfId="5404"/>
    <cellStyle name="_MOR - BDWY - 1+11_~0039877_Restructuring_Separation_TAX_JuneFC2010 tf_BS_Separation_TaxResIndem_Q12412 tf_Guidance_Sheet1" xfId="5405"/>
    <cellStyle name="_MOR - BDWY - 1+11_~0039877_Restructuring_Separation_TAX_JuneFC2010 tf_BS_Separation_TaxResIndem_Q12412 tf_Guidance_Sheet2" xfId="5406"/>
    <cellStyle name="_MOR - BDWY - 1+11_~0039877_Restructuring_Separation_TAX_JuneFC2010 tf_BS_Separation_TaxResIndem_Q12412 tf_Guidance_Sheet3" xfId="5407"/>
    <cellStyle name="_MOR - BDWY - 1+11_~0039877_Restructuring_Separation_TAX_JuneFC2010 tf_BS_Separation_TaxResIndem_Q12412 tf_Guidance_Sheet4" xfId="5408"/>
    <cellStyle name="_MOR - BDWY - 1+11_~0039877_Restructuring_Separation_TAX_JuneFC2010 tf_BS_Separation_TaxResIndem_Q12412 tf_Restructuring &amp; Separation" xfId="5409"/>
    <cellStyle name="_MOR - BDWY - 1+11_~0039877_Restructuring_Separation_TAX_JuneFC2010 tf_BS_Separation_TaxResIndem_Q12412 tf_Restructuring &amp; Separation_Guidance" xfId="5410"/>
    <cellStyle name="_MOR - BDWY - 1+11_~0039877_Restructuring_Separation_TAX_JuneFC2010 tf_BS_Separation_TaxResIndem_Q12412 tf_Restructuring &amp; Separation_Guidance 2" xfId="5411"/>
    <cellStyle name="_MOR - BDWY - 1+11_~0039877_Restructuring_Separation_TAX_JuneFC2010 tf_BS_Separation_TaxResIndem_Q12412 tf_Restructuring &amp; Separation_Guidance_BS retrieve" xfId="5412"/>
    <cellStyle name="_MOR - BDWY - 1+11_~0039877_Restructuring_Separation_TAX_JuneFC2010 tf_BS_Separation_TaxResIndem_Q12412 tf_Restructuring &amp; Separation_Guidance_Free CF" xfId="5413"/>
    <cellStyle name="_MOR - BDWY - 1+11_~0039877_Restructuring_Separation_TAX_JuneFC2010 tf_BS_Separation_TaxResIndem_Q12412 tf_Restructuring &amp; Separation_Guidance_P&amp;L Rec Qtr" xfId="5414"/>
    <cellStyle name="_MOR - BDWY - 1+11_~0039877_Restructuring_Separation_TAX_JuneFC2010 tf_BS_Separation_TaxResIndem_Q12412 tf_Restructuring &amp; Separation_Guidance_Sheet1" xfId="5415"/>
    <cellStyle name="_MOR - BDWY - 1+11_~0039877_Restructuring_Separation_TAX_JuneFC2010 tf_BS_Separation_TaxResIndem_Q12412 tf_Restructuring &amp; Separation_Guidance_Sheet2" xfId="5416"/>
    <cellStyle name="_MOR - BDWY - 1+11_~0039877_Restructuring_Separation_TAX_JuneFC2010 tf_BS_Separation_TaxResIndem_Q12412 tf_Restructuring &amp; Separation_Guidance_Sheet3" xfId="5417"/>
    <cellStyle name="_MOR - BDWY - 1+11_~0039877_Restructuring_Separation_TAX_JuneFC2010 tf_BS_Separation_TaxResIndem_Q12412 tf_Restructuring &amp; Separation_Guidance_Sheet4" xfId="5418"/>
    <cellStyle name="_MOR - BDWY - 1+11_~0039877_Restructuring_Separation_TAX_JuneFC2010 tf_Guidance" xfId="5419"/>
    <cellStyle name="_MOR - BDWY - 1+11_~0039877_Restructuring_Separation_TAX_JuneFC2010 tf_Guidance 2" xfId="5420"/>
    <cellStyle name="_MOR - BDWY - 1+11_~0039877_Restructuring_Separation_TAX_JuneFC2010 tf_Guidance_BS retrieve" xfId="5421"/>
    <cellStyle name="_MOR - BDWY - 1+11_~0039877_Restructuring_Separation_TAX_JuneFC2010 tf_Guidance_Free CF" xfId="5422"/>
    <cellStyle name="_MOR - BDWY - 1+11_~0039877_Restructuring_Separation_TAX_JuneFC2010 tf_Guidance_P&amp;L Rec Qtr" xfId="5423"/>
    <cellStyle name="_MOR - BDWY - 1+11_~0039877_Restructuring_Separation_TAX_JuneFC2010 tf_Guidance_Sheet1" xfId="5424"/>
    <cellStyle name="_MOR - BDWY - 1+11_~0039877_Restructuring_Separation_TAX_JuneFC2010 tf_Guidance_Sheet2" xfId="5425"/>
    <cellStyle name="_MOR - BDWY - 1+11_~0039877_Restructuring_Separation_TAX_JuneFC2010 tf_Guidance_Sheet3" xfId="5426"/>
    <cellStyle name="_MOR - BDWY - 1+11_~0039877_Restructuring_Separation_TAX_JuneFC2010 tf_Guidance_Sheet4" xfId="5427"/>
    <cellStyle name="_MOR - BDWY - 1+11_~0039877_Restructuring_Separation_TAX_JuneFC2010 tf_II.8. Sep&amp;Discrete" xfId="5428"/>
    <cellStyle name="_MOR - BDWY - 1+11_~0039877_Restructuring_Separation_TAX_JuneFC2010 tf_II.8. Sep&amp;Discrete_Guidance" xfId="5429"/>
    <cellStyle name="_MOR - BDWY - 1+11_~0039877_Restructuring_Separation_TAX_JuneFC2010 tf_II.8. Sep&amp;Discrete_Guidance 2" xfId="5430"/>
    <cellStyle name="_MOR - BDWY - 1+11_~0039877_Restructuring_Separation_TAX_JuneFC2010 tf_II.8. Sep&amp;Discrete_Guidance_BS retrieve" xfId="5431"/>
    <cellStyle name="_MOR - BDWY - 1+11_~0039877_Restructuring_Separation_TAX_JuneFC2010 tf_II.8. Sep&amp;Discrete_Guidance_Free CF" xfId="5432"/>
    <cellStyle name="_MOR - BDWY - 1+11_~0039877_Restructuring_Separation_TAX_JuneFC2010 tf_II.8. Sep&amp;Discrete_Guidance_P&amp;L Rec Qtr" xfId="5433"/>
    <cellStyle name="_MOR - BDWY - 1+11_~0039877_Restructuring_Separation_TAX_JuneFC2010 tf_II.8. Sep&amp;Discrete_Guidance_Sheet1" xfId="5434"/>
    <cellStyle name="_MOR - BDWY - 1+11_~0039877_Restructuring_Separation_TAX_JuneFC2010 tf_II.8. Sep&amp;Discrete_Guidance_Sheet2" xfId="5435"/>
    <cellStyle name="_MOR - BDWY - 1+11_~0039877_Restructuring_Separation_TAX_JuneFC2010 tf_II.8. Sep&amp;Discrete_Guidance_Sheet3" xfId="5436"/>
    <cellStyle name="_MOR - BDWY - 1+11_~0039877_Restructuring_Separation_TAX_JuneFC2010 tf_II.8. Sep&amp;Discrete_Guidance_Sheet4" xfId="5437"/>
    <cellStyle name="_MOR - BDWY - 1+11_~0039877_Restructuring_Separation_TAX_JuneFC2010 tf_Restructuring &amp; Separation" xfId="5438"/>
    <cellStyle name="_MOR - BDWY - 1+11_~0039877_Restructuring_Separation_TAX_JuneFC2010 tf_Restructuring &amp; Separation_Guidance" xfId="5439"/>
    <cellStyle name="_MOR - BDWY - 1+11_~0039877_Restructuring_Separation_TAX_JuneFC2010 tf_Restructuring &amp; Separation_Guidance 2" xfId="5440"/>
    <cellStyle name="_MOR - BDWY - 1+11_~0039877_Restructuring_Separation_TAX_JuneFC2010 tf_Restructuring &amp; Separation_Guidance_BS retrieve" xfId="5441"/>
    <cellStyle name="_MOR - BDWY - 1+11_~0039877_Restructuring_Separation_TAX_JuneFC2010 tf_Restructuring &amp; Separation_Guidance_Free CF" xfId="5442"/>
    <cellStyle name="_MOR - BDWY - 1+11_~0039877_Restructuring_Separation_TAX_JuneFC2010 tf_Restructuring &amp; Separation_Guidance_P&amp;L Rec Qtr" xfId="5443"/>
    <cellStyle name="_MOR - BDWY - 1+11_~0039877_Restructuring_Separation_TAX_JuneFC2010 tf_Restructuring &amp; Separation_Guidance_Sheet1" xfId="5444"/>
    <cellStyle name="_MOR - BDWY - 1+11_~0039877_Restructuring_Separation_TAX_JuneFC2010 tf_Restructuring &amp; Separation_Guidance_Sheet2" xfId="5445"/>
    <cellStyle name="_MOR - BDWY - 1+11_~0039877_Restructuring_Separation_TAX_JuneFC2010 tf_Restructuring &amp; Separation_Guidance_Sheet3" xfId="5446"/>
    <cellStyle name="_MOR - BDWY - 1+11_~0039877_Restructuring_Separation_TAX_JuneFC2010 tf_Restructuring &amp; Separation_Guidance_Sheet4" xfId="5447"/>
    <cellStyle name="_MOR - BDWY - 1+11_BS_Separation_TaxResIndem_Q12412 tf" xfId="5448"/>
    <cellStyle name="_MOR - BDWY - 1+11_BS_Separation_TaxResIndem_Q12412 tf_Guidance" xfId="5449"/>
    <cellStyle name="_MOR - BDWY - 1+11_BS_Separation_TaxResIndem_Q12412 tf_Guidance 2" xfId="5450"/>
    <cellStyle name="_MOR - BDWY - 1+11_BS_Separation_TaxResIndem_Q12412 tf_Guidance_BS retrieve" xfId="5451"/>
    <cellStyle name="_MOR - BDWY - 1+11_BS_Separation_TaxResIndem_Q12412 tf_Guidance_Free CF" xfId="5452"/>
    <cellStyle name="_MOR - BDWY - 1+11_BS_Separation_TaxResIndem_Q12412 tf_Guidance_P&amp;L Rec Qtr" xfId="5453"/>
    <cellStyle name="_MOR - BDWY - 1+11_BS_Separation_TaxResIndem_Q12412 tf_Guidance_Sheet1" xfId="5454"/>
    <cellStyle name="_MOR - BDWY - 1+11_BS_Separation_TaxResIndem_Q12412 tf_Guidance_Sheet2" xfId="5455"/>
    <cellStyle name="_MOR - BDWY - 1+11_BS_Separation_TaxResIndem_Q12412 tf_Guidance_Sheet3" xfId="5456"/>
    <cellStyle name="_MOR - BDWY - 1+11_BS_Separation_TaxResIndem_Q12412 tf_Guidance_Sheet4" xfId="5457"/>
    <cellStyle name="_MOR - BDWY - 1+11_BS_Separation_TaxResIndem_Q12412 tf_Restructuring &amp; Separation" xfId="5458"/>
    <cellStyle name="_MOR - BDWY - 1+11_BS_Separation_TaxResIndem_Q12412 tf_Restructuring &amp; Separation_Guidance" xfId="5459"/>
    <cellStyle name="_MOR - BDWY - 1+11_BS_Separation_TaxResIndem_Q12412 tf_Restructuring &amp; Separation_Guidance 2" xfId="5460"/>
    <cellStyle name="_MOR - BDWY - 1+11_BS_Separation_TaxResIndem_Q12412 tf_Restructuring &amp; Separation_Guidance_BS retrieve" xfId="5461"/>
    <cellStyle name="_MOR - BDWY - 1+11_BS_Separation_TaxResIndem_Q12412 tf_Restructuring &amp; Separation_Guidance_Free CF" xfId="5462"/>
    <cellStyle name="_MOR - BDWY - 1+11_BS_Separation_TaxResIndem_Q12412 tf_Restructuring &amp; Separation_Guidance_P&amp;L Rec Qtr" xfId="5463"/>
    <cellStyle name="_MOR - BDWY - 1+11_BS_Separation_TaxResIndem_Q12412 tf_Restructuring &amp; Separation_Guidance_Sheet1" xfId="5464"/>
    <cellStyle name="_MOR - BDWY - 1+11_BS_Separation_TaxResIndem_Q12412 tf_Restructuring &amp; Separation_Guidance_Sheet2" xfId="5465"/>
    <cellStyle name="_MOR - BDWY - 1+11_BS_Separation_TaxResIndem_Q12412 tf_Restructuring &amp; Separation_Guidance_Sheet3" xfId="5466"/>
    <cellStyle name="_MOR - BDWY - 1+11_BS_Separation_TaxResIndem_Q12412 tf_Restructuring &amp; Separation_Guidance_Sheet4" xfId="5467"/>
    <cellStyle name="_MOR - BDWY - 1+11_By Country Detail 1Q10 041410pm FIN 18 revised per disc w Mary" xfId="5468"/>
    <cellStyle name="_MOR - BDWY - 1+11_By Country Detail 1Q10 041410pm FIN 18 revised per disc w Mary_BS_Separation_TaxResIndem_Q12412 tf" xfId="5469"/>
    <cellStyle name="_MOR - BDWY - 1+11_By Country Detail 1Q10 041410pm FIN 18 revised per disc w Mary_BS_Separation_TaxResIndem_Q12412 tf_Guidance" xfId="5470"/>
    <cellStyle name="_MOR - BDWY - 1+11_By Country Detail 1Q10 041410pm FIN 18 revised per disc w Mary_BS_Separation_TaxResIndem_Q12412 tf_Guidance 2" xfId="5471"/>
    <cellStyle name="_MOR - BDWY - 1+11_By Country Detail 1Q10 041410pm FIN 18 revised per disc w Mary_BS_Separation_TaxResIndem_Q12412 tf_Guidance_BS retrieve" xfId="5472"/>
    <cellStyle name="_MOR - BDWY - 1+11_By Country Detail 1Q10 041410pm FIN 18 revised per disc w Mary_BS_Separation_TaxResIndem_Q12412 tf_Guidance_Free CF" xfId="5473"/>
    <cellStyle name="_MOR - BDWY - 1+11_By Country Detail 1Q10 041410pm FIN 18 revised per disc w Mary_BS_Separation_TaxResIndem_Q12412 tf_Guidance_P&amp;L Rec Qtr" xfId="5474"/>
    <cellStyle name="_MOR - BDWY - 1+11_By Country Detail 1Q10 041410pm FIN 18 revised per disc w Mary_BS_Separation_TaxResIndem_Q12412 tf_Guidance_Sheet1" xfId="5475"/>
    <cellStyle name="_MOR - BDWY - 1+11_By Country Detail 1Q10 041410pm FIN 18 revised per disc w Mary_BS_Separation_TaxResIndem_Q12412 tf_Guidance_Sheet2" xfId="5476"/>
    <cellStyle name="_MOR - BDWY - 1+11_By Country Detail 1Q10 041410pm FIN 18 revised per disc w Mary_BS_Separation_TaxResIndem_Q12412 tf_Guidance_Sheet3" xfId="5477"/>
    <cellStyle name="_MOR - BDWY - 1+11_By Country Detail 1Q10 041410pm FIN 18 revised per disc w Mary_BS_Separation_TaxResIndem_Q12412 tf_Guidance_Sheet4" xfId="5478"/>
    <cellStyle name="_MOR - BDWY - 1+11_By Country Detail 1Q10 041410pm FIN 18 revised per disc w Mary_BS_Separation_TaxResIndem_Q12412 tf_Restructuring &amp; Separation" xfId="5479"/>
    <cellStyle name="_MOR - BDWY - 1+11_By Country Detail 1Q10 041410pm FIN 18 revised per disc w Mary_BS_Separation_TaxResIndem_Q12412 tf_Restructuring &amp; Separation_Guidance" xfId="5480"/>
    <cellStyle name="_MOR - BDWY - 1+11_By Country Detail 1Q10 041410pm FIN 18 revised per disc w Mary_BS_Separation_TaxResIndem_Q12412 tf_Restructuring &amp; Separation_Guidance 2" xfId="5481"/>
    <cellStyle name="_MOR - BDWY - 1+11_By Country Detail 1Q10 041410pm FIN 18 revised per disc w Mary_BS_Separation_TaxResIndem_Q12412 tf_Restructuring &amp; Separation_Guidance_BS retrieve" xfId="5482"/>
    <cellStyle name="_MOR - BDWY - 1+11_By Country Detail 1Q10 041410pm FIN 18 revised per disc w Mary_BS_Separation_TaxResIndem_Q12412 tf_Restructuring &amp; Separation_Guidance_Free CF" xfId="5483"/>
    <cellStyle name="_MOR - BDWY - 1+11_By Country Detail 1Q10 041410pm FIN 18 revised per disc w Mary_BS_Separation_TaxResIndem_Q12412 tf_Restructuring &amp; Separation_Guidance_P&amp;L Rec Qtr" xfId="5484"/>
    <cellStyle name="_MOR - BDWY - 1+11_By Country Detail 1Q10 041410pm FIN 18 revised per disc w Mary_BS_Separation_TaxResIndem_Q12412 tf_Restructuring &amp; Separation_Guidance_Sheet1" xfId="5485"/>
    <cellStyle name="_MOR - BDWY - 1+11_By Country Detail 1Q10 041410pm FIN 18 revised per disc w Mary_BS_Separation_TaxResIndem_Q12412 tf_Restructuring &amp; Separation_Guidance_Sheet2" xfId="5486"/>
    <cellStyle name="_MOR - BDWY - 1+11_By Country Detail 1Q10 041410pm FIN 18 revised per disc w Mary_BS_Separation_TaxResIndem_Q12412 tf_Restructuring &amp; Separation_Guidance_Sheet3" xfId="5487"/>
    <cellStyle name="_MOR - BDWY - 1+11_By Country Detail 1Q10 041410pm FIN 18 revised per disc w Mary_BS_Separation_TaxResIndem_Q12412 tf_Restructuring &amp; Separation_Guidance_Sheet4" xfId="5488"/>
    <cellStyle name="_MOR - BDWY - 1+11_By Country Detail 1Q10 041410pm FIN 18 revised per disc w Mary_Guidance" xfId="5489"/>
    <cellStyle name="_MOR - BDWY - 1+11_By Country Detail 1Q10 041410pm FIN 18 revised per disc w Mary_Guidance 2" xfId="5490"/>
    <cellStyle name="_MOR - BDWY - 1+11_By Country Detail 1Q10 041410pm FIN 18 revised per disc w Mary_Guidance_BS retrieve" xfId="5491"/>
    <cellStyle name="_MOR - BDWY - 1+11_By Country Detail 1Q10 041410pm FIN 18 revised per disc w Mary_Guidance_Free CF" xfId="5492"/>
    <cellStyle name="_MOR - BDWY - 1+11_By Country Detail 1Q10 041410pm FIN 18 revised per disc w Mary_Guidance_P&amp;L Rec Qtr" xfId="5493"/>
    <cellStyle name="_MOR - BDWY - 1+11_By Country Detail 1Q10 041410pm FIN 18 revised per disc w Mary_Guidance_Sheet1" xfId="5494"/>
    <cellStyle name="_MOR - BDWY - 1+11_By Country Detail 1Q10 041410pm FIN 18 revised per disc w Mary_Guidance_Sheet2" xfId="5495"/>
    <cellStyle name="_MOR - BDWY - 1+11_By Country Detail 1Q10 041410pm FIN 18 revised per disc w Mary_Guidance_Sheet3" xfId="5496"/>
    <cellStyle name="_MOR - BDWY - 1+11_By Country Detail 1Q10 041410pm FIN 18 revised per disc w Mary_Guidance_Sheet4" xfId="5497"/>
    <cellStyle name="_MOR - BDWY - 1+11_By Country Detail 1Q10 041410pm FIN 18 revised per disc w Mary_II.8. Sep&amp;Discrete" xfId="5498"/>
    <cellStyle name="_MOR - BDWY - 1+11_By Country Detail 1Q10 041410pm FIN 18 revised per disc w Mary_II.8. Sep&amp;Discrete_Guidance" xfId="5499"/>
    <cellStyle name="_MOR - BDWY - 1+11_By Country Detail 1Q10 041410pm FIN 18 revised per disc w Mary_II.8. Sep&amp;Discrete_Guidance 2" xfId="5500"/>
    <cellStyle name="_MOR - BDWY - 1+11_By Country Detail 1Q10 041410pm FIN 18 revised per disc w Mary_II.8. Sep&amp;Discrete_Guidance_BS retrieve" xfId="5501"/>
    <cellStyle name="_MOR - BDWY - 1+11_By Country Detail 1Q10 041410pm FIN 18 revised per disc w Mary_II.8. Sep&amp;Discrete_Guidance_Free CF" xfId="5502"/>
    <cellStyle name="_MOR - BDWY - 1+11_By Country Detail 1Q10 041410pm FIN 18 revised per disc w Mary_II.8. Sep&amp;Discrete_Guidance_P&amp;L Rec Qtr" xfId="5503"/>
    <cellStyle name="_MOR - BDWY - 1+11_By Country Detail 1Q10 041410pm FIN 18 revised per disc w Mary_II.8. Sep&amp;Discrete_Guidance_Sheet1" xfId="5504"/>
    <cellStyle name="_MOR - BDWY - 1+11_By Country Detail 1Q10 041410pm FIN 18 revised per disc w Mary_II.8. Sep&amp;Discrete_Guidance_Sheet2" xfId="5505"/>
    <cellStyle name="_MOR - BDWY - 1+11_By Country Detail 1Q10 041410pm FIN 18 revised per disc w Mary_II.8. Sep&amp;Discrete_Guidance_Sheet3" xfId="5506"/>
    <cellStyle name="_MOR - BDWY - 1+11_By Country Detail 1Q10 041410pm FIN 18 revised per disc w Mary_II.8. Sep&amp;Discrete_Guidance_Sheet4" xfId="5507"/>
    <cellStyle name="_MOR - BDWY - 1+11_By Country Detail 1Q10 041410pm FIN 18 revised per disc w Mary_Restructuring &amp; Separation" xfId="5508"/>
    <cellStyle name="_MOR - BDWY - 1+11_By Country Detail 1Q10 041410pm FIN 18 revised per disc w Mary_Restructuring &amp; Separation_Guidance" xfId="5509"/>
    <cellStyle name="_MOR - BDWY - 1+11_By Country Detail 1Q10 041410pm FIN 18 revised per disc w Mary_Restructuring &amp; Separation_Guidance 2" xfId="5510"/>
    <cellStyle name="_MOR - BDWY - 1+11_By Country Detail 1Q10 041410pm FIN 18 revised per disc w Mary_Restructuring &amp; Separation_Guidance_BS retrieve" xfId="5511"/>
    <cellStyle name="_MOR - BDWY - 1+11_By Country Detail 1Q10 041410pm FIN 18 revised per disc w Mary_Restructuring &amp; Separation_Guidance_Free CF" xfId="5512"/>
    <cellStyle name="_MOR - BDWY - 1+11_By Country Detail 1Q10 041410pm FIN 18 revised per disc w Mary_Restructuring &amp; Separation_Guidance_P&amp;L Rec Qtr" xfId="5513"/>
    <cellStyle name="_MOR - BDWY - 1+11_By Country Detail 1Q10 041410pm FIN 18 revised per disc w Mary_Restructuring &amp; Separation_Guidance_Sheet1" xfId="5514"/>
    <cellStyle name="_MOR - BDWY - 1+11_By Country Detail 1Q10 041410pm FIN 18 revised per disc w Mary_Restructuring &amp; Separation_Guidance_Sheet2" xfId="5515"/>
    <cellStyle name="_MOR - BDWY - 1+11_By Country Detail 1Q10 041410pm FIN 18 revised per disc w Mary_Restructuring &amp; Separation_Guidance_Sheet3" xfId="5516"/>
    <cellStyle name="_MOR - BDWY - 1+11_By Country Detail 1Q10 041410pm FIN 18 revised per disc w Mary_Restructuring &amp; Separation_Guidance_Sheet4" xfId="5517"/>
    <cellStyle name="_MOR - BDWY - 1+11_Guidance" xfId="5518"/>
    <cellStyle name="_MOR - BDWY - 1+11_Guidance 2" xfId="5519"/>
    <cellStyle name="_MOR - BDWY - 1+11_Guidance_BS retrieve" xfId="5520"/>
    <cellStyle name="_MOR - BDWY - 1+11_Guidance_Free CF" xfId="5521"/>
    <cellStyle name="_MOR - BDWY - 1+11_Guidance_P&amp;L Rec Qtr" xfId="5522"/>
    <cellStyle name="_MOR - BDWY - 1+11_Guidance_Sheet1" xfId="5523"/>
    <cellStyle name="_MOR - BDWY - 1+11_Guidance_Sheet2" xfId="5524"/>
    <cellStyle name="_MOR - BDWY - 1+11_Guidance_Sheet3" xfId="5525"/>
    <cellStyle name="_MOR - BDWY - 1+11_Guidance_Sheet4" xfId="5526"/>
    <cellStyle name="_MOR - BDWY - 1+11_II.4. RawMaterials" xfId="5527"/>
    <cellStyle name="_MOR - BDWY - 1+11_II.4. RawMaterials 2" xfId="5528"/>
    <cellStyle name="_MOR - BDWY - 1+11_II.4. RawMaterials_BS retrieve" xfId="5529"/>
    <cellStyle name="_MOR - BDWY - 1+11_II.4. RawMaterials_Free CF" xfId="5530"/>
    <cellStyle name="_MOR - BDWY - 1+11_II.4. RawMaterials_P&amp;L Rec Qtr" xfId="5531"/>
    <cellStyle name="_MOR - BDWY - 1+11_II.4. RawMaterials_Sheet1" xfId="5532"/>
    <cellStyle name="_MOR - BDWY - 1+11_II.4. RawMaterials_Sheet2" xfId="5533"/>
    <cellStyle name="_MOR - BDWY - 1+11_II.4. RawMaterials_Sheet3" xfId="5534"/>
    <cellStyle name="_MOR - BDWY - 1+11_II.4. RawMaterials_Sheet4" xfId="5535"/>
    <cellStyle name="_MOR - BDWY - 1+11_II.5. RawMaterials" xfId="5536"/>
    <cellStyle name="_MOR - BDWY - 1+11_II.5. RawMaterials 2" xfId="5537"/>
    <cellStyle name="_MOR - BDWY - 1+11_II.5. RawMaterials_BS retrieve" xfId="5538"/>
    <cellStyle name="_MOR - BDWY - 1+11_II.5. RawMaterials_Free CF" xfId="5539"/>
    <cellStyle name="_MOR - BDWY - 1+11_II.5. RawMaterials_Guidance" xfId="5540"/>
    <cellStyle name="_MOR - BDWY - 1+11_II.5. RawMaterials_Guidance 2" xfId="5541"/>
    <cellStyle name="_MOR - BDWY - 1+11_II.5. RawMaterials_Guidance_BS retrieve" xfId="5542"/>
    <cellStyle name="_MOR - BDWY - 1+11_II.5. RawMaterials_Guidance_Free CF" xfId="5543"/>
    <cellStyle name="_MOR - BDWY - 1+11_II.5. RawMaterials_Guidance_P&amp;L Rec Qtr" xfId="5544"/>
    <cellStyle name="_MOR - BDWY - 1+11_II.5. RawMaterials_Guidance_Sheet1" xfId="5545"/>
    <cellStyle name="_MOR - BDWY - 1+11_II.5. RawMaterials_Guidance_Sheet2" xfId="5546"/>
    <cellStyle name="_MOR - BDWY - 1+11_II.5. RawMaterials_Guidance_Sheet3" xfId="5547"/>
    <cellStyle name="_MOR - BDWY - 1+11_II.5. RawMaterials_Guidance_Sheet4" xfId="5548"/>
    <cellStyle name="_MOR - BDWY - 1+11_II.5. RawMaterials_P&amp;L Rec Qtr" xfId="5549"/>
    <cellStyle name="_MOR - BDWY - 1+11_II.5. RawMaterials_Sheet1" xfId="5550"/>
    <cellStyle name="_MOR - BDWY - 1+11_II.5. RawMaterials_Sheet2" xfId="5551"/>
    <cellStyle name="_MOR - BDWY - 1+11_II.5. RawMaterials_Sheet3" xfId="5552"/>
    <cellStyle name="_MOR - BDWY - 1+11_II.5. RawMaterials_Sheet4" xfId="5553"/>
    <cellStyle name="_MOR - BDWY - 1+11_II.5. RM Volume Sensitivities" xfId="5554"/>
    <cellStyle name="_MOR - BDWY - 1+11_II.5. RM Volume Sensitivities 2" xfId="5555"/>
    <cellStyle name="_MOR - BDWY - 1+11_II.5. RM Volume Sensitivities_BS retrieve" xfId="5556"/>
    <cellStyle name="_MOR - BDWY - 1+11_II.5. RM Volume Sensitivities_Free CF" xfId="5557"/>
    <cellStyle name="_MOR - BDWY - 1+11_II.5. RM Volume Sensitivities_P&amp;L Rec Qtr" xfId="5558"/>
    <cellStyle name="_MOR - BDWY - 1+11_II.5. RM Volume Sensitivities_Sheet1" xfId="5559"/>
    <cellStyle name="_MOR - BDWY - 1+11_II.5. RM Volume Sensitivities_Sheet2" xfId="5560"/>
    <cellStyle name="_MOR - BDWY - 1+11_II.5. RM Volume Sensitivities_Sheet3" xfId="5561"/>
    <cellStyle name="_MOR - BDWY - 1+11_II.5. RM Volume Sensitivities_Sheet4" xfId="5562"/>
    <cellStyle name="_MOR - BDWY - 1+11_II.8. Sep&amp;Discrete" xfId="5563"/>
    <cellStyle name="_MOR - BDWY - 1+11_II.8. Sep&amp;Discrete_Guidance" xfId="5564"/>
    <cellStyle name="_MOR - BDWY - 1+11_II.8. Sep&amp;Discrete_Guidance 2" xfId="5565"/>
    <cellStyle name="_MOR - BDWY - 1+11_II.8. Sep&amp;Discrete_Guidance_BS retrieve" xfId="5566"/>
    <cellStyle name="_MOR - BDWY - 1+11_II.8. Sep&amp;Discrete_Guidance_Free CF" xfId="5567"/>
    <cellStyle name="_MOR - BDWY - 1+11_II.8. Sep&amp;Discrete_Guidance_P&amp;L Rec Qtr" xfId="5568"/>
    <cellStyle name="_MOR - BDWY - 1+11_II.8. Sep&amp;Discrete_Guidance_Sheet1" xfId="5569"/>
    <cellStyle name="_MOR - BDWY - 1+11_II.8. Sep&amp;Discrete_Guidance_Sheet2" xfId="5570"/>
    <cellStyle name="_MOR - BDWY - 1+11_II.8. Sep&amp;Discrete_Guidance_Sheet3" xfId="5571"/>
    <cellStyle name="_MOR - BDWY - 1+11_II.8. Sep&amp;Discrete_Guidance_Sheet4" xfId="5572"/>
    <cellStyle name="_MOR - BDWY - 1+11_MOR - Australia -  EC - 1+11" xfId="5573"/>
    <cellStyle name="_MOR - BDWY - 1+11_MOR - Australia -  EC - 1+11_BS_Separation_TaxResIndem_Q12412 tf" xfId="5574"/>
    <cellStyle name="_MOR - BDWY - 1+11_MOR - Australia -  EC - 1+11_BS_Separation_TaxResIndem_Q12412 tf_Guidance" xfId="5575"/>
    <cellStyle name="_MOR - BDWY - 1+11_MOR - Australia -  EC - 1+11_BS_Separation_TaxResIndem_Q12412 tf_Guidance 2" xfId="5576"/>
    <cellStyle name="_MOR - BDWY - 1+11_MOR - Australia -  EC - 1+11_BS_Separation_TaxResIndem_Q12412 tf_Guidance_BS retrieve" xfId="5577"/>
    <cellStyle name="_MOR - BDWY - 1+11_MOR - Australia -  EC - 1+11_BS_Separation_TaxResIndem_Q12412 tf_Guidance_Free CF" xfId="5578"/>
    <cellStyle name="_MOR - BDWY - 1+11_MOR - Australia -  EC - 1+11_BS_Separation_TaxResIndem_Q12412 tf_Guidance_P&amp;L Rec Qtr" xfId="5579"/>
    <cellStyle name="_MOR - BDWY - 1+11_MOR - Australia -  EC - 1+11_BS_Separation_TaxResIndem_Q12412 tf_Guidance_Sheet1" xfId="5580"/>
    <cellStyle name="_MOR - BDWY - 1+11_MOR - Australia -  EC - 1+11_BS_Separation_TaxResIndem_Q12412 tf_Guidance_Sheet2" xfId="5581"/>
    <cellStyle name="_MOR - BDWY - 1+11_MOR - Australia -  EC - 1+11_BS_Separation_TaxResIndem_Q12412 tf_Guidance_Sheet3" xfId="5582"/>
    <cellStyle name="_MOR - BDWY - 1+11_MOR - Australia -  EC - 1+11_BS_Separation_TaxResIndem_Q12412 tf_Guidance_Sheet4" xfId="5583"/>
    <cellStyle name="_MOR - BDWY - 1+11_MOR - Australia -  EC - 1+11_BS_Separation_TaxResIndem_Q12412 tf_Restructuring &amp; Separation" xfId="5584"/>
    <cellStyle name="_MOR - BDWY - 1+11_MOR - Australia -  EC - 1+11_BS_Separation_TaxResIndem_Q12412 tf_Restructuring &amp; Separation_Guidance" xfId="5585"/>
    <cellStyle name="_MOR - BDWY - 1+11_MOR - Australia -  EC - 1+11_BS_Separation_TaxResIndem_Q12412 tf_Restructuring &amp; Separation_Guidance 2" xfId="5586"/>
    <cellStyle name="_MOR - BDWY - 1+11_MOR - Australia -  EC - 1+11_BS_Separation_TaxResIndem_Q12412 tf_Restructuring &amp; Separation_Guidance_BS retrieve" xfId="5587"/>
    <cellStyle name="_MOR - BDWY - 1+11_MOR - Australia -  EC - 1+11_BS_Separation_TaxResIndem_Q12412 tf_Restructuring &amp; Separation_Guidance_Free CF" xfId="5588"/>
    <cellStyle name="_MOR - BDWY - 1+11_MOR - Australia -  EC - 1+11_BS_Separation_TaxResIndem_Q12412 tf_Restructuring &amp; Separation_Guidance_P&amp;L Rec Qtr" xfId="5589"/>
    <cellStyle name="_MOR - BDWY - 1+11_MOR - Australia -  EC - 1+11_BS_Separation_TaxResIndem_Q12412 tf_Restructuring &amp; Separation_Guidance_Sheet1" xfId="5590"/>
    <cellStyle name="_MOR - BDWY - 1+11_MOR - Australia -  EC - 1+11_BS_Separation_TaxResIndem_Q12412 tf_Restructuring &amp; Separation_Guidance_Sheet2" xfId="5591"/>
    <cellStyle name="_MOR - BDWY - 1+11_MOR - Australia -  EC - 1+11_BS_Separation_TaxResIndem_Q12412 tf_Restructuring &amp; Separation_Guidance_Sheet3" xfId="5592"/>
    <cellStyle name="_MOR - BDWY - 1+11_MOR - Australia -  EC - 1+11_BS_Separation_TaxResIndem_Q12412 tf_Restructuring &amp; Separation_Guidance_Sheet4" xfId="5593"/>
    <cellStyle name="_MOR - BDWY - 1+11_MOR - Australia -  EC - 1+11_By Country Detail 1Q10 041410pm FIN 18 revised per disc w Mary" xfId="5594"/>
    <cellStyle name="_MOR - BDWY - 1+11_MOR - Australia -  EC - 1+11_By Country Detail 1Q10 041410pm FIN 18 revised per disc w Mary_BS_Separation_TaxResIndem_Q12412 tf" xfId="5595"/>
    <cellStyle name="_MOR - BDWY - 1+11_MOR - Australia -  EC - 1+11_By Country Detail 1Q10 041410pm FIN 18 revised per disc w Mary_BS_Separation_TaxResIndem_Q12412 tf_Guidance" xfId="5596"/>
    <cellStyle name="_MOR - BDWY - 1+11_MOR - Australia -  EC - 1+11_By Country Detail 1Q10 041410pm FIN 18 revised per disc w Mary_BS_Separation_TaxResIndem_Q12412 tf_Guidance 2" xfId="5597"/>
    <cellStyle name="_MOR - BDWY - 1+11_MOR - Australia -  EC - 1+11_By Country Detail 1Q10 041410pm FIN 18 revised per disc w Mary_BS_Separation_TaxResIndem_Q12412 tf_Guidance_BS retrieve" xfId="5598"/>
    <cellStyle name="_MOR - BDWY - 1+11_MOR - Australia -  EC - 1+11_By Country Detail 1Q10 041410pm FIN 18 revised per disc w Mary_BS_Separation_TaxResIndem_Q12412 tf_Guidance_Free CF" xfId="5599"/>
    <cellStyle name="_MOR - BDWY - 1+11_MOR - Australia -  EC - 1+11_By Country Detail 1Q10 041410pm FIN 18 revised per disc w Mary_BS_Separation_TaxResIndem_Q12412 tf_Guidance_P&amp;L Rec Qtr" xfId="5600"/>
    <cellStyle name="_MOR - BDWY - 1+11_MOR - Australia -  EC - 1+11_By Country Detail 1Q10 041410pm FIN 18 revised per disc w Mary_BS_Separation_TaxResIndem_Q12412 tf_Guidance_Sheet1" xfId="5601"/>
    <cellStyle name="_MOR - BDWY - 1+11_MOR - Australia -  EC - 1+11_By Country Detail 1Q10 041410pm FIN 18 revised per disc w Mary_BS_Separation_TaxResIndem_Q12412 tf_Guidance_Sheet2" xfId="5602"/>
    <cellStyle name="_MOR - BDWY - 1+11_MOR - Australia -  EC - 1+11_By Country Detail 1Q10 041410pm FIN 18 revised per disc w Mary_BS_Separation_TaxResIndem_Q12412 tf_Guidance_Sheet3" xfId="5603"/>
    <cellStyle name="_MOR - BDWY - 1+11_MOR - Australia -  EC - 1+11_By Country Detail 1Q10 041410pm FIN 18 revised per disc w Mary_BS_Separation_TaxResIndem_Q12412 tf_Guidance_Sheet4" xfId="5604"/>
    <cellStyle name="_MOR - BDWY - 1+11_MOR - Australia -  EC - 1+11_By Country Detail 1Q10 041410pm FIN 18 revised per disc w Mary_BS_Separation_TaxResIndem_Q12412 tf_Restructuring &amp; Separation" xfId="5605"/>
    <cellStyle name="_MOR - BDWY - 1+11_MOR - Australia -  EC - 1+11_By Country Detail 1Q10 041410pm FIN 18 revised per disc w Mary_BS_Separation_TaxResIndem_Q12412 tf_Restructuring &amp; Separation_Guidance" xfId="5606"/>
    <cellStyle name="_MOR - BDWY - 1+11_MOR - Australia -  EC - 1+11_By Country Detail 1Q10 041410pm FIN 18 revised per disc w Mary_BS_Separation_TaxResIndem_Q12412 tf_Restructuring &amp; Separation_Guidance 2" xfId="5607"/>
    <cellStyle name="_MOR - BDWY - 1+11_MOR - Australia -  EC - 1+11_By Country Detail 1Q10 041410pm FIN 18 revised per disc w Mary_BS_Separation_TaxResIndem_Q12412 tf_Restructuring &amp; Separation_Guidance_BS retrieve" xfId="5608"/>
    <cellStyle name="_MOR - BDWY - 1+11_MOR - Australia -  EC - 1+11_By Country Detail 1Q10 041410pm FIN 18 revised per disc w Mary_BS_Separation_TaxResIndem_Q12412 tf_Restructuring &amp; Separation_Guidance_Free CF" xfId="5609"/>
    <cellStyle name="_MOR - BDWY - 1+11_MOR - Australia -  EC - 1+11_By Country Detail 1Q10 041410pm FIN 18 revised per disc w Mary_BS_Separation_TaxResIndem_Q12412 tf_Restructuring &amp; Separation_Guidance_P&amp;L Rec Qtr" xfId="5610"/>
    <cellStyle name="_MOR - BDWY - 1+11_MOR - Australia -  EC - 1+11_By Country Detail 1Q10 041410pm FIN 18 revised per disc w Mary_BS_Separation_TaxResIndem_Q12412 tf_Restructuring &amp; Separation_Guidance_Sheet1" xfId="5611"/>
    <cellStyle name="_MOR - BDWY - 1+11_MOR - Australia -  EC - 1+11_By Country Detail 1Q10 041410pm FIN 18 revised per disc w Mary_BS_Separation_TaxResIndem_Q12412 tf_Restructuring &amp; Separation_Guidance_Sheet2" xfId="5612"/>
    <cellStyle name="_MOR - BDWY - 1+11_MOR - Australia -  EC - 1+11_By Country Detail 1Q10 041410pm FIN 18 revised per disc w Mary_BS_Separation_TaxResIndem_Q12412 tf_Restructuring &amp; Separation_Guidance_Sheet3" xfId="5613"/>
    <cellStyle name="_MOR - BDWY - 1+11_MOR - Australia -  EC - 1+11_By Country Detail 1Q10 041410pm FIN 18 revised per disc w Mary_BS_Separation_TaxResIndem_Q12412 tf_Restructuring &amp; Separation_Guidance_Sheet4" xfId="5614"/>
    <cellStyle name="_MOR - BDWY - 1+11_MOR - Australia -  EC - 1+11_By Country Detail 1Q10 041410pm FIN 18 revised per disc w Mary_Guidance" xfId="5615"/>
    <cellStyle name="_MOR - BDWY - 1+11_MOR - Australia -  EC - 1+11_By Country Detail 1Q10 041410pm FIN 18 revised per disc w Mary_Guidance 2" xfId="5616"/>
    <cellStyle name="_MOR - BDWY - 1+11_MOR - Australia -  EC - 1+11_By Country Detail 1Q10 041410pm FIN 18 revised per disc w Mary_Guidance_BS retrieve" xfId="5617"/>
    <cellStyle name="_MOR - BDWY - 1+11_MOR - Australia -  EC - 1+11_By Country Detail 1Q10 041410pm FIN 18 revised per disc w Mary_Guidance_Free CF" xfId="5618"/>
    <cellStyle name="_MOR - BDWY - 1+11_MOR - Australia -  EC - 1+11_By Country Detail 1Q10 041410pm FIN 18 revised per disc w Mary_Guidance_P&amp;L Rec Qtr" xfId="5619"/>
    <cellStyle name="_MOR - BDWY - 1+11_MOR - Australia -  EC - 1+11_By Country Detail 1Q10 041410pm FIN 18 revised per disc w Mary_Guidance_Sheet1" xfId="5620"/>
    <cellStyle name="_MOR - BDWY - 1+11_MOR - Australia -  EC - 1+11_By Country Detail 1Q10 041410pm FIN 18 revised per disc w Mary_Guidance_Sheet2" xfId="5621"/>
    <cellStyle name="_MOR - BDWY - 1+11_MOR - Australia -  EC - 1+11_By Country Detail 1Q10 041410pm FIN 18 revised per disc w Mary_Guidance_Sheet3" xfId="5622"/>
    <cellStyle name="_MOR - BDWY - 1+11_MOR - Australia -  EC - 1+11_By Country Detail 1Q10 041410pm FIN 18 revised per disc w Mary_Guidance_Sheet4" xfId="5623"/>
    <cellStyle name="_MOR - BDWY - 1+11_MOR - Australia -  EC - 1+11_By Country Detail 1Q10 041410pm FIN 18 revised per disc w Mary_II.8. Sep&amp;Discrete" xfId="5624"/>
    <cellStyle name="_MOR - BDWY - 1+11_MOR - Australia -  EC - 1+11_By Country Detail 1Q10 041410pm FIN 18 revised per disc w Mary_II.8. Sep&amp;Discrete_Guidance" xfId="5625"/>
    <cellStyle name="_MOR - BDWY - 1+11_MOR - Australia -  EC - 1+11_By Country Detail 1Q10 041410pm FIN 18 revised per disc w Mary_II.8. Sep&amp;Discrete_Guidance 2" xfId="5626"/>
    <cellStyle name="_MOR - BDWY - 1+11_MOR - Australia -  EC - 1+11_By Country Detail 1Q10 041410pm FIN 18 revised per disc w Mary_II.8. Sep&amp;Discrete_Guidance_BS retrieve" xfId="5627"/>
    <cellStyle name="_MOR - BDWY - 1+11_MOR - Australia -  EC - 1+11_By Country Detail 1Q10 041410pm FIN 18 revised per disc w Mary_II.8. Sep&amp;Discrete_Guidance_Free CF" xfId="5628"/>
    <cellStyle name="_MOR - BDWY - 1+11_MOR - Australia -  EC - 1+11_By Country Detail 1Q10 041410pm FIN 18 revised per disc w Mary_II.8. Sep&amp;Discrete_Guidance_P&amp;L Rec Qtr" xfId="5629"/>
    <cellStyle name="_MOR - BDWY - 1+11_MOR - Australia -  EC - 1+11_By Country Detail 1Q10 041410pm FIN 18 revised per disc w Mary_II.8. Sep&amp;Discrete_Guidance_Sheet1" xfId="5630"/>
    <cellStyle name="_MOR - BDWY - 1+11_MOR - Australia -  EC - 1+11_By Country Detail 1Q10 041410pm FIN 18 revised per disc w Mary_II.8. Sep&amp;Discrete_Guidance_Sheet2" xfId="5631"/>
    <cellStyle name="_MOR - BDWY - 1+11_MOR - Australia -  EC - 1+11_By Country Detail 1Q10 041410pm FIN 18 revised per disc w Mary_II.8. Sep&amp;Discrete_Guidance_Sheet3" xfId="5632"/>
    <cellStyle name="_MOR - BDWY - 1+11_MOR - Australia -  EC - 1+11_By Country Detail 1Q10 041410pm FIN 18 revised per disc w Mary_II.8. Sep&amp;Discrete_Guidance_Sheet4" xfId="5633"/>
    <cellStyle name="_MOR - BDWY - 1+11_MOR - Australia -  EC - 1+11_By Country Detail 1Q10 041410pm FIN 18 revised per disc w Mary_Restructuring &amp; Separation" xfId="5634"/>
    <cellStyle name="_MOR - BDWY - 1+11_MOR - Australia -  EC - 1+11_By Country Detail 1Q10 041410pm FIN 18 revised per disc w Mary_Restructuring &amp; Separation_Guidance" xfId="5635"/>
    <cellStyle name="_MOR - BDWY - 1+11_MOR - Australia -  EC - 1+11_By Country Detail 1Q10 041410pm FIN 18 revised per disc w Mary_Restructuring &amp; Separation_Guidance 2" xfId="5636"/>
    <cellStyle name="_MOR - BDWY - 1+11_MOR - Australia -  EC - 1+11_By Country Detail 1Q10 041410pm FIN 18 revised per disc w Mary_Restructuring &amp; Separation_Guidance_BS retrieve" xfId="5637"/>
    <cellStyle name="_MOR - BDWY - 1+11_MOR - Australia -  EC - 1+11_By Country Detail 1Q10 041410pm FIN 18 revised per disc w Mary_Restructuring &amp; Separation_Guidance_Free CF" xfId="5638"/>
    <cellStyle name="_MOR - BDWY - 1+11_MOR - Australia -  EC - 1+11_By Country Detail 1Q10 041410pm FIN 18 revised per disc w Mary_Restructuring &amp; Separation_Guidance_P&amp;L Rec Qtr" xfId="5639"/>
    <cellStyle name="_MOR - BDWY - 1+11_MOR - Australia -  EC - 1+11_By Country Detail 1Q10 041410pm FIN 18 revised per disc w Mary_Restructuring &amp; Separation_Guidance_Sheet1" xfId="5640"/>
    <cellStyle name="_MOR - BDWY - 1+11_MOR - Australia -  EC - 1+11_By Country Detail 1Q10 041410pm FIN 18 revised per disc w Mary_Restructuring &amp; Separation_Guidance_Sheet2" xfId="5641"/>
    <cellStyle name="_MOR - BDWY - 1+11_MOR - Australia -  EC - 1+11_By Country Detail 1Q10 041410pm FIN 18 revised per disc w Mary_Restructuring &amp; Separation_Guidance_Sheet3" xfId="5642"/>
    <cellStyle name="_MOR - BDWY - 1+11_MOR - Australia -  EC - 1+11_By Country Detail 1Q10 041410pm FIN 18 revised per disc w Mary_Restructuring &amp; Separation_Guidance_Sheet4" xfId="5643"/>
    <cellStyle name="_MOR - BDWY - 1+11_MOR - Australia -  EC - 1+11_Guidance" xfId="5644"/>
    <cellStyle name="_MOR - BDWY - 1+11_MOR - Australia -  EC - 1+11_Guidance 2" xfId="5645"/>
    <cellStyle name="_MOR - BDWY - 1+11_MOR - Australia -  EC - 1+11_Guidance_BS retrieve" xfId="5646"/>
    <cellStyle name="_MOR - BDWY - 1+11_MOR - Australia -  EC - 1+11_Guidance_Free CF" xfId="5647"/>
    <cellStyle name="_MOR - BDWY - 1+11_MOR - Australia -  EC - 1+11_Guidance_P&amp;L Rec Qtr" xfId="5648"/>
    <cellStyle name="_MOR - BDWY - 1+11_MOR - Australia -  EC - 1+11_Guidance_Sheet1" xfId="5649"/>
    <cellStyle name="_MOR - BDWY - 1+11_MOR - Australia -  EC - 1+11_Guidance_Sheet2" xfId="5650"/>
    <cellStyle name="_MOR - BDWY - 1+11_MOR - Australia -  EC - 1+11_Guidance_Sheet3" xfId="5651"/>
    <cellStyle name="_MOR - BDWY - 1+11_MOR - Australia -  EC - 1+11_Guidance_Sheet4" xfId="5652"/>
    <cellStyle name="_MOR - BDWY - 1+11_MOR - Australia -  EC - 1+11_II.4. RawMaterials" xfId="5653"/>
    <cellStyle name="_MOR - BDWY - 1+11_MOR - Australia -  EC - 1+11_II.4. RawMaterials 2" xfId="5654"/>
    <cellStyle name="_MOR - BDWY - 1+11_MOR - Australia -  EC - 1+11_II.4. RawMaterials_BS retrieve" xfId="5655"/>
    <cellStyle name="_MOR - BDWY - 1+11_MOR - Australia -  EC - 1+11_II.4. RawMaterials_Free CF" xfId="5656"/>
    <cellStyle name="_MOR - BDWY - 1+11_MOR - Australia -  EC - 1+11_II.4. RawMaterials_P&amp;L Rec Qtr" xfId="5657"/>
    <cellStyle name="_MOR - BDWY - 1+11_MOR - Australia -  EC - 1+11_II.4. RawMaterials_Sheet1" xfId="5658"/>
    <cellStyle name="_MOR - BDWY - 1+11_MOR - Australia -  EC - 1+11_II.4. RawMaterials_Sheet2" xfId="5659"/>
    <cellStyle name="_MOR - BDWY - 1+11_MOR - Australia -  EC - 1+11_II.4. RawMaterials_Sheet3" xfId="5660"/>
    <cellStyle name="_MOR - BDWY - 1+11_MOR - Australia -  EC - 1+11_II.4. RawMaterials_Sheet4" xfId="5661"/>
    <cellStyle name="_MOR - BDWY - 1+11_MOR - Australia -  EC - 1+11_II.5. RawMaterials" xfId="5662"/>
    <cellStyle name="_MOR - BDWY - 1+11_MOR - Australia -  EC - 1+11_II.5. RawMaterials 2" xfId="5663"/>
    <cellStyle name="_MOR - BDWY - 1+11_MOR - Australia -  EC - 1+11_II.5. RawMaterials_BS retrieve" xfId="5664"/>
    <cellStyle name="_MOR - BDWY - 1+11_MOR - Australia -  EC - 1+11_II.5. RawMaterials_Free CF" xfId="5665"/>
    <cellStyle name="_MOR - BDWY - 1+11_MOR - Australia -  EC - 1+11_II.5. RawMaterials_Guidance" xfId="5666"/>
    <cellStyle name="_MOR - BDWY - 1+11_MOR - Australia -  EC - 1+11_II.5. RawMaterials_Guidance 2" xfId="5667"/>
    <cellStyle name="_MOR - BDWY - 1+11_MOR - Australia -  EC - 1+11_II.5. RawMaterials_Guidance_BS retrieve" xfId="5668"/>
    <cellStyle name="_MOR - BDWY - 1+11_MOR - Australia -  EC - 1+11_II.5. RawMaterials_Guidance_Free CF" xfId="5669"/>
    <cellStyle name="_MOR - BDWY - 1+11_MOR - Australia -  EC - 1+11_II.5. RawMaterials_Guidance_P&amp;L Rec Qtr" xfId="5670"/>
    <cellStyle name="_MOR - BDWY - 1+11_MOR - Australia -  EC - 1+11_II.5. RawMaterials_Guidance_Sheet1" xfId="5671"/>
    <cellStyle name="_MOR - BDWY - 1+11_MOR - Australia -  EC - 1+11_II.5. RawMaterials_Guidance_Sheet2" xfId="5672"/>
    <cellStyle name="_MOR - BDWY - 1+11_MOR - Australia -  EC - 1+11_II.5. RawMaterials_Guidance_Sheet3" xfId="5673"/>
    <cellStyle name="_MOR - BDWY - 1+11_MOR - Australia -  EC - 1+11_II.5. RawMaterials_Guidance_Sheet4" xfId="5674"/>
    <cellStyle name="_MOR - BDWY - 1+11_MOR - Australia -  EC - 1+11_II.5. RawMaterials_P&amp;L Rec Qtr" xfId="5675"/>
    <cellStyle name="_MOR - BDWY - 1+11_MOR - Australia -  EC - 1+11_II.5. RawMaterials_Sheet1" xfId="5676"/>
    <cellStyle name="_MOR - BDWY - 1+11_MOR - Australia -  EC - 1+11_II.5. RawMaterials_Sheet2" xfId="5677"/>
    <cellStyle name="_MOR - BDWY - 1+11_MOR - Australia -  EC - 1+11_II.5. RawMaterials_Sheet3" xfId="5678"/>
    <cellStyle name="_MOR - BDWY - 1+11_MOR - Australia -  EC - 1+11_II.5. RawMaterials_Sheet4" xfId="5679"/>
    <cellStyle name="_MOR - BDWY - 1+11_MOR - Australia -  EC - 1+11_II.5. RM Volume Sensitivities" xfId="5680"/>
    <cellStyle name="_MOR - BDWY - 1+11_MOR - Australia -  EC - 1+11_II.5. RM Volume Sensitivities 2" xfId="5681"/>
    <cellStyle name="_MOR - BDWY - 1+11_MOR - Australia -  EC - 1+11_II.5. RM Volume Sensitivities_BS retrieve" xfId="5682"/>
    <cellStyle name="_MOR - BDWY - 1+11_MOR - Australia -  EC - 1+11_II.5. RM Volume Sensitivities_Free CF" xfId="5683"/>
    <cellStyle name="_MOR - BDWY - 1+11_MOR - Australia -  EC - 1+11_II.5. RM Volume Sensitivities_P&amp;L Rec Qtr" xfId="5684"/>
    <cellStyle name="_MOR - BDWY - 1+11_MOR - Australia -  EC - 1+11_II.5. RM Volume Sensitivities_Sheet1" xfId="5685"/>
    <cellStyle name="_MOR - BDWY - 1+11_MOR - Australia -  EC - 1+11_II.5. RM Volume Sensitivities_Sheet2" xfId="5686"/>
    <cellStyle name="_MOR - BDWY - 1+11_MOR - Australia -  EC - 1+11_II.5. RM Volume Sensitivities_Sheet3" xfId="5687"/>
    <cellStyle name="_MOR - BDWY - 1+11_MOR - Australia -  EC - 1+11_II.5. RM Volume Sensitivities_Sheet4" xfId="5688"/>
    <cellStyle name="_MOR - BDWY - 1+11_MOR - Australia -  EC - 1+11_II.8. Sep&amp;Discrete" xfId="5689"/>
    <cellStyle name="_MOR - BDWY - 1+11_MOR - Australia -  EC - 1+11_II.8. Sep&amp;Discrete_Guidance" xfId="5690"/>
    <cellStyle name="_MOR - BDWY - 1+11_MOR - Australia -  EC - 1+11_II.8. Sep&amp;Discrete_Guidance 2" xfId="5691"/>
    <cellStyle name="_MOR - BDWY - 1+11_MOR - Australia -  EC - 1+11_II.8. Sep&amp;Discrete_Guidance_BS retrieve" xfId="5692"/>
    <cellStyle name="_MOR - BDWY - 1+11_MOR - Australia -  EC - 1+11_II.8. Sep&amp;Discrete_Guidance_Free CF" xfId="5693"/>
    <cellStyle name="_MOR - BDWY - 1+11_MOR - Australia -  EC - 1+11_II.8. Sep&amp;Discrete_Guidance_P&amp;L Rec Qtr" xfId="5694"/>
    <cellStyle name="_MOR - BDWY - 1+11_MOR - Australia -  EC - 1+11_II.8. Sep&amp;Discrete_Guidance_Sheet1" xfId="5695"/>
    <cellStyle name="_MOR - BDWY - 1+11_MOR - Australia -  EC - 1+11_II.8. Sep&amp;Discrete_Guidance_Sheet2" xfId="5696"/>
    <cellStyle name="_MOR - BDWY - 1+11_MOR - Australia -  EC - 1+11_II.8. Sep&amp;Discrete_Guidance_Sheet3" xfId="5697"/>
    <cellStyle name="_MOR - BDWY - 1+11_MOR - Australia -  EC - 1+11_II.8. Sep&amp;Discrete_Guidance_Sheet4" xfId="5698"/>
    <cellStyle name="_MOR - BDWY - 1+11_MOR - Australia -  EC - 1+11_Restructuring &amp; Separation" xfId="5699"/>
    <cellStyle name="_MOR - BDWY - 1+11_MOR - Australia -  EC - 1+11_Restructuring &amp; Separation_Guidance" xfId="5700"/>
    <cellStyle name="_MOR - BDWY - 1+11_MOR - Australia -  EC - 1+11_Restructuring &amp; Separation_Guidance 2" xfId="5701"/>
    <cellStyle name="_MOR - BDWY - 1+11_MOR - Australia -  EC - 1+11_Restructuring &amp; Separation_Guidance_BS retrieve" xfId="5702"/>
    <cellStyle name="_MOR - BDWY - 1+11_MOR - Australia -  EC - 1+11_Restructuring &amp; Separation_Guidance_Free CF" xfId="5703"/>
    <cellStyle name="_MOR - BDWY - 1+11_MOR - Australia -  EC - 1+11_Restructuring &amp; Separation_Guidance_P&amp;L Rec Qtr" xfId="5704"/>
    <cellStyle name="_MOR - BDWY - 1+11_MOR - Australia -  EC - 1+11_Restructuring &amp; Separation_Guidance_Sheet1" xfId="5705"/>
    <cellStyle name="_MOR - BDWY - 1+11_MOR - Australia -  EC - 1+11_Restructuring &amp; Separation_Guidance_Sheet2" xfId="5706"/>
    <cellStyle name="_MOR - BDWY - 1+11_MOR - Australia -  EC - 1+11_Restructuring &amp; Separation_Guidance_Sheet3" xfId="5707"/>
    <cellStyle name="_MOR - BDWY - 1+11_MOR - Australia -  EC - 1+11_Restructuring &amp; Separation_Guidance_Sheet4" xfId="5708"/>
    <cellStyle name="_MOR - BDWY - 1+11_MOR - Australia -  EC - 1+11_Restructuring_Separation_TAX_JuneFC2010 tf" xfId="5709"/>
    <cellStyle name="_MOR - BDWY - 1+11_MOR - Australia -  EC - 1+11_Restructuring_Separation_TAX_JuneFC2010 tf_BS_Separation_TaxResIndem_Q12412 tf" xfId="5710"/>
    <cellStyle name="_MOR - BDWY - 1+11_MOR - Australia -  EC - 1+11_Restructuring_Separation_TAX_JuneFC2010 tf_BS_Separation_TaxResIndem_Q12412 tf_Guidance" xfId="5711"/>
    <cellStyle name="_MOR - BDWY - 1+11_MOR - Australia -  EC - 1+11_Restructuring_Separation_TAX_JuneFC2010 tf_BS_Separation_TaxResIndem_Q12412 tf_Guidance 2" xfId="5712"/>
    <cellStyle name="_MOR - BDWY - 1+11_MOR - Australia -  EC - 1+11_Restructuring_Separation_TAX_JuneFC2010 tf_BS_Separation_TaxResIndem_Q12412 tf_Guidance_BS retrieve" xfId="5713"/>
    <cellStyle name="_MOR - BDWY - 1+11_MOR - Australia -  EC - 1+11_Restructuring_Separation_TAX_JuneFC2010 tf_BS_Separation_TaxResIndem_Q12412 tf_Guidance_Free CF" xfId="5714"/>
    <cellStyle name="_MOR - BDWY - 1+11_MOR - Australia -  EC - 1+11_Restructuring_Separation_TAX_JuneFC2010 tf_BS_Separation_TaxResIndem_Q12412 tf_Guidance_P&amp;L Rec Qtr" xfId="5715"/>
    <cellStyle name="_MOR - BDWY - 1+11_MOR - Australia -  EC - 1+11_Restructuring_Separation_TAX_JuneFC2010 tf_BS_Separation_TaxResIndem_Q12412 tf_Guidance_Sheet1" xfId="5716"/>
    <cellStyle name="_MOR - BDWY - 1+11_MOR - Australia -  EC - 1+11_Restructuring_Separation_TAX_JuneFC2010 tf_BS_Separation_TaxResIndem_Q12412 tf_Guidance_Sheet2" xfId="5717"/>
    <cellStyle name="_MOR - BDWY - 1+11_MOR - Australia -  EC - 1+11_Restructuring_Separation_TAX_JuneFC2010 tf_BS_Separation_TaxResIndem_Q12412 tf_Guidance_Sheet3" xfId="5718"/>
    <cellStyle name="_MOR - BDWY - 1+11_MOR - Australia -  EC - 1+11_Restructuring_Separation_TAX_JuneFC2010 tf_BS_Separation_TaxResIndem_Q12412 tf_Guidance_Sheet4" xfId="5719"/>
    <cellStyle name="_MOR - BDWY - 1+11_MOR - Australia -  EC - 1+11_Restructuring_Separation_TAX_JuneFC2010 tf_BS_Separation_TaxResIndem_Q12412 tf_Restructuring &amp; Separation" xfId="5720"/>
    <cellStyle name="_MOR - BDWY - 1+11_MOR - Australia -  EC - 1+11_Restructuring_Separation_TAX_JuneFC2010 tf_BS_Separation_TaxResIndem_Q12412 tf_Restructuring &amp; Separation_Guidance" xfId="5721"/>
    <cellStyle name="_MOR - BDWY - 1+11_MOR - Australia -  EC - 1+11_Restructuring_Separation_TAX_JuneFC2010 tf_BS_Separation_TaxResIndem_Q12412 tf_Restructuring &amp; Separation_Guidance 2" xfId="5722"/>
    <cellStyle name="_MOR - BDWY - 1+11_MOR - Australia -  EC - 1+11_Restructuring_Separation_TAX_JuneFC2010 tf_BS_Separation_TaxResIndem_Q12412 tf_Restructuring &amp; Separation_Guidance_BS retrieve" xfId="5723"/>
    <cellStyle name="_MOR - BDWY - 1+11_MOR - Australia -  EC - 1+11_Restructuring_Separation_TAX_JuneFC2010 tf_BS_Separation_TaxResIndem_Q12412 tf_Restructuring &amp; Separation_Guidance_Free CF" xfId="5724"/>
    <cellStyle name="_MOR - BDWY - 1+11_MOR - Australia -  EC - 1+11_Restructuring_Separation_TAX_JuneFC2010 tf_BS_Separation_TaxResIndem_Q12412 tf_Restructuring &amp; Separation_Guidance_P&amp;L Rec Qtr" xfId="5725"/>
    <cellStyle name="_MOR - BDWY - 1+11_MOR - Australia -  EC - 1+11_Restructuring_Separation_TAX_JuneFC2010 tf_BS_Separation_TaxResIndem_Q12412 tf_Restructuring &amp; Separation_Guidance_Sheet1" xfId="5726"/>
    <cellStyle name="_MOR - BDWY - 1+11_MOR - Australia -  EC - 1+11_Restructuring_Separation_TAX_JuneFC2010 tf_BS_Separation_TaxResIndem_Q12412 tf_Restructuring &amp; Separation_Guidance_Sheet2" xfId="5727"/>
    <cellStyle name="_MOR - BDWY - 1+11_MOR - Australia -  EC - 1+11_Restructuring_Separation_TAX_JuneFC2010 tf_BS_Separation_TaxResIndem_Q12412 tf_Restructuring &amp; Separation_Guidance_Sheet3" xfId="5728"/>
    <cellStyle name="_MOR - BDWY - 1+11_MOR - Australia -  EC - 1+11_Restructuring_Separation_TAX_JuneFC2010 tf_BS_Separation_TaxResIndem_Q12412 tf_Restructuring &amp; Separation_Guidance_Sheet4" xfId="5729"/>
    <cellStyle name="_MOR - BDWY - 1+11_MOR - Australia -  EC - 1+11_Restructuring_Separation_TAX_JuneFC2010 tf_Guidance" xfId="5730"/>
    <cellStyle name="_MOR - BDWY - 1+11_MOR - Australia -  EC - 1+11_Restructuring_Separation_TAX_JuneFC2010 tf_Guidance 2" xfId="5731"/>
    <cellStyle name="_MOR - BDWY - 1+11_MOR - Australia -  EC - 1+11_Restructuring_Separation_TAX_JuneFC2010 tf_Guidance_BS retrieve" xfId="5732"/>
    <cellStyle name="_MOR - BDWY - 1+11_MOR - Australia -  EC - 1+11_Restructuring_Separation_TAX_JuneFC2010 tf_Guidance_Free CF" xfId="5733"/>
    <cellStyle name="_MOR - BDWY - 1+11_MOR - Australia -  EC - 1+11_Restructuring_Separation_TAX_JuneFC2010 tf_Guidance_P&amp;L Rec Qtr" xfId="5734"/>
    <cellStyle name="_MOR - BDWY - 1+11_MOR - Australia -  EC - 1+11_Restructuring_Separation_TAX_JuneFC2010 tf_Guidance_Sheet1" xfId="5735"/>
    <cellStyle name="_MOR - BDWY - 1+11_MOR - Australia -  EC - 1+11_Restructuring_Separation_TAX_JuneFC2010 tf_Guidance_Sheet2" xfId="5736"/>
    <cellStyle name="_MOR - BDWY - 1+11_MOR - Australia -  EC - 1+11_Restructuring_Separation_TAX_JuneFC2010 tf_Guidance_Sheet3" xfId="5737"/>
    <cellStyle name="_MOR - BDWY - 1+11_MOR - Australia -  EC - 1+11_Restructuring_Separation_TAX_JuneFC2010 tf_Guidance_Sheet4" xfId="5738"/>
    <cellStyle name="_MOR - BDWY - 1+11_MOR - Australia -  EC - 1+11_Restructuring_Separation_TAX_JuneFC2010 tf_II.8. Sep&amp;Discrete" xfId="5739"/>
    <cellStyle name="_MOR - BDWY - 1+11_MOR - Australia -  EC - 1+11_Restructuring_Separation_TAX_JuneFC2010 tf_II.8. Sep&amp;Discrete_Guidance" xfId="5740"/>
    <cellStyle name="_MOR - BDWY - 1+11_MOR - Australia -  EC - 1+11_Restructuring_Separation_TAX_JuneFC2010 tf_II.8. Sep&amp;Discrete_Guidance 2" xfId="5741"/>
    <cellStyle name="_MOR - BDWY - 1+11_MOR - Australia -  EC - 1+11_Restructuring_Separation_TAX_JuneFC2010 tf_II.8. Sep&amp;Discrete_Guidance_BS retrieve" xfId="5742"/>
    <cellStyle name="_MOR - BDWY - 1+11_MOR - Australia -  EC - 1+11_Restructuring_Separation_TAX_JuneFC2010 tf_II.8. Sep&amp;Discrete_Guidance_Free CF" xfId="5743"/>
    <cellStyle name="_MOR - BDWY - 1+11_MOR - Australia -  EC - 1+11_Restructuring_Separation_TAX_JuneFC2010 tf_II.8. Sep&amp;Discrete_Guidance_P&amp;L Rec Qtr" xfId="5744"/>
    <cellStyle name="_MOR - BDWY - 1+11_MOR - Australia -  EC - 1+11_Restructuring_Separation_TAX_JuneFC2010 tf_II.8. Sep&amp;Discrete_Guidance_Sheet1" xfId="5745"/>
    <cellStyle name="_MOR - BDWY - 1+11_MOR - Australia -  EC - 1+11_Restructuring_Separation_TAX_JuneFC2010 tf_II.8. Sep&amp;Discrete_Guidance_Sheet2" xfId="5746"/>
    <cellStyle name="_MOR - BDWY - 1+11_MOR - Australia -  EC - 1+11_Restructuring_Separation_TAX_JuneFC2010 tf_II.8. Sep&amp;Discrete_Guidance_Sheet3" xfId="5747"/>
    <cellStyle name="_MOR - BDWY - 1+11_MOR - Australia -  EC - 1+11_Restructuring_Separation_TAX_JuneFC2010 tf_II.8. Sep&amp;Discrete_Guidance_Sheet4" xfId="5748"/>
    <cellStyle name="_MOR - BDWY - 1+11_MOR - Australia -  EC - 1+11_Restructuring_Separation_TAX_JuneFC2010 tf_Restructuring &amp; Separation" xfId="5749"/>
    <cellStyle name="_MOR - BDWY - 1+11_MOR - Australia -  EC - 1+11_Restructuring_Separation_TAX_JuneFC2010 tf_Restructuring &amp; Separation_Guidance" xfId="5750"/>
    <cellStyle name="_MOR - BDWY - 1+11_MOR - Australia -  EC - 1+11_Restructuring_Separation_TAX_JuneFC2010 tf_Restructuring &amp; Separation_Guidance 2" xfId="5751"/>
    <cellStyle name="_MOR - BDWY - 1+11_MOR - Australia -  EC - 1+11_Restructuring_Separation_TAX_JuneFC2010 tf_Restructuring &amp; Separation_Guidance_BS retrieve" xfId="5752"/>
    <cellStyle name="_MOR - BDWY - 1+11_MOR - Australia -  EC - 1+11_Restructuring_Separation_TAX_JuneFC2010 tf_Restructuring &amp; Separation_Guidance_Free CF" xfId="5753"/>
    <cellStyle name="_MOR - BDWY - 1+11_MOR - Australia -  EC - 1+11_Restructuring_Separation_TAX_JuneFC2010 tf_Restructuring &amp; Separation_Guidance_P&amp;L Rec Qtr" xfId="5754"/>
    <cellStyle name="_MOR - BDWY - 1+11_MOR - Australia -  EC - 1+11_Restructuring_Separation_TAX_JuneFC2010 tf_Restructuring &amp; Separation_Guidance_Sheet1" xfId="5755"/>
    <cellStyle name="_MOR - BDWY - 1+11_MOR - Australia -  EC - 1+11_Restructuring_Separation_TAX_JuneFC2010 tf_Restructuring &amp; Separation_Guidance_Sheet2" xfId="5756"/>
    <cellStyle name="_MOR - BDWY - 1+11_MOR - Australia -  EC - 1+11_Restructuring_Separation_TAX_JuneFC2010 tf_Restructuring &amp; Separation_Guidance_Sheet3" xfId="5757"/>
    <cellStyle name="_MOR - BDWY - 1+11_MOR - Australia -  EC - 1+11_Restructuring_Separation_TAX_JuneFC2010 tf_Restructuring &amp; Separation_Guidance_Sheet4" xfId="5758"/>
    <cellStyle name="_MOR - BDWY - 1+11_MOR - Australia -  EC - 2+10" xfId="5759"/>
    <cellStyle name="_MOR - BDWY - 1+11_MOR - Australia -  EC - 2+10_BS_Separation_TaxResIndem_Q12412 tf" xfId="5760"/>
    <cellStyle name="_MOR - BDWY - 1+11_MOR - Australia -  EC - 2+10_BS_Separation_TaxResIndem_Q12412 tf_Guidance" xfId="5761"/>
    <cellStyle name="_MOR - BDWY - 1+11_MOR - Australia -  EC - 2+10_BS_Separation_TaxResIndem_Q12412 tf_Guidance 2" xfId="5762"/>
    <cellStyle name="_MOR - BDWY - 1+11_MOR - Australia -  EC - 2+10_BS_Separation_TaxResIndem_Q12412 tf_Guidance_BS retrieve" xfId="5763"/>
    <cellStyle name="_MOR - BDWY - 1+11_MOR - Australia -  EC - 2+10_BS_Separation_TaxResIndem_Q12412 tf_Guidance_Free CF" xfId="5764"/>
    <cellStyle name="_MOR - BDWY - 1+11_MOR - Australia -  EC - 2+10_BS_Separation_TaxResIndem_Q12412 tf_Guidance_P&amp;L Rec Qtr" xfId="5765"/>
    <cellStyle name="_MOR - BDWY - 1+11_MOR - Australia -  EC - 2+10_BS_Separation_TaxResIndem_Q12412 tf_Guidance_Sheet1" xfId="5766"/>
    <cellStyle name="_MOR - BDWY - 1+11_MOR - Australia -  EC - 2+10_BS_Separation_TaxResIndem_Q12412 tf_Guidance_Sheet2" xfId="5767"/>
    <cellStyle name="_MOR - BDWY - 1+11_MOR - Australia -  EC - 2+10_BS_Separation_TaxResIndem_Q12412 tf_Guidance_Sheet3" xfId="5768"/>
    <cellStyle name="_MOR - BDWY - 1+11_MOR - Australia -  EC - 2+10_BS_Separation_TaxResIndem_Q12412 tf_Guidance_Sheet4" xfId="5769"/>
    <cellStyle name="_MOR - BDWY - 1+11_MOR - Australia -  EC - 2+10_BS_Separation_TaxResIndem_Q12412 tf_Restructuring &amp; Separation" xfId="5770"/>
    <cellStyle name="_MOR - BDWY - 1+11_MOR - Australia -  EC - 2+10_BS_Separation_TaxResIndem_Q12412 tf_Restructuring &amp; Separation_Guidance" xfId="5771"/>
    <cellStyle name="_MOR - BDWY - 1+11_MOR - Australia -  EC - 2+10_BS_Separation_TaxResIndem_Q12412 tf_Restructuring &amp; Separation_Guidance 2" xfId="5772"/>
    <cellStyle name="_MOR - BDWY - 1+11_MOR - Australia -  EC - 2+10_BS_Separation_TaxResIndem_Q12412 tf_Restructuring &amp; Separation_Guidance_BS retrieve" xfId="5773"/>
    <cellStyle name="_MOR - BDWY - 1+11_MOR - Australia -  EC - 2+10_BS_Separation_TaxResIndem_Q12412 tf_Restructuring &amp; Separation_Guidance_Free CF" xfId="5774"/>
    <cellStyle name="_MOR - BDWY - 1+11_MOR - Australia -  EC - 2+10_BS_Separation_TaxResIndem_Q12412 tf_Restructuring &amp; Separation_Guidance_P&amp;L Rec Qtr" xfId="5775"/>
    <cellStyle name="_MOR - BDWY - 1+11_MOR - Australia -  EC - 2+10_BS_Separation_TaxResIndem_Q12412 tf_Restructuring &amp; Separation_Guidance_Sheet1" xfId="5776"/>
    <cellStyle name="_MOR - BDWY - 1+11_MOR - Australia -  EC - 2+10_BS_Separation_TaxResIndem_Q12412 tf_Restructuring &amp; Separation_Guidance_Sheet2" xfId="5777"/>
    <cellStyle name="_MOR - BDWY - 1+11_MOR - Australia -  EC - 2+10_BS_Separation_TaxResIndem_Q12412 tf_Restructuring &amp; Separation_Guidance_Sheet3" xfId="5778"/>
    <cellStyle name="_MOR - BDWY - 1+11_MOR - Australia -  EC - 2+10_BS_Separation_TaxResIndem_Q12412 tf_Restructuring &amp; Separation_Guidance_Sheet4" xfId="5779"/>
    <cellStyle name="_MOR - BDWY - 1+11_MOR - Australia -  EC - 2+10_By Country Detail 1Q10 041410pm FIN 18 revised per disc w Mary" xfId="5780"/>
    <cellStyle name="_MOR - BDWY - 1+11_MOR - Australia -  EC - 2+10_By Country Detail 1Q10 041410pm FIN 18 revised per disc w Mary_BS_Separation_TaxResIndem_Q12412 tf" xfId="5781"/>
    <cellStyle name="_MOR - BDWY - 1+11_MOR - Australia -  EC - 2+10_By Country Detail 1Q10 041410pm FIN 18 revised per disc w Mary_BS_Separation_TaxResIndem_Q12412 tf_Guidance" xfId="5782"/>
    <cellStyle name="_MOR - BDWY - 1+11_MOR - Australia -  EC - 2+10_By Country Detail 1Q10 041410pm FIN 18 revised per disc w Mary_BS_Separation_TaxResIndem_Q12412 tf_Guidance 2" xfId="5783"/>
    <cellStyle name="_MOR - BDWY - 1+11_MOR - Australia -  EC - 2+10_By Country Detail 1Q10 041410pm FIN 18 revised per disc w Mary_BS_Separation_TaxResIndem_Q12412 tf_Guidance_BS retrieve" xfId="5784"/>
    <cellStyle name="_MOR - BDWY - 1+11_MOR - Australia -  EC - 2+10_By Country Detail 1Q10 041410pm FIN 18 revised per disc w Mary_BS_Separation_TaxResIndem_Q12412 tf_Guidance_Free CF" xfId="5785"/>
    <cellStyle name="_MOR - BDWY - 1+11_MOR - Australia -  EC - 2+10_By Country Detail 1Q10 041410pm FIN 18 revised per disc w Mary_BS_Separation_TaxResIndem_Q12412 tf_Guidance_P&amp;L Rec Qtr" xfId="5786"/>
    <cellStyle name="_MOR - BDWY - 1+11_MOR - Australia -  EC - 2+10_By Country Detail 1Q10 041410pm FIN 18 revised per disc w Mary_BS_Separation_TaxResIndem_Q12412 tf_Guidance_Sheet1" xfId="5787"/>
    <cellStyle name="_MOR - BDWY - 1+11_MOR - Australia -  EC - 2+10_By Country Detail 1Q10 041410pm FIN 18 revised per disc w Mary_BS_Separation_TaxResIndem_Q12412 tf_Guidance_Sheet2" xfId="5788"/>
    <cellStyle name="_MOR - BDWY - 1+11_MOR - Australia -  EC - 2+10_By Country Detail 1Q10 041410pm FIN 18 revised per disc w Mary_BS_Separation_TaxResIndem_Q12412 tf_Guidance_Sheet3" xfId="5789"/>
    <cellStyle name="_MOR - BDWY - 1+11_MOR - Australia -  EC - 2+10_By Country Detail 1Q10 041410pm FIN 18 revised per disc w Mary_BS_Separation_TaxResIndem_Q12412 tf_Guidance_Sheet4" xfId="5790"/>
    <cellStyle name="_MOR - BDWY - 1+11_MOR - Australia -  EC - 2+10_By Country Detail 1Q10 041410pm FIN 18 revised per disc w Mary_BS_Separation_TaxResIndem_Q12412 tf_Restructuring &amp; Separation" xfId="5791"/>
    <cellStyle name="_MOR - BDWY - 1+11_MOR - Australia -  EC - 2+10_By Country Detail 1Q10 041410pm FIN 18 revised per disc w Mary_BS_Separation_TaxResIndem_Q12412 tf_Restructuring &amp; Separation_Guidance" xfId="5792"/>
    <cellStyle name="_MOR - BDWY - 1+11_MOR - Australia -  EC - 2+10_By Country Detail 1Q10 041410pm FIN 18 revised per disc w Mary_BS_Separation_TaxResIndem_Q12412 tf_Restructuring &amp; Separation_Guidance 2" xfId="5793"/>
    <cellStyle name="_MOR - BDWY - 1+11_MOR - Australia -  EC - 2+10_By Country Detail 1Q10 041410pm FIN 18 revised per disc w Mary_BS_Separation_TaxResIndem_Q12412 tf_Restructuring &amp; Separation_Guidance_BS retrieve" xfId="5794"/>
    <cellStyle name="_MOR - BDWY - 1+11_MOR - Australia -  EC - 2+10_By Country Detail 1Q10 041410pm FIN 18 revised per disc w Mary_BS_Separation_TaxResIndem_Q12412 tf_Restructuring &amp; Separation_Guidance_Free CF" xfId="5795"/>
    <cellStyle name="_MOR - BDWY - 1+11_MOR - Australia -  EC - 2+10_By Country Detail 1Q10 041410pm FIN 18 revised per disc w Mary_BS_Separation_TaxResIndem_Q12412 tf_Restructuring &amp; Separation_Guidance_P&amp;L Rec Qtr" xfId="5796"/>
    <cellStyle name="_MOR - BDWY - 1+11_MOR - Australia -  EC - 2+10_By Country Detail 1Q10 041410pm FIN 18 revised per disc w Mary_BS_Separation_TaxResIndem_Q12412 tf_Restructuring &amp; Separation_Guidance_Sheet1" xfId="5797"/>
    <cellStyle name="_MOR - BDWY - 1+11_MOR - Australia -  EC - 2+10_By Country Detail 1Q10 041410pm FIN 18 revised per disc w Mary_BS_Separation_TaxResIndem_Q12412 tf_Restructuring &amp; Separation_Guidance_Sheet2" xfId="5798"/>
    <cellStyle name="_MOR - BDWY - 1+11_MOR - Australia -  EC - 2+10_By Country Detail 1Q10 041410pm FIN 18 revised per disc w Mary_BS_Separation_TaxResIndem_Q12412 tf_Restructuring &amp; Separation_Guidance_Sheet3" xfId="5799"/>
    <cellStyle name="_MOR - BDWY - 1+11_MOR - Australia -  EC - 2+10_By Country Detail 1Q10 041410pm FIN 18 revised per disc w Mary_BS_Separation_TaxResIndem_Q12412 tf_Restructuring &amp; Separation_Guidance_Sheet4" xfId="5800"/>
    <cellStyle name="_MOR - BDWY - 1+11_MOR - Australia -  EC - 2+10_By Country Detail 1Q10 041410pm FIN 18 revised per disc w Mary_Guidance" xfId="5801"/>
    <cellStyle name="_MOR - BDWY - 1+11_MOR - Australia -  EC - 2+10_By Country Detail 1Q10 041410pm FIN 18 revised per disc w Mary_Guidance 2" xfId="5802"/>
    <cellStyle name="_MOR - BDWY - 1+11_MOR - Australia -  EC - 2+10_By Country Detail 1Q10 041410pm FIN 18 revised per disc w Mary_Guidance_BS retrieve" xfId="5803"/>
    <cellStyle name="_MOR - BDWY - 1+11_MOR - Australia -  EC - 2+10_By Country Detail 1Q10 041410pm FIN 18 revised per disc w Mary_Guidance_Free CF" xfId="5804"/>
    <cellStyle name="_MOR - BDWY - 1+11_MOR - Australia -  EC - 2+10_By Country Detail 1Q10 041410pm FIN 18 revised per disc w Mary_Guidance_P&amp;L Rec Qtr" xfId="5805"/>
    <cellStyle name="_MOR - BDWY - 1+11_MOR - Australia -  EC - 2+10_By Country Detail 1Q10 041410pm FIN 18 revised per disc w Mary_Guidance_Sheet1" xfId="5806"/>
    <cellStyle name="_MOR - BDWY - 1+11_MOR - Australia -  EC - 2+10_By Country Detail 1Q10 041410pm FIN 18 revised per disc w Mary_Guidance_Sheet2" xfId="5807"/>
    <cellStyle name="_MOR - BDWY - 1+11_MOR - Australia -  EC - 2+10_By Country Detail 1Q10 041410pm FIN 18 revised per disc w Mary_Guidance_Sheet3" xfId="5808"/>
    <cellStyle name="_MOR - BDWY - 1+11_MOR - Australia -  EC - 2+10_By Country Detail 1Q10 041410pm FIN 18 revised per disc w Mary_Guidance_Sheet4" xfId="5809"/>
    <cellStyle name="_MOR - BDWY - 1+11_MOR - Australia -  EC - 2+10_By Country Detail 1Q10 041410pm FIN 18 revised per disc w Mary_II.8. Sep&amp;Discrete" xfId="5810"/>
    <cellStyle name="_MOR - BDWY - 1+11_MOR - Australia -  EC - 2+10_By Country Detail 1Q10 041410pm FIN 18 revised per disc w Mary_II.8. Sep&amp;Discrete_Guidance" xfId="5811"/>
    <cellStyle name="_MOR - BDWY - 1+11_MOR - Australia -  EC - 2+10_By Country Detail 1Q10 041410pm FIN 18 revised per disc w Mary_II.8. Sep&amp;Discrete_Guidance 2" xfId="5812"/>
    <cellStyle name="_MOR - BDWY - 1+11_MOR - Australia -  EC - 2+10_By Country Detail 1Q10 041410pm FIN 18 revised per disc w Mary_II.8. Sep&amp;Discrete_Guidance_BS retrieve" xfId="5813"/>
    <cellStyle name="_MOR - BDWY - 1+11_MOR - Australia -  EC - 2+10_By Country Detail 1Q10 041410pm FIN 18 revised per disc w Mary_II.8. Sep&amp;Discrete_Guidance_Free CF" xfId="5814"/>
    <cellStyle name="_MOR - BDWY - 1+11_MOR - Australia -  EC - 2+10_By Country Detail 1Q10 041410pm FIN 18 revised per disc w Mary_II.8. Sep&amp;Discrete_Guidance_P&amp;L Rec Qtr" xfId="5815"/>
    <cellStyle name="_MOR - BDWY - 1+11_MOR - Australia -  EC - 2+10_By Country Detail 1Q10 041410pm FIN 18 revised per disc w Mary_II.8. Sep&amp;Discrete_Guidance_Sheet1" xfId="5816"/>
    <cellStyle name="_MOR - BDWY - 1+11_MOR - Australia -  EC - 2+10_By Country Detail 1Q10 041410pm FIN 18 revised per disc w Mary_II.8. Sep&amp;Discrete_Guidance_Sheet2" xfId="5817"/>
    <cellStyle name="_MOR - BDWY - 1+11_MOR - Australia -  EC - 2+10_By Country Detail 1Q10 041410pm FIN 18 revised per disc w Mary_II.8. Sep&amp;Discrete_Guidance_Sheet3" xfId="5818"/>
    <cellStyle name="_MOR - BDWY - 1+11_MOR - Australia -  EC - 2+10_By Country Detail 1Q10 041410pm FIN 18 revised per disc w Mary_II.8. Sep&amp;Discrete_Guidance_Sheet4" xfId="5819"/>
    <cellStyle name="_MOR - BDWY - 1+11_MOR - Australia -  EC - 2+10_By Country Detail 1Q10 041410pm FIN 18 revised per disc w Mary_Restructuring &amp; Separation" xfId="5820"/>
    <cellStyle name="_MOR - BDWY - 1+11_MOR - Australia -  EC - 2+10_By Country Detail 1Q10 041410pm FIN 18 revised per disc w Mary_Restructuring &amp; Separation_Guidance" xfId="5821"/>
    <cellStyle name="_MOR - BDWY - 1+11_MOR - Australia -  EC - 2+10_By Country Detail 1Q10 041410pm FIN 18 revised per disc w Mary_Restructuring &amp; Separation_Guidance 2" xfId="5822"/>
    <cellStyle name="_MOR - BDWY - 1+11_MOR - Australia -  EC - 2+10_By Country Detail 1Q10 041410pm FIN 18 revised per disc w Mary_Restructuring &amp; Separation_Guidance_BS retrieve" xfId="5823"/>
    <cellStyle name="_MOR - BDWY - 1+11_MOR - Australia -  EC - 2+10_By Country Detail 1Q10 041410pm FIN 18 revised per disc w Mary_Restructuring &amp; Separation_Guidance_Free CF" xfId="5824"/>
    <cellStyle name="_MOR - BDWY - 1+11_MOR - Australia -  EC - 2+10_By Country Detail 1Q10 041410pm FIN 18 revised per disc w Mary_Restructuring &amp; Separation_Guidance_P&amp;L Rec Qtr" xfId="5825"/>
    <cellStyle name="_MOR - BDWY - 1+11_MOR - Australia -  EC - 2+10_By Country Detail 1Q10 041410pm FIN 18 revised per disc w Mary_Restructuring &amp; Separation_Guidance_Sheet1" xfId="5826"/>
    <cellStyle name="_MOR - BDWY - 1+11_MOR - Australia -  EC - 2+10_By Country Detail 1Q10 041410pm FIN 18 revised per disc w Mary_Restructuring &amp; Separation_Guidance_Sheet2" xfId="5827"/>
    <cellStyle name="_MOR - BDWY - 1+11_MOR - Australia -  EC - 2+10_By Country Detail 1Q10 041410pm FIN 18 revised per disc w Mary_Restructuring &amp; Separation_Guidance_Sheet3" xfId="5828"/>
    <cellStyle name="_MOR - BDWY - 1+11_MOR - Australia -  EC - 2+10_By Country Detail 1Q10 041410pm FIN 18 revised per disc w Mary_Restructuring &amp; Separation_Guidance_Sheet4" xfId="5829"/>
    <cellStyle name="_MOR - BDWY - 1+11_MOR - Australia -  EC - 2+10_Guidance" xfId="5830"/>
    <cellStyle name="_MOR - BDWY - 1+11_MOR - Australia -  EC - 2+10_Guidance 2" xfId="5831"/>
    <cellStyle name="_MOR - BDWY - 1+11_MOR - Australia -  EC - 2+10_Guidance_BS retrieve" xfId="5832"/>
    <cellStyle name="_MOR - BDWY - 1+11_MOR - Australia -  EC - 2+10_Guidance_Free CF" xfId="5833"/>
    <cellStyle name="_MOR - BDWY - 1+11_MOR - Australia -  EC - 2+10_Guidance_P&amp;L Rec Qtr" xfId="5834"/>
    <cellStyle name="_MOR - BDWY - 1+11_MOR - Australia -  EC - 2+10_Guidance_Sheet1" xfId="5835"/>
    <cellStyle name="_MOR - BDWY - 1+11_MOR - Australia -  EC - 2+10_Guidance_Sheet2" xfId="5836"/>
    <cellStyle name="_MOR - BDWY - 1+11_MOR - Australia -  EC - 2+10_Guidance_Sheet3" xfId="5837"/>
    <cellStyle name="_MOR - BDWY - 1+11_MOR - Australia -  EC - 2+10_Guidance_Sheet4" xfId="5838"/>
    <cellStyle name="_MOR - BDWY - 1+11_MOR - Australia -  EC - 2+10_II.4. RawMaterials" xfId="5839"/>
    <cellStyle name="_MOR - BDWY - 1+11_MOR - Australia -  EC - 2+10_II.4. RawMaterials 2" xfId="5840"/>
    <cellStyle name="_MOR - BDWY - 1+11_MOR - Australia -  EC - 2+10_II.4. RawMaterials_BS retrieve" xfId="5841"/>
    <cellStyle name="_MOR - BDWY - 1+11_MOR - Australia -  EC - 2+10_II.4. RawMaterials_Free CF" xfId="5842"/>
    <cellStyle name="_MOR - BDWY - 1+11_MOR - Australia -  EC - 2+10_II.4. RawMaterials_P&amp;L Rec Qtr" xfId="5843"/>
    <cellStyle name="_MOR - BDWY - 1+11_MOR - Australia -  EC - 2+10_II.4. RawMaterials_Sheet1" xfId="5844"/>
    <cellStyle name="_MOR - BDWY - 1+11_MOR - Australia -  EC - 2+10_II.4. RawMaterials_Sheet2" xfId="5845"/>
    <cellStyle name="_MOR - BDWY - 1+11_MOR - Australia -  EC - 2+10_II.4. RawMaterials_Sheet3" xfId="5846"/>
    <cellStyle name="_MOR - BDWY - 1+11_MOR - Australia -  EC - 2+10_II.4. RawMaterials_Sheet4" xfId="5847"/>
    <cellStyle name="_MOR - BDWY - 1+11_MOR - Australia -  EC - 2+10_II.5. RawMaterials" xfId="5848"/>
    <cellStyle name="_MOR - BDWY - 1+11_MOR - Australia -  EC - 2+10_II.5. RawMaterials 2" xfId="5849"/>
    <cellStyle name="_MOR - BDWY - 1+11_MOR - Australia -  EC - 2+10_II.5. RawMaterials_BS retrieve" xfId="5850"/>
    <cellStyle name="_MOR - BDWY - 1+11_MOR - Australia -  EC - 2+10_II.5. RawMaterials_Free CF" xfId="5851"/>
    <cellStyle name="_MOR - BDWY - 1+11_MOR - Australia -  EC - 2+10_II.5. RawMaterials_Guidance" xfId="5852"/>
    <cellStyle name="_MOR - BDWY - 1+11_MOR - Australia -  EC - 2+10_II.5. RawMaterials_Guidance 2" xfId="5853"/>
    <cellStyle name="_MOR - BDWY - 1+11_MOR - Australia -  EC - 2+10_II.5. RawMaterials_Guidance_BS retrieve" xfId="5854"/>
    <cellStyle name="_MOR - BDWY - 1+11_MOR - Australia -  EC - 2+10_II.5. RawMaterials_Guidance_Free CF" xfId="5855"/>
    <cellStyle name="_MOR - BDWY - 1+11_MOR - Australia -  EC - 2+10_II.5. RawMaterials_Guidance_P&amp;L Rec Qtr" xfId="5856"/>
    <cellStyle name="_MOR - BDWY - 1+11_MOR - Australia -  EC - 2+10_II.5. RawMaterials_Guidance_Sheet1" xfId="5857"/>
    <cellStyle name="_MOR - BDWY - 1+11_MOR - Australia -  EC - 2+10_II.5. RawMaterials_Guidance_Sheet2" xfId="5858"/>
    <cellStyle name="_MOR - BDWY - 1+11_MOR - Australia -  EC - 2+10_II.5. RawMaterials_Guidance_Sheet3" xfId="5859"/>
    <cellStyle name="_MOR - BDWY - 1+11_MOR - Australia -  EC - 2+10_II.5. RawMaterials_Guidance_Sheet4" xfId="5860"/>
    <cellStyle name="_MOR - BDWY - 1+11_MOR - Australia -  EC - 2+10_II.5. RawMaterials_P&amp;L Rec Qtr" xfId="5861"/>
    <cellStyle name="_MOR - BDWY - 1+11_MOR - Australia -  EC - 2+10_II.5. RawMaterials_Sheet1" xfId="5862"/>
    <cellStyle name="_MOR - BDWY - 1+11_MOR - Australia -  EC - 2+10_II.5. RawMaterials_Sheet2" xfId="5863"/>
    <cellStyle name="_MOR - BDWY - 1+11_MOR - Australia -  EC - 2+10_II.5. RawMaterials_Sheet3" xfId="5864"/>
    <cellStyle name="_MOR - BDWY - 1+11_MOR - Australia -  EC - 2+10_II.5. RawMaterials_Sheet4" xfId="5865"/>
    <cellStyle name="_MOR - BDWY - 1+11_MOR - Australia -  EC - 2+10_II.5. RM Volume Sensitivities" xfId="5866"/>
    <cellStyle name="_MOR - BDWY - 1+11_MOR - Australia -  EC - 2+10_II.5. RM Volume Sensitivities 2" xfId="5867"/>
    <cellStyle name="_MOR - BDWY - 1+11_MOR - Australia -  EC - 2+10_II.5. RM Volume Sensitivities_BS retrieve" xfId="5868"/>
    <cellStyle name="_MOR - BDWY - 1+11_MOR - Australia -  EC - 2+10_II.5. RM Volume Sensitivities_Free CF" xfId="5869"/>
    <cellStyle name="_MOR - BDWY - 1+11_MOR - Australia -  EC - 2+10_II.5. RM Volume Sensitivities_P&amp;L Rec Qtr" xfId="5870"/>
    <cellStyle name="_MOR - BDWY - 1+11_MOR - Australia -  EC - 2+10_II.5. RM Volume Sensitivities_Sheet1" xfId="5871"/>
    <cellStyle name="_MOR - BDWY - 1+11_MOR - Australia -  EC - 2+10_II.5. RM Volume Sensitivities_Sheet2" xfId="5872"/>
    <cellStyle name="_MOR - BDWY - 1+11_MOR - Australia -  EC - 2+10_II.5. RM Volume Sensitivities_Sheet3" xfId="5873"/>
    <cellStyle name="_MOR - BDWY - 1+11_MOR - Australia -  EC - 2+10_II.5. RM Volume Sensitivities_Sheet4" xfId="5874"/>
    <cellStyle name="_MOR - BDWY - 1+11_MOR - Australia -  EC - 2+10_II.8. Sep&amp;Discrete" xfId="5875"/>
    <cellStyle name="_MOR - BDWY - 1+11_MOR - Australia -  EC - 2+10_II.8. Sep&amp;Discrete_Guidance" xfId="5876"/>
    <cellStyle name="_MOR - BDWY - 1+11_MOR - Australia -  EC - 2+10_II.8. Sep&amp;Discrete_Guidance 2" xfId="5877"/>
    <cellStyle name="_MOR - BDWY - 1+11_MOR - Australia -  EC - 2+10_II.8. Sep&amp;Discrete_Guidance_BS retrieve" xfId="5878"/>
    <cellStyle name="_MOR - BDWY - 1+11_MOR - Australia -  EC - 2+10_II.8. Sep&amp;Discrete_Guidance_Free CF" xfId="5879"/>
    <cellStyle name="_MOR - BDWY - 1+11_MOR - Australia -  EC - 2+10_II.8. Sep&amp;Discrete_Guidance_P&amp;L Rec Qtr" xfId="5880"/>
    <cellStyle name="_MOR - BDWY - 1+11_MOR - Australia -  EC - 2+10_II.8. Sep&amp;Discrete_Guidance_Sheet1" xfId="5881"/>
    <cellStyle name="_MOR - BDWY - 1+11_MOR - Australia -  EC - 2+10_II.8. Sep&amp;Discrete_Guidance_Sheet2" xfId="5882"/>
    <cellStyle name="_MOR - BDWY - 1+11_MOR - Australia -  EC - 2+10_II.8. Sep&amp;Discrete_Guidance_Sheet3" xfId="5883"/>
    <cellStyle name="_MOR - BDWY - 1+11_MOR - Australia -  EC - 2+10_II.8. Sep&amp;Discrete_Guidance_Sheet4" xfId="5884"/>
    <cellStyle name="_MOR - BDWY - 1+11_MOR - Australia -  EC - 2+10_Restructuring &amp; Separation" xfId="5885"/>
    <cellStyle name="_MOR - BDWY - 1+11_MOR - Australia -  EC - 2+10_Restructuring &amp; Separation_Guidance" xfId="5886"/>
    <cellStyle name="_MOR - BDWY - 1+11_MOR - Australia -  EC - 2+10_Restructuring &amp; Separation_Guidance 2" xfId="5887"/>
    <cellStyle name="_MOR - BDWY - 1+11_MOR - Australia -  EC - 2+10_Restructuring &amp; Separation_Guidance_BS retrieve" xfId="5888"/>
    <cellStyle name="_MOR - BDWY - 1+11_MOR - Australia -  EC - 2+10_Restructuring &amp; Separation_Guidance_Free CF" xfId="5889"/>
    <cellStyle name="_MOR - BDWY - 1+11_MOR - Australia -  EC - 2+10_Restructuring &amp; Separation_Guidance_P&amp;L Rec Qtr" xfId="5890"/>
    <cellStyle name="_MOR - BDWY - 1+11_MOR - Australia -  EC - 2+10_Restructuring &amp; Separation_Guidance_Sheet1" xfId="5891"/>
    <cellStyle name="_MOR - BDWY - 1+11_MOR - Australia -  EC - 2+10_Restructuring &amp; Separation_Guidance_Sheet2" xfId="5892"/>
    <cellStyle name="_MOR - BDWY - 1+11_MOR - Australia -  EC - 2+10_Restructuring &amp; Separation_Guidance_Sheet3" xfId="5893"/>
    <cellStyle name="_MOR - BDWY - 1+11_MOR - Australia -  EC - 2+10_Restructuring &amp; Separation_Guidance_Sheet4" xfId="5894"/>
    <cellStyle name="_MOR - BDWY - 1+11_MOR - Australia -  EC - 2+10_Restructuring_Separation_TAX_JuneFC2010 tf" xfId="5895"/>
    <cellStyle name="_MOR - BDWY - 1+11_MOR - Australia -  EC - 2+10_Restructuring_Separation_TAX_JuneFC2010 tf_BS_Separation_TaxResIndem_Q12412 tf" xfId="5896"/>
    <cellStyle name="_MOR - BDWY - 1+11_MOR - Australia -  EC - 2+10_Restructuring_Separation_TAX_JuneFC2010 tf_BS_Separation_TaxResIndem_Q12412 tf_Guidance" xfId="5897"/>
    <cellStyle name="_MOR - BDWY - 1+11_MOR - Australia -  EC - 2+10_Restructuring_Separation_TAX_JuneFC2010 tf_BS_Separation_TaxResIndem_Q12412 tf_Guidance 2" xfId="5898"/>
    <cellStyle name="_MOR - BDWY - 1+11_MOR - Australia -  EC - 2+10_Restructuring_Separation_TAX_JuneFC2010 tf_BS_Separation_TaxResIndem_Q12412 tf_Guidance_BS retrieve" xfId="5899"/>
    <cellStyle name="_MOR - BDWY - 1+11_MOR - Australia -  EC - 2+10_Restructuring_Separation_TAX_JuneFC2010 tf_BS_Separation_TaxResIndem_Q12412 tf_Guidance_Free CF" xfId="5900"/>
    <cellStyle name="_MOR - BDWY - 1+11_MOR - Australia -  EC - 2+10_Restructuring_Separation_TAX_JuneFC2010 tf_BS_Separation_TaxResIndem_Q12412 tf_Guidance_P&amp;L Rec Qtr" xfId="5901"/>
    <cellStyle name="_MOR - BDWY - 1+11_MOR - Australia -  EC - 2+10_Restructuring_Separation_TAX_JuneFC2010 tf_BS_Separation_TaxResIndem_Q12412 tf_Guidance_Sheet1" xfId="5902"/>
    <cellStyle name="_MOR - BDWY - 1+11_MOR - Australia -  EC - 2+10_Restructuring_Separation_TAX_JuneFC2010 tf_BS_Separation_TaxResIndem_Q12412 tf_Guidance_Sheet2" xfId="5903"/>
    <cellStyle name="_MOR - BDWY - 1+11_MOR - Australia -  EC - 2+10_Restructuring_Separation_TAX_JuneFC2010 tf_BS_Separation_TaxResIndem_Q12412 tf_Guidance_Sheet3" xfId="5904"/>
    <cellStyle name="_MOR - BDWY - 1+11_MOR - Australia -  EC - 2+10_Restructuring_Separation_TAX_JuneFC2010 tf_BS_Separation_TaxResIndem_Q12412 tf_Guidance_Sheet4" xfId="5905"/>
    <cellStyle name="_MOR - BDWY - 1+11_MOR - Australia -  EC - 2+10_Restructuring_Separation_TAX_JuneFC2010 tf_BS_Separation_TaxResIndem_Q12412 tf_Restructuring &amp; Separation" xfId="5906"/>
    <cellStyle name="_MOR - BDWY - 1+11_MOR - Australia -  EC - 2+10_Restructuring_Separation_TAX_JuneFC2010 tf_BS_Separation_TaxResIndem_Q12412 tf_Restructuring &amp; Separation_Guidance" xfId="5907"/>
    <cellStyle name="_MOR - BDWY - 1+11_MOR - Australia -  EC - 2+10_Restructuring_Separation_TAX_JuneFC2010 tf_BS_Separation_TaxResIndem_Q12412 tf_Restructuring &amp; Separation_Guidance 2" xfId="5908"/>
    <cellStyle name="_MOR - BDWY - 1+11_MOR - Australia -  EC - 2+10_Restructuring_Separation_TAX_JuneFC2010 tf_BS_Separation_TaxResIndem_Q12412 tf_Restructuring &amp; Separation_Guidance_BS retrieve" xfId="5909"/>
    <cellStyle name="_MOR - BDWY - 1+11_MOR - Australia -  EC - 2+10_Restructuring_Separation_TAX_JuneFC2010 tf_BS_Separation_TaxResIndem_Q12412 tf_Restructuring &amp; Separation_Guidance_Free CF" xfId="5910"/>
    <cellStyle name="_MOR - BDWY - 1+11_MOR - Australia -  EC - 2+10_Restructuring_Separation_TAX_JuneFC2010 tf_BS_Separation_TaxResIndem_Q12412 tf_Restructuring &amp; Separation_Guidance_P&amp;L Rec Qtr" xfId="5911"/>
    <cellStyle name="_MOR - BDWY - 1+11_MOR - Australia -  EC - 2+10_Restructuring_Separation_TAX_JuneFC2010 tf_BS_Separation_TaxResIndem_Q12412 tf_Restructuring &amp; Separation_Guidance_Sheet1" xfId="5912"/>
    <cellStyle name="_MOR - BDWY - 1+11_MOR - Australia -  EC - 2+10_Restructuring_Separation_TAX_JuneFC2010 tf_BS_Separation_TaxResIndem_Q12412 tf_Restructuring &amp; Separation_Guidance_Sheet2" xfId="5913"/>
    <cellStyle name="_MOR - BDWY - 1+11_MOR - Australia -  EC - 2+10_Restructuring_Separation_TAX_JuneFC2010 tf_BS_Separation_TaxResIndem_Q12412 tf_Restructuring &amp; Separation_Guidance_Sheet3" xfId="5914"/>
    <cellStyle name="_MOR - BDWY - 1+11_MOR - Australia -  EC - 2+10_Restructuring_Separation_TAX_JuneFC2010 tf_BS_Separation_TaxResIndem_Q12412 tf_Restructuring &amp; Separation_Guidance_Sheet4" xfId="5915"/>
    <cellStyle name="_MOR - BDWY - 1+11_MOR - Australia -  EC - 2+10_Restructuring_Separation_TAX_JuneFC2010 tf_Guidance" xfId="5916"/>
    <cellStyle name="_MOR - BDWY - 1+11_MOR - Australia -  EC - 2+10_Restructuring_Separation_TAX_JuneFC2010 tf_Guidance 2" xfId="5917"/>
    <cellStyle name="_MOR - BDWY - 1+11_MOR - Australia -  EC - 2+10_Restructuring_Separation_TAX_JuneFC2010 tf_Guidance_BS retrieve" xfId="5918"/>
    <cellStyle name="_MOR - BDWY - 1+11_MOR - Australia -  EC - 2+10_Restructuring_Separation_TAX_JuneFC2010 tf_Guidance_Free CF" xfId="5919"/>
    <cellStyle name="_MOR - BDWY - 1+11_MOR - Australia -  EC - 2+10_Restructuring_Separation_TAX_JuneFC2010 tf_Guidance_P&amp;L Rec Qtr" xfId="5920"/>
    <cellStyle name="_MOR - BDWY - 1+11_MOR - Australia -  EC - 2+10_Restructuring_Separation_TAX_JuneFC2010 tf_Guidance_Sheet1" xfId="5921"/>
    <cellStyle name="_MOR - BDWY - 1+11_MOR - Australia -  EC - 2+10_Restructuring_Separation_TAX_JuneFC2010 tf_Guidance_Sheet2" xfId="5922"/>
    <cellStyle name="_MOR - BDWY - 1+11_MOR - Australia -  EC - 2+10_Restructuring_Separation_TAX_JuneFC2010 tf_Guidance_Sheet3" xfId="5923"/>
    <cellStyle name="_MOR - BDWY - 1+11_MOR - Australia -  EC - 2+10_Restructuring_Separation_TAX_JuneFC2010 tf_Guidance_Sheet4" xfId="5924"/>
    <cellStyle name="_MOR - BDWY - 1+11_MOR - Australia -  EC - 2+10_Restructuring_Separation_TAX_JuneFC2010 tf_II.8. Sep&amp;Discrete" xfId="5925"/>
    <cellStyle name="_MOR - BDWY - 1+11_MOR - Australia -  EC - 2+10_Restructuring_Separation_TAX_JuneFC2010 tf_II.8. Sep&amp;Discrete_Guidance" xfId="5926"/>
    <cellStyle name="_MOR - BDWY - 1+11_MOR - Australia -  EC - 2+10_Restructuring_Separation_TAX_JuneFC2010 tf_II.8. Sep&amp;Discrete_Guidance 2" xfId="5927"/>
    <cellStyle name="_MOR - BDWY - 1+11_MOR - Australia -  EC - 2+10_Restructuring_Separation_TAX_JuneFC2010 tf_II.8. Sep&amp;Discrete_Guidance_BS retrieve" xfId="5928"/>
    <cellStyle name="_MOR - BDWY - 1+11_MOR - Australia -  EC - 2+10_Restructuring_Separation_TAX_JuneFC2010 tf_II.8. Sep&amp;Discrete_Guidance_Free CF" xfId="5929"/>
    <cellStyle name="_MOR - BDWY - 1+11_MOR - Australia -  EC - 2+10_Restructuring_Separation_TAX_JuneFC2010 tf_II.8. Sep&amp;Discrete_Guidance_P&amp;L Rec Qtr" xfId="5930"/>
    <cellStyle name="_MOR - BDWY - 1+11_MOR - Australia -  EC - 2+10_Restructuring_Separation_TAX_JuneFC2010 tf_II.8. Sep&amp;Discrete_Guidance_Sheet1" xfId="5931"/>
    <cellStyle name="_MOR - BDWY - 1+11_MOR - Australia -  EC - 2+10_Restructuring_Separation_TAX_JuneFC2010 tf_II.8. Sep&amp;Discrete_Guidance_Sheet2" xfId="5932"/>
    <cellStyle name="_MOR - BDWY - 1+11_MOR - Australia -  EC - 2+10_Restructuring_Separation_TAX_JuneFC2010 tf_II.8. Sep&amp;Discrete_Guidance_Sheet3" xfId="5933"/>
    <cellStyle name="_MOR - BDWY - 1+11_MOR - Australia -  EC - 2+10_Restructuring_Separation_TAX_JuneFC2010 tf_II.8. Sep&amp;Discrete_Guidance_Sheet4" xfId="5934"/>
    <cellStyle name="_MOR - BDWY - 1+11_MOR - Australia -  EC - 2+10_Restructuring_Separation_TAX_JuneFC2010 tf_Restructuring &amp; Separation" xfId="5935"/>
    <cellStyle name="_MOR - BDWY - 1+11_MOR - Australia -  EC - 2+10_Restructuring_Separation_TAX_JuneFC2010 tf_Restructuring &amp; Separation_Guidance" xfId="5936"/>
    <cellStyle name="_MOR - BDWY - 1+11_MOR - Australia -  EC - 2+10_Restructuring_Separation_TAX_JuneFC2010 tf_Restructuring &amp; Separation_Guidance 2" xfId="5937"/>
    <cellStyle name="_MOR - BDWY - 1+11_MOR - Australia -  EC - 2+10_Restructuring_Separation_TAX_JuneFC2010 tf_Restructuring &amp; Separation_Guidance_BS retrieve" xfId="5938"/>
    <cellStyle name="_MOR - BDWY - 1+11_MOR - Australia -  EC - 2+10_Restructuring_Separation_TAX_JuneFC2010 tf_Restructuring &amp; Separation_Guidance_Free CF" xfId="5939"/>
    <cellStyle name="_MOR - BDWY - 1+11_MOR - Australia -  EC - 2+10_Restructuring_Separation_TAX_JuneFC2010 tf_Restructuring &amp; Separation_Guidance_P&amp;L Rec Qtr" xfId="5940"/>
    <cellStyle name="_MOR - BDWY - 1+11_MOR - Australia -  EC - 2+10_Restructuring_Separation_TAX_JuneFC2010 tf_Restructuring &amp; Separation_Guidance_Sheet1" xfId="5941"/>
    <cellStyle name="_MOR - BDWY - 1+11_MOR - Australia -  EC - 2+10_Restructuring_Separation_TAX_JuneFC2010 tf_Restructuring &amp; Separation_Guidance_Sheet2" xfId="5942"/>
    <cellStyle name="_MOR - BDWY - 1+11_MOR - Australia -  EC - 2+10_Restructuring_Separation_TAX_JuneFC2010 tf_Restructuring &amp; Separation_Guidance_Sheet3" xfId="5943"/>
    <cellStyle name="_MOR - BDWY - 1+11_MOR - Australia -  EC - 2+10_Restructuring_Separation_TAX_JuneFC2010 tf_Restructuring &amp; Separation_Guidance_Sheet4" xfId="5944"/>
    <cellStyle name="_MOR - BDWY - 1+11_MOR - Australia -  EC - 3+9" xfId="5945"/>
    <cellStyle name="_MOR - BDWY - 1+11_MOR - Australia -  EC - 3+9_BS_Separation_TaxResIndem_Q12412 tf" xfId="5946"/>
    <cellStyle name="_MOR - BDWY - 1+11_MOR - Australia -  EC - 3+9_BS_Separation_TaxResIndem_Q12412 tf_Guidance" xfId="5947"/>
    <cellStyle name="_MOR - BDWY - 1+11_MOR - Australia -  EC - 3+9_BS_Separation_TaxResIndem_Q12412 tf_Guidance 2" xfId="5948"/>
    <cellStyle name="_MOR - BDWY - 1+11_MOR - Australia -  EC - 3+9_BS_Separation_TaxResIndem_Q12412 tf_Guidance_BS retrieve" xfId="5949"/>
    <cellStyle name="_MOR - BDWY - 1+11_MOR - Australia -  EC - 3+9_BS_Separation_TaxResIndem_Q12412 tf_Guidance_Free CF" xfId="5950"/>
    <cellStyle name="_MOR - BDWY - 1+11_MOR - Australia -  EC - 3+9_BS_Separation_TaxResIndem_Q12412 tf_Guidance_P&amp;L Rec Qtr" xfId="5951"/>
    <cellStyle name="_MOR - BDWY - 1+11_MOR - Australia -  EC - 3+9_BS_Separation_TaxResIndem_Q12412 tf_Guidance_Sheet1" xfId="5952"/>
    <cellStyle name="_MOR - BDWY - 1+11_MOR - Australia -  EC - 3+9_BS_Separation_TaxResIndem_Q12412 tf_Guidance_Sheet2" xfId="5953"/>
    <cellStyle name="_MOR - BDWY - 1+11_MOR - Australia -  EC - 3+9_BS_Separation_TaxResIndem_Q12412 tf_Guidance_Sheet3" xfId="5954"/>
    <cellStyle name="_MOR - BDWY - 1+11_MOR - Australia -  EC - 3+9_BS_Separation_TaxResIndem_Q12412 tf_Guidance_Sheet4" xfId="5955"/>
    <cellStyle name="_MOR - BDWY - 1+11_MOR - Australia -  EC - 3+9_BS_Separation_TaxResIndem_Q12412 tf_Restructuring &amp; Separation" xfId="5956"/>
    <cellStyle name="_MOR - BDWY - 1+11_MOR - Australia -  EC - 3+9_BS_Separation_TaxResIndem_Q12412 tf_Restructuring &amp; Separation_Guidance" xfId="5957"/>
    <cellStyle name="_MOR - BDWY - 1+11_MOR - Australia -  EC - 3+9_BS_Separation_TaxResIndem_Q12412 tf_Restructuring &amp; Separation_Guidance 2" xfId="5958"/>
    <cellStyle name="_MOR - BDWY - 1+11_MOR - Australia -  EC - 3+9_BS_Separation_TaxResIndem_Q12412 tf_Restructuring &amp; Separation_Guidance_BS retrieve" xfId="5959"/>
    <cellStyle name="_MOR - BDWY - 1+11_MOR - Australia -  EC - 3+9_BS_Separation_TaxResIndem_Q12412 tf_Restructuring &amp; Separation_Guidance_Free CF" xfId="5960"/>
    <cellStyle name="_MOR - BDWY - 1+11_MOR - Australia -  EC - 3+9_BS_Separation_TaxResIndem_Q12412 tf_Restructuring &amp; Separation_Guidance_P&amp;L Rec Qtr" xfId="5961"/>
    <cellStyle name="_MOR - BDWY - 1+11_MOR - Australia -  EC - 3+9_BS_Separation_TaxResIndem_Q12412 tf_Restructuring &amp; Separation_Guidance_Sheet1" xfId="5962"/>
    <cellStyle name="_MOR - BDWY - 1+11_MOR - Australia -  EC - 3+9_BS_Separation_TaxResIndem_Q12412 tf_Restructuring &amp; Separation_Guidance_Sheet2" xfId="5963"/>
    <cellStyle name="_MOR - BDWY - 1+11_MOR - Australia -  EC - 3+9_BS_Separation_TaxResIndem_Q12412 tf_Restructuring &amp; Separation_Guidance_Sheet3" xfId="5964"/>
    <cellStyle name="_MOR - BDWY - 1+11_MOR - Australia -  EC - 3+9_BS_Separation_TaxResIndem_Q12412 tf_Restructuring &amp; Separation_Guidance_Sheet4" xfId="5965"/>
    <cellStyle name="_MOR - BDWY - 1+11_MOR - Australia -  EC - 3+9_By Country Detail 1Q10 041410pm FIN 18 revised per disc w Mary" xfId="5966"/>
    <cellStyle name="_MOR - BDWY - 1+11_MOR - Australia -  EC - 3+9_By Country Detail 1Q10 041410pm FIN 18 revised per disc w Mary_BS_Separation_TaxResIndem_Q12412 tf" xfId="5967"/>
    <cellStyle name="_MOR - BDWY - 1+11_MOR - Australia -  EC - 3+9_By Country Detail 1Q10 041410pm FIN 18 revised per disc w Mary_BS_Separation_TaxResIndem_Q12412 tf_Guidance" xfId="5968"/>
    <cellStyle name="_MOR - BDWY - 1+11_MOR - Australia -  EC - 3+9_By Country Detail 1Q10 041410pm FIN 18 revised per disc w Mary_BS_Separation_TaxResIndem_Q12412 tf_Guidance 2" xfId="5969"/>
    <cellStyle name="_MOR - BDWY - 1+11_MOR - Australia -  EC - 3+9_By Country Detail 1Q10 041410pm FIN 18 revised per disc w Mary_BS_Separation_TaxResIndem_Q12412 tf_Guidance_BS retrieve" xfId="5970"/>
    <cellStyle name="_MOR - BDWY - 1+11_MOR - Australia -  EC - 3+9_By Country Detail 1Q10 041410pm FIN 18 revised per disc w Mary_BS_Separation_TaxResIndem_Q12412 tf_Guidance_Free CF" xfId="5971"/>
    <cellStyle name="_MOR - BDWY - 1+11_MOR - Australia -  EC - 3+9_By Country Detail 1Q10 041410pm FIN 18 revised per disc w Mary_BS_Separation_TaxResIndem_Q12412 tf_Guidance_P&amp;L Rec Qtr" xfId="5972"/>
    <cellStyle name="_MOR - BDWY - 1+11_MOR - Australia -  EC - 3+9_By Country Detail 1Q10 041410pm FIN 18 revised per disc w Mary_BS_Separation_TaxResIndem_Q12412 tf_Guidance_Sheet1" xfId="5973"/>
    <cellStyle name="_MOR - BDWY - 1+11_MOR - Australia -  EC - 3+9_By Country Detail 1Q10 041410pm FIN 18 revised per disc w Mary_BS_Separation_TaxResIndem_Q12412 tf_Guidance_Sheet2" xfId="5974"/>
    <cellStyle name="_MOR - BDWY - 1+11_MOR - Australia -  EC - 3+9_By Country Detail 1Q10 041410pm FIN 18 revised per disc w Mary_BS_Separation_TaxResIndem_Q12412 tf_Guidance_Sheet3" xfId="5975"/>
    <cellStyle name="_MOR - BDWY - 1+11_MOR - Australia -  EC - 3+9_By Country Detail 1Q10 041410pm FIN 18 revised per disc w Mary_BS_Separation_TaxResIndem_Q12412 tf_Guidance_Sheet4" xfId="5976"/>
    <cellStyle name="_MOR - BDWY - 1+11_MOR - Australia -  EC - 3+9_By Country Detail 1Q10 041410pm FIN 18 revised per disc w Mary_BS_Separation_TaxResIndem_Q12412 tf_Restructuring &amp; Separation" xfId="5977"/>
    <cellStyle name="_MOR - BDWY - 1+11_MOR - Australia -  EC - 3+9_By Country Detail 1Q10 041410pm FIN 18 revised per disc w Mary_BS_Separation_TaxResIndem_Q12412 tf_Restructuring &amp; Separation_Guidance" xfId="5978"/>
    <cellStyle name="_MOR - BDWY - 1+11_MOR - Australia -  EC - 3+9_By Country Detail 1Q10 041410pm FIN 18 revised per disc w Mary_BS_Separation_TaxResIndem_Q12412 tf_Restructuring &amp; Separation_Guidance 2" xfId="5979"/>
    <cellStyle name="_MOR - BDWY - 1+11_MOR - Australia -  EC - 3+9_By Country Detail 1Q10 041410pm FIN 18 revised per disc w Mary_BS_Separation_TaxResIndem_Q12412 tf_Restructuring &amp; Separation_Guidance_BS retrieve" xfId="5980"/>
    <cellStyle name="_MOR - BDWY - 1+11_MOR - Australia -  EC - 3+9_By Country Detail 1Q10 041410pm FIN 18 revised per disc w Mary_BS_Separation_TaxResIndem_Q12412 tf_Restructuring &amp; Separation_Guidance_Free CF" xfId="5981"/>
    <cellStyle name="_MOR - BDWY - 1+11_MOR - Australia -  EC - 3+9_By Country Detail 1Q10 041410pm FIN 18 revised per disc w Mary_BS_Separation_TaxResIndem_Q12412 tf_Restructuring &amp; Separation_Guidance_P&amp;L Rec Qtr" xfId="5982"/>
    <cellStyle name="_MOR - BDWY - 1+11_MOR - Australia -  EC - 3+9_By Country Detail 1Q10 041410pm FIN 18 revised per disc w Mary_BS_Separation_TaxResIndem_Q12412 tf_Restructuring &amp; Separation_Guidance_Sheet1" xfId="5983"/>
    <cellStyle name="_MOR - BDWY - 1+11_MOR - Australia -  EC - 3+9_By Country Detail 1Q10 041410pm FIN 18 revised per disc w Mary_BS_Separation_TaxResIndem_Q12412 tf_Restructuring &amp; Separation_Guidance_Sheet2" xfId="5984"/>
    <cellStyle name="_MOR - BDWY - 1+11_MOR - Australia -  EC - 3+9_By Country Detail 1Q10 041410pm FIN 18 revised per disc w Mary_BS_Separation_TaxResIndem_Q12412 tf_Restructuring &amp; Separation_Guidance_Sheet3" xfId="5985"/>
    <cellStyle name="_MOR - BDWY - 1+11_MOR - Australia -  EC - 3+9_By Country Detail 1Q10 041410pm FIN 18 revised per disc w Mary_BS_Separation_TaxResIndem_Q12412 tf_Restructuring &amp; Separation_Guidance_Sheet4" xfId="5986"/>
    <cellStyle name="_MOR - BDWY - 1+11_MOR - Australia -  EC - 3+9_By Country Detail 1Q10 041410pm FIN 18 revised per disc w Mary_Guidance" xfId="5987"/>
    <cellStyle name="_MOR - BDWY - 1+11_MOR - Australia -  EC - 3+9_By Country Detail 1Q10 041410pm FIN 18 revised per disc w Mary_Guidance 2" xfId="5988"/>
    <cellStyle name="_MOR - BDWY - 1+11_MOR - Australia -  EC - 3+9_By Country Detail 1Q10 041410pm FIN 18 revised per disc w Mary_Guidance_BS retrieve" xfId="5989"/>
    <cellStyle name="_MOR - BDWY - 1+11_MOR - Australia -  EC - 3+9_By Country Detail 1Q10 041410pm FIN 18 revised per disc w Mary_Guidance_Free CF" xfId="5990"/>
    <cellStyle name="_MOR - BDWY - 1+11_MOR - Australia -  EC - 3+9_By Country Detail 1Q10 041410pm FIN 18 revised per disc w Mary_Guidance_P&amp;L Rec Qtr" xfId="5991"/>
    <cellStyle name="_MOR - BDWY - 1+11_MOR - Australia -  EC - 3+9_By Country Detail 1Q10 041410pm FIN 18 revised per disc w Mary_Guidance_Sheet1" xfId="5992"/>
    <cellStyle name="_MOR - BDWY - 1+11_MOR - Australia -  EC - 3+9_By Country Detail 1Q10 041410pm FIN 18 revised per disc w Mary_Guidance_Sheet2" xfId="5993"/>
    <cellStyle name="_MOR - BDWY - 1+11_MOR - Australia -  EC - 3+9_By Country Detail 1Q10 041410pm FIN 18 revised per disc w Mary_Guidance_Sheet3" xfId="5994"/>
    <cellStyle name="_MOR - BDWY - 1+11_MOR - Australia -  EC - 3+9_By Country Detail 1Q10 041410pm FIN 18 revised per disc w Mary_Guidance_Sheet4" xfId="5995"/>
    <cellStyle name="_MOR - BDWY - 1+11_MOR - Australia -  EC - 3+9_By Country Detail 1Q10 041410pm FIN 18 revised per disc w Mary_II.8. Sep&amp;Discrete" xfId="5996"/>
    <cellStyle name="_MOR - BDWY - 1+11_MOR - Australia -  EC - 3+9_By Country Detail 1Q10 041410pm FIN 18 revised per disc w Mary_II.8. Sep&amp;Discrete_Guidance" xfId="5997"/>
    <cellStyle name="_MOR - BDWY - 1+11_MOR - Australia -  EC - 3+9_By Country Detail 1Q10 041410pm FIN 18 revised per disc w Mary_II.8. Sep&amp;Discrete_Guidance 2" xfId="5998"/>
    <cellStyle name="_MOR - BDWY - 1+11_MOR - Australia -  EC - 3+9_By Country Detail 1Q10 041410pm FIN 18 revised per disc w Mary_II.8. Sep&amp;Discrete_Guidance_BS retrieve" xfId="5999"/>
    <cellStyle name="_MOR - BDWY - 1+11_MOR - Australia -  EC - 3+9_By Country Detail 1Q10 041410pm FIN 18 revised per disc w Mary_II.8. Sep&amp;Discrete_Guidance_Free CF" xfId="6000"/>
    <cellStyle name="_MOR - BDWY - 1+11_MOR - Australia -  EC - 3+9_By Country Detail 1Q10 041410pm FIN 18 revised per disc w Mary_II.8. Sep&amp;Discrete_Guidance_P&amp;L Rec Qtr" xfId="6001"/>
    <cellStyle name="_MOR - BDWY - 1+11_MOR - Australia -  EC - 3+9_By Country Detail 1Q10 041410pm FIN 18 revised per disc w Mary_II.8. Sep&amp;Discrete_Guidance_Sheet1" xfId="6002"/>
    <cellStyle name="_MOR - BDWY - 1+11_MOR - Australia -  EC - 3+9_By Country Detail 1Q10 041410pm FIN 18 revised per disc w Mary_II.8. Sep&amp;Discrete_Guidance_Sheet2" xfId="6003"/>
    <cellStyle name="_MOR - BDWY - 1+11_MOR - Australia -  EC - 3+9_By Country Detail 1Q10 041410pm FIN 18 revised per disc w Mary_II.8. Sep&amp;Discrete_Guidance_Sheet3" xfId="6004"/>
    <cellStyle name="_MOR - BDWY - 1+11_MOR - Australia -  EC - 3+9_By Country Detail 1Q10 041410pm FIN 18 revised per disc w Mary_II.8. Sep&amp;Discrete_Guidance_Sheet4" xfId="6005"/>
    <cellStyle name="_MOR - BDWY - 1+11_MOR - Australia -  EC - 3+9_By Country Detail 1Q10 041410pm FIN 18 revised per disc w Mary_Restructuring &amp; Separation" xfId="6006"/>
    <cellStyle name="_MOR - BDWY - 1+11_MOR - Australia -  EC - 3+9_By Country Detail 1Q10 041410pm FIN 18 revised per disc w Mary_Restructuring &amp; Separation_Guidance" xfId="6007"/>
    <cellStyle name="_MOR - BDWY - 1+11_MOR - Australia -  EC - 3+9_By Country Detail 1Q10 041410pm FIN 18 revised per disc w Mary_Restructuring &amp; Separation_Guidance 2" xfId="6008"/>
    <cellStyle name="_MOR - BDWY - 1+11_MOR - Australia -  EC - 3+9_By Country Detail 1Q10 041410pm FIN 18 revised per disc w Mary_Restructuring &amp; Separation_Guidance_BS retrieve" xfId="6009"/>
    <cellStyle name="_MOR - BDWY - 1+11_MOR - Australia -  EC - 3+9_By Country Detail 1Q10 041410pm FIN 18 revised per disc w Mary_Restructuring &amp; Separation_Guidance_Free CF" xfId="6010"/>
    <cellStyle name="_MOR - BDWY - 1+11_MOR - Australia -  EC - 3+9_By Country Detail 1Q10 041410pm FIN 18 revised per disc w Mary_Restructuring &amp; Separation_Guidance_P&amp;L Rec Qtr" xfId="6011"/>
    <cellStyle name="_MOR - BDWY - 1+11_MOR - Australia -  EC - 3+9_By Country Detail 1Q10 041410pm FIN 18 revised per disc w Mary_Restructuring &amp; Separation_Guidance_Sheet1" xfId="6012"/>
    <cellStyle name="_MOR - BDWY - 1+11_MOR - Australia -  EC - 3+9_By Country Detail 1Q10 041410pm FIN 18 revised per disc w Mary_Restructuring &amp; Separation_Guidance_Sheet2" xfId="6013"/>
    <cellStyle name="_MOR - BDWY - 1+11_MOR - Australia -  EC - 3+9_By Country Detail 1Q10 041410pm FIN 18 revised per disc w Mary_Restructuring &amp; Separation_Guidance_Sheet3" xfId="6014"/>
    <cellStyle name="_MOR - BDWY - 1+11_MOR - Australia -  EC - 3+9_By Country Detail 1Q10 041410pm FIN 18 revised per disc w Mary_Restructuring &amp; Separation_Guidance_Sheet4" xfId="6015"/>
    <cellStyle name="_MOR - BDWY - 1+11_MOR - Australia -  EC - 3+9_Guidance" xfId="6016"/>
    <cellStyle name="_MOR - BDWY - 1+11_MOR - Australia -  EC - 3+9_Guidance 2" xfId="6017"/>
    <cellStyle name="_MOR - BDWY - 1+11_MOR - Australia -  EC - 3+9_Guidance_BS retrieve" xfId="6018"/>
    <cellStyle name="_MOR - BDWY - 1+11_MOR - Australia -  EC - 3+9_Guidance_Free CF" xfId="6019"/>
    <cellStyle name="_MOR - BDWY - 1+11_MOR - Australia -  EC - 3+9_Guidance_P&amp;L Rec Qtr" xfId="6020"/>
    <cellStyle name="_MOR - BDWY - 1+11_MOR - Australia -  EC - 3+9_Guidance_Sheet1" xfId="6021"/>
    <cellStyle name="_MOR - BDWY - 1+11_MOR - Australia -  EC - 3+9_Guidance_Sheet2" xfId="6022"/>
    <cellStyle name="_MOR - BDWY - 1+11_MOR - Australia -  EC - 3+9_Guidance_Sheet3" xfId="6023"/>
    <cellStyle name="_MOR - BDWY - 1+11_MOR - Australia -  EC - 3+9_Guidance_Sheet4" xfId="6024"/>
    <cellStyle name="_MOR - BDWY - 1+11_MOR - Australia -  EC - 3+9_II.4. RawMaterials" xfId="6025"/>
    <cellStyle name="_MOR - BDWY - 1+11_MOR - Australia -  EC - 3+9_II.4. RawMaterials 2" xfId="6026"/>
    <cellStyle name="_MOR - BDWY - 1+11_MOR - Australia -  EC - 3+9_II.4. RawMaterials_BS retrieve" xfId="6027"/>
    <cellStyle name="_MOR - BDWY - 1+11_MOR - Australia -  EC - 3+9_II.4. RawMaterials_Free CF" xfId="6028"/>
    <cellStyle name="_MOR - BDWY - 1+11_MOR - Australia -  EC - 3+9_II.4. RawMaterials_P&amp;L Rec Qtr" xfId="6029"/>
    <cellStyle name="_MOR - BDWY - 1+11_MOR - Australia -  EC - 3+9_II.4. RawMaterials_Sheet1" xfId="6030"/>
    <cellStyle name="_MOR - BDWY - 1+11_MOR - Australia -  EC - 3+9_II.4. RawMaterials_Sheet2" xfId="6031"/>
    <cellStyle name="_MOR - BDWY - 1+11_MOR - Australia -  EC - 3+9_II.4. RawMaterials_Sheet3" xfId="6032"/>
    <cellStyle name="_MOR - BDWY - 1+11_MOR - Australia -  EC - 3+9_II.4. RawMaterials_Sheet4" xfId="6033"/>
    <cellStyle name="_MOR - BDWY - 1+11_MOR - Australia -  EC - 3+9_II.5. RawMaterials" xfId="6034"/>
    <cellStyle name="_MOR - BDWY - 1+11_MOR - Australia -  EC - 3+9_II.5. RawMaterials 2" xfId="6035"/>
    <cellStyle name="_MOR - BDWY - 1+11_MOR - Australia -  EC - 3+9_II.5. RawMaterials_BS retrieve" xfId="6036"/>
    <cellStyle name="_MOR - BDWY - 1+11_MOR - Australia -  EC - 3+9_II.5. RawMaterials_Free CF" xfId="6037"/>
    <cellStyle name="_MOR - BDWY - 1+11_MOR - Australia -  EC - 3+9_II.5. RawMaterials_Guidance" xfId="6038"/>
    <cellStyle name="_MOR - BDWY - 1+11_MOR - Australia -  EC - 3+9_II.5. RawMaterials_Guidance 2" xfId="6039"/>
    <cellStyle name="_MOR - BDWY - 1+11_MOR - Australia -  EC - 3+9_II.5. RawMaterials_Guidance_BS retrieve" xfId="6040"/>
    <cellStyle name="_MOR - BDWY - 1+11_MOR - Australia -  EC - 3+9_II.5. RawMaterials_Guidance_Free CF" xfId="6041"/>
    <cellStyle name="_MOR - BDWY - 1+11_MOR - Australia -  EC - 3+9_II.5. RawMaterials_Guidance_P&amp;L Rec Qtr" xfId="6042"/>
    <cellStyle name="_MOR - BDWY - 1+11_MOR - Australia -  EC - 3+9_II.5. RawMaterials_Guidance_Sheet1" xfId="6043"/>
    <cellStyle name="_MOR - BDWY - 1+11_MOR - Australia -  EC - 3+9_II.5. RawMaterials_Guidance_Sheet2" xfId="6044"/>
    <cellStyle name="_MOR - BDWY - 1+11_MOR - Australia -  EC - 3+9_II.5. RawMaterials_Guidance_Sheet3" xfId="6045"/>
    <cellStyle name="_MOR - BDWY - 1+11_MOR - Australia -  EC - 3+9_II.5. RawMaterials_Guidance_Sheet4" xfId="6046"/>
    <cellStyle name="_MOR - BDWY - 1+11_MOR - Australia -  EC - 3+9_II.5. RawMaterials_P&amp;L Rec Qtr" xfId="6047"/>
    <cellStyle name="_MOR - BDWY - 1+11_MOR - Australia -  EC - 3+9_II.5. RawMaterials_Sheet1" xfId="6048"/>
    <cellStyle name="_MOR - BDWY - 1+11_MOR - Australia -  EC - 3+9_II.5. RawMaterials_Sheet2" xfId="6049"/>
    <cellStyle name="_MOR - BDWY - 1+11_MOR - Australia -  EC - 3+9_II.5. RawMaterials_Sheet3" xfId="6050"/>
    <cellStyle name="_MOR - BDWY - 1+11_MOR - Australia -  EC - 3+9_II.5. RawMaterials_Sheet4" xfId="6051"/>
    <cellStyle name="_MOR - BDWY - 1+11_MOR - Australia -  EC - 3+9_II.5. RM Volume Sensitivities" xfId="6052"/>
    <cellStyle name="_MOR - BDWY - 1+11_MOR - Australia -  EC - 3+9_II.5. RM Volume Sensitivities 2" xfId="6053"/>
    <cellStyle name="_MOR - BDWY - 1+11_MOR - Australia -  EC - 3+9_II.5. RM Volume Sensitivities_BS retrieve" xfId="6054"/>
    <cellStyle name="_MOR - BDWY - 1+11_MOR - Australia -  EC - 3+9_II.5. RM Volume Sensitivities_Free CF" xfId="6055"/>
    <cellStyle name="_MOR - BDWY - 1+11_MOR - Australia -  EC - 3+9_II.5. RM Volume Sensitivities_P&amp;L Rec Qtr" xfId="6056"/>
    <cellStyle name="_MOR - BDWY - 1+11_MOR - Australia -  EC - 3+9_II.5. RM Volume Sensitivities_Sheet1" xfId="6057"/>
    <cellStyle name="_MOR - BDWY - 1+11_MOR - Australia -  EC - 3+9_II.5. RM Volume Sensitivities_Sheet2" xfId="6058"/>
    <cellStyle name="_MOR - BDWY - 1+11_MOR - Australia -  EC - 3+9_II.5. RM Volume Sensitivities_Sheet3" xfId="6059"/>
    <cellStyle name="_MOR - BDWY - 1+11_MOR - Australia -  EC - 3+9_II.5. RM Volume Sensitivities_Sheet4" xfId="6060"/>
    <cellStyle name="_MOR - BDWY - 1+11_MOR - Australia -  EC - 3+9_II.8. Sep&amp;Discrete" xfId="6061"/>
    <cellStyle name="_MOR - BDWY - 1+11_MOR - Australia -  EC - 3+9_II.8. Sep&amp;Discrete_Guidance" xfId="6062"/>
    <cellStyle name="_MOR - BDWY - 1+11_MOR - Australia -  EC - 3+9_II.8. Sep&amp;Discrete_Guidance 2" xfId="6063"/>
    <cellStyle name="_MOR - BDWY - 1+11_MOR - Australia -  EC - 3+9_II.8. Sep&amp;Discrete_Guidance_BS retrieve" xfId="6064"/>
    <cellStyle name="_MOR - BDWY - 1+11_MOR - Australia -  EC - 3+9_II.8. Sep&amp;Discrete_Guidance_Free CF" xfId="6065"/>
    <cellStyle name="_MOR - BDWY - 1+11_MOR - Australia -  EC - 3+9_II.8. Sep&amp;Discrete_Guidance_P&amp;L Rec Qtr" xfId="6066"/>
    <cellStyle name="_MOR - BDWY - 1+11_MOR - Australia -  EC - 3+9_II.8. Sep&amp;Discrete_Guidance_Sheet1" xfId="6067"/>
    <cellStyle name="_MOR - BDWY - 1+11_MOR - Australia -  EC - 3+9_II.8. Sep&amp;Discrete_Guidance_Sheet2" xfId="6068"/>
    <cellStyle name="_MOR - BDWY - 1+11_MOR - Australia -  EC - 3+9_II.8. Sep&amp;Discrete_Guidance_Sheet3" xfId="6069"/>
    <cellStyle name="_MOR - BDWY - 1+11_MOR - Australia -  EC - 3+9_II.8. Sep&amp;Discrete_Guidance_Sheet4" xfId="6070"/>
    <cellStyle name="_MOR - BDWY - 1+11_MOR - Australia -  EC - 3+9_Restructuring &amp; Separation" xfId="6071"/>
    <cellStyle name="_MOR - BDWY - 1+11_MOR - Australia -  EC - 3+9_Restructuring &amp; Separation_Guidance" xfId="6072"/>
    <cellStyle name="_MOR - BDWY - 1+11_MOR - Australia -  EC - 3+9_Restructuring &amp; Separation_Guidance 2" xfId="6073"/>
    <cellStyle name="_MOR - BDWY - 1+11_MOR - Australia -  EC - 3+9_Restructuring &amp; Separation_Guidance_BS retrieve" xfId="6074"/>
    <cellStyle name="_MOR - BDWY - 1+11_MOR - Australia -  EC - 3+9_Restructuring &amp; Separation_Guidance_Free CF" xfId="6075"/>
    <cellStyle name="_MOR - BDWY - 1+11_MOR - Australia -  EC - 3+9_Restructuring &amp; Separation_Guidance_P&amp;L Rec Qtr" xfId="6076"/>
    <cellStyle name="_MOR - BDWY - 1+11_MOR - Australia -  EC - 3+9_Restructuring &amp; Separation_Guidance_Sheet1" xfId="6077"/>
    <cellStyle name="_MOR - BDWY - 1+11_MOR - Australia -  EC - 3+9_Restructuring &amp; Separation_Guidance_Sheet2" xfId="6078"/>
    <cellStyle name="_MOR - BDWY - 1+11_MOR - Australia -  EC - 3+9_Restructuring &amp; Separation_Guidance_Sheet3" xfId="6079"/>
    <cellStyle name="_MOR - BDWY - 1+11_MOR - Australia -  EC - 3+9_Restructuring &amp; Separation_Guidance_Sheet4" xfId="6080"/>
    <cellStyle name="_MOR - BDWY - 1+11_MOR - Australia -  EC - 3+9_Restructuring_Separation_TAX_JuneFC2010 tf" xfId="6081"/>
    <cellStyle name="_MOR - BDWY - 1+11_MOR - Australia -  EC - 3+9_Restructuring_Separation_TAX_JuneFC2010 tf_BS_Separation_TaxResIndem_Q12412 tf" xfId="6082"/>
    <cellStyle name="_MOR - BDWY - 1+11_MOR - Australia -  EC - 3+9_Restructuring_Separation_TAX_JuneFC2010 tf_BS_Separation_TaxResIndem_Q12412 tf_Guidance" xfId="6083"/>
    <cellStyle name="_MOR - BDWY - 1+11_MOR - Australia -  EC - 3+9_Restructuring_Separation_TAX_JuneFC2010 tf_BS_Separation_TaxResIndem_Q12412 tf_Guidance 2" xfId="6084"/>
    <cellStyle name="_MOR - BDWY - 1+11_MOR - Australia -  EC - 3+9_Restructuring_Separation_TAX_JuneFC2010 tf_BS_Separation_TaxResIndem_Q12412 tf_Guidance_BS retrieve" xfId="6085"/>
    <cellStyle name="_MOR - BDWY - 1+11_MOR - Australia -  EC - 3+9_Restructuring_Separation_TAX_JuneFC2010 tf_BS_Separation_TaxResIndem_Q12412 tf_Guidance_Free CF" xfId="6086"/>
    <cellStyle name="_MOR - BDWY - 1+11_MOR - Australia -  EC - 3+9_Restructuring_Separation_TAX_JuneFC2010 tf_BS_Separation_TaxResIndem_Q12412 tf_Guidance_P&amp;L Rec Qtr" xfId="6087"/>
    <cellStyle name="_MOR - BDWY - 1+11_MOR - Australia -  EC - 3+9_Restructuring_Separation_TAX_JuneFC2010 tf_BS_Separation_TaxResIndem_Q12412 tf_Guidance_Sheet1" xfId="6088"/>
    <cellStyle name="_MOR - BDWY - 1+11_MOR - Australia -  EC - 3+9_Restructuring_Separation_TAX_JuneFC2010 tf_BS_Separation_TaxResIndem_Q12412 tf_Guidance_Sheet2" xfId="6089"/>
    <cellStyle name="_MOR - BDWY - 1+11_MOR - Australia -  EC - 3+9_Restructuring_Separation_TAX_JuneFC2010 tf_BS_Separation_TaxResIndem_Q12412 tf_Guidance_Sheet3" xfId="6090"/>
    <cellStyle name="_MOR - BDWY - 1+11_MOR - Australia -  EC - 3+9_Restructuring_Separation_TAX_JuneFC2010 tf_BS_Separation_TaxResIndem_Q12412 tf_Guidance_Sheet4" xfId="6091"/>
    <cellStyle name="_MOR - BDWY - 1+11_MOR - Australia -  EC - 3+9_Restructuring_Separation_TAX_JuneFC2010 tf_BS_Separation_TaxResIndem_Q12412 tf_Restructuring &amp; Separation" xfId="6092"/>
    <cellStyle name="_MOR - BDWY - 1+11_MOR - Australia -  EC - 3+9_Restructuring_Separation_TAX_JuneFC2010 tf_BS_Separation_TaxResIndem_Q12412 tf_Restructuring &amp; Separation_Guidance" xfId="6093"/>
    <cellStyle name="_MOR - BDWY - 1+11_MOR - Australia -  EC - 3+9_Restructuring_Separation_TAX_JuneFC2010 tf_BS_Separation_TaxResIndem_Q12412 tf_Restructuring &amp; Separation_Guidance 2" xfId="6094"/>
    <cellStyle name="_MOR - BDWY - 1+11_MOR - Australia -  EC - 3+9_Restructuring_Separation_TAX_JuneFC2010 tf_BS_Separation_TaxResIndem_Q12412 tf_Restructuring &amp; Separation_Guidance_BS retrieve" xfId="6095"/>
    <cellStyle name="_MOR - BDWY - 1+11_MOR - Australia -  EC - 3+9_Restructuring_Separation_TAX_JuneFC2010 tf_BS_Separation_TaxResIndem_Q12412 tf_Restructuring &amp; Separation_Guidance_Free CF" xfId="6096"/>
    <cellStyle name="_MOR - BDWY - 1+11_MOR - Australia -  EC - 3+9_Restructuring_Separation_TAX_JuneFC2010 tf_BS_Separation_TaxResIndem_Q12412 tf_Restructuring &amp; Separation_Guidance_P&amp;L Rec Qtr" xfId="6097"/>
    <cellStyle name="_MOR - BDWY - 1+11_MOR - Australia -  EC - 3+9_Restructuring_Separation_TAX_JuneFC2010 tf_BS_Separation_TaxResIndem_Q12412 tf_Restructuring &amp; Separation_Guidance_Sheet1" xfId="6098"/>
    <cellStyle name="_MOR - BDWY - 1+11_MOR - Australia -  EC - 3+9_Restructuring_Separation_TAX_JuneFC2010 tf_BS_Separation_TaxResIndem_Q12412 tf_Restructuring &amp; Separation_Guidance_Sheet2" xfId="6099"/>
    <cellStyle name="_MOR - BDWY - 1+11_MOR - Australia -  EC - 3+9_Restructuring_Separation_TAX_JuneFC2010 tf_BS_Separation_TaxResIndem_Q12412 tf_Restructuring &amp; Separation_Guidance_Sheet3" xfId="6100"/>
    <cellStyle name="_MOR - BDWY - 1+11_MOR - Australia -  EC - 3+9_Restructuring_Separation_TAX_JuneFC2010 tf_BS_Separation_TaxResIndem_Q12412 tf_Restructuring &amp; Separation_Guidance_Sheet4" xfId="6101"/>
    <cellStyle name="_MOR - BDWY - 1+11_MOR - Australia -  EC - 3+9_Restructuring_Separation_TAX_JuneFC2010 tf_Guidance" xfId="6102"/>
    <cellStyle name="_MOR - BDWY - 1+11_MOR - Australia -  EC - 3+9_Restructuring_Separation_TAX_JuneFC2010 tf_Guidance 2" xfId="6103"/>
    <cellStyle name="_MOR - BDWY - 1+11_MOR - Australia -  EC - 3+9_Restructuring_Separation_TAX_JuneFC2010 tf_Guidance_BS retrieve" xfId="6104"/>
    <cellStyle name="_MOR - BDWY - 1+11_MOR - Australia -  EC - 3+9_Restructuring_Separation_TAX_JuneFC2010 tf_Guidance_Free CF" xfId="6105"/>
    <cellStyle name="_MOR - BDWY - 1+11_MOR - Australia -  EC - 3+9_Restructuring_Separation_TAX_JuneFC2010 tf_Guidance_P&amp;L Rec Qtr" xfId="6106"/>
    <cellStyle name="_MOR - BDWY - 1+11_MOR - Australia -  EC - 3+9_Restructuring_Separation_TAX_JuneFC2010 tf_Guidance_Sheet1" xfId="6107"/>
    <cellStyle name="_MOR - BDWY - 1+11_MOR - Australia -  EC - 3+9_Restructuring_Separation_TAX_JuneFC2010 tf_Guidance_Sheet2" xfId="6108"/>
    <cellStyle name="_MOR - BDWY - 1+11_MOR - Australia -  EC - 3+9_Restructuring_Separation_TAX_JuneFC2010 tf_Guidance_Sheet3" xfId="6109"/>
    <cellStyle name="_MOR - BDWY - 1+11_MOR - Australia -  EC - 3+9_Restructuring_Separation_TAX_JuneFC2010 tf_Guidance_Sheet4" xfId="6110"/>
    <cellStyle name="_MOR - BDWY - 1+11_MOR - Australia -  EC - 3+9_Restructuring_Separation_TAX_JuneFC2010 tf_II.8. Sep&amp;Discrete" xfId="6111"/>
    <cellStyle name="_MOR - BDWY - 1+11_MOR - Australia -  EC - 3+9_Restructuring_Separation_TAX_JuneFC2010 tf_II.8. Sep&amp;Discrete_Guidance" xfId="6112"/>
    <cellStyle name="_MOR - BDWY - 1+11_MOR - Australia -  EC - 3+9_Restructuring_Separation_TAX_JuneFC2010 tf_II.8. Sep&amp;Discrete_Guidance 2" xfId="6113"/>
    <cellStyle name="_MOR - BDWY - 1+11_MOR - Australia -  EC - 3+9_Restructuring_Separation_TAX_JuneFC2010 tf_II.8. Sep&amp;Discrete_Guidance_BS retrieve" xfId="6114"/>
    <cellStyle name="_MOR - BDWY - 1+11_MOR - Australia -  EC - 3+9_Restructuring_Separation_TAX_JuneFC2010 tf_II.8. Sep&amp;Discrete_Guidance_Free CF" xfId="6115"/>
    <cellStyle name="_MOR - BDWY - 1+11_MOR - Australia -  EC - 3+9_Restructuring_Separation_TAX_JuneFC2010 tf_II.8. Sep&amp;Discrete_Guidance_P&amp;L Rec Qtr" xfId="6116"/>
    <cellStyle name="_MOR - BDWY - 1+11_MOR - Australia -  EC - 3+9_Restructuring_Separation_TAX_JuneFC2010 tf_II.8. Sep&amp;Discrete_Guidance_Sheet1" xfId="6117"/>
    <cellStyle name="_MOR - BDWY - 1+11_MOR - Australia -  EC - 3+9_Restructuring_Separation_TAX_JuneFC2010 tf_II.8. Sep&amp;Discrete_Guidance_Sheet2" xfId="6118"/>
    <cellStyle name="_MOR - BDWY - 1+11_MOR - Australia -  EC - 3+9_Restructuring_Separation_TAX_JuneFC2010 tf_II.8. Sep&amp;Discrete_Guidance_Sheet3" xfId="6119"/>
    <cellStyle name="_MOR - BDWY - 1+11_MOR - Australia -  EC - 3+9_Restructuring_Separation_TAX_JuneFC2010 tf_II.8. Sep&amp;Discrete_Guidance_Sheet4" xfId="6120"/>
    <cellStyle name="_MOR - BDWY - 1+11_MOR - Australia -  EC - 3+9_Restructuring_Separation_TAX_JuneFC2010 tf_Restructuring &amp; Separation" xfId="6121"/>
    <cellStyle name="_MOR - BDWY - 1+11_MOR - Australia -  EC - 3+9_Restructuring_Separation_TAX_JuneFC2010 tf_Restructuring &amp; Separation_Guidance" xfId="6122"/>
    <cellStyle name="_MOR - BDWY - 1+11_MOR - Australia -  EC - 3+9_Restructuring_Separation_TAX_JuneFC2010 tf_Restructuring &amp; Separation_Guidance 2" xfId="6123"/>
    <cellStyle name="_MOR - BDWY - 1+11_MOR - Australia -  EC - 3+9_Restructuring_Separation_TAX_JuneFC2010 tf_Restructuring &amp; Separation_Guidance_BS retrieve" xfId="6124"/>
    <cellStyle name="_MOR - BDWY - 1+11_MOR - Australia -  EC - 3+9_Restructuring_Separation_TAX_JuneFC2010 tf_Restructuring &amp; Separation_Guidance_Free CF" xfId="6125"/>
    <cellStyle name="_MOR - BDWY - 1+11_MOR - Australia -  EC - 3+9_Restructuring_Separation_TAX_JuneFC2010 tf_Restructuring &amp; Separation_Guidance_P&amp;L Rec Qtr" xfId="6126"/>
    <cellStyle name="_MOR - BDWY - 1+11_MOR - Australia -  EC - 3+9_Restructuring_Separation_TAX_JuneFC2010 tf_Restructuring &amp; Separation_Guidance_Sheet1" xfId="6127"/>
    <cellStyle name="_MOR - BDWY - 1+11_MOR - Australia -  EC - 3+9_Restructuring_Separation_TAX_JuneFC2010 tf_Restructuring &amp; Separation_Guidance_Sheet2" xfId="6128"/>
    <cellStyle name="_MOR - BDWY - 1+11_MOR - Australia -  EC - 3+9_Restructuring_Separation_TAX_JuneFC2010 tf_Restructuring &amp; Separation_Guidance_Sheet3" xfId="6129"/>
    <cellStyle name="_MOR - BDWY - 1+11_MOR - Australia -  EC - 3+9_Restructuring_Separation_TAX_JuneFC2010 tf_Restructuring &amp; Separation_Guidance_Sheet4" xfId="6130"/>
    <cellStyle name="_MOR - BDWY - 1+11_MOR - Australia -  EC - 4+8" xfId="6131"/>
    <cellStyle name="_MOR - BDWY - 1+11_MOR - Australia -  EC - 4+8_BS_Separation_TaxResIndem_Q12412 tf" xfId="6132"/>
    <cellStyle name="_MOR - BDWY - 1+11_MOR - Australia -  EC - 4+8_BS_Separation_TaxResIndem_Q12412 tf_Guidance" xfId="6133"/>
    <cellStyle name="_MOR - BDWY - 1+11_MOR - Australia -  EC - 4+8_BS_Separation_TaxResIndem_Q12412 tf_Guidance 2" xfId="6134"/>
    <cellStyle name="_MOR - BDWY - 1+11_MOR - Australia -  EC - 4+8_BS_Separation_TaxResIndem_Q12412 tf_Guidance_BS retrieve" xfId="6135"/>
    <cellStyle name="_MOR - BDWY - 1+11_MOR - Australia -  EC - 4+8_BS_Separation_TaxResIndem_Q12412 tf_Guidance_Free CF" xfId="6136"/>
    <cellStyle name="_MOR - BDWY - 1+11_MOR - Australia -  EC - 4+8_BS_Separation_TaxResIndem_Q12412 tf_Guidance_P&amp;L Rec Qtr" xfId="6137"/>
    <cellStyle name="_MOR - BDWY - 1+11_MOR - Australia -  EC - 4+8_BS_Separation_TaxResIndem_Q12412 tf_Guidance_Sheet1" xfId="6138"/>
    <cellStyle name="_MOR - BDWY - 1+11_MOR - Australia -  EC - 4+8_BS_Separation_TaxResIndem_Q12412 tf_Guidance_Sheet2" xfId="6139"/>
    <cellStyle name="_MOR - BDWY - 1+11_MOR - Australia -  EC - 4+8_BS_Separation_TaxResIndem_Q12412 tf_Guidance_Sheet3" xfId="6140"/>
    <cellStyle name="_MOR - BDWY - 1+11_MOR - Australia -  EC - 4+8_BS_Separation_TaxResIndem_Q12412 tf_Guidance_Sheet4" xfId="6141"/>
    <cellStyle name="_MOR - BDWY - 1+11_MOR - Australia -  EC - 4+8_BS_Separation_TaxResIndem_Q12412 tf_Restructuring &amp; Separation" xfId="6142"/>
    <cellStyle name="_MOR - BDWY - 1+11_MOR - Australia -  EC - 4+8_BS_Separation_TaxResIndem_Q12412 tf_Restructuring &amp; Separation_Guidance" xfId="6143"/>
    <cellStyle name="_MOR - BDWY - 1+11_MOR - Australia -  EC - 4+8_BS_Separation_TaxResIndem_Q12412 tf_Restructuring &amp; Separation_Guidance 2" xfId="6144"/>
    <cellStyle name="_MOR - BDWY - 1+11_MOR - Australia -  EC - 4+8_BS_Separation_TaxResIndem_Q12412 tf_Restructuring &amp; Separation_Guidance_BS retrieve" xfId="6145"/>
    <cellStyle name="_MOR - BDWY - 1+11_MOR - Australia -  EC - 4+8_BS_Separation_TaxResIndem_Q12412 tf_Restructuring &amp; Separation_Guidance_Free CF" xfId="6146"/>
    <cellStyle name="_MOR - BDWY - 1+11_MOR - Australia -  EC - 4+8_BS_Separation_TaxResIndem_Q12412 tf_Restructuring &amp; Separation_Guidance_P&amp;L Rec Qtr" xfId="6147"/>
    <cellStyle name="_MOR - BDWY - 1+11_MOR - Australia -  EC - 4+8_BS_Separation_TaxResIndem_Q12412 tf_Restructuring &amp; Separation_Guidance_Sheet1" xfId="6148"/>
    <cellStyle name="_MOR - BDWY - 1+11_MOR - Australia -  EC - 4+8_BS_Separation_TaxResIndem_Q12412 tf_Restructuring &amp; Separation_Guidance_Sheet2" xfId="6149"/>
    <cellStyle name="_MOR - BDWY - 1+11_MOR - Australia -  EC - 4+8_BS_Separation_TaxResIndem_Q12412 tf_Restructuring &amp; Separation_Guidance_Sheet3" xfId="6150"/>
    <cellStyle name="_MOR - BDWY - 1+11_MOR - Australia -  EC - 4+8_BS_Separation_TaxResIndem_Q12412 tf_Restructuring &amp; Separation_Guidance_Sheet4" xfId="6151"/>
    <cellStyle name="_MOR - BDWY - 1+11_MOR - Australia -  EC - 4+8_By Country Detail 1Q10 041410pm FIN 18 revised per disc w Mary" xfId="6152"/>
    <cellStyle name="_MOR - BDWY - 1+11_MOR - Australia -  EC - 4+8_By Country Detail 1Q10 041410pm FIN 18 revised per disc w Mary_BS_Separation_TaxResIndem_Q12412 tf" xfId="6153"/>
    <cellStyle name="_MOR - BDWY - 1+11_MOR - Australia -  EC - 4+8_By Country Detail 1Q10 041410pm FIN 18 revised per disc w Mary_BS_Separation_TaxResIndem_Q12412 tf_Guidance" xfId="6154"/>
    <cellStyle name="_MOR - BDWY - 1+11_MOR - Australia -  EC - 4+8_By Country Detail 1Q10 041410pm FIN 18 revised per disc w Mary_BS_Separation_TaxResIndem_Q12412 tf_Guidance 2" xfId="6155"/>
    <cellStyle name="_MOR - BDWY - 1+11_MOR - Australia -  EC - 4+8_By Country Detail 1Q10 041410pm FIN 18 revised per disc w Mary_BS_Separation_TaxResIndem_Q12412 tf_Guidance_BS retrieve" xfId="6156"/>
    <cellStyle name="_MOR - BDWY - 1+11_MOR - Australia -  EC - 4+8_By Country Detail 1Q10 041410pm FIN 18 revised per disc w Mary_BS_Separation_TaxResIndem_Q12412 tf_Guidance_Free CF" xfId="6157"/>
    <cellStyle name="_MOR - BDWY - 1+11_MOR - Australia -  EC - 4+8_By Country Detail 1Q10 041410pm FIN 18 revised per disc w Mary_BS_Separation_TaxResIndem_Q12412 tf_Guidance_P&amp;L Rec Qtr" xfId="6158"/>
    <cellStyle name="_MOR - BDWY - 1+11_MOR - Australia -  EC - 4+8_By Country Detail 1Q10 041410pm FIN 18 revised per disc w Mary_BS_Separation_TaxResIndem_Q12412 tf_Guidance_Sheet1" xfId="6159"/>
    <cellStyle name="_MOR - BDWY - 1+11_MOR - Australia -  EC - 4+8_By Country Detail 1Q10 041410pm FIN 18 revised per disc w Mary_BS_Separation_TaxResIndem_Q12412 tf_Guidance_Sheet2" xfId="6160"/>
    <cellStyle name="_MOR - BDWY - 1+11_MOR - Australia -  EC - 4+8_By Country Detail 1Q10 041410pm FIN 18 revised per disc w Mary_BS_Separation_TaxResIndem_Q12412 tf_Guidance_Sheet3" xfId="6161"/>
    <cellStyle name="_MOR - BDWY - 1+11_MOR - Australia -  EC - 4+8_By Country Detail 1Q10 041410pm FIN 18 revised per disc w Mary_BS_Separation_TaxResIndem_Q12412 tf_Guidance_Sheet4" xfId="6162"/>
    <cellStyle name="_MOR - BDWY - 1+11_MOR - Australia -  EC - 4+8_By Country Detail 1Q10 041410pm FIN 18 revised per disc w Mary_BS_Separation_TaxResIndem_Q12412 tf_Restructuring &amp; Separation" xfId="6163"/>
    <cellStyle name="_MOR - BDWY - 1+11_MOR - Australia -  EC - 4+8_By Country Detail 1Q10 041410pm FIN 18 revised per disc w Mary_BS_Separation_TaxResIndem_Q12412 tf_Restructuring &amp; Separation_Guidance" xfId="6164"/>
    <cellStyle name="_MOR - BDWY - 1+11_MOR - Australia -  EC - 4+8_By Country Detail 1Q10 041410pm FIN 18 revised per disc w Mary_BS_Separation_TaxResIndem_Q12412 tf_Restructuring &amp; Separation_Guidance 2" xfId="6165"/>
    <cellStyle name="_MOR - BDWY - 1+11_MOR - Australia -  EC - 4+8_By Country Detail 1Q10 041410pm FIN 18 revised per disc w Mary_BS_Separation_TaxResIndem_Q12412 tf_Restructuring &amp; Separation_Guidance_BS retrieve" xfId="6166"/>
    <cellStyle name="_MOR - BDWY - 1+11_MOR - Australia -  EC - 4+8_By Country Detail 1Q10 041410pm FIN 18 revised per disc w Mary_BS_Separation_TaxResIndem_Q12412 tf_Restructuring &amp; Separation_Guidance_Free CF" xfId="6167"/>
    <cellStyle name="_MOR - BDWY - 1+11_MOR - Australia -  EC - 4+8_By Country Detail 1Q10 041410pm FIN 18 revised per disc w Mary_BS_Separation_TaxResIndem_Q12412 tf_Restructuring &amp; Separation_Guidance_P&amp;L Rec Qtr" xfId="6168"/>
    <cellStyle name="_MOR - BDWY - 1+11_MOR - Australia -  EC - 4+8_By Country Detail 1Q10 041410pm FIN 18 revised per disc w Mary_BS_Separation_TaxResIndem_Q12412 tf_Restructuring &amp; Separation_Guidance_Sheet1" xfId="6169"/>
    <cellStyle name="_MOR - BDWY - 1+11_MOR - Australia -  EC - 4+8_By Country Detail 1Q10 041410pm FIN 18 revised per disc w Mary_BS_Separation_TaxResIndem_Q12412 tf_Restructuring &amp; Separation_Guidance_Sheet2" xfId="6170"/>
    <cellStyle name="_MOR - BDWY - 1+11_MOR - Australia -  EC - 4+8_By Country Detail 1Q10 041410pm FIN 18 revised per disc w Mary_BS_Separation_TaxResIndem_Q12412 tf_Restructuring &amp; Separation_Guidance_Sheet3" xfId="6171"/>
    <cellStyle name="_MOR - BDWY - 1+11_MOR - Australia -  EC - 4+8_By Country Detail 1Q10 041410pm FIN 18 revised per disc w Mary_BS_Separation_TaxResIndem_Q12412 tf_Restructuring &amp; Separation_Guidance_Sheet4" xfId="6172"/>
    <cellStyle name="_MOR - BDWY - 1+11_MOR - Australia -  EC - 4+8_By Country Detail 1Q10 041410pm FIN 18 revised per disc w Mary_Guidance" xfId="6173"/>
    <cellStyle name="_MOR - BDWY - 1+11_MOR - Australia -  EC - 4+8_By Country Detail 1Q10 041410pm FIN 18 revised per disc w Mary_Guidance 2" xfId="6174"/>
    <cellStyle name="_MOR - BDWY - 1+11_MOR - Australia -  EC - 4+8_By Country Detail 1Q10 041410pm FIN 18 revised per disc w Mary_Guidance_BS retrieve" xfId="6175"/>
    <cellStyle name="_MOR - BDWY - 1+11_MOR - Australia -  EC - 4+8_By Country Detail 1Q10 041410pm FIN 18 revised per disc w Mary_Guidance_Free CF" xfId="6176"/>
    <cellStyle name="_MOR - BDWY - 1+11_MOR - Australia -  EC - 4+8_By Country Detail 1Q10 041410pm FIN 18 revised per disc w Mary_Guidance_P&amp;L Rec Qtr" xfId="6177"/>
    <cellStyle name="_MOR - BDWY - 1+11_MOR - Australia -  EC - 4+8_By Country Detail 1Q10 041410pm FIN 18 revised per disc w Mary_Guidance_Sheet1" xfId="6178"/>
    <cellStyle name="_MOR - BDWY - 1+11_MOR - Australia -  EC - 4+8_By Country Detail 1Q10 041410pm FIN 18 revised per disc w Mary_Guidance_Sheet2" xfId="6179"/>
    <cellStyle name="_MOR - BDWY - 1+11_MOR - Australia -  EC - 4+8_By Country Detail 1Q10 041410pm FIN 18 revised per disc w Mary_Guidance_Sheet3" xfId="6180"/>
    <cellStyle name="_MOR - BDWY - 1+11_MOR - Australia -  EC - 4+8_By Country Detail 1Q10 041410pm FIN 18 revised per disc w Mary_Guidance_Sheet4" xfId="6181"/>
    <cellStyle name="_MOR - BDWY - 1+11_MOR - Australia -  EC - 4+8_By Country Detail 1Q10 041410pm FIN 18 revised per disc w Mary_II.8. Sep&amp;Discrete" xfId="6182"/>
    <cellStyle name="_MOR - BDWY - 1+11_MOR - Australia -  EC - 4+8_By Country Detail 1Q10 041410pm FIN 18 revised per disc w Mary_II.8. Sep&amp;Discrete_Guidance" xfId="6183"/>
    <cellStyle name="_MOR - BDWY - 1+11_MOR - Australia -  EC - 4+8_By Country Detail 1Q10 041410pm FIN 18 revised per disc w Mary_II.8. Sep&amp;Discrete_Guidance 2" xfId="6184"/>
    <cellStyle name="_MOR - BDWY - 1+11_MOR - Australia -  EC - 4+8_By Country Detail 1Q10 041410pm FIN 18 revised per disc w Mary_II.8. Sep&amp;Discrete_Guidance_BS retrieve" xfId="6185"/>
    <cellStyle name="_MOR - BDWY - 1+11_MOR - Australia -  EC - 4+8_By Country Detail 1Q10 041410pm FIN 18 revised per disc w Mary_II.8. Sep&amp;Discrete_Guidance_Free CF" xfId="6186"/>
    <cellStyle name="_MOR - BDWY - 1+11_MOR - Australia -  EC - 4+8_By Country Detail 1Q10 041410pm FIN 18 revised per disc w Mary_II.8. Sep&amp;Discrete_Guidance_P&amp;L Rec Qtr" xfId="6187"/>
    <cellStyle name="_MOR - BDWY - 1+11_MOR - Australia -  EC - 4+8_By Country Detail 1Q10 041410pm FIN 18 revised per disc w Mary_II.8. Sep&amp;Discrete_Guidance_Sheet1" xfId="6188"/>
    <cellStyle name="_MOR - BDWY - 1+11_MOR - Australia -  EC - 4+8_By Country Detail 1Q10 041410pm FIN 18 revised per disc w Mary_II.8. Sep&amp;Discrete_Guidance_Sheet2" xfId="6189"/>
    <cellStyle name="_MOR - BDWY - 1+11_MOR - Australia -  EC - 4+8_By Country Detail 1Q10 041410pm FIN 18 revised per disc w Mary_II.8. Sep&amp;Discrete_Guidance_Sheet3" xfId="6190"/>
    <cellStyle name="_MOR - BDWY - 1+11_MOR - Australia -  EC - 4+8_By Country Detail 1Q10 041410pm FIN 18 revised per disc w Mary_II.8. Sep&amp;Discrete_Guidance_Sheet4" xfId="6191"/>
    <cellStyle name="_MOR - BDWY - 1+11_MOR - Australia -  EC - 4+8_By Country Detail 1Q10 041410pm FIN 18 revised per disc w Mary_Restructuring &amp; Separation" xfId="6192"/>
    <cellStyle name="_MOR - BDWY - 1+11_MOR - Australia -  EC - 4+8_By Country Detail 1Q10 041410pm FIN 18 revised per disc w Mary_Restructuring &amp; Separation_Guidance" xfId="6193"/>
    <cellStyle name="_MOR - BDWY - 1+11_MOR - Australia -  EC - 4+8_By Country Detail 1Q10 041410pm FIN 18 revised per disc w Mary_Restructuring &amp; Separation_Guidance 2" xfId="6194"/>
    <cellStyle name="_MOR - BDWY - 1+11_MOR - Australia -  EC - 4+8_By Country Detail 1Q10 041410pm FIN 18 revised per disc w Mary_Restructuring &amp; Separation_Guidance_BS retrieve" xfId="6195"/>
    <cellStyle name="_MOR - BDWY - 1+11_MOR - Australia -  EC - 4+8_By Country Detail 1Q10 041410pm FIN 18 revised per disc w Mary_Restructuring &amp; Separation_Guidance_Free CF" xfId="6196"/>
    <cellStyle name="_MOR - BDWY - 1+11_MOR - Australia -  EC - 4+8_By Country Detail 1Q10 041410pm FIN 18 revised per disc w Mary_Restructuring &amp; Separation_Guidance_P&amp;L Rec Qtr" xfId="6197"/>
    <cellStyle name="_MOR - BDWY - 1+11_MOR - Australia -  EC - 4+8_By Country Detail 1Q10 041410pm FIN 18 revised per disc w Mary_Restructuring &amp; Separation_Guidance_Sheet1" xfId="6198"/>
    <cellStyle name="_MOR - BDWY - 1+11_MOR - Australia -  EC - 4+8_By Country Detail 1Q10 041410pm FIN 18 revised per disc w Mary_Restructuring &amp; Separation_Guidance_Sheet2" xfId="6199"/>
    <cellStyle name="_MOR - BDWY - 1+11_MOR - Australia -  EC - 4+8_By Country Detail 1Q10 041410pm FIN 18 revised per disc w Mary_Restructuring &amp; Separation_Guidance_Sheet3" xfId="6200"/>
    <cellStyle name="_MOR - BDWY - 1+11_MOR - Australia -  EC - 4+8_By Country Detail 1Q10 041410pm FIN 18 revised per disc w Mary_Restructuring &amp; Separation_Guidance_Sheet4" xfId="6201"/>
    <cellStyle name="_MOR - BDWY - 1+11_MOR - Australia -  EC - 4+8_Guidance" xfId="6202"/>
    <cellStyle name="_MOR - BDWY - 1+11_MOR - Australia -  EC - 4+8_Guidance 2" xfId="6203"/>
    <cellStyle name="_MOR - BDWY - 1+11_MOR - Australia -  EC - 4+8_Guidance_BS retrieve" xfId="6204"/>
    <cellStyle name="_MOR - BDWY - 1+11_MOR - Australia -  EC - 4+8_Guidance_Free CF" xfId="6205"/>
    <cellStyle name="_MOR - BDWY - 1+11_MOR - Australia -  EC - 4+8_Guidance_P&amp;L Rec Qtr" xfId="6206"/>
    <cellStyle name="_MOR - BDWY - 1+11_MOR - Australia -  EC - 4+8_Guidance_Sheet1" xfId="6207"/>
    <cellStyle name="_MOR - BDWY - 1+11_MOR - Australia -  EC - 4+8_Guidance_Sheet2" xfId="6208"/>
    <cellStyle name="_MOR - BDWY - 1+11_MOR - Australia -  EC - 4+8_Guidance_Sheet3" xfId="6209"/>
    <cellStyle name="_MOR - BDWY - 1+11_MOR - Australia -  EC - 4+8_Guidance_Sheet4" xfId="6210"/>
    <cellStyle name="_MOR - BDWY - 1+11_MOR - Australia -  EC - 4+8_II.4. RawMaterials" xfId="6211"/>
    <cellStyle name="_MOR - BDWY - 1+11_MOR - Australia -  EC - 4+8_II.4. RawMaterials 2" xfId="6212"/>
    <cellStyle name="_MOR - BDWY - 1+11_MOR - Australia -  EC - 4+8_II.4. RawMaterials_BS retrieve" xfId="6213"/>
    <cellStyle name="_MOR - BDWY - 1+11_MOR - Australia -  EC - 4+8_II.4. RawMaterials_Free CF" xfId="6214"/>
    <cellStyle name="_MOR - BDWY - 1+11_MOR - Australia -  EC - 4+8_II.4. RawMaterials_P&amp;L Rec Qtr" xfId="6215"/>
    <cellStyle name="_MOR - BDWY - 1+11_MOR - Australia -  EC - 4+8_II.4. RawMaterials_Sheet1" xfId="6216"/>
    <cellStyle name="_MOR - BDWY - 1+11_MOR - Australia -  EC - 4+8_II.4. RawMaterials_Sheet2" xfId="6217"/>
    <cellStyle name="_MOR - BDWY - 1+11_MOR - Australia -  EC - 4+8_II.4. RawMaterials_Sheet3" xfId="6218"/>
    <cellStyle name="_MOR - BDWY - 1+11_MOR - Australia -  EC - 4+8_II.4. RawMaterials_Sheet4" xfId="6219"/>
    <cellStyle name="_MOR - BDWY - 1+11_MOR - Australia -  EC - 4+8_II.5. RawMaterials" xfId="6220"/>
    <cellStyle name="_MOR - BDWY - 1+11_MOR - Australia -  EC - 4+8_II.5. RawMaterials 2" xfId="6221"/>
    <cellStyle name="_MOR - BDWY - 1+11_MOR - Australia -  EC - 4+8_II.5. RawMaterials_BS retrieve" xfId="6222"/>
    <cellStyle name="_MOR - BDWY - 1+11_MOR - Australia -  EC - 4+8_II.5. RawMaterials_Free CF" xfId="6223"/>
    <cellStyle name="_MOR - BDWY - 1+11_MOR - Australia -  EC - 4+8_II.5. RawMaterials_Guidance" xfId="6224"/>
    <cellStyle name="_MOR - BDWY - 1+11_MOR - Australia -  EC - 4+8_II.5. RawMaterials_Guidance 2" xfId="6225"/>
    <cellStyle name="_MOR - BDWY - 1+11_MOR - Australia -  EC - 4+8_II.5. RawMaterials_Guidance_BS retrieve" xfId="6226"/>
    <cellStyle name="_MOR - BDWY - 1+11_MOR - Australia -  EC - 4+8_II.5. RawMaterials_Guidance_Free CF" xfId="6227"/>
    <cellStyle name="_MOR - BDWY - 1+11_MOR - Australia -  EC - 4+8_II.5. RawMaterials_Guidance_P&amp;L Rec Qtr" xfId="6228"/>
    <cellStyle name="_MOR - BDWY - 1+11_MOR - Australia -  EC - 4+8_II.5. RawMaterials_Guidance_Sheet1" xfId="6229"/>
    <cellStyle name="_MOR - BDWY - 1+11_MOR - Australia -  EC - 4+8_II.5. RawMaterials_Guidance_Sheet2" xfId="6230"/>
    <cellStyle name="_MOR - BDWY - 1+11_MOR - Australia -  EC - 4+8_II.5. RawMaterials_Guidance_Sheet3" xfId="6231"/>
    <cellStyle name="_MOR - BDWY - 1+11_MOR - Australia -  EC - 4+8_II.5. RawMaterials_Guidance_Sheet4" xfId="6232"/>
    <cellStyle name="_MOR - BDWY - 1+11_MOR - Australia -  EC - 4+8_II.5. RawMaterials_P&amp;L Rec Qtr" xfId="6233"/>
    <cellStyle name="_MOR - BDWY - 1+11_MOR - Australia -  EC - 4+8_II.5. RawMaterials_Sheet1" xfId="6234"/>
    <cellStyle name="_MOR - BDWY - 1+11_MOR - Australia -  EC - 4+8_II.5. RawMaterials_Sheet2" xfId="6235"/>
    <cellStyle name="_MOR - BDWY - 1+11_MOR - Australia -  EC - 4+8_II.5. RawMaterials_Sheet3" xfId="6236"/>
    <cellStyle name="_MOR - BDWY - 1+11_MOR - Australia -  EC - 4+8_II.5. RawMaterials_Sheet4" xfId="6237"/>
    <cellStyle name="_MOR - BDWY - 1+11_MOR - Australia -  EC - 4+8_II.5. RM Volume Sensitivities" xfId="6238"/>
    <cellStyle name="_MOR - BDWY - 1+11_MOR - Australia -  EC - 4+8_II.5. RM Volume Sensitivities 2" xfId="6239"/>
    <cellStyle name="_MOR - BDWY - 1+11_MOR - Australia -  EC - 4+8_II.5. RM Volume Sensitivities_BS retrieve" xfId="6240"/>
    <cellStyle name="_MOR - BDWY - 1+11_MOR - Australia -  EC - 4+8_II.5. RM Volume Sensitivities_Free CF" xfId="6241"/>
    <cellStyle name="_MOR - BDWY - 1+11_MOR - Australia -  EC - 4+8_II.5. RM Volume Sensitivities_P&amp;L Rec Qtr" xfId="6242"/>
    <cellStyle name="_MOR - BDWY - 1+11_MOR - Australia -  EC - 4+8_II.5. RM Volume Sensitivities_Sheet1" xfId="6243"/>
    <cellStyle name="_MOR - BDWY - 1+11_MOR - Australia -  EC - 4+8_II.5. RM Volume Sensitivities_Sheet2" xfId="6244"/>
    <cellStyle name="_MOR - BDWY - 1+11_MOR - Australia -  EC - 4+8_II.5. RM Volume Sensitivities_Sheet3" xfId="6245"/>
    <cellStyle name="_MOR - BDWY - 1+11_MOR - Australia -  EC - 4+8_II.5. RM Volume Sensitivities_Sheet4" xfId="6246"/>
    <cellStyle name="_MOR - BDWY - 1+11_MOR - Australia -  EC - 4+8_II.8. Sep&amp;Discrete" xfId="6247"/>
    <cellStyle name="_MOR - BDWY - 1+11_MOR - Australia -  EC - 4+8_II.8. Sep&amp;Discrete_Guidance" xfId="6248"/>
    <cellStyle name="_MOR - BDWY - 1+11_MOR - Australia -  EC - 4+8_II.8. Sep&amp;Discrete_Guidance 2" xfId="6249"/>
    <cellStyle name="_MOR - BDWY - 1+11_MOR - Australia -  EC - 4+8_II.8. Sep&amp;Discrete_Guidance_BS retrieve" xfId="6250"/>
    <cellStyle name="_MOR - BDWY - 1+11_MOR - Australia -  EC - 4+8_II.8. Sep&amp;Discrete_Guidance_Free CF" xfId="6251"/>
    <cellStyle name="_MOR - BDWY - 1+11_MOR - Australia -  EC - 4+8_II.8. Sep&amp;Discrete_Guidance_P&amp;L Rec Qtr" xfId="6252"/>
    <cellStyle name="_MOR - BDWY - 1+11_MOR - Australia -  EC - 4+8_II.8. Sep&amp;Discrete_Guidance_Sheet1" xfId="6253"/>
    <cellStyle name="_MOR - BDWY - 1+11_MOR - Australia -  EC - 4+8_II.8. Sep&amp;Discrete_Guidance_Sheet2" xfId="6254"/>
    <cellStyle name="_MOR - BDWY - 1+11_MOR - Australia -  EC - 4+8_II.8. Sep&amp;Discrete_Guidance_Sheet3" xfId="6255"/>
    <cellStyle name="_MOR - BDWY - 1+11_MOR - Australia -  EC - 4+8_II.8. Sep&amp;Discrete_Guidance_Sheet4" xfId="6256"/>
    <cellStyle name="_MOR - BDWY - 1+11_MOR - Australia -  EC - 4+8_Restructuring &amp; Separation" xfId="6257"/>
    <cellStyle name="_MOR - BDWY - 1+11_MOR - Australia -  EC - 4+8_Restructuring &amp; Separation_Guidance" xfId="6258"/>
    <cellStyle name="_MOR - BDWY - 1+11_MOR - Australia -  EC - 4+8_Restructuring &amp; Separation_Guidance 2" xfId="6259"/>
    <cellStyle name="_MOR - BDWY - 1+11_MOR - Australia -  EC - 4+8_Restructuring &amp; Separation_Guidance_BS retrieve" xfId="6260"/>
    <cellStyle name="_MOR - BDWY - 1+11_MOR - Australia -  EC - 4+8_Restructuring &amp; Separation_Guidance_Free CF" xfId="6261"/>
    <cellStyle name="_MOR - BDWY - 1+11_MOR - Australia -  EC - 4+8_Restructuring &amp; Separation_Guidance_P&amp;L Rec Qtr" xfId="6262"/>
    <cellStyle name="_MOR - BDWY - 1+11_MOR - Australia -  EC - 4+8_Restructuring &amp; Separation_Guidance_Sheet1" xfId="6263"/>
    <cellStyle name="_MOR - BDWY - 1+11_MOR - Australia -  EC - 4+8_Restructuring &amp; Separation_Guidance_Sheet2" xfId="6264"/>
    <cellStyle name="_MOR - BDWY - 1+11_MOR - Australia -  EC - 4+8_Restructuring &amp; Separation_Guidance_Sheet3" xfId="6265"/>
    <cellStyle name="_MOR - BDWY - 1+11_MOR - Australia -  EC - 4+8_Restructuring &amp; Separation_Guidance_Sheet4" xfId="6266"/>
    <cellStyle name="_MOR - BDWY - 1+11_MOR - Australia -  EC - 4+8_Restructuring_Separation_TAX_JuneFC2010 tf" xfId="6267"/>
    <cellStyle name="_MOR - BDWY - 1+11_MOR - Australia -  EC - 4+8_Restructuring_Separation_TAX_JuneFC2010 tf_BS_Separation_TaxResIndem_Q12412 tf" xfId="6268"/>
    <cellStyle name="_MOR - BDWY - 1+11_MOR - Australia -  EC - 4+8_Restructuring_Separation_TAX_JuneFC2010 tf_BS_Separation_TaxResIndem_Q12412 tf_Guidance" xfId="6269"/>
    <cellStyle name="_MOR - BDWY - 1+11_MOR - Australia -  EC - 4+8_Restructuring_Separation_TAX_JuneFC2010 tf_BS_Separation_TaxResIndem_Q12412 tf_Guidance 2" xfId="6270"/>
    <cellStyle name="_MOR - BDWY - 1+11_MOR - Australia -  EC - 4+8_Restructuring_Separation_TAX_JuneFC2010 tf_BS_Separation_TaxResIndem_Q12412 tf_Guidance_BS retrieve" xfId="6271"/>
    <cellStyle name="_MOR - BDWY - 1+11_MOR - Australia -  EC - 4+8_Restructuring_Separation_TAX_JuneFC2010 tf_BS_Separation_TaxResIndem_Q12412 tf_Guidance_Free CF" xfId="6272"/>
    <cellStyle name="_MOR - BDWY - 1+11_MOR - Australia -  EC - 4+8_Restructuring_Separation_TAX_JuneFC2010 tf_BS_Separation_TaxResIndem_Q12412 tf_Guidance_P&amp;L Rec Qtr" xfId="6273"/>
    <cellStyle name="_MOR - BDWY - 1+11_MOR - Australia -  EC - 4+8_Restructuring_Separation_TAX_JuneFC2010 tf_BS_Separation_TaxResIndem_Q12412 tf_Guidance_Sheet1" xfId="6274"/>
    <cellStyle name="_MOR - BDWY - 1+11_MOR - Australia -  EC - 4+8_Restructuring_Separation_TAX_JuneFC2010 tf_BS_Separation_TaxResIndem_Q12412 tf_Guidance_Sheet2" xfId="6275"/>
    <cellStyle name="_MOR - BDWY - 1+11_MOR - Australia -  EC - 4+8_Restructuring_Separation_TAX_JuneFC2010 tf_BS_Separation_TaxResIndem_Q12412 tf_Guidance_Sheet3" xfId="6276"/>
    <cellStyle name="_MOR - BDWY - 1+11_MOR - Australia -  EC - 4+8_Restructuring_Separation_TAX_JuneFC2010 tf_BS_Separation_TaxResIndem_Q12412 tf_Guidance_Sheet4" xfId="6277"/>
    <cellStyle name="_MOR - BDWY - 1+11_MOR - Australia -  EC - 4+8_Restructuring_Separation_TAX_JuneFC2010 tf_BS_Separation_TaxResIndem_Q12412 tf_Restructuring &amp; Separation" xfId="6278"/>
    <cellStyle name="_MOR - BDWY - 1+11_MOR - Australia -  EC - 4+8_Restructuring_Separation_TAX_JuneFC2010 tf_BS_Separation_TaxResIndem_Q12412 tf_Restructuring &amp; Separation_Guidance" xfId="6279"/>
    <cellStyle name="_MOR - BDWY - 1+11_MOR - Australia -  EC - 4+8_Restructuring_Separation_TAX_JuneFC2010 tf_BS_Separation_TaxResIndem_Q12412 tf_Restructuring &amp; Separation_Guidance 2" xfId="6280"/>
    <cellStyle name="_MOR - BDWY - 1+11_MOR - Australia -  EC - 4+8_Restructuring_Separation_TAX_JuneFC2010 tf_BS_Separation_TaxResIndem_Q12412 tf_Restructuring &amp; Separation_Guidance_BS retrieve" xfId="6281"/>
    <cellStyle name="_MOR - BDWY - 1+11_MOR - Australia -  EC - 4+8_Restructuring_Separation_TAX_JuneFC2010 tf_BS_Separation_TaxResIndem_Q12412 tf_Restructuring &amp; Separation_Guidance_Free CF" xfId="6282"/>
    <cellStyle name="_MOR - BDWY - 1+11_MOR - Australia -  EC - 4+8_Restructuring_Separation_TAX_JuneFC2010 tf_BS_Separation_TaxResIndem_Q12412 tf_Restructuring &amp; Separation_Guidance_P&amp;L Rec Qtr" xfId="6283"/>
    <cellStyle name="_MOR - BDWY - 1+11_MOR - Australia -  EC - 4+8_Restructuring_Separation_TAX_JuneFC2010 tf_BS_Separation_TaxResIndem_Q12412 tf_Restructuring &amp; Separation_Guidance_Sheet1" xfId="6284"/>
    <cellStyle name="_MOR - BDWY - 1+11_MOR - Australia -  EC - 4+8_Restructuring_Separation_TAX_JuneFC2010 tf_BS_Separation_TaxResIndem_Q12412 tf_Restructuring &amp; Separation_Guidance_Sheet2" xfId="6285"/>
    <cellStyle name="_MOR - BDWY - 1+11_MOR - Australia -  EC - 4+8_Restructuring_Separation_TAX_JuneFC2010 tf_BS_Separation_TaxResIndem_Q12412 tf_Restructuring &amp; Separation_Guidance_Sheet3" xfId="6286"/>
    <cellStyle name="_MOR - BDWY - 1+11_MOR - Australia -  EC - 4+8_Restructuring_Separation_TAX_JuneFC2010 tf_BS_Separation_TaxResIndem_Q12412 tf_Restructuring &amp; Separation_Guidance_Sheet4" xfId="6287"/>
    <cellStyle name="_MOR - BDWY - 1+11_MOR - Australia -  EC - 4+8_Restructuring_Separation_TAX_JuneFC2010 tf_Guidance" xfId="6288"/>
    <cellStyle name="_MOR - BDWY - 1+11_MOR - Australia -  EC - 4+8_Restructuring_Separation_TAX_JuneFC2010 tf_Guidance 2" xfId="6289"/>
    <cellStyle name="_MOR - BDWY - 1+11_MOR - Australia -  EC - 4+8_Restructuring_Separation_TAX_JuneFC2010 tf_Guidance_BS retrieve" xfId="6290"/>
    <cellStyle name="_MOR - BDWY - 1+11_MOR - Australia -  EC - 4+8_Restructuring_Separation_TAX_JuneFC2010 tf_Guidance_Free CF" xfId="6291"/>
    <cellStyle name="_MOR - BDWY - 1+11_MOR - Australia -  EC - 4+8_Restructuring_Separation_TAX_JuneFC2010 tf_Guidance_P&amp;L Rec Qtr" xfId="6292"/>
    <cellStyle name="_MOR - BDWY - 1+11_MOR - Australia -  EC - 4+8_Restructuring_Separation_TAX_JuneFC2010 tf_Guidance_Sheet1" xfId="6293"/>
    <cellStyle name="_MOR - BDWY - 1+11_MOR - Australia -  EC - 4+8_Restructuring_Separation_TAX_JuneFC2010 tf_Guidance_Sheet2" xfId="6294"/>
    <cellStyle name="_MOR - BDWY - 1+11_MOR - Australia -  EC - 4+8_Restructuring_Separation_TAX_JuneFC2010 tf_Guidance_Sheet3" xfId="6295"/>
    <cellStyle name="_MOR - BDWY - 1+11_MOR - Australia -  EC - 4+8_Restructuring_Separation_TAX_JuneFC2010 tf_Guidance_Sheet4" xfId="6296"/>
    <cellStyle name="_MOR - BDWY - 1+11_MOR - Australia -  EC - 4+8_Restructuring_Separation_TAX_JuneFC2010 tf_II.8. Sep&amp;Discrete" xfId="6297"/>
    <cellStyle name="_MOR - BDWY - 1+11_MOR - Australia -  EC - 4+8_Restructuring_Separation_TAX_JuneFC2010 tf_II.8. Sep&amp;Discrete_Guidance" xfId="6298"/>
    <cellStyle name="_MOR - BDWY - 1+11_MOR - Australia -  EC - 4+8_Restructuring_Separation_TAX_JuneFC2010 tf_II.8. Sep&amp;Discrete_Guidance 2" xfId="6299"/>
    <cellStyle name="_MOR - BDWY - 1+11_MOR - Australia -  EC - 4+8_Restructuring_Separation_TAX_JuneFC2010 tf_II.8. Sep&amp;Discrete_Guidance_BS retrieve" xfId="6300"/>
    <cellStyle name="_MOR - BDWY - 1+11_MOR - Australia -  EC - 4+8_Restructuring_Separation_TAX_JuneFC2010 tf_II.8. Sep&amp;Discrete_Guidance_Free CF" xfId="6301"/>
    <cellStyle name="_MOR - BDWY - 1+11_MOR - Australia -  EC - 4+8_Restructuring_Separation_TAX_JuneFC2010 tf_II.8. Sep&amp;Discrete_Guidance_P&amp;L Rec Qtr" xfId="6302"/>
    <cellStyle name="_MOR - BDWY - 1+11_MOR - Australia -  EC - 4+8_Restructuring_Separation_TAX_JuneFC2010 tf_II.8. Sep&amp;Discrete_Guidance_Sheet1" xfId="6303"/>
    <cellStyle name="_MOR - BDWY - 1+11_MOR - Australia -  EC - 4+8_Restructuring_Separation_TAX_JuneFC2010 tf_II.8. Sep&amp;Discrete_Guidance_Sheet2" xfId="6304"/>
    <cellStyle name="_MOR - BDWY - 1+11_MOR - Australia -  EC - 4+8_Restructuring_Separation_TAX_JuneFC2010 tf_II.8. Sep&amp;Discrete_Guidance_Sheet3" xfId="6305"/>
    <cellStyle name="_MOR - BDWY - 1+11_MOR - Australia -  EC - 4+8_Restructuring_Separation_TAX_JuneFC2010 tf_II.8. Sep&amp;Discrete_Guidance_Sheet4" xfId="6306"/>
    <cellStyle name="_MOR - BDWY - 1+11_MOR - Australia -  EC - 4+8_Restructuring_Separation_TAX_JuneFC2010 tf_Restructuring &amp; Separation" xfId="6307"/>
    <cellStyle name="_MOR - BDWY - 1+11_MOR - Australia -  EC - 4+8_Restructuring_Separation_TAX_JuneFC2010 tf_Restructuring &amp; Separation_Guidance" xfId="6308"/>
    <cellStyle name="_MOR - BDWY - 1+11_MOR - Australia -  EC - 4+8_Restructuring_Separation_TAX_JuneFC2010 tf_Restructuring &amp; Separation_Guidance 2" xfId="6309"/>
    <cellStyle name="_MOR - BDWY - 1+11_MOR - Australia -  EC - 4+8_Restructuring_Separation_TAX_JuneFC2010 tf_Restructuring &amp; Separation_Guidance_BS retrieve" xfId="6310"/>
    <cellStyle name="_MOR - BDWY - 1+11_MOR - Australia -  EC - 4+8_Restructuring_Separation_TAX_JuneFC2010 tf_Restructuring &amp; Separation_Guidance_Free CF" xfId="6311"/>
    <cellStyle name="_MOR - BDWY - 1+11_MOR - Australia -  EC - 4+8_Restructuring_Separation_TAX_JuneFC2010 tf_Restructuring &amp; Separation_Guidance_P&amp;L Rec Qtr" xfId="6312"/>
    <cellStyle name="_MOR - BDWY - 1+11_MOR - Australia -  EC - 4+8_Restructuring_Separation_TAX_JuneFC2010 tf_Restructuring &amp; Separation_Guidance_Sheet1" xfId="6313"/>
    <cellStyle name="_MOR - BDWY - 1+11_MOR - Australia -  EC - 4+8_Restructuring_Separation_TAX_JuneFC2010 tf_Restructuring &amp; Separation_Guidance_Sheet2" xfId="6314"/>
    <cellStyle name="_MOR - BDWY - 1+11_MOR - Australia -  EC - 4+8_Restructuring_Separation_TAX_JuneFC2010 tf_Restructuring &amp; Separation_Guidance_Sheet3" xfId="6315"/>
    <cellStyle name="_MOR - BDWY - 1+11_MOR - Australia -  EC - 4+8_Restructuring_Separation_TAX_JuneFC2010 tf_Restructuring &amp; Separation_Guidance_Sheet4" xfId="6316"/>
    <cellStyle name="_MOR - BDWY - 1+11_MOR - Gurgaon - 3+9(R)" xfId="6317"/>
    <cellStyle name="_MOR - BDWY - 1+11_MOR - Gurgaon - 3+9(R)_BS_Separation_TaxResIndem_Q12412 tf" xfId="6318"/>
    <cellStyle name="_MOR - BDWY - 1+11_MOR - Gurgaon - 3+9(R)_BS_Separation_TaxResIndem_Q12412 tf_Guidance" xfId="6319"/>
    <cellStyle name="_MOR - BDWY - 1+11_MOR - Gurgaon - 3+9(R)_BS_Separation_TaxResIndem_Q12412 tf_Guidance 2" xfId="6320"/>
    <cellStyle name="_MOR - BDWY - 1+11_MOR - Gurgaon - 3+9(R)_BS_Separation_TaxResIndem_Q12412 tf_Guidance_BS retrieve" xfId="6321"/>
    <cellStyle name="_MOR - BDWY - 1+11_MOR - Gurgaon - 3+9(R)_BS_Separation_TaxResIndem_Q12412 tf_Guidance_Free CF" xfId="6322"/>
    <cellStyle name="_MOR - BDWY - 1+11_MOR - Gurgaon - 3+9(R)_BS_Separation_TaxResIndem_Q12412 tf_Guidance_P&amp;L Rec Qtr" xfId="6323"/>
    <cellStyle name="_MOR - BDWY - 1+11_MOR - Gurgaon - 3+9(R)_BS_Separation_TaxResIndem_Q12412 tf_Guidance_Sheet1" xfId="6324"/>
    <cellStyle name="_MOR - BDWY - 1+11_MOR - Gurgaon - 3+9(R)_BS_Separation_TaxResIndem_Q12412 tf_Guidance_Sheet2" xfId="6325"/>
    <cellStyle name="_MOR - BDWY - 1+11_MOR - Gurgaon - 3+9(R)_BS_Separation_TaxResIndem_Q12412 tf_Guidance_Sheet3" xfId="6326"/>
    <cellStyle name="_MOR - BDWY - 1+11_MOR - Gurgaon - 3+9(R)_BS_Separation_TaxResIndem_Q12412 tf_Guidance_Sheet4" xfId="6327"/>
    <cellStyle name="_MOR - BDWY - 1+11_MOR - Gurgaon - 3+9(R)_BS_Separation_TaxResIndem_Q12412 tf_Restructuring &amp; Separation" xfId="6328"/>
    <cellStyle name="_MOR - BDWY - 1+11_MOR - Gurgaon - 3+9(R)_BS_Separation_TaxResIndem_Q12412 tf_Restructuring &amp; Separation_Guidance" xfId="6329"/>
    <cellStyle name="_MOR - BDWY - 1+11_MOR - Gurgaon - 3+9(R)_BS_Separation_TaxResIndem_Q12412 tf_Restructuring &amp; Separation_Guidance 2" xfId="6330"/>
    <cellStyle name="_MOR - BDWY - 1+11_MOR - Gurgaon - 3+9(R)_BS_Separation_TaxResIndem_Q12412 tf_Restructuring &amp; Separation_Guidance_BS retrieve" xfId="6331"/>
    <cellStyle name="_MOR - BDWY - 1+11_MOR - Gurgaon - 3+9(R)_BS_Separation_TaxResIndem_Q12412 tf_Restructuring &amp; Separation_Guidance_Free CF" xfId="6332"/>
    <cellStyle name="_MOR - BDWY - 1+11_MOR - Gurgaon - 3+9(R)_BS_Separation_TaxResIndem_Q12412 tf_Restructuring &amp; Separation_Guidance_P&amp;L Rec Qtr" xfId="6333"/>
    <cellStyle name="_MOR - BDWY - 1+11_MOR - Gurgaon - 3+9(R)_BS_Separation_TaxResIndem_Q12412 tf_Restructuring &amp; Separation_Guidance_Sheet1" xfId="6334"/>
    <cellStyle name="_MOR - BDWY - 1+11_MOR - Gurgaon - 3+9(R)_BS_Separation_TaxResIndem_Q12412 tf_Restructuring &amp; Separation_Guidance_Sheet2" xfId="6335"/>
    <cellStyle name="_MOR - BDWY - 1+11_MOR - Gurgaon - 3+9(R)_BS_Separation_TaxResIndem_Q12412 tf_Restructuring &amp; Separation_Guidance_Sheet3" xfId="6336"/>
    <cellStyle name="_MOR - BDWY - 1+11_MOR - Gurgaon - 3+9(R)_BS_Separation_TaxResIndem_Q12412 tf_Restructuring &amp; Separation_Guidance_Sheet4" xfId="6337"/>
    <cellStyle name="_MOR - BDWY - 1+11_MOR - Gurgaon - 3+9(R)_By Country Detail 1Q10 041410pm FIN 18 revised per disc w Mary" xfId="6338"/>
    <cellStyle name="_MOR - BDWY - 1+11_MOR - Gurgaon - 3+9(R)_By Country Detail 1Q10 041410pm FIN 18 revised per disc w Mary_BS_Separation_TaxResIndem_Q12412 tf" xfId="6339"/>
    <cellStyle name="_MOR - BDWY - 1+11_MOR - Gurgaon - 3+9(R)_By Country Detail 1Q10 041410pm FIN 18 revised per disc w Mary_BS_Separation_TaxResIndem_Q12412 tf_Guidance" xfId="6340"/>
    <cellStyle name="_MOR - BDWY - 1+11_MOR - Gurgaon - 3+9(R)_By Country Detail 1Q10 041410pm FIN 18 revised per disc w Mary_BS_Separation_TaxResIndem_Q12412 tf_Guidance 2" xfId="6341"/>
    <cellStyle name="_MOR - BDWY - 1+11_MOR - Gurgaon - 3+9(R)_By Country Detail 1Q10 041410pm FIN 18 revised per disc w Mary_BS_Separation_TaxResIndem_Q12412 tf_Guidance_BS retrieve" xfId="6342"/>
    <cellStyle name="_MOR - BDWY - 1+11_MOR - Gurgaon - 3+9(R)_By Country Detail 1Q10 041410pm FIN 18 revised per disc w Mary_BS_Separation_TaxResIndem_Q12412 tf_Guidance_Free CF" xfId="6343"/>
    <cellStyle name="_MOR - BDWY - 1+11_MOR - Gurgaon - 3+9(R)_By Country Detail 1Q10 041410pm FIN 18 revised per disc w Mary_BS_Separation_TaxResIndem_Q12412 tf_Guidance_P&amp;L Rec Qtr" xfId="6344"/>
    <cellStyle name="_MOR - BDWY - 1+11_MOR - Gurgaon - 3+9(R)_By Country Detail 1Q10 041410pm FIN 18 revised per disc w Mary_BS_Separation_TaxResIndem_Q12412 tf_Guidance_Sheet1" xfId="6345"/>
    <cellStyle name="_MOR - BDWY - 1+11_MOR - Gurgaon - 3+9(R)_By Country Detail 1Q10 041410pm FIN 18 revised per disc w Mary_BS_Separation_TaxResIndem_Q12412 tf_Guidance_Sheet2" xfId="6346"/>
    <cellStyle name="_MOR - BDWY - 1+11_MOR - Gurgaon - 3+9(R)_By Country Detail 1Q10 041410pm FIN 18 revised per disc w Mary_BS_Separation_TaxResIndem_Q12412 tf_Guidance_Sheet3" xfId="6347"/>
    <cellStyle name="_MOR - BDWY - 1+11_MOR - Gurgaon - 3+9(R)_By Country Detail 1Q10 041410pm FIN 18 revised per disc w Mary_BS_Separation_TaxResIndem_Q12412 tf_Guidance_Sheet4" xfId="6348"/>
    <cellStyle name="_MOR - BDWY - 1+11_MOR - Gurgaon - 3+9(R)_By Country Detail 1Q10 041410pm FIN 18 revised per disc w Mary_BS_Separation_TaxResIndem_Q12412 tf_Restructuring &amp; Separation" xfId="6349"/>
    <cellStyle name="_MOR - BDWY - 1+11_MOR - Gurgaon - 3+9(R)_By Country Detail 1Q10 041410pm FIN 18 revised per disc w Mary_BS_Separation_TaxResIndem_Q12412 tf_Restructuring &amp; Separation_Guidance" xfId="6350"/>
    <cellStyle name="_MOR - BDWY - 1+11_MOR - Gurgaon - 3+9(R)_By Country Detail 1Q10 041410pm FIN 18 revised per disc w Mary_BS_Separation_TaxResIndem_Q12412 tf_Restructuring &amp; Separation_Guidance 2" xfId="6351"/>
    <cellStyle name="_MOR - BDWY - 1+11_MOR - Gurgaon - 3+9(R)_By Country Detail 1Q10 041410pm FIN 18 revised per disc w Mary_BS_Separation_TaxResIndem_Q12412 tf_Restructuring &amp; Separation_Guidance_BS retrieve" xfId="6352"/>
    <cellStyle name="_MOR - BDWY - 1+11_MOR - Gurgaon - 3+9(R)_By Country Detail 1Q10 041410pm FIN 18 revised per disc w Mary_BS_Separation_TaxResIndem_Q12412 tf_Restructuring &amp; Separation_Guidance_Free CF" xfId="6353"/>
    <cellStyle name="_MOR - BDWY - 1+11_MOR - Gurgaon - 3+9(R)_By Country Detail 1Q10 041410pm FIN 18 revised per disc w Mary_BS_Separation_TaxResIndem_Q12412 tf_Restructuring &amp; Separation_Guidance_P&amp;L Rec Qtr" xfId="6354"/>
    <cellStyle name="_MOR - BDWY - 1+11_MOR - Gurgaon - 3+9(R)_By Country Detail 1Q10 041410pm FIN 18 revised per disc w Mary_BS_Separation_TaxResIndem_Q12412 tf_Restructuring &amp; Separation_Guidance_Sheet1" xfId="6355"/>
    <cellStyle name="_MOR - BDWY - 1+11_MOR - Gurgaon - 3+9(R)_By Country Detail 1Q10 041410pm FIN 18 revised per disc w Mary_BS_Separation_TaxResIndem_Q12412 tf_Restructuring &amp; Separation_Guidance_Sheet2" xfId="6356"/>
    <cellStyle name="_MOR - BDWY - 1+11_MOR - Gurgaon - 3+9(R)_By Country Detail 1Q10 041410pm FIN 18 revised per disc w Mary_BS_Separation_TaxResIndem_Q12412 tf_Restructuring &amp; Separation_Guidance_Sheet3" xfId="6357"/>
    <cellStyle name="_MOR - BDWY - 1+11_MOR - Gurgaon - 3+9(R)_By Country Detail 1Q10 041410pm FIN 18 revised per disc w Mary_BS_Separation_TaxResIndem_Q12412 tf_Restructuring &amp; Separation_Guidance_Sheet4" xfId="6358"/>
    <cellStyle name="_MOR - BDWY - 1+11_MOR - Gurgaon - 3+9(R)_By Country Detail 1Q10 041410pm FIN 18 revised per disc w Mary_Guidance" xfId="6359"/>
    <cellStyle name="_MOR - BDWY - 1+11_MOR - Gurgaon - 3+9(R)_By Country Detail 1Q10 041410pm FIN 18 revised per disc w Mary_Guidance 2" xfId="6360"/>
    <cellStyle name="_MOR - BDWY - 1+11_MOR - Gurgaon - 3+9(R)_By Country Detail 1Q10 041410pm FIN 18 revised per disc w Mary_Guidance_BS retrieve" xfId="6361"/>
    <cellStyle name="_MOR - BDWY - 1+11_MOR - Gurgaon - 3+9(R)_By Country Detail 1Q10 041410pm FIN 18 revised per disc w Mary_Guidance_Free CF" xfId="6362"/>
    <cellStyle name="_MOR - BDWY - 1+11_MOR - Gurgaon - 3+9(R)_By Country Detail 1Q10 041410pm FIN 18 revised per disc w Mary_Guidance_P&amp;L Rec Qtr" xfId="6363"/>
    <cellStyle name="_MOR - BDWY - 1+11_MOR - Gurgaon - 3+9(R)_By Country Detail 1Q10 041410pm FIN 18 revised per disc w Mary_Guidance_Sheet1" xfId="6364"/>
    <cellStyle name="_MOR - BDWY - 1+11_MOR - Gurgaon - 3+9(R)_By Country Detail 1Q10 041410pm FIN 18 revised per disc w Mary_Guidance_Sheet2" xfId="6365"/>
    <cellStyle name="_MOR - BDWY - 1+11_MOR - Gurgaon - 3+9(R)_By Country Detail 1Q10 041410pm FIN 18 revised per disc w Mary_Guidance_Sheet3" xfId="6366"/>
    <cellStyle name="_MOR - BDWY - 1+11_MOR - Gurgaon - 3+9(R)_By Country Detail 1Q10 041410pm FIN 18 revised per disc w Mary_Guidance_Sheet4" xfId="6367"/>
    <cellStyle name="_MOR - BDWY - 1+11_MOR - Gurgaon - 3+9(R)_By Country Detail 1Q10 041410pm FIN 18 revised per disc w Mary_II.8. Sep&amp;Discrete" xfId="6368"/>
    <cellStyle name="_MOR - BDWY - 1+11_MOR - Gurgaon - 3+9(R)_By Country Detail 1Q10 041410pm FIN 18 revised per disc w Mary_II.8. Sep&amp;Discrete_Guidance" xfId="6369"/>
    <cellStyle name="_MOR - BDWY - 1+11_MOR - Gurgaon - 3+9(R)_By Country Detail 1Q10 041410pm FIN 18 revised per disc w Mary_II.8. Sep&amp;Discrete_Guidance 2" xfId="6370"/>
    <cellStyle name="_MOR - BDWY - 1+11_MOR - Gurgaon - 3+9(R)_By Country Detail 1Q10 041410pm FIN 18 revised per disc w Mary_II.8. Sep&amp;Discrete_Guidance_BS retrieve" xfId="6371"/>
    <cellStyle name="_MOR - BDWY - 1+11_MOR - Gurgaon - 3+9(R)_By Country Detail 1Q10 041410pm FIN 18 revised per disc w Mary_II.8. Sep&amp;Discrete_Guidance_Free CF" xfId="6372"/>
    <cellStyle name="_MOR - BDWY - 1+11_MOR - Gurgaon - 3+9(R)_By Country Detail 1Q10 041410pm FIN 18 revised per disc w Mary_II.8. Sep&amp;Discrete_Guidance_P&amp;L Rec Qtr" xfId="6373"/>
    <cellStyle name="_MOR - BDWY - 1+11_MOR - Gurgaon - 3+9(R)_By Country Detail 1Q10 041410pm FIN 18 revised per disc w Mary_II.8. Sep&amp;Discrete_Guidance_Sheet1" xfId="6374"/>
    <cellStyle name="_MOR - BDWY - 1+11_MOR - Gurgaon - 3+9(R)_By Country Detail 1Q10 041410pm FIN 18 revised per disc w Mary_II.8. Sep&amp;Discrete_Guidance_Sheet2" xfId="6375"/>
    <cellStyle name="_MOR - BDWY - 1+11_MOR - Gurgaon - 3+9(R)_By Country Detail 1Q10 041410pm FIN 18 revised per disc w Mary_II.8. Sep&amp;Discrete_Guidance_Sheet3" xfId="6376"/>
    <cellStyle name="_MOR - BDWY - 1+11_MOR - Gurgaon - 3+9(R)_By Country Detail 1Q10 041410pm FIN 18 revised per disc w Mary_II.8. Sep&amp;Discrete_Guidance_Sheet4" xfId="6377"/>
    <cellStyle name="_MOR - BDWY - 1+11_MOR - Gurgaon - 3+9(R)_By Country Detail 1Q10 041410pm FIN 18 revised per disc w Mary_Restructuring &amp; Separation" xfId="6378"/>
    <cellStyle name="_MOR - BDWY - 1+11_MOR - Gurgaon - 3+9(R)_By Country Detail 1Q10 041410pm FIN 18 revised per disc w Mary_Restructuring &amp; Separation_Guidance" xfId="6379"/>
    <cellStyle name="_MOR - BDWY - 1+11_MOR - Gurgaon - 3+9(R)_By Country Detail 1Q10 041410pm FIN 18 revised per disc w Mary_Restructuring &amp; Separation_Guidance 2" xfId="6380"/>
    <cellStyle name="_MOR - BDWY - 1+11_MOR - Gurgaon - 3+9(R)_By Country Detail 1Q10 041410pm FIN 18 revised per disc w Mary_Restructuring &amp; Separation_Guidance_BS retrieve" xfId="6381"/>
    <cellStyle name="_MOR - BDWY - 1+11_MOR - Gurgaon - 3+9(R)_By Country Detail 1Q10 041410pm FIN 18 revised per disc w Mary_Restructuring &amp; Separation_Guidance_Free CF" xfId="6382"/>
    <cellStyle name="_MOR - BDWY - 1+11_MOR - Gurgaon - 3+9(R)_By Country Detail 1Q10 041410pm FIN 18 revised per disc w Mary_Restructuring &amp; Separation_Guidance_P&amp;L Rec Qtr" xfId="6383"/>
    <cellStyle name="_MOR - BDWY - 1+11_MOR - Gurgaon - 3+9(R)_By Country Detail 1Q10 041410pm FIN 18 revised per disc w Mary_Restructuring &amp; Separation_Guidance_Sheet1" xfId="6384"/>
    <cellStyle name="_MOR - BDWY - 1+11_MOR - Gurgaon - 3+9(R)_By Country Detail 1Q10 041410pm FIN 18 revised per disc w Mary_Restructuring &amp; Separation_Guidance_Sheet2" xfId="6385"/>
    <cellStyle name="_MOR - BDWY - 1+11_MOR - Gurgaon - 3+9(R)_By Country Detail 1Q10 041410pm FIN 18 revised per disc w Mary_Restructuring &amp; Separation_Guidance_Sheet3" xfId="6386"/>
    <cellStyle name="_MOR - BDWY - 1+11_MOR - Gurgaon - 3+9(R)_By Country Detail 1Q10 041410pm FIN 18 revised per disc w Mary_Restructuring &amp; Separation_Guidance_Sheet4" xfId="6387"/>
    <cellStyle name="_MOR - BDWY - 1+11_MOR - Gurgaon - 3+9(R)_Guidance" xfId="6388"/>
    <cellStyle name="_MOR - BDWY - 1+11_MOR - Gurgaon - 3+9(R)_Guidance 2" xfId="6389"/>
    <cellStyle name="_MOR - BDWY - 1+11_MOR - Gurgaon - 3+9(R)_Guidance_BS retrieve" xfId="6390"/>
    <cellStyle name="_MOR - BDWY - 1+11_MOR - Gurgaon - 3+9(R)_Guidance_Free CF" xfId="6391"/>
    <cellStyle name="_MOR - BDWY - 1+11_MOR - Gurgaon - 3+9(R)_Guidance_P&amp;L Rec Qtr" xfId="6392"/>
    <cellStyle name="_MOR - BDWY - 1+11_MOR - Gurgaon - 3+9(R)_Guidance_Sheet1" xfId="6393"/>
    <cellStyle name="_MOR - BDWY - 1+11_MOR - Gurgaon - 3+9(R)_Guidance_Sheet2" xfId="6394"/>
    <cellStyle name="_MOR - BDWY - 1+11_MOR - Gurgaon - 3+9(R)_Guidance_Sheet3" xfId="6395"/>
    <cellStyle name="_MOR - BDWY - 1+11_MOR - Gurgaon - 3+9(R)_Guidance_Sheet4" xfId="6396"/>
    <cellStyle name="_MOR - BDWY - 1+11_MOR - Gurgaon - 3+9(R)_II.4. RawMaterials" xfId="6397"/>
    <cellStyle name="_MOR - BDWY - 1+11_MOR - Gurgaon - 3+9(R)_II.4. RawMaterials 2" xfId="6398"/>
    <cellStyle name="_MOR - BDWY - 1+11_MOR - Gurgaon - 3+9(R)_II.4. RawMaterials_BS retrieve" xfId="6399"/>
    <cellStyle name="_MOR - BDWY - 1+11_MOR - Gurgaon - 3+9(R)_II.4. RawMaterials_Free CF" xfId="6400"/>
    <cellStyle name="_MOR - BDWY - 1+11_MOR - Gurgaon - 3+9(R)_II.4. RawMaterials_P&amp;L Rec Qtr" xfId="6401"/>
    <cellStyle name="_MOR - BDWY - 1+11_MOR - Gurgaon - 3+9(R)_II.4. RawMaterials_Sheet1" xfId="6402"/>
    <cellStyle name="_MOR - BDWY - 1+11_MOR - Gurgaon - 3+9(R)_II.4. RawMaterials_Sheet2" xfId="6403"/>
    <cellStyle name="_MOR - BDWY - 1+11_MOR - Gurgaon - 3+9(R)_II.4. RawMaterials_Sheet3" xfId="6404"/>
    <cellStyle name="_MOR - BDWY - 1+11_MOR - Gurgaon - 3+9(R)_II.4. RawMaterials_Sheet4" xfId="6405"/>
    <cellStyle name="_MOR - BDWY - 1+11_MOR - Gurgaon - 3+9(R)_II.5. RawMaterials" xfId="6406"/>
    <cellStyle name="_MOR - BDWY - 1+11_MOR - Gurgaon - 3+9(R)_II.5. RawMaterials 2" xfId="6407"/>
    <cellStyle name="_MOR - BDWY - 1+11_MOR - Gurgaon - 3+9(R)_II.5. RawMaterials_BS retrieve" xfId="6408"/>
    <cellStyle name="_MOR - BDWY - 1+11_MOR - Gurgaon - 3+9(R)_II.5. RawMaterials_Free CF" xfId="6409"/>
    <cellStyle name="_MOR - BDWY - 1+11_MOR - Gurgaon - 3+9(R)_II.5. RawMaterials_Guidance" xfId="6410"/>
    <cellStyle name="_MOR - BDWY - 1+11_MOR - Gurgaon - 3+9(R)_II.5. RawMaterials_Guidance 2" xfId="6411"/>
    <cellStyle name="_MOR - BDWY - 1+11_MOR - Gurgaon - 3+9(R)_II.5. RawMaterials_Guidance_BS retrieve" xfId="6412"/>
    <cellStyle name="_MOR - BDWY - 1+11_MOR - Gurgaon - 3+9(R)_II.5. RawMaterials_Guidance_Free CF" xfId="6413"/>
    <cellStyle name="_MOR - BDWY - 1+11_MOR - Gurgaon - 3+9(R)_II.5. RawMaterials_Guidance_P&amp;L Rec Qtr" xfId="6414"/>
    <cellStyle name="_MOR - BDWY - 1+11_MOR - Gurgaon - 3+9(R)_II.5. RawMaterials_Guidance_Sheet1" xfId="6415"/>
    <cellStyle name="_MOR - BDWY - 1+11_MOR - Gurgaon - 3+9(R)_II.5. RawMaterials_Guidance_Sheet2" xfId="6416"/>
    <cellStyle name="_MOR - BDWY - 1+11_MOR - Gurgaon - 3+9(R)_II.5. RawMaterials_Guidance_Sheet3" xfId="6417"/>
    <cellStyle name="_MOR - BDWY - 1+11_MOR - Gurgaon - 3+9(R)_II.5. RawMaterials_Guidance_Sheet4" xfId="6418"/>
    <cellStyle name="_MOR - BDWY - 1+11_MOR - Gurgaon - 3+9(R)_II.5. RawMaterials_P&amp;L Rec Qtr" xfId="6419"/>
    <cellStyle name="_MOR - BDWY - 1+11_MOR - Gurgaon - 3+9(R)_II.5. RawMaterials_Sheet1" xfId="6420"/>
    <cellStyle name="_MOR - BDWY - 1+11_MOR - Gurgaon - 3+9(R)_II.5. RawMaterials_Sheet2" xfId="6421"/>
    <cellStyle name="_MOR - BDWY - 1+11_MOR - Gurgaon - 3+9(R)_II.5. RawMaterials_Sheet3" xfId="6422"/>
    <cellStyle name="_MOR - BDWY - 1+11_MOR - Gurgaon - 3+9(R)_II.5. RawMaterials_Sheet4" xfId="6423"/>
    <cellStyle name="_MOR - BDWY - 1+11_MOR - Gurgaon - 3+9(R)_II.5. RM Volume Sensitivities" xfId="6424"/>
    <cellStyle name="_MOR - BDWY - 1+11_MOR - Gurgaon - 3+9(R)_II.5. RM Volume Sensitivities 2" xfId="6425"/>
    <cellStyle name="_MOR - BDWY - 1+11_MOR - Gurgaon - 3+9(R)_II.5. RM Volume Sensitivities_BS retrieve" xfId="6426"/>
    <cellStyle name="_MOR - BDWY - 1+11_MOR - Gurgaon - 3+9(R)_II.5. RM Volume Sensitivities_Free CF" xfId="6427"/>
    <cellStyle name="_MOR - BDWY - 1+11_MOR - Gurgaon - 3+9(R)_II.5. RM Volume Sensitivities_P&amp;L Rec Qtr" xfId="6428"/>
    <cellStyle name="_MOR - BDWY - 1+11_MOR - Gurgaon - 3+9(R)_II.5. RM Volume Sensitivities_Sheet1" xfId="6429"/>
    <cellStyle name="_MOR - BDWY - 1+11_MOR - Gurgaon - 3+9(R)_II.5. RM Volume Sensitivities_Sheet2" xfId="6430"/>
    <cellStyle name="_MOR - BDWY - 1+11_MOR - Gurgaon - 3+9(R)_II.5. RM Volume Sensitivities_Sheet3" xfId="6431"/>
    <cellStyle name="_MOR - BDWY - 1+11_MOR - Gurgaon - 3+9(R)_II.5. RM Volume Sensitivities_Sheet4" xfId="6432"/>
    <cellStyle name="_MOR - BDWY - 1+11_MOR - Gurgaon - 3+9(R)_II.8. Sep&amp;Discrete" xfId="6433"/>
    <cellStyle name="_MOR - BDWY - 1+11_MOR - Gurgaon - 3+9(R)_II.8. Sep&amp;Discrete_Guidance" xfId="6434"/>
    <cellStyle name="_MOR - BDWY - 1+11_MOR - Gurgaon - 3+9(R)_II.8. Sep&amp;Discrete_Guidance 2" xfId="6435"/>
    <cellStyle name="_MOR - BDWY - 1+11_MOR - Gurgaon - 3+9(R)_II.8. Sep&amp;Discrete_Guidance_BS retrieve" xfId="6436"/>
    <cellStyle name="_MOR - BDWY - 1+11_MOR - Gurgaon - 3+9(R)_II.8. Sep&amp;Discrete_Guidance_Free CF" xfId="6437"/>
    <cellStyle name="_MOR - BDWY - 1+11_MOR - Gurgaon - 3+9(R)_II.8. Sep&amp;Discrete_Guidance_P&amp;L Rec Qtr" xfId="6438"/>
    <cellStyle name="_MOR - BDWY - 1+11_MOR - Gurgaon - 3+9(R)_II.8. Sep&amp;Discrete_Guidance_Sheet1" xfId="6439"/>
    <cellStyle name="_MOR - BDWY - 1+11_MOR - Gurgaon - 3+9(R)_II.8. Sep&amp;Discrete_Guidance_Sheet2" xfId="6440"/>
    <cellStyle name="_MOR - BDWY - 1+11_MOR - Gurgaon - 3+9(R)_II.8. Sep&amp;Discrete_Guidance_Sheet3" xfId="6441"/>
    <cellStyle name="_MOR - BDWY - 1+11_MOR - Gurgaon - 3+9(R)_II.8. Sep&amp;Discrete_Guidance_Sheet4" xfId="6442"/>
    <cellStyle name="_MOR - BDWY - 1+11_MOR - Gurgaon - 3+9(R)_MOR - Revised Package" xfId="6443"/>
    <cellStyle name="_MOR - BDWY - 1+11_MOR - Gurgaon - 3+9(R)_MOR - Revised Package_~0039877" xfId="6444"/>
    <cellStyle name="_MOR - BDWY - 1+11_MOR - Gurgaon - 3+9(R)_MOR - Revised Package_~0039877_BS_Separation_TaxResIndem_Q12412 tf" xfId="6445"/>
    <cellStyle name="_MOR - BDWY - 1+11_MOR - Gurgaon - 3+9(R)_MOR - Revised Package_~0039877_BS_Separation_TaxResIndem_Q12412 tf_Guidance" xfId="6446"/>
    <cellStyle name="_MOR - BDWY - 1+11_MOR - Gurgaon - 3+9(R)_MOR - Revised Package_~0039877_BS_Separation_TaxResIndem_Q12412 tf_Guidance 2" xfId="6447"/>
    <cellStyle name="_MOR - BDWY - 1+11_MOR - Gurgaon - 3+9(R)_MOR - Revised Package_~0039877_BS_Separation_TaxResIndem_Q12412 tf_Guidance_BS retrieve" xfId="6448"/>
    <cellStyle name="_MOR - BDWY - 1+11_MOR - Gurgaon - 3+9(R)_MOR - Revised Package_~0039877_BS_Separation_TaxResIndem_Q12412 tf_Guidance_Free CF" xfId="6449"/>
    <cellStyle name="_MOR - BDWY - 1+11_MOR - Gurgaon - 3+9(R)_MOR - Revised Package_~0039877_BS_Separation_TaxResIndem_Q12412 tf_Guidance_P&amp;L Rec Qtr" xfId="6450"/>
    <cellStyle name="_MOR - BDWY - 1+11_MOR - Gurgaon - 3+9(R)_MOR - Revised Package_~0039877_BS_Separation_TaxResIndem_Q12412 tf_Guidance_Sheet1" xfId="6451"/>
    <cellStyle name="_MOR - BDWY - 1+11_MOR - Gurgaon - 3+9(R)_MOR - Revised Package_~0039877_BS_Separation_TaxResIndem_Q12412 tf_Guidance_Sheet2" xfId="6452"/>
    <cellStyle name="_MOR - BDWY - 1+11_MOR - Gurgaon - 3+9(R)_MOR - Revised Package_~0039877_BS_Separation_TaxResIndem_Q12412 tf_Guidance_Sheet3" xfId="6453"/>
    <cellStyle name="_MOR - BDWY - 1+11_MOR - Gurgaon - 3+9(R)_MOR - Revised Package_~0039877_BS_Separation_TaxResIndem_Q12412 tf_Guidance_Sheet4" xfId="6454"/>
    <cellStyle name="_MOR - BDWY - 1+11_MOR - Gurgaon - 3+9(R)_MOR - Revised Package_~0039877_BS_Separation_TaxResIndem_Q12412 tf_Restructuring &amp; Separation" xfId="6455"/>
    <cellStyle name="_MOR - BDWY - 1+11_MOR - Gurgaon - 3+9(R)_MOR - Revised Package_~0039877_BS_Separation_TaxResIndem_Q12412 tf_Restructuring &amp; Separation_Guidance" xfId="6456"/>
    <cellStyle name="_MOR - BDWY - 1+11_MOR - Gurgaon - 3+9(R)_MOR - Revised Package_~0039877_BS_Separation_TaxResIndem_Q12412 tf_Restructuring &amp; Separation_Guidance 2" xfId="6457"/>
    <cellStyle name="_MOR - BDWY - 1+11_MOR - Gurgaon - 3+9(R)_MOR - Revised Package_~0039877_BS_Separation_TaxResIndem_Q12412 tf_Restructuring &amp; Separation_Guidance_BS retrieve" xfId="6458"/>
    <cellStyle name="_MOR - BDWY - 1+11_MOR - Gurgaon - 3+9(R)_MOR - Revised Package_~0039877_BS_Separation_TaxResIndem_Q12412 tf_Restructuring &amp; Separation_Guidance_Free CF" xfId="6459"/>
    <cellStyle name="_MOR - BDWY - 1+11_MOR - Gurgaon - 3+9(R)_MOR - Revised Package_~0039877_BS_Separation_TaxResIndem_Q12412 tf_Restructuring &amp; Separation_Guidance_P&amp;L Rec Qtr" xfId="6460"/>
    <cellStyle name="_MOR - BDWY - 1+11_MOR - Gurgaon - 3+9(R)_MOR - Revised Package_~0039877_BS_Separation_TaxResIndem_Q12412 tf_Restructuring &amp; Separation_Guidance_Sheet1" xfId="6461"/>
    <cellStyle name="_MOR - BDWY - 1+11_MOR - Gurgaon - 3+9(R)_MOR - Revised Package_~0039877_BS_Separation_TaxResIndem_Q12412 tf_Restructuring &amp; Separation_Guidance_Sheet2" xfId="6462"/>
    <cellStyle name="_MOR - BDWY - 1+11_MOR - Gurgaon - 3+9(R)_MOR - Revised Package_~0039877_BS_Separation_TaxResIndem_Q12412 tf_Restructuring &amp; Separation_Guidance_Sheet3" xfId="6463"/>
    <cellStyle name="_MOR - BDWY - 1+11_MOR - Gurgaon - 3+9(R)_MOR - Revised Package_~0039877_BS_Separation_TaxResIndem_Q12412 tf_Restructuring &amp; Separation_Guidance_Sheet4" xfId="6464"/>
    <cellStyle name="_MOR - BDWY - 1+11_MOR - Gurgaon - 3+9(R)_MOR - Revised Package_~0039877_By Country Detail 1Q10 041410pm FIN 18 revised per disc w Mary" xfId="6465"/>
    <cellStyle name="_MOR - BDWY - 1+11_MOR - Gurgaon - 3+9(R)_MOR - Revised Package_~0039877_By Country Detail 1Q10 041410pm FIN 18 revised per disc w Mary_BS_Separation_TaxResIndem_Q12412 tf" xfId="6466"/>
    <cellStyle name="_MOR - BDWY - 1+11_MOR - Gurgaon - 3+9(R)_MOR - Revised Package_~0039877_By Country Detail 1Q10 041410pm FIN 18 revised per disc w Mary_BS_Separation_TaxResIndem_Q12412 tf_Guidance" xfId="6467"/>
    <cellStyle name="_MOR - BDWY - 1+11_MOR - Gurgaon - 3+9(R)_MOR - Revised Package_~0039877_By Country Detail 1Q10 041410pm FIN 18 revised per disc w Mary_BS_Separation_TaxResIndem_Q12412 tf_Guidance 2" xfId="6468"/>
    <cellStyle name="_MOR - BDWY - 1+11_MOR - Gurgaon - 3+9(R)_MOR - Revised Package_~0039877_By Country Detail 1Q10 041410pm FIN 18 revised per disc w Mary_BS_Separation_TaxResIndem_Q12412 tf_Guidance_BS retrieve" xfId="6469"/>
    <cellStyle name="_MOR - BDWY - 1+11_MOR - Gurgaon - 3+9(R)_MOR - Revised Package_~0039877_By Country Detail 1Q10 041410pm FIN 18 revised per disc w Mary_BS_Separation_TaxResIndem_Q12412 tf_Guidance_Free CF" xfId="6470"/>
    <cellStyle name="_MOR - BDWY - 1+11_MOR - Gurgaon - 3+9(R)_MOR - Revised Package_~0039877_By Country Detail 1Q10 041410pm FIN 18 revised per disc w Mary_BS_Separation_TaxResIndem_Q12412 tf_Guidance_P&amp;L Rec Qtr" xfId="6471"/>
    <cellStyle name="_MOR - BDWY - 1+11_MOR - Gurgaon - 3+9(R)_MOR - Revised Package_~0039877_By Country Detail 1Q10 041410pm FIN 18 revised per disc w Mary_BS_Separation_TaxResIndem_Q12412 tf_Guidance_Sheet1" xfId="6472"/>
    <cellStyle name="_MOR - BDWY - 1+11_MOR - Gurgaon - 3+9(R)_MOR - Revised Package_~0039877_By Country Detail 1Q10 041410pm FIN 18 revised per disc w Mary_BS_Separation_TaxResIndem_Q12412 tf_Guidance_Sheet2" xfId="6473"/>
    <cellStyle name="_MOR - BDWY - 1+11_MOR - Gurgaon - 3+9(R)_MOR - Revised Package_~0039877_By Country Detail 1Q10 041410pm FIN 18 revised per disc w Mary_BS_Separation_TaxResIndem_Q12412 tf_Guidance_Sheet3" xfId="6474"/>
    <cellStyle name="_MOR - BDWY - 1+11_MOR - Gurgaon - 3+9(R)_MOR - Revised Package_~0039877_By Country Detail 1Q10 041410pm FIN 18 revised per disc w Mary_BS_Separation_TaxResIndem_Q12412 tf_Guidance_Sheet4" xfId="6475"/>
    <cellStyle name="_MOR - BDWY - 1+11_MOR - Gurgaon - 3+9(R)_MOR - Revised Package_~0039877_By Country Detail 1Q10 041410pm FIN 18 revised per disc w Mary_BS_Separation_TaxResIndem_Q12412 tf_Restructuring &amp; Separation" xfId="6476"/>
    <cellStyle name="_MOR - BDWY - 1+11_MOR - Gurgaon - 3+9(R)_MOR - Revised Package_~0039877_By Country Detail 1Q10 041410pm FIN 18 revised per disc w Mary_BS_Separation_TaxResIndem_Q12412 tf_Restructuring &amp; Separation_Guidance" xfId="6477"/>
    <cellStyle name="_MOR - BDWY - 1+11_MOR - Gurgaon - 3+9(R)_MOR - Revised Package_~0039877_By Country Detail 1Q10 041410pm FIN 18 revised per disc w Mary_BS_Separation_TaxResIndem_Q12412 tf_Restructuring &amp; Separation_Guidance 2" xfId="6478"/>
    <cellStyle name="_MOR - BDWY - 1+11_MOR - Gurgaon - 3+9(R)_MOR - Revised Package_~0039877_By Country Detail 1Q10 041410pm FIN 18 revised per disc w Mary_BS_Separation_TaxResIndem_Q12412 tf_Restructuring &amp; Separation_Guidance_BS retrieve" xfId="6479"/>
    <cellStyle name="_MOR - BDWY - 1+11_MOR - Gurgaon - 3+9(R)_MOR - Revised Package_~0039877_By Country Detail 1Q10 041410pm FIN 18 revised per disc w Mary_BS_Separation_TaxResIndem_Q12412 tf_Restructuring &amp; Separation_Guidance_Free CF" xfId="6480"/>
    <cellStyle name="_MOR - BDWY - 1+11_MOR - Gurgaon - 3+9(R)_MOR - Revised Package_~0039877_By Country Detail 1Q10 041410pm FIN 18 revised per disc w Mary_BS_Separation_TaxResIndem_Q12412 tf_Restructuring &amp; Separation_Guidance_P&amp;L Rec Qtr" xfId="6481"/>
    <cellStyle name="_MOR - BDWY - 1+11_MOR - Gurgaon - 3+9(R)_MOR - Revised Package_~0039877_By Country Detail 1Q10 041410pm FIN 18 revised per disc w Mary_BS_Separation_TaxResIndem_Q12412 tf_Restructuring &amp; Separation_Guidance_Sheet1" xfId="6482"/>
    <cellStyle name="_MOR - BDWY - 1+11_MOR - Gurgaon - 3+9(R)_MOR - Revised Package_~0039877_By Country Detail 1Q10 041410pm FIN 18 revised per disc w Mary_BS_Separation_TaxResIndem_Q12412 tf_Restructuring &amp; Separation_Guidance_Sheet2" xfId="6483"/>
    <cellStyle name="_MOR - BDWY - 1+11_MOR - Gurgaon - 3+9(R)_MOR - Revised Package_~0039877_By Country Detail 1Q10 041410pm FIN 18 revised per disc w Mary_BS_Separation_TaxResIndem_Q12412 tf_Restructuring &amp; Separation_Guidance_Sheet3" xfId="6484"/>
    <cellStyle name="_MOR - BDWY - 1+11_MOR - Gurgaon - 3+9(R)_MOR - Revised Package_~0039877_By Country Detail 1Q10 041410pm FIN 18 revised per disc w Mary_BS_Separation_TaxResIndem_Q12412 tf_Restructuring &amp; Separation_Guidance_Sheet4" xfId="6485"/>
    <cellStyle name="_MOR - BDWY - 1+11_MOR - Gurgaon - 3+9(R)_MOR - Revised Package_~0039877_By Country Detail 1Q10 041410pm FIN 18 revised per disc w Mary_Guidance" xfId="6486"/>
    <cellStyle name="_MOR - BDWY - 1+11_MOR - Gurgaon - 3+9(R)_MOR - Revised Package_~0039877_By Country Detail 1Q10 041410pm FIN 18 revised per disc w Mary_Guidance 2" xfId="6487"/>
    <cellStyle name="_MOR - BDWY - 1+11_MOR - Gurgaon - 3+9(R)_MOR - Revised Package_~0039877_By Country Detail 1Q10 041410pm FIN 18 revised per disc w Mary_Guidance_BS retrieve" xfId="6488"/>
    <cellStyle name="_MOR - BDWY - 1+11_MOR - Gurgaon - 3+9(R)_MOR - Revised Package_~0039877_By Country Detail 1Q10 041410pm FIN 18 revised per disc w Mary_Guidance_Free CF" xfId="6489"/>
    <cellStyle name="_MOR - BDWY - 1+11_MOR - Gurgaon - 3+9(R)_MOR - Revised Package_~0039877_By Country Detail 1Q10 041410pm FIN 18 revised per disc w Mary_Guidance_P&amp;L Rec Qtr" xfId="6490"/>
    <cellStyle name="_MOR - BDWY - 1+11_MOR - Gurgaon - 3+9(R)_MOR - Revised Package_~0039877_By Country Detail 1Q10 041410pm FIN 18 revised per disc w Mary_Guidance_Sheet1" xfId="6491"/>
    <cellStyle name="_MOR - BDWY - 1+11_MOR - Gurgaon - 3+9(R)_MOR - Revised Package_~0039877_By Country Detail 1Q10 041410pm FIN 18 revised per disc w Mary_Guidance_Sheet2" xfId="6492"/>
    <cellStyle name="_MOR - BDWY - 1+11_MOR - Gurgaon - 3+9(R)_MOR - Revised Package_~0039877_By Country Detail 1Q10 041410pm FIN 18 revised per disc w Mary_Guidance_Sheet3" xfId="6493"/>
    <cellStyle name="_MOR - BDWY - 1+11_MOR - Gurgaon - 3+9(R)_MOR - Revised Package_~0039877_By Country Detail 1Q10 041410pm FIN 18 revised per disc w Mary_Guidance_Sheet4" xfId="6494"/>
    <cellStyle name="_MOR - BDWY - 1+11_MOR - Gurgaon - 3+9(R)_MOR - Revised Package_~0039877_By Country Detail 1Q10 041410pm FIN 18 revised per disc w Mary_II.8. Sep&amp;Discrete" xfId="6495"/>
    <cellStyle name="_MOR - BDWY - 1+11_MOR - Gurgaon - 3+9(R)_MOR - Revised Package_~0039877_By Country Detail 1Q10 041410pm FIN 18 revised per disc w Mary_II.8. Sep&amp;Discrete_Guidance" xfId="6496"/>
    <cellStyle name="_MOR - BDWY - 1+11_MOR - Gurgaon - 3+9(R)_MOR - Revised Package_~0039877_By Country Detail 1Q10 041410pm FIN 18 revised per disc w Mary_II.8. Sep&amp;Discrete_Guidance 2" xfId="6497"/>
    <cellStyle name="_MOR - BDWY - 1+11_MOR - Gurgaon - 3+9(R)_MOR - Revised Package_~0039877_By Country Detail 1Q10 041410pm FIN 18 revised per disc w Mary_II.8. Sep&amp;Discrete_Guidance_BS retrieve" xfId="6498"/>
    <cellStyle name="_MOR - BDWY - 1+11_MOR - Gurgaon - 3+9(R)_MOR - Revised Package_~0039877_By Country Detail 1Q10 041410pm FIN 18 revised per disc w Mary_II.8. Sep&amp;Discrete_Guidance_Free CF" xfId="6499"/>
    <cellStyle name="_MOR - BDWY - 1+11_MOR - Gurgaon - 3+9(R)_MOR - Revised Package_~0039877_By Country Detail 1Q10 041410pm FIN 18 revised per disc w Mary_II.8. Sep&amp;Discrete_Guidance_P&amp;L Rec Qtr" xfId="6500"/>
    <cellStyle name="_MOR - BDWY - 1+11_MOR - Gurgaon - 3+9(R)_MOR - Revised Package_~0039877_By Country Detail 1Q10 041410pm FIN 18 revised per disc w Mary_II.8. Sep&amp;Discrete_Guidance_Sheet1" xfId="6501"/>
    <cellStyle name="_MOR - BDWY - 1+11_MOR - Gurgaon - 3+9(R)_MOR - Revised Package_~0039877_By Country Detail 1Q10 041410pm FIN 18 revised per disc w Mary_II.8. Sep&amp;Discrete_Guidance_Sheet2" xfId="6502"/>
    <cellStyle name="_MOR - BDWY - 1+11_MOR - Gurgaon - 3+9(R)_MOR - Revised Package_~0039877_By Country Detail 1Q10 041410pm FIN 18 revised per disc w Mary_II.8. Sep&amp;Discrete_Guidance_Sheet3" xfId="6503"/>
    <cellStyle name="_MOR - BDWY - 1+11_MOR - Gurgaon - 3+9(R)_MOR - Revised Package_~0039877_By Country Detail 1Q10 041410pm FIN 18 revised per disc w Mary_II.8. Sep&amp;Discrete_Guidance_Sheet4" xfId="6504"/>
    <cellStyle name="_MOR - BDWY - 1+11_MOR - Gurgaon - 3+9(R)_MOR - Revised Package_~0039877_By Country Detail 1Q10 041410pm FIN 18 revised per disc w Mary_Restructuring &amp; Separation" xfId="6505"/>
    <cellStyle name="_MOR - BDWY - 1+11_MOR - Gurgaon - 3+9(R)_MOR - Revised Package_~0039877_By Country Detail 1Q10 041410pm FIN 18 revised per disc w Mary_Restructuring &amp; Separation_Guidance" xfId="6506"/>
    <cellStyle name="_MOR - BDWY - 1+11_MOR - Gurgaon - 3+9(R)_MOR - Revised Package_~0039877_By Country Detail 1Q10 041410pm FIN 18 revised per disc w Mary_Restructuring &amp; Separation_Guidance 2" xfId="6507"/>
    <cellStyle name="_MOR - BDWY - 1+11_MOR - Gurgaon - 3+9(R)_MOR - Revised Package_~0039877_By Country Detail 1Q10 041410pm FIN 18 revised per disc w Mary_Restructuring &amp; Separation_Guidance_BS retrieve" xfId="6508"/>
    <cellStyle name="_MOR - BDWY - 1+11_MOR - Gurgaon - 3+9(R)_MOR - Revised Package_~0039877_By Country Detail 1Q10 041410pm FIN 18 revised per disc w Mary_Restructuring &amp; Separation_Guidance_Free CF" xfId="6509"/>
    <cellStyle name="_MOR - BDWY - 1+11_MOR - Gurgaon - 3+9(R)_MOR - Revised Package_~0039877_By Country Detail 1Q10 041410pm FIN 18 revised per disc w Mary_Restructuring &amp; Separation_Guidance_P&amp;L Rec Qtr" xfId="6510"/>
    <cellStyle name="_MOR - BDWY - 1+11_MOR - Gurgaon - 3+9(R)_MOR - Revised Package_~0039877_By Country Detail 1Q10 041410pm FIN 18 revised per disc w Mary_Restructuring &amp; Separation_Guidance_Sheet1" xfId="6511"/>
    <cellStyle name="_MOR - BDWY - 1+11_MOR - Gurgaon - 3+9(R)_MOR - Revised Package_~0039877_By Country Detail 1Q10 041410pm FIN 18 revised per disc w Mary_Restructuring &amp; Separation_Guidance_Sheet2" xfId="6512"/>
    <cellStyle name="_MOR - BDWY - 1+11_MOR - Gurgaon - 3+9(R)_MOR - Revised Package_~0039877_By Country Detail 1Q10 041410pm FIN 18 revised per disc w Mary_Restructuring &amp; Separation_Guidance_Sheet3" xfId="6513"/>
    <cellStyle name="_MOR - BDWY - 1+11_MOR - Gurgaon - 3+9(R)_MOR - Revised Package_~0039877_By Country Detail 1Q10 041410pm FIN 18 revised per disc w Mary_Restructuring &amp; Separation_Guidance_Sheet4" xfId="6514"/>
    <cellStyle name="_MOR - BDWY - 1+11_MOR - Gurgaon - 3+9(R)_MOR - Revised Package_~0039877_Guidance" xfId="6515"/>
    <cellStyle name="_MOR - BDWY - 1+11_MOR - Gurgaon - 3+9(R)_MOR - Revised Package_~0039877_Guidance 2" xfId="6516"/>
    <cellStyle name="_MOR - BDWY - 1+11_MOR - Gurgaon - 3+9(R)_MOR - Revised Package_~0039877_Guidance_BS retrieve" xfId="6517"/>
    <cellStyle name="_MOR - BDWY - 1+11_MOR - Gurgaon - 3+9(R)_MOR - Revised Package_~0039877_Guidance_Free CF" xfId="6518"/>
    <cellStyle name="_MOR - BDWY - 1+11_MOR - Gurgaon - 3+9(R)_MOR - Revised Package_~0039877_Guidance_P&amp;L Rec Qtr" xfId="6519"/>
    <cellStyle name="_MOR - BDWY - 1+11_MOR - Gurgaon - 3+9(R)_MOR - Revised Package_~0039877_Guidance_Sheet1" xfId="6520"/>
    <cellStyle name="_MOR - BDWY - 1+11_MOR - Gurgaon - 3+9(R)_MOR - Revised Package_~0039877_Guidance_Sheet2" xfId="6521"/>
    <cellStyle name="_MOR - BDWY - 1+11_MOR - Gurgaon - 3+9(R)_MOR - Revised Package_~0039877_Guidance_Sheet3" xfId="6522"/>
    <cellStyle name="_MOR - BDWY - 1+11_MOR - Gurgaon - 3+9(R)_MOR - Revised Package_~0039877_Guidance_Sheet4" xfId="6523"/>
    <cellStyle name="_MOR - BDWY - 1+11_MOR - Gurgaon - 3+9(R)_MOR - Revised Package_~0039877_II.4. RawMaterials" xfId="6524"/>
    <cellStyle name="_MOR - BDWY - 1+11_MOR - Gurgaon - 3+9(R)_MOR - Revised Package_~0039877_II.4. RawMaterials 2" xfId="6525"/>
    <cellStyle name="_MOR - BDWY - 1+11_MOR - Gurgaon - 3+9(R)_MOR - Revised Package_~0039877_II.4. RawMaterials_BS retrieve" xfId="6526"/>
    <cellStyle name="_MOR - BDWY - 1+11_MOR - Gurgaon - 3+9(R)_MOR - Revised Package_~0039877_II.4. RawMaterials_Free CF" xfId="6527"/>
    <cellStyle name="_MOR - BDWY - 1+11_MOR - Gurgaon - 3+9(R)_MOR - Revised Package_~0039877_II.4. RawMaterials_P&amp;L Rec Qtr" xfId="6528"/>
    <cellStyle name="_MOR - BDWY - 1+11_MOR - Gurgaon - 3+9(R)_MOR - Revised Package_~0039877_II.4. RawMaterials_Sheet1" xfId="6529"/>
    <cellStyle name="_MOR - BDWY - 1+11_MOR - Gurgaon - 3+9(R)_MOR - Revised Package_~0039877_II.4. RawMaterials_Sheet2" xfId="6530"/>
    <cellStyle name="_MOR - BDWY - 1+11_MOR - Gurgaon - 3+9(R)_MOR - Revised Package_~0039877_II.4. RawMaterials_Sheet3" xfId="6531"/>
    <cellStyle name="_MOR - BDWY - 1+11_MOR - Gurgaon - 3+9(R)_MOR - Revised Package_~0039877_II.4. RawMaterials_Sheet4" xfId="6532"/>
    <cellStyle name="_MOR - BDWY - 1+11_MOR - Gurgaon - 3+9(R)_MOR - Revised Package_~0039877_II.5. RawMaterials" xfId="6533"/>
    <cellStyle name="_MOR - BDWY - 1+11_MOR - Gurgaon - 3+9(R)_MOR - Revised Package_~0039877_II.5. RawMaterials 2" xfId="6534"/>
    <cellStyle name="_MOR - BDWY - 1+11_MOR - Gurgaon - 3+9(R)_MOR - Revised Package_~0039877_II.5. RawMaterials_BS retrieve" xfId="6535"/>
    <cellStyle name="_MOR - BDWY - 1+11_MOR - Gurgaon - 3+9(R)_MOR - Revised Package_~0039877_II.5. RawMaterials_Free CF" xfId="6536"/>
    <cellStyle name="_MOR - BDWY - 1+11_MOR - Gurgaon - 3+9(R)_MOR - Revised Package_~0039877_II.5. RawMaterials_Guidance" xfId="6537"/>
    <cellStyle name="_MOR - BDWY - 1+11_MOR - Gurgaon - 3+9(R)_MOR - Revised Package_~0039877_II.5. RawMaterials_Guidance 2" xfId="6538"/>
    <cellStyle name="_MOR - BDWY - 1+11_MOR - Gurgaon - 3+9(R)_MOR - Revised Package_~0039877_II.5. RawMaterials_Guidance_BS retrieve" xfId="6539"/>
    <cellStyle name="_MOR - BDWY - 1+11_MOR - Gurgaon - 3+9(R)_MOR - Revised Package_~0039877_II.5. RawMaterials_Guidance_Free CF" xfId="6540"/>
    <cellStyle name="_MOR - BDWY - 1+11_MOR - Gurgaon - 3+9(R)_MOR - Revised Package_~0039877_II.5. RawMaterials_Guidance_P&amp;L Rec Qtr" xfId="6541"/>
    <cellStyle name="_MOR - BDWY - 1+11_MOR - Gurgaon - 3+9(R)_MOR - Revised Package_~0039877_II.5. RawMaterials_Guidance_Sheet1" xfId="6542"/>
    <cellStyle name="_MOR - BDWY - 1+11_MOR - Gurgaon - 3+9(R)_MOR - Revised Package_~0039877_II.5. RawMaterials_Guidance_Sheet2" xfId="6543"/>
    <cellStyle name="_MOR - BDWY - 1+11_MOR - Gurgaon - 3+9(R)_MOR - Revised Package_~0039877_II.5. RawMaterials_Guidance_Sheet3" xfId="6544"/>
    <cellStyle name="_MOR - BDWY - 1+11_MOR - Gurgaon - 3+9(R)_MOR - Revised Package_~0039877_II.5. RawMaterials_Guidance_Sheet4" xfId="6545"/>
    <cellStyle name="_MOR - BDWY - 1+11_MOR - Gurgaon - 3+9(R)_MOR - Revised Package_~0039877_II.5. RawMaterials_P&amp;L Rec Qtr" xfId="6546"/>
    <cellStyle name="_MOR - BDWY - 1+11_MOR - Gurgaon - 3+9(R)_MOR - Revised Package_~0039877_II.5. RawMaterials_Sheet1" xfId="6547"/>
    <cellStyle name="_MOR - BDWY - 1+11_MOR - Gurgaon - 3+9(R)_MOR - Revised Package_~0039877_II.5. RawMaterials_Sheet2" xfId="6548"/>
    <cellStyle name="_MOR - BDWY - 1+11_MOR - Gurgaon - 3+9(R)_MOR - Revised Package_~0039877_II.5. RawMaterials_Sheet3" xfId="6549"/>
    <cellStyle name="_MOR - BDWY - 1+11_MOR - Gurgaon - 3+9(R)_MOR - Revised Package_~0039877_II.5. RawMaterials_Sheet4" xfId="6550"/>
    <cellStyle name="_MOR - BDWY - 1+11_MOR - Gurgaon - 3+9(R)_MOR - Revised Package_~0039877_II.5. RM Volume Sensitivities" xfId="6551"/>
    <cellStyle name="_MOR - BDWY - 1+11_MOR - Gurgaon - 3+9(R)_MOR - Revised Package_~0039877_II.5. RM Volume Sensitivities 2" xfId="6552"/>
    <cellStyle name="_MOR - BDWY - 1+11_MOR - Gurgaon - 3+9(R)_MOR - Revised Package_~0039877_II.5. RM Volume Sensitivities_BS retrieve" xfId="6553"/>
    <cellStyle name="_MOR - BDWY - 1+11_MOR - Gurgaon - 3+9(R)_MOR - Revised Package_~0039877_II.5. RM Volume Sensitivities_Free CF" xfId="6554"/>
    <cellStyle name="_MOR - BDWY - 1+11_MOR - Gurgaon - 3+9(R)_MOR - Revised Package_~0039877_II.5. RM Volume Sensitivities_P&amp;L Rec Qtr" xfId="6555"/>
    <cellStyle name="_MOR - BDWY - 1+11_MOR - Gurgaon - 3+9(R)_MOR - Revised Package_~0039877_II.5. RM Volume Sensitivities_Sheet1" xfId="6556"/>
    <cellStyle name="_MOR - BDWY - 1+11_MOR - Gurgaon - 3+9(R)_MOR - Revised Package_~0039877_II.5. RM Volume Sensitivities_Sheet2" xfId="6557"/>
    <cellStyle name="_MOR - BDWY - 1+11_MOR - Gurgaon - 3+9(R)_MOR - Revised Package_~0039877_II.5. RM Volume Sensitivities_Sheet3" xfId="6558"/>
    <cellStyle name="_MOR - BDWY - 1+11_MOR - Gurgaon - 3+9(R)_MOR - Revised Package_~0039877_II.5. RM Volume Sensitivities_Sheet4" xfId="6559"/>
    <cellStyle name="_MOR - BDWY - 1+11_MOR - Gurgaon - 3+9(R)_MOR - Revised Package_~0039877_II.8. Sep&amp;Discrete" xfId="6560"/>
    <cellStyle name="_MOR - BDWY - 1+11_MOR - Gurgaon - 3+9(R)_MOR - Revised Package_~0039877_II.8. Sep&amp;Discrete_Guidance" xfId="6561"/>
    <cellStyle name="_MOR - BDWY - 1+11_MOR - Gurgaon - 3+9(R)_MOR - Revised Package_~0039877_II.8. Sep&amp;Discrete_Guidance 2" xfId="6562"/>
    <cellStyle name="_MOR - BDWY - 1+11_MOR - Gurgaon - 3+9(R)_MOR - Revised Package_~0039877_II.8. Sep&amp;Discrete_Guidance_BS retrieve" xfId="6563"/>
    <cellStyle name="_MOR - BDWY - 1+11_MOR - Gurgaon - 3+9(R)_MOR - Revised Package_~0039877_II.8. Sep&amp;Discrete_Guidance_Free CF" xfId="6564"/>
    <cellStyle name="_MOR - BDWY - 1+11_MOR - Gurgaon - 3+9(R)_MOR - Revised Package_~0039877_II.8. Sep&amp;Discrete_Guidance_P&amp;L Rec Qtr" xfId="6565"/>
    <cellStyle name="_MOR - BDWY - 1+11_MOR - Gurgaon - 3+9(R)_MOR - Revised Package_~0039877_II.8. Sep&amp;Discrete_Guidance_Sheet1" xfId="6566"/>
    <cellStyle name="_MOR - BDWY - 1+11_MOR - Gurgaon - 3+9(R)_MOR - Revised Package_~0039877_II.8. Sep&amp;Discrete_Guidance_Sheet2" xfId="6567"/>
    <cellStyle name="_MOR - BDWY - 1+11_MOR - Gurgaon - 3+9(R)_MOR - Revised Package_~0039877_II.8. Sep&amp;Discrete_Guidance_Sheet3" xfId="6568"/>
    <cellStyle name="_MOR - BDWY - 1+11_MOR - Gurgaon - 3+9(R)_MOR - Revised Package_~0039877_II.8. Sep&amp;Discrete_Guidance_Sheet4" xfId="6569"/>
    <cellStyle name="_MOR - BDWY - 1+11_MOR - Gurgaon - 3+9(R)_MOR - Revised Package_~0039877_Restructuring &amp; Separation" xfId="6570"/>
    <cellStyle name="_MOR - BDWY - 1+11_MOR - Gurgaon - 3+9(R)_MOR - Revised Package_~0039877_Restructuring &amp; Separation_Guidance" xfId="6571"/>
    <cellStyle name="_MOR - BDWY - 1+11_MOR - Gurgaon - 3+9(R)_MOR - Revised Package_~0039877_Restructuring &amp; Separation_Guidance 2" xfId="6572"/>
    <cellStyle name="_MOR - BDWY - 1+11_MOR - Gurgaon - 3+9(R)_MOR - Revised Package_~0039877_Restructuring &amp; Separation_Guidance_BS retrieve" xfId="6573"/>
    <cellStyle name="_MOR - BDWY - 1+11_MOR - Gurgaon - 3+9(R)_MOR - Revised Package_~0039877_Restructuring &amp; Separation_Guidance_Free CF" xfId="6574"/>
    <cellStyle name="_MOR - BDWY - 1+11_MOR - Gurgaon - 3+9(R)_MOR - Revised Package_~0039877_Restructuring &amp; Separation_Guidance_P&amp;L Rec Qtr" xfId="6575"/>
    <cellStyle name="_MOR - BDWY - 1+11_MOR - Gurgaon - 3+9(R)_MOR - Revised Package_~0039877_Restructuring &amp; Separation_Guidance_Sheet1" xfId="6576"/>
    <cellStyle name="_MOR - BDWY - 1+11_MOR - Gurgaon - 3+9(R)_MOR - Revised Package_~0039877_Restructuring &amp; Separation_Guidance_Sheet2" xfId="6577"/>
    <cellStyle name="_MOR - BDWY - 1+11_MOR - Gurgaon - 3+9(R)_MOR - Revised Package_~0039877_Restructuring &amp; Separation_Guidance_Sheet3" xfId="6578"/>
    <cellStyle name="_MOR - BDWY - 1+11_MOR - Gurgaon - 3+9(R)_MOR - Revised Package_~0039877_Restructuring &amp; Separation_Guidance_Sheet4" xfId="6579"/>
    <cellStyle name="_MOR - BDWY - 1+11_MOR - Gurgaon - 3+9(R)_MOR - Revised Package_~0039877_Restructuring_Separation_TAX_JuneFC2010 tf" xfId="6580"/>
    <cellStyle name="_MOR - BDWY - 1+11_MOR - Gurgaon - 3+9(R)_MOR - Revised Package_~0039877_Restructuring_Separation_TAX_JuneFC2010 tf_BS_Separation_TaxResIndem_Q12412 tf" xfId="6581"/>
    <cellStyle name="_MOR - BDWY - 1+11_MOR - Gurgaon - 3+9(R)_MOR - Revised Package_~0039877_Restructuring_Separation_TAX_JuneFC2010 tf_BS_Separation_TaxResIndem_Q12412 tf_Guidance" xfId="6582"/>
    <cellStyle name="_MOR - BDWY - 1+11_MOR - Gurgaon - 3+9(R)_MOR - Revised Package_~0039877_Restructuring_Separation_TAX_JuneFC2010 tf_BS_Separation_TaxResIndem_Q12412 tf_Guidance 2" xfId="6583"/>
    <cellStyle name="_MOR - BDWY - 1+11_MOR - Gurgaon - 3+9(R)_MOR - Revised Package_~0039877_Restructuring_Separation_TAX_JuneFC2010 tf_BS_Separation_TaxResIndem_Q12412 tf_Guidance_BS retrieve" xfId="6584"/>
    <cellStyle name="_MOR - BDWY - 1+11_MOR - Gurgaon - 3+9(R)_MOR - Revised Package_~0039877_Restructuring_Separation_TAX_JuneFC2010 tf_BS_Separation_TaxResIndem_Q12412 tf_Guidance_Free CF" xfId="6585"/>
    <cellStyle name="_MOR - BDWY - 1+11_MOR - Gurgaon - 3+9(R)_MOR - Revised Package_~0039877_Restructuring_Separation_TAX_JuneFC2010 tf_BS_Separation_TaxResIndem_Q12412 tf_Guidance_P&amp;L Rec Qtr" xfId="6586"/>
    <cellStyle name="_MOR - BDWY - 1+11_MOR - Gurgaon - 3+9(R)_MOR - Revised Package_~0039877_Restructuring_Separation_TAX_JuneFC2010 tf_BS_Separation_TaxResIndem_Q12412 tf_Guidance_Sheet1" xfId="6587"/>
    <cellStyle name="_MOR - BDWY - 1+11_MOR - Gurgaon - 3+9(R)_MOR - Revised Package_~0039877_Restructuring_Separation_TAX_JuneFC2010 tf_BS_Separation_TaxResIndem_Q12412 tf_Guidance_Sheet2" xfId="6588"/>
    <cellStyle name="_MOR - BDWY - 1+11_MOR - Gurgaon - 3+9(R)_MOR - Revised Package_~0039877_Restructuring_Separation_TAX_JuneFC2010 tf_BS_Separation_TaxResIndem_Q12412 tf_Guidance_Sheet3" xfId="6589"/>
    <cellStyle name="_MOR - BDWY - 1+11_MOR - Gurgaon - 3+9(R)_MOR - Revised Package_~0039877_Restructuring_Separation_TAX_JuneFC2010 tf_BS_Separation_TaxResIndem_Q12412 tf_Guidance_Sheet4" xfId="6590"/>
    <cellStyle name="_MOR - BDWY - 1+11_MOR - Gurgaon - 3+9(R)_MOR - Revised Package_~0039877_Restructuring_Separation_TAX_JuneFC2010 tf_BS_Separation_TaxResIndem_Q12412 tf_Restructuring &amp; Separation" xfId="6591"/>
    <cellStyle name="_MOR - BDWY - 1+11_MOR - Gurgaon - 3+9(R)_MOR - Revised Package_~0039877_Restructuring_Separation_TAX_JuneFC2010 tf_BS_Separation_TaxResIndem_Q12412 tf_Restructuring &amp; Separation_Guidance" xfId="6592"/>
    <cellStyle name="_MOR - BDWY - 1+11_MOR - Gurgaon - 3+9(R)_MOR - Revised Package_~0039877_Restructuring_Separation_TAX_JuneFC2010 tf_BS_Separation_TaxResIndem_Q12412 tf_Restructuring &amp; Separation_Guidance 2" xfId="6593"/>
    <cellStyle name="_MOR - BDWY - 1+11_MOR - Gurgaon - 3+9(R)_MOR - Revised Package_~0039877_Restructuring_Separation_TAX_JuneFC2010 tf_BS_Separation_TaxResIndem_Q12412 tf_Restructuring &amp; Separation_Guidance_BS retrieve" xfId="6594"/>
    <cellStyle name="_MOR - BDWY - 1+11_MOR - Gurgaon - 3+9(R)_MOR - Revised Package_~0039877_Restructuring_Separation_TAX_JuneFC2010 tf_BS_Separation_TaxResIndem_Q12412 tf_Restructuring &amp; Separation_Guidance_Free CF" xfId="6595"/>
    <cellStyle name="_MOR - BDWY - 1+11_MOR - Gurgaon - 3+9(R)_MOR - Revised Package_~0039877_Restructuring_Separation_TAX_JuneFC2010 tf_BS_Separation_TaxResIndem_Q12412 tf_Restructuring &amp; Separation_Guidance_P&amp;L Rec Qtr" xfId="6596"/>
    <cellStyle name="_MOR - BDWY - 1+11_MOR - Gurgaon - 3+9(R)_MOR - Revised Package_~0039877_Restructuring_Separation_TAX_JuneFC2010 tf_BS_Separation_TaxResIndem_Q12412 tf_Restructuring &amp; Separation_Guidance_Sheet1" xfId="6597"/>
    <cellStyle name="_MOR - BDWY - 1+11_MOR - Gurgaon - 3+9(R)_MOR - Revised Package_~0039877_Restructuring_Separation_TAX_JuneFC2010 tf_BS_Separation_TaxResIndem_Q12412 tf_Restructuring &amp; Separation_Guidance_Sheet2" xfId="6598"/>
    <cellStyle name="_MOR - BDWY - 1+11_MOR - Gurgaon - 3+9(R)_MOR - Revised Package_~0039877_Restructuring_Separation_TAX_JuneFC2010 tf_BS_Separation_TaxResIndem_Q12412 tf_Restructuring &amp; Separation_Guidance_Sheet3" xfId="6599"/>
    <cellStyle name="_MOR - BDWY - 1+11_MOR - Gurgaon - 3+9(R)_MOR - Revised Package_~0039877_Restructuring_Separation_TAX_JuneFC2010 tf_BS_Separation_TaxResIndem_Q12412 tf_Restructuring &amp; Separation_Guidance_Sheet4" xfId="6600"/>
    <cellStyle name="_MOR - BDWY - 1+11_MOR - Gurgaon - 3+9(R)_MOR - Revised Package_~0039877_Restructuring_Separation_TAX_JuneFC2010 tf_Guidance" xfId="6601"/>
    <cellStyle name="_MOR - BDWY - 1+11_MOR - Gurgaon - 3+9(R)_MOR - Revised Package_~0039877_Restructuring_Separation_TAX_JuneFC2010 tf_Guidance 2" xfId="6602"/>
    <cellStyle name="_MOR - BDWY - 1+11_MOR - Gurgaon - 3+9(R)_MOR - Revised Package_~0039877_Restructuring_Separation_TAX_JuneFC2010 tf_Guidance_BS retrieve" xfId="6603"/>
    <cellStyle name="_MOR - BDWY - 1+11_MOR - Gurgaon - 3+9(R)_MOR - Revised Package_~0039877_Restructuring_Separation_TAX_JuneFC2010 tf_Guidance_Free CF" xfId="6604"/>
    <cellStyle name="_MOR - BDWY - 1+11_MOR - Gurgaon - 3+9(R)_MOR - Revised Package_~0039877_Restructuring_Separation_TAX_JuneFC2010 tf_Guidance_P&amp;L Rec Qtr" xfId="6605"/>
    <cellStyle name="_MOR - BDWY - 1+11_MOR - Gurgaon - 3+9(R)_MOR - Revised Package_~0039877_Restructuring_Separation_TAX_JuneFC2010 tf_Guidance_Sheet1" xfId="6606"/>
    <cellStyle name="_MOR - BDWY - 1+11_MOR - Gurgaon - 3+9(R)_MOR - Revised Package_~0039877_Restructuring_Separation_TAX_JuneFC2010 tf_Guidance_Sheet2" xfId="6607"/>
    <cellStyle name="_MOR - BDWY - 1+11_MOR - Gurgaon - 3+9(R)_MOR - Revised Package_~0039877_Restructuring_Separation_TAX_JuneFC2010 tf_Guidance_Sheet3" xfId="6608"/>
    <cellStyle name="_MOR - BDWY - 1+11_MOR - Gurgaon - 3+9(R)_MOR - Revised Package_~0039877_Restructuring_Separation_TAX_JuneFC2010 tf_Guidance_Sheet4" xfId="6609"/>
    <cellStyle name="_MOR - BDWY - 1+11_MOR - Gurgaon - 3+9(R)_MOR - Revised Package_~0039877_Restructuring_Separation_TAX_JuneFC2010 tf_II.8. Sep&amp;Discrete" xfId="6610"/>
    <cellStyle name="_MOR - BDWY - 1+11_MOR - Gurgaon - 3+9(R)_MOR - Revised Package_~0039877_Restructuring_Separation_TAX_JuneFC2010 tf_II.8. Sep&amp;Discrete_Guidance" xfId="6611"/>
    <cellStyle name="_MOR - BDWY - 1+11_MOR - Gurgaon - 3+9(R)_MOR - Revised Package_~0039877_Restructuring_Separation_TAX_JuneFC2010 tf_II.8. Sep&amp;Discrete_Guidance 2" xfId="6612"/>
    <cellStyle name="_MOR - BDWY - 1+11_MOR - Gurgaon - 3+9(R)_MOR - Revised Package_~0039877_Restructuring_Separation_TAX_JuneFC2010 tf_II.8. Sep&amp;Discrete_Guidance_BS retrieve" xfId="6613"/>
    <cellStyle name="_MOR - BDWY - 1+11_MOR - Gurgaon - 3+9(R)_MOR - Revised Package_~0039877_Restructuring_Separation_TAX_JuneFC2010 tf_II.8. Sep&amp;Discrete_Guidance_Free CF" xfId="6614"/>
    <cellStyle name="_MOR - BDWY - 1+11_MOR - Gurgaon - 3+9(R)_MOR - Revised Package_~0039877_Restructuring_Separation_TAX_JuneFC2010 tf_II.8. Sep&amp;Discrete_Guidance_P&amp;L Rec Qtr" xfId="6615"/>
    <cellStyle name="_MOR - BDWY - 1+11_MOR - Gurgaon - 3+9(R)_MOR - Revised Package_~0039877_Restructuring_Separation_TAX_JuneFC2010 tf_II.8. Sep&amp;Discrete_Guidance_Sheet1" xfId="6616"/>
    <cellStyle name="_MOR - BDWY - 1+11_MOR - Gurgaon - 3+9(R)_MOR - Revised Package_~0039877_Restructuring_Separation_TAX_JuneFC2010 tf_II.8. Sep&amp;Discrete_Guidance_Sheet2" xfId="6617"/>
    <cellStyle name="_MOR - BDWY - 1+11_MOR - Gurgaon - 3+9(R)_MOR - Revised Package_~0039877_Restructuring_Separation_TAX_JuneFC2010 tf_II.8. Sep&amp;Discrete_Guidance_Sheet3" xfId="6618"/>
    <cellStyle name="_MOR - BDWY - 1+11_MOR - Gurgaon - 3+9(R)_MOR - Revised Package_~0039877_Restructuring_Separation_TAX_JuneFC2010 tf_II.8. Sep&amp;Discrete_Guidance_Sheet4" xfId="6619"/>
    <cellStyle name="_MOR - BDWY - 1+11_MOR - Gurgaon - 3+9(R)_MOR - Revised Package_~0039877_Restructuring_Separation_TAX_JuneFC2010 tf_Restructuring &amp; Separation" xfId="6620"/>
    <cellStyle name="_MOR - BDWY - 1+11_MOR - Gurgaon - 3+9(R)_MOR - Revised Package_~0039877_Restructuring_Separation_TAX_JuneFC2010 tf_Restructuring &amp; Separation_Guidance" xfId="6621"/>
    <cellStyle name="_MOR - BDWY - 1+11_MOR - Gurgaon - 3+9(R)_MOR - Revised Package_~0039877_Restructuring_Separation_TAX_JuneFC2010 tf_Restructuring &amp; Separation_Guidance 2" xfId="6622"/>
    <cellStyle name="_MOR - BDWY - 1+11_MOR - Gurgaon - 3+9(R)_MOR - Revised Package_~0039877_Restructuring_Separation_TAX_JuneFC2010 tf_Restructuring &amp; Separation_Guidance_BS retrieve" xfId="6623"/>
    <cellStyle name="_MOR - BDWY - 1+11_MOR - Gurgaon - 3+9(R)_MOR - Revised Package_~0039877_Restructuring_Separation_TAX_JuneFC2010 tf_Restructuring &amp; Separation_Guidance_Free CF" xfId="6624"/>
    <cellStyle name="_MOR - BDWY - 1+11_MOR - Gurgaon - 3+9(R)_MOR - Revised Package_~0039877_Restructuring_Separation_TAX_JuneFC2010 tf_Restructuring &amp; Separation_Guidance_P&amp;L Rec Qtr" xfId="6625"/>
    <cellStyle name="_MOR - BDWY - 1+11_MOR - Gurgaon - 3+9(R)_MOR - Revised Package_~0039877_Restructuring_Separation_TAX_JuneFC2010 tf_Restructuring &amp; Separation_Guidance_Sheet1" xfId="6626"/>
    <cellStyle name="_MOR - BDWY - 1+11_MOR - Gurgaon - 3+9(R)_MOR - Revised Package_~0039877_Restructuring_Separation_TAX_JuneFC2010 tf_Restructuring &amp; Separation_Guidance_Sheet2" xfId="6627"/>
    <cellStyle name="_MOR - BDWY - 1+11_MOR - Gurgaon - 3+9(R)_MOR - Revised Package_~0039877_Restructuring_Separation_TAX_JuneFC2010 tf_Restructuring &amp; Separation_Guidance_Sheet3" xfId="6628"/>
    <cellStyle name="_MOR - BDWY - 1+11_MOR - Gurgaon - 3+9(R)_MOR - Revised Package_~0039877_Restructuring_Separation_TAX_JuneFC2010 tf_Restructuring &amp; Separation_Guidance_Sheet4" xfId="6629"/>
    <cellStyle name="_MOR - BDWY - 1+11_MOR - Gurgaon - 3+9(R)_MOR - Revised Package_BS_Separation_TaxResIndem_Q12412 tf" xfId="6630"/>
    <cellStyle name="_MOR - BDWY - 1+11_MOR - Gurgaon - 3+9(R)_MOR - Revised Package_BS_Separation_TaxResIndem_Q12412 tf_Guidance" xfId="6631"/>
    <cellStyle name="_MOR - BDWY - 1+11_MOR - Gurgaon - 3+9(R)_MOR - Revised Package_BS_Separation_TaxResIndem_Q12412 tf_Guidance 2" xfId="6632"/>
    <cellStyle name="_MOR - BDWY - 1+11_MOR - Gurgaon - 3+9(R)_MOR - Revised Package_BS_Separation_TaxResIndem_Q12412 tf_Guidance_BS retrieve" xfId="6633"/>
    <cellStyle name="_MOR - BDWY - 1+11_MOR - Gurgaon - 3+9(R)_MOR - Revised Package_BS_Separation_TaxResIndem_Q12412 tf_Guidance_Free CF" xfId="6634"/>
    <cellStyle name="_MOR - BDWY - 1+11_MOR - Gurgaon - 3+9(R)_MOR - Revised Package_BS_Separation_TaxResIndem_Q12412 tf_Guidance_P&amp;L Rec Qtr" xfId="6635"/>
    <cellStyle name="_MOR - BDWY - 1+11_MOR - Gurgaon - 3+9(R)_MOR - Revised Package_BS_Separation_TaxResIndem_Q12412 tf_Guidance_Sheet1" xfId="6636"/>
    <cellStyle name="_MOR - BDWY - 1+11_MOR - Gurgaon - 3+9(R)_MOR - Revised Package_BS_Separation_TaxResIndem_Q12412 tf_Guidance_Sheet2" xfId="6637"/>
    <cellStyle name="_MOR - BDWY - 1+11_MOR - Gurgaon - 3+9(R)_MOR - Revised Package_BS_Separation_TaxResIndem_Q12412 tf_Guidance_Sheet3" xfId="6638"/>
    <cellStyle name="_MOR - BDWY - 1+11_MOR - Gurgaon - 3+9(R)_MOR - Revised Package_BS_Separation_TaxResIndem_Q12412 tf_Guidance_Sheet4" xfId="6639"/>
    <cellStyle name="_MOR - BDWY - 1+11_MOR - Gurgaon - 3+9(R)_MOR - Revised Package_BS_Separation_TaxResIndem_Q12412 tf_Restructuring &amp; Separation" xfId="6640"/>
    <cellStyle name="_MOR - BDWY - 1+11_MOR - Gurgaon - 3+9(R)_MOR - Revised Package_BS_Separation_TaxResIndem_Q12412 tf_Restructuring &amp; Separation_Guidance" xfId="6641"/>
    <cellStyle name="_MOR - BDWY - 1+11_MOR - Gurgaon - 3+9(R)_MOR - Revised Package_BS_Separation_TaxResIndem_Q12412 tf_Restructuring &amp; Separation_Guidance 2" xfId="6642"/>
    <cellStyle name="_MOR - BDWY - 1+11_MOR - Gurgaon - 3+9(R)_MOR - Revised Package_BS_Separation_TaxResIndem_Q12412 tf_Restructuring &amp; Separation_Guidance_BS retrieve" xfId="6643"/>
    <cellStyle name="_MOR - BDWY - 1+11_MOR - Gurgaon - 3+9(R)_MOR - Revised Package_BS_Separation_TaxResIndem_Q12412 tf_Restructuring &amp; Separation_Guidance_Free CF" xfId="6644"/>
    <cellStyle name="_MOR - BDWY - 1+11_MOR - Gurgaon - 3+9(R)_MOR - Revised Package_BS_Separation_TaxResIndem_Q12412 tf_Restructuring &amp; Separation_Guidance_P&amp;L Rec Qtr" xfId="6645"/>
    <cellStyle name="_MOR - BDWY - 1+11_MOR - Gurgaon - 3+9(R)_MOR - Revised Package_BS_Separation_TaxResIndem_Q12412 tf_Restructuring &amp; Separation_Guidance_Sheet1" xfId="6646"/>
    <cellStyle name="_MOR - BDWY - 1+11_MOR - Gurgaon - 3+9(R)_MOR - Revised Package_BS_Separation_TaxResIndem_Q12412 tf_Restructuring &amp; Separation_Guidance_Sheet2" xfId="6647"/>
    <cellStyle name="_MOR - BDWY - 1+11_MOR - Gurgaon - 3+9(R)_MOR - Revised Package_BS_Separation_TaxResIndem_Q12412 tf_Restructuring &amp; Separation_Guidance_Sheet3" xfId="6648"/>
    <cellStyle name="_MOR - BDWY - 1+11_MOR - Gurgaon - 3+9(R)_MOR - Revised Package_BS_Separation_TaxResIndem_Q12412 tf_Restructuring &amp; Separation_Guidance_Sheet4" xfId="6649"/>
    <cellStyle name="_MOR - BDWY - 1+11_MOR - Gurgaon - 3+9(R)_MOR - Revised Package_By Country Detail 1Q10 041410pm FIN 18 revised per disc w Mary" xfId="6650"/>
    <cellStyle name="_MOR - BDWY - 1+11_MOR - Gurgaon - 3+9(R)_MOR - Revised Package_By Country Detail 1Q10 041410pm FIN 18 revised per disc w Mary_BS_Separation_TaxResIndem_Q12412 tf" xfId="6651"/>
    <cellStyle name="_MOR - BDWY - 1+11_MOR - Gurgaon - 3+9(R)_MOR - Revised Package_By Country Detail 1Q10 041410pm FIN 18 revised per disc w Mary_BS_Separation_TaxResIndem_Q12412 tf_Guidance" xfId="6652"/>
    <cellStyle name="_MOR - BDWY - 1+11_MOR - Gurgaon - 3+9(R)_MOR - Revised Package_By Country Detail 1Q10 041410pm FIN 18 revised per disc w Mary_BS_Separation_TaxResIndem_Q12412 tf_Guidance 2" xfId="6653"/>
    <cellStyle name="_MOR - BDWY - 1+11_MOR - Gurgaon - 3+9(R)_MOR - Revised Package_By Country Detail 1Q10 041410pm FIN 18 revised per disc w Mary_BS_Separation_TaxResIndem_Q12412 tf_Guidance_BS retrieve" xfId="6654"/>
    <cellStyle name="_MOR - BDWY - 1+11_MOR - Gurgaon - 3+9(R)_MOR - Revised Package_By Country Detail 1Q10 041410pm FIN 18 revised per disc w Mary_BS_Separation_TaxResIndem_Q12412 tf_Guidance_Free CF" xfId="6655"/>
    <cellStyle name="_MOR - BDWY - 1+11_MOR - Gurgaon - 3+9(R)_MOR - Revised Package_By Country Detail 1Q10 041410pm FIN 18 revised per disc w Mary_BS_Separation_TaxResIndem_Q12412 tf_Guidance_P&amp;L Rec Qtr" xfId="6656"/>
    <cellStyle name="_MOR - BDWY - 1+11_MOR - Gurgaon - 3+9(R)_MOR - Revised Package_By Country Detail 1Q10 041410pm FIN 18 revised per disc w Mary_BS_Separation_TaxResIndem_Q12412 tf_Guidance_Sheet1" xfId="6657"/>
    <cellStyle name="_MOR - BDWY - 1+11_MOR - Gurgaon - 3+9(R)_MOR - Revised Package_By Country Detail 1Q10 041410pm FIN 18 revised per disc w Mary_BS_Separation_TaxResIndem_Q12412 tf_Guidance_Sheet2" xfId="6658"/>
    <cellStyle name="_MOR - BDWY - 1+11_MOR - Gurgaon - 3+9(R)_MOR - Revised Package_By Country Detail 1Q10 041410pm FIN 18 revised per disc w Mary_BS_Separation_TaxResIndem_Q12412 tf_Guidance_Sheet3" xfId="6659"/>
    <cellStyle name="_MOR - BDWY - 1+11_MOR - Gurgaon - 3+9(R)_MOR - Revised Package_By Country Detail 1Q10 041410pm FIN 18 revised per disc w Mary_BS_Separation_TaxResIndem_Q12412 tf_Guidance_Sheet4" xfId="6660"/>
    <cellStyle name="_MOR - BDWY - 1+11_MOR - Gurgaon - 3+9(R)_MOR - Revised Package_By Country Detail 1Q10 041410pm FIN 18 revised per disc w Mary_BS_Separation_TaxResIndem_Q12412 tf_Restructuring &amp; Separation" xfId="6661"/>
    <cellStyle name="_MOR - BDWY - 1+11_MOR - Gurgaon - 3+9(R)_MOR - Revised Package_By Country Detail 1Q10 041410pm FIN 18 revised per disc w Mary_BS_Separation_TaxResIndem_Q12412 tf_Restructuring &amp; Separation_Guidance" xfId="6662"/>
    <cellStyle name="_MOR - BDWY - 1+11_MOR - Gurgaon - 3+9(R)_MOR - Revised Package_By Country Detail 1Q10 041410pm FIN 18 revised per disc w Mary_BS_Separation_TaxResIndem_Q12412 tf_Restructuring &amp; Separation_Guidance 2" xfId="6663"/>
    <cellStyle name="_MOR - BDWY - 1+11_MOR - Gurgaon - 3+9(R)_MOR - Revised Package_By Country Detail 1Q10 041410pm FIN 18 revised per disc w Mary_BS_Separation_TaxResIndem_Q12412 tf_Restructuring &amp; Separation_Guidance_BS retrieve" xfId="6664"/>
    <cellStyle name="_MOR - BDWY - 1+11_MOR - Gurgaon - 3+9(R)_MOR - Revised Package_By Country Detail 1Q10 041410pm FIN 18 revised per disc w Mary_BS_Separation_TaxResIndem_Q12412 tf_Restructuring &amp; Separation_Guidance_Free CF" xfId="6665"/>
    <cellStyle name="_MOR - BDWY - 1+11_MOR - Gurgaon - 3+9(R)_MOR - Revised Package_By Country Detail 1Q10 041410pm FIN 18 revised per disc w Mary_BS_Separation_TaxResIndem_Q12412 tf_Restructuring &amp; Separation_Guidance_P&amp;L Rec Qtr" xfId="6666"/>
    <cellStyle name="_MOR - BDWY - 1+11_MOR - Gurgaon - 3+9(R)_MOR - Revised Package_By Country Detail 1Q10 041410pm FIN 18 revised per disc w Mary_BS_Separation_TaxResIndem_Q12412 tf_Restructuring &amp; Separation_Guidance_Sheet1" xfId="6667"/>
    <cellStyle name="_MOR - BDWY - 1+11_MOR - Gurgaon - 3+9(R)_MOR - Revised Package_By Country Detail 1Q10 041410pm FIN 18 revised per disc w Mary_BS_Separation_TaxResIndem_Q12412 tf_Restructuring &amp; Separation_Guidance_Sheet2" xfId="6668"/>
    <cellStyle name="_MOR - BDWY - 1+11_MOR - Gurgaon - 3+9(R)_MOR - Revised Package_By Country Detail 1Q10 041410pm FIN 18 revised per disc w Mary_BS_Separation_TaxResIndem_Q12412 tf_Restructuring &amp; Separation_Guidance_Sheet3" xfId="6669"/>
    <cellStyle name="_MOR - BDWY - 1+11_MOR - Gurgaon - 3+9(R)_MOR - Revised Package_By Country Detail 1Q10 041410pm FIN 18 revised per disc w Mary_BS_Separation_TaxResIndem_Q12412 tf_Restructuring &amp; Separation_Guidance_Sheet4" xfId="6670"/>
    <cellStyle name="_MOR - BDWY - 1+11_MOR - Gurgaon - 3+9(R)_MOR - Revised Package_By Country Detail 1Q10 041410pm FIN 18 revised per disc w Mary_Guidance" xfId="6671"/>
    <cellStyle name="_MOR - BDWY - 1+11_MOR - Gurgaon - 3+9(R)_MOR - Revised Package_By Country Detail 1Q10 041410pm FIN 18 revised per disc w Mary_Guidance 2" xfId="6672"/>
    <cellStyle name="_MOR - BDWY - 1+11_MOR - Gurgaon - 3+9(R)_MOR - Revised Package_By Country Detail 1Q10 041410pm FIN 18 revised per disc w Mary_Guidance_BS retrieve" xfId="6673"/>
    <cellStyle name="_MOR - BDWY - 1+11_MOR - Gurgaon - 3+9(R)_MOR - Revised Package_By Country Detail 1Q10 041410pm FIN 18 revised per disc w Mary_Guidance_Free CF" xfId="6674"/>
    <cellStyle name="_MOR - BDWY - 1+11_MOR - Gurgaon - 3+9(R)_MOR - Revised Package_By Country Detail 1Q10 041410pm FIN 18 revised per disc w Mary_Guidance_P&amp;L Rec Qtr" xfId="6675"/>
    <cellStyle name="_MOR - BDWY - 1+11_MOR - Gurgaon - 3+9(R)_MOR - Revised Package_By Country Detail 1Q10 041410pm FIN 18 revised per disc w Mary_Guidance_Sheet1" xfId="6676"/>
    <cellStyle name="_MOR - BDWY - 1+11_MOR - Gurgaon - 3+9(R)_MOR - Revised Package_By Country Detail 1Q10 041410pm FIN 18 revised per disc w Mary_Guidance_Sheet2" xfId="6677"/>
    <cellStyle name="_MOR - BDWY - 1+11_MOR - Gurgaon - 3+9(R)_MOR - Revised Package_By Country Detail 1Q10 041410pm FIN 18 revised per disc w Mary_Guidance_Sheet3" xfId="6678"/>
    <cellStyle name="_MOR - BDWY - 1+11_MOR - Gurgaon - 3+9(R)_MOR - Revised Package_By Country Detail 1Q10 041410pm FIN 18 revised per disc w Mary_Guidance_Sheet4" xfId="6679"/>
    <cellStyle name="_MOR - BDWY - 1+11_MOR - Gurgaon - 3+9(R)_MOR - Revised Package_By Country Detail 1Q10 041410pm FIN 18 revised per disc w Mary_II.8. Sep&amp;Discrete" xfId="6680"/>
    <cellStyle name="_MOR - BDWY - 1+11_MOR - Gurgaon - 3+9(R)_MOR - Revised Package_By Country Detail 1Q10 041410pm FIN 18 revised per disc w Mary_II.8. Sep&amp;Discrete_Guidance" xfId="6681"/>
    <cellStyle name="_MOR - BDWY - 1+11_MOR - Gurgaon - 3+9(R)_MOR - Revised Package_By Country Detail 1Q10 041410pm FIN 18 revised per disc w Mary_II.8. Sep&amp;Discrete_Guidance 2" xfId="6682"/>
    <cellStyle name="_MOR - BDWY - 1+11_MOR - Gurgaon - 3+9(R)_MOR - Revised Package_By Country Detail 1Q10 041410pm FIN 18 revised per disc w Mary_II.8. Sep&amp;Discrete_Guidance_BS retrieve" xfId="6683"/>
    <cellStyle name="_MOR - BDWY - 1+11_MOR - Gurgaon - 3+9(R)_MOR - Revised Package_By Country Detail 1Q10 041410pm FIN 18 revised per disc w Mary_II.8. Sep&amp;Discrete_Guidance_Free CF" xfId="6684"/>
    <cellStyle name="_MOR - BDWY - 1+11_MOR - Gurgaon - 3+9(R)_MOR - Revised Package_By Country Detail 1Q10 041410pm FIN 18 revised per disc w Mary_II.8. Sep&amp;Discrete_Guidance_P&amp;L Rec Qtr" xfId="6685"/>
    <cellStyle name="_MOR - BDWY - 1+11_MOR - Gurgaon - 3+9(R)_MOR - Revised Package_By Country Detail 1Q10 041410pm FIN 18 revised per disc w Mary_II.8. Sep&amp;Discrete_Guidance_Sheet1" xfId="6686"/>
    <cellStyle name="_MOR - BDWY - 1+11_MOR - Gurgaon - 3+9(R)_MOR - Revised Package_By Country Detail 1Q10 041410pm FIN 18 revised per disc w Mary_II.8. Sep&amp;Discrete_Guidance_Sheet2" xfId="6687"/>
    <cellStyle name="_MOR - BDWY - 1+11_MOR - Gurgaon - 3+9(R)_MOR - Revised Package_By Country Detail 1Q10 041410pm FIN 18 revised per disc w Mary_II.8. Sep&amp;Discrete_Guidance_Sheet3" xfId="6688"/>
    <cellStyle name="_MOR - BDWY - 1+11_MOR - Gurgaon - 3+9(R)_MOR - Revised Package_By Country Detail 1Q10 041410pm FIN 18 revised per disc w Mary_II.8. Sep&amp;Discrete_Guidance_Sheet4" xfId="6689"/>
    <cellStyle name="_MOR - BDWY - 1+11_MOR - Gurgaon - 3+9(R)_MOR - Revised Package_By Country Detail 1Q10 041410pm FIN 18 revised per disc w Mary_Restructuring &amp; Separation" xfId="6690"/>
    <cellStyle name="_MOR - BDWY - 1+11_MOR - Gurgaon - 3+9(R)_MOR - Revised Package_By Country Detail 1Q10 041410pm FIN 18 revised per disc w Mary_Restructuring &amp; Separation_Guidance" xfId="6691"/>
    <cellStyle name="_MOR - BDWY - 1+11_MOR - Gurgaon - 3+9(R)_MOR - Revised Package_By Country Detail 1Q10 041410pm FIN 18 revised per disc w Mary_Restructuring &amp; Separation_Guidance 2" xfId="6692"/>
    <cellStyle name="_MOR - BDWY - 1+11_MOR - Gurgaon - 3+9(R)_MOR - Revised Package_By Country Detail 1Q10 041410pm FIN 18 revised per disc w Mary_Restructuring &amp; Separation_Guidance_BS retrieve" xfId="6693"/>
    <cellStyle name="_MOR - BDWY - 1+11_MOR - Gurgaon - 3+9(R)_MOR - Revised Package_By Country Detail 1Q10 041410pm FIN 18 revised per disc w Mary_Restructuring &amp; Separation_Guidance_Free CF" xfId="6694"/>
    <cellStyle name="_MOR - BDWY - 1+11_MOR - Gurgaon - 3+9(R)_MOR - Revised Package_By Country Detail 1Q10 041410pm FIN 18 revised per disc w Mary_Restructuring &amp; Separation_Guidance_P&amp;L Rec Qtr" xfId="6695"/>
    <cellStyle name="_MOR - BDWY - 1+11_MOR - Gurgaon - 3+9(R)_MOR - Revised Package_By Country Detail 1Q10 041410pm FIN 18 revised per disc w Mary_Restructuring &amp; Separation_Guidance_Sheet1" xfId="6696"/>
    <cellStyle name="_MOR - BDWY - 1+11_MOR - Gurgaon - 3+9(R)_MOR - Revised Package_By Country Detail 1Q10 041410pm FIN 18 revised per disc w Mary_Restructuring &amp; Separation_Guidance_Sheet2" xfId="6697"/>
    <cellStyle name="_MOR - BDWY - 1+11_MOR - Gurgaon - 3+9(R)_MOR - Revised Package_By Country Detail 1Q10 041410pm FIN 18 revised per disc w Mary_Restructuring &amp; Separation_Guidance_Sheet3" xfId="6698"/>
    <cellStyle name="_MOR - BDWY - 1+11_MOR - Gurgaon - 3+9(R)_MOR - Revised Package_By Country Detail 1Q10 041410pm FIN 18 revised per disc w Mary_Restructuring &amp; Separation_Guidance_Sheet4" xfId="6699"/>
    <cellStyle name="_MOR - BDWY - 1+11_MOR - Gurgaon - 3+9(R)_MOR - Revised Package_Guidance" xfId="6700"/>
    <cellStyle name="_MOR - BDWY - 1+11_MOR - Gurgaon - 3+9(R)_MOR - Revised Package_Guidance 2" xfId="6701"/>
    <cellStyle name="_MOR - BDWY - 1+11_MOR - Gurgaon - 3+9(R)_MOR - Revised Package_Guidance_BS retrieve" xfId="6702"/>
    <cellStyle name="_MOR - BDWY - 1+11_MOR - Gurgaon - 3+9(R)_MOR - Revised Package_Guidance_Free CF" xfId="6703"/>
    <cellStyle name="_MOR - BDWY - 1+11_MOR - Gurgaon - 3+9(R)_MOR - Revised Package_Guidance_P&amp;L Rec Qtr" xfId="6704"/>
    <cellStyle name="_MOR - BDWY - 1+11_MOR - Gurgaon - 3+9(R)_MOR - Revised Package_Guidance_Sheet1" xfId="6705"/>
    <cellStyle name="_MOR - BDWY - 1+11_MOR - Gurgaon - 3+9(R)_MOR - Revised Package_Guidance_Sheet2" xfId="6706"/>
    <cellStyle name="_MOR - BDWY - 1+11_MOR - Gurgaon - 3+9(R)_MOR - Revised Package_Guidance_Sheet3" xfId="6707"/>
    <cellStyle name="_MOR - BDWY - 1+11_MOR - Gurgaon - 3+9(R)_MOR - Revised Package_Guidance_Sheet4" xfId="6708"/>
    <cellStyle name="_MOR - BDWY - 1+11_MOR - Gurgaon - 3+9(R)_MOR - Revised Package_II.4. RawMaterials" xfId="6709"/>
    <cellStyle name="_MOR - BDWY - 1+11_MOR - Gurgaon - 3+9(R)_MOR - Revised Package_II.4. RawMaterials 2" xfId="6710"/>
    <cellStyle name="_MOR - BDWY - 1+11_MOR - Gurgaon - 3+9(R)_MOR - Revised Package_II.4. RawMaterials_BS retrieve" xfId="6711"/>
    <cellStyle name="_MOR - BDWY - 1+11_MOR - Gurgaon - 3+9(R)_MOR - Revised Package_II.4. RawMaterials_Free CF" xfId="6712"/>
    <cellStyle name="_MOR - BDWY - 1+11_MOR - Gurgaon - 3+9(R)_MOR - Revised Package_II.4. RawMaterials_P&amp;L Rec Qtr" xfId="6713"/>
    <cellStyle name="_MOR - BDWY - 1+11_MOR - Gurgaon - 3+9(R)_MOR - Revised Package_II.4. RawMaterials_Sheet1" xfId="6714"/>
    <cellStyle name="_MOR - BDWY - 1+11_MOR - Gurgaon - 3+9(R)_MOR - Revised Package_II.4. RawMaterials_Sheet2" xfId="6715"/>
    <cellStyle name="_MOR - BDWY - 1+11_MOR - Gurgaon - 3+9(R)_MOR - Revised Package_II.4. RawMaterials_Sheet3" xfId="6716"/>
    <cellStyle name="_MOR - BDWY - 1+11_MOR - Gurgaon - 3+9(R)_MOR - Revised Package_II.4. RawMaterials_Sheet4" xfId="6717"/>
    <cellStyle name="_MOR - BDWY - 1+11_MOR - Gurgaon - 3+9(R)_MOR - Revised Package_II.5. RawMaterials" xfId="6718"/>
    <cellStyle name="_MOR - BDWY - 1+11_MOR - Gurgaon - 3+9(R)_MOR - Revised Package_II.5. RawMaterials 2" xfId="6719"/>
    <cellStyle name="_MOR - BDWY - 1+11_MOR - Gurgaon - 3+9(R)_MOR - Revised Package_II.5. RawMaterials_BS retrieve" xfId="6720"/>
    <cellStyle name="_MOR - BDWY - 1+11_MOR - Gurgaon - 3+9(R)_MOR - Revised Package_II.5. RawMaterials_Free CF" xfId="6721"/>
    <cellStyle name="_MOR - BDWY - 1+11_MOR - Gurgaon - 3+9(R)_MOR - Revised Package_II.5. RawMaterials_Guidance" xfId="6722"/>
    <cellStyle name="_MOR - BDWY - 1+11_MOR - Gurgaon - 3+9(R)_MOR - Revised Package_II.5. RawMaterials_Guidance 2" xfId="6723"/>
    <cellStyle name="_MOR - BDWY - 1+11_MOR - Gurgaon - 3+9(R)_MOR - Revised Package_II.5. RawMaterials_Guidance_BS retrieve" xfId="6724"/>
    <cellStyle name="_MOR - BDWY - 1+11_MOR - Gurgaon - 3+9(R)_MOR - Revised Package_II.5. RawMaterials_Guidance_Free CF" xfId="6725"/>
    <cellStyle name="_MOR - BDWY - 1+11_MOR - Gurgaon - 3+9(R)_MOR - Revised Package_II.5. RawMaterials_Guidance_P&amp;L Rec Qtr" xfId="6726"/>
    <cellStyle name="_MOR - BDWY - 1+11_MOR - Gurgaon - 3+9(R)_MOR - Revised Package_II.5. RawMaterials_Guidance_Sheet1" xfId="6727"/>
    <cellStyle name="_MOR - BDWY - 1+11_MOR - Gurgaon - 3+9(R)_MOR - Revised Package_II.5. RawMaterials_Guidance_Sheet2" xfId="6728"/>
    <cellStyle name="_MOR - BDWY - 1+11_MOR - Gurgaon - 3+9(R)_MOR - Revised Package_II.5. RawMaterials_Guidance_Sheet3" xfId="6729"/>
    <cellStyle name="_MOR - BDWY - 1+11_MOR - Gurgaon - 3+9(R)_MOR - Revised Package_II.5. RawMaterials_Guidance_Sheet4" xfId="6730"/>
    <cellStyle name="_MOR - BDWY - 1+11_MOR - Gurgaon - 3+9(R)_MOR - Revised Package_II.5. RawMaterials_P&amp;L Rec Qtr" xfId="6731"/>
    <cellStyle name="_MOR - BDWY - 1+11_MOR - Gurgaon - 3+9(R)_MOR - Revised Package_II.5. RawMaterials_Sheet1" xfId="6732"/>
    <cellStyle name="_MOR - BDWY - 1+11_MOR - Gurgaon - 3+9(R)_MOR - Revised Package_II.5. RawMaterials_Sheet2" xfId="6733"/>
    <cellStyle name="_MOR - BDWY - 1+11_MOR - Gurgaon - 3+9(R)_MOR - Revised Package_II.5. RawMaterials_Sheet3" xfId="6734"/>
    <cellStyle name="_MOR - BDWY - 1+11_MOR - Gurgaon - 3+9(R)_MOR - Revised Package_II.5. RawMaterials_Sheet4" xfId="6735"/>
    <cellStyle name="_MOR - BDWY - 1+11_MOR - Gurgaon - 3+9(R)_MOR - Revised Package_II.5. RM Volume Sensitivities" xfId="6736"/>
    <cellStyle name="_MOR - BDWY - 1+11_MOR - Gurgaon - 3+9(R)_MOR - Revised Package_II.5. RM Volume Sensitivities 2" xfId="6737"/>
    <cellStyle name="_MOR - BDWY - 1+11_MOR - Gurgaon - 3+9(R)_MOR - Revised Package_II.5. RM Volume Sensitivities_BS retrieve" xfId="6738"/>
    <cellStyle name="_MOR - BDWY - 1+11_MOR - Gurgaon - 3+9(R)_MOR - Revised Package_II.5. RM Volume Sensitivities_Free CF" xfId="6739"/>
    <cellStyle name="_MOR - BDWY - 1+11_MOR - Gurgaon - 3+9(R)_MOR - Revised Package_II.5. RM Volume Sensitivities_P&amp;L Rec Qtr" xfId="6740"/>
    <cellStyle name="_MOR - BDWY - 1+11_MOR - Gurgaon - 3+9(R)_MOR - Revised Package_II.5. RM Volume Sensitivities_Sheet1" xfId="6741"/>
    <cellStyle name="_MOR - BDWY - 1+11_MOR - Gurgaon - 3+9(R)_MOR - Revised Package_II.5. RM Volume Sensitivities_Sheet2" xfId="6742"/>
    <cellStyle name="_MOR - BDWY - 1+11_MOR - Gurgaon - 3+9(R)_MOR - Revised Package_II.5. RM Volume Sensitivities_Sheet3" xfId="6743"/>
    <cellStyle name="_MOR - BDWY - 1+11_MOR - Gurgaon - 3+9(R)_MOR - Revised Package_II.5. RM Volume Sensitivities_Sheet4" xfId="6744"/>
    <cellStyle name="_MOR - BDWY - 1+11_MOR - Gurgaon - 3+9(R)_MOR - Revised Package_II.8. Sep&amp;Discrete" xfId="6745"/>
    <cellStyle name="_MOR - BDWY - 1+11_MOR - Gurgaon - 3+9(R)_MOR - Revised Package_II.8. Sep&amp;Discrete_Guidance" xfId="6746"/>
    <cellStyle name="_MOR - BDWY - 1+11_MOR - Gurgaon - 3+9(R)_MOR - Revised Package_II.8. Sep&amp;Discrete_Guidance 2" xfId="6747"/>
    <cellStyle name="_MOR - BDWY - 1+11_MOR - Gurgaon - 3+9(R)_MOR - Revised Package_II.8. Sep&amp;Discrete_Guidance_BS retrieve" xfId="6748"/>
    <cellStyle name="_MOR - BDWY - 1+11_MOR - Gurgaon - 3+9(R)_MOR - Revised Package_II.8. Sep&amp;Discrete_Guidance_Free CF" xfId="6749"/>
    <cellStyle name="_MOR - BDWY - 1+11_MOR - Gurgaon - 3+9(R)_MOR - Revised Package_II.8. Sep&amp;Discrete_Guidance_P&amp;L Rec Qtr" xfId="6750"/>
    <cellStyle name="_MOR - BDWY - 1+11_MOR - Gurgaon - 3+9(R)_MOR - Revised Package_II.8. Sep&amp;Discrete_Guidance_Sheet1" xfId="6751"/>
    <cellStyle name="_MOR - BDWY - 1+11_MOR - Gurgaon - 3+9(R)_MOR - Revised Package_II.8. Sep&amp;Discrete_Guidance_Sheet2" xfId="6752"/>
    <cellStyle name="_MOR - BDWY - 1+11_MOR - Gurgaon - 3+9(R)_MOR - Revised Package_II.8. Sep&amp;Discrete_Guidance_Sheet3" xfId="6753"/>
    <cellStyle name="_MOR - BDWY - 1+11_MOR - Gurgaon - 3+9(R)_MOR - Revised Package_II.8. Sep&amp;Discrete_Guidance_Sheet4" xfId="6754"/>
    <cellStyle name="_MOR - BDWY - 1+11_MOR - Gurgaon - 3+9(R)_MOR - Revised Package_Restructuring &amp; Separation" xfId="6755"/>
    <cellStyle name="_MOR - BDWY - 1+11_MOR - Gurgaon - 3+9(R)_MOR - Revised Package_Restructuring &amp; Separation_Guidance" xfId="6756"/>
    <cellStyle name="_MOR - BDWY - 1+11_MOR - Gurgaon - 3+9(R)_MOR - Revised Package_Restructuring &amp; Separation_Guidance 2" xfId="6757"/>
    <cellStyle name="_MOR - BDWY - 1+11_MOR - Gurgaon - 3+9(R)_MOR - Revised Package_Restructuring &amp; Separation_Guidance_BS retrieve" xfId="6758"/>
    <cellStyle name="_MOR - BDWY - 1+11_MOR - Gurgaon - 3+9(R)_MOR - Revised Package_Restructuring &amp; Separation_Guidance_Free CF" xfId="6759"/>
    <cellStyle name="_MOR - BDWY - 1+11_MOR - Gurgaon - 3+9(R)_MOR - Revised Package_Restructuring &amp; Separation_Guidance_P&amp;L Rec Qtr" xfId="6760"/>
    <cellStyle name="_MOR - BDWY - 1+11_MOR - Gurgaon - 3+9(R)_MOR - Revised Package_Restructuring &amp; Separation_Guidance_Sheet1" xfId="6761"/>
    <cellStyle name="_MOR - BDWY - 1+11_MOR - Gurgaon - 3+9(R)_MOR - Revised Package_Restructuring &amp; Separation_Guidance_Sheet2" xfId="6762"/>
    <cellStyle name="_MOR - BDWY - 1+11_MOR - Gurgaon - 3+9(R)_MOR - Revised Package_Restructuring &amp; Separation_Guidance_Sheet3" xfId="6763"/>
    <cellStyle name="_MOR - BDWY - 1+11_MOR - Gurgaon - 3+9(R)_MOR - Revised Package_Restructuring &amp; Separation_Guidance_Sheet4" xfId="6764"/>
    <cellStyle name="_MOR - BDWY - 1+11_MOR - Gurgaon - 3+9(R)_MOR - Revised Package_Restructuring_Separation_TAX_JuneFC2010 tf" xfId="6765"/>
    <cellStyle name="_MOR - BDWY - 1+11_MOR - Gurgaon - 3+9(R)_MOR - Revised Package_Restructuring_Separation_TAX_JuneFC2010 tf_BS_Separation_TaxResIndem_Q12412 tf" xfId="6766"/>
    <cellStyle name="_MOR - BDWY - 1+11_MOR - Gurgaon - 3+9(R)_MOR - Revised Package_Restructuring_Separation_TAX_JuneFC2010 tf_BS_Separation_TaxResIndem_Q12412 tf_Guidance" xfId="6767"/>
    <cellStyle name="_MOR - BDWY - 1+11_MOR - Gurgaon - 3+9(R)_MOR - Revised Package_Restructuring_Separation_TAX_JuneFC2010 tf_BS_Separation_TaxResIndem_Q12412 tf_Guidance 2" xfId="6768"/>
    <cellStyle name="_MOR - BDWY - 1+11_MOR - Gurgaon - 3+9(R)_MOR - Revised Package_Restructuring_Separation_TAX_JuneFC2010 tf_BS_Separation_TaxResIndem_Q12412 tf_Guidance_BS retrieve" xfId="6769"/>
    <cellStyle name="_MOR - BDWY - 1+11_MOR - Gurgaon - 3+9(R)_MOR - Revised Package_Restructuring_Separation_TAX_JuneFC2010 tf_BS_Separation_TaxResIndem_Q12412 tf_Guidance_Free CF" xfId="6770"/>
    <cellStyle name="_MOR - BDWY - 1+11_MOR - Gurgaon - 3+9(R)_MOR - Revised Package_Restructuring_Separation_TAX_JuneFC2010 tf_BS_Separation_TaxResIndem_Q12412 tf_Guidance_P&amp;L Rec Qtr" xfId="6771"/>
    <cellStyle name="_MOR - BDWY - 1+11_MOR - Gurgaon - 3+9(R)_MOR - Revised Package_Restructuring_Separation_TAX_JuneFC2010 tf_BS_Separation_TaxResIndem_Q12412 tf_Guidance_Sheet1" xfId="6772"/>
    <cellStyle name="_MOR - BDWY - 1+11_MOR - Gurgaon - 3+9(R)_MOR - Revised Package_Restructuring_Separation_TAX_JuneFC2010 tf_BS_Separation_TaxResIndem_Q12412 tf_Guidance_Sheet2" xfId="6773"/>
    <cellStyle name="_MOR - BDWY - 1+11_MOR - Gurgaon - 3+9(R)_MOR - Revised Package_Restructuring_Separation_TAX_JuneFC2010 tf_BS_Separation_TaxResIndem_Q12412 tf_Guidance_Sheet3" xfId="6774"/>
    <cellStyle name="_MOR - BDWY - 1+11_MOR - Gurgaon - 3+9(R)_MOR - Revised Package_Restructuring_Separation_TAX_JuneFC2010 tf_BS_Separation_TaxResIndem_Q12412 tf_Guidance_Sheet4" xfId="6775"/>
    <cellStyle name="_MOR - BDWY - 1+11_MOR - Gurgaon - 3+9(R)_MOR - Revised Package_Restructuring_Separation_TAX_JuneFC2010 tf_BS_Separation_TaxResIndem_Q12412 tf_Restructuring &amp; Separation" xfId="6776"/>
    <cellStyle name="_MOR - BDWY - 1+11_MOR - Gurgaon - 3+9(R)_MOR - Revised Package_Restructuring_Separation_TAX_JuneFC2010 tf_BS_Separation_TaxResIndem_Q12412 tf_Restructuring &amp; Separation_Guidance" xfId="6777"/>
    <cellStyle name="_MOR - BDWY - 1+11_MOR - Gurgaon - 3+9(R)_MOR - Revised Package_Restructuring_Separation_TAX_JuneFC2010 tf_BS_Separation_TaxResIndem_Q12412 tf_Restructuring &amp; Separation_Guidance 2" xfId="6778"/>
    <cellStyle name="_MOR - BDWY - 1+11_MOR - Gurgaon - 3+9(R)_MOR - Revised Package_Restructuring_Separation_TAX_JuneFC2010 tf_BS_Separation_TaxResIndem_Q12412 tf_Restructuring &amp; Separation_Guidance_BS retrieve" xfId="6779"/>
    <cellStyle name="_MOR - BDWY - 1+11_MOR - Gurgaon - 3+9(R)_MOR - Revised Package_Restructuring_Separation_TAX_JuneFC2010 tf_BS_Separation_TaxResIndem_Q12412 tf_Restructuring &amp; Separation_Guidance_Free CF" xfId="6780"/>
    <cellStyle name="_MOR - BDWY - 1+11_MOR - Gurgaon - 3+9(R)_MOR - Revised Package_Restructuring_Separation_TAX_JuneFC2010 tf_BS_Separation_TaxResIndem_Q12412 tf_Restructuring &amp; Separation_Guidance_P&amp;L Rec Qtr" xfId="6781"/>
    <cellStyle name="_MOR - BDWY - 1+11_MOR - Gurgaon - 3+9(R)_MOR - Revised Package_Restructuring_Separation_TAX_JuneFC2010 tf_BS_Separation_TaxResIndem_Q12412 tf_Restructuring &amp; Separation_Guidance_Sheet1" xfId="6782"/>
    <cellStyle name="_MOR - BDWY - 1+11_MOR - Gurgaon - 3+9(R)_MOR - Revised Package_Restructuring_Separation_TAX_JuneFC2010 tf_BS_Separation_TaxResIndem_Q12412 tf_Restructuring &amp; Separation_Guidance_Sheet2" xfId="6783"/>
    <cellStyle name="_MOR - BDWY - 1+11_MOR - Gurgaon - 3+9(R)_MOR - Revised Package_Restructuring_Separation_TAX_JuneFC2010 tf_BS_Separation_TaxResIndem_Q12412 tf_Restructuring &amp; Separation_Guidance_Sheet3" xfId="6784"/>
    <cellStyle name="_MOR - BDWY - 1+11_MOR - Gurgaon - 3+9(R)_MOR - Revised Package_Restructuring_Separation_TAX_JuneFC2010 tf_BS_Separation_TaxResIndem_Q12412 tf_Restructuring &amp; Separation_Guidance_Sheet4" xfId="6785"/>
    <cellStyle name="_MOR - BDWY - 1+11_MOR - Gurgaon - 3+9(R)_MOR - Revised Package_Restructuring_Separation_TAX_JuneFC2010 tf_Guidance" xfId="6786"/>
    <cellStyle name="_MOR - BDWY - 1+11_MOR - Gurgaon - 3+9(R)_MOR - Revised Package_Restructuring_Separation_TAX_JuneFC2010 tf_Guidance 2" xfId="6787"/>
    <cellStyle name="_MOR - BDWY - 1+11_MOR - Gurgaon - 3+9(R)_MOR - Revised Package_Restructuring_Separation_TAX_JuneFC2010 tf_Guidance_BS retrieve" xfId="6788"/>
    <cellStyle name="_MOR - BDWY - 1+11_MOR - Gurgaon - 3+9(R)_MOR - Revised Package_Restructuring_Separation_TAX_JuneFC2010 tf_Guidance_Free CF" xfId="6789"/>
    <cellStyle name="_MOR - BDWY - 1+11_MOR - Gurgaon - 3+9(R)_MOR - Revised Package_Restructuring_Separation_TAX_JuneFC2010 tf_Guidance_P&amp;L Rec Qtr" xfId="6790"/>
    <cellStyle name="_MOR - BDWY - 1+11_MOR - Gurgaon - 3+9(R)_MOR - Revised Package_Restructuring_Separation_TAX_JuneFC2010 tf_Guidance_Sheet1" xfId="6791"/>
    <cellStyle name="_MOR - BDWY - 1+11_MOR - Gurgaon - 3+9(R)_MOR - Revised Package_Restructuring_Separation_TAX_JuneFC2010 tf_Guidance_Sheet2" xfId="6792"/>
    <cellStyle name="_MOR - BDWY - 1+11_MOR - Gurgaon - 3+9(R)_MOR - Revised Package_Restructuring_Separation_TAX_JuneFC2010 tf_Guidance_Sheet3" xfId="6793"/>
    <cellStyle name="_MOR - BDWY - 1+11_MOR - Gurgaon - 3+9(R)_MOR - Revised Package_Restructuring_Separation_TAX_JuneFC2010 tf_Guidance_Sheet4" xfId="6794"/>
    <cellStyle name="_MOR - BDWY - 1+11_MOR - Gurgaon - 3+9(R)_MOR - Revised Package_Restructuring_Separation_TAX_JuneFC2010 tf_II.8. Sep&amp;Discrete" xfId="6795"/>
    <cellStyle name="_MOR - BDWY - 1+11_MOR - Gurgaon - 3+9(R)_MOR - Revised Package_Restructuring_Separation_TAX_JuneFC2010 tf_II.8. Sep&amp;Discrete_Guidance" xfId="6796"/>
    <cellStyle name="_MOR - BDWY - 1+11_MOR - Gurgaon - 3+9(R)_MOR - Revised Package_Restructuring_Separation_TAX_JuneFC2010 tf_II.8. Sep&amp;Discrete_Guidance 2" xfId="6797"/>
    <cellStyle name="_MOR - BDWY - 1+11_MOR - Gurgaon - 3+9(R)_MOR - Revised Package_Restructuring_Separation_TAX_JuneFC2010 tf_II.8. Sep&amp;Discrete_Guidance_BS retrieve" xfId="6798"/>
    <cellStyle name="_MOR - BDWY - 1+11_MOR - Gurgaon - 3+9(R)_MOR - Revised Package_Restructuring_Separation_TAX_JuneFC2010 tf_II.8. Sep&amp;Discrete_Guidance_Free CF" xfId="6799"/>
    <cellStyle name="_MOR - BDWY - 1+11_MOR - Gurgaon - 3+9(R)_MOR - Revised Package_Restructuring_Separation_TAX_JuneFC2010 tf_II.8. Sep&amp;Discrete_Guidance_P&amp;L Rec Qtr" xfId="6800"/>
    <cellStyle name="_MOR - BDWY - 1+11_MOR - Gurgaon - 3+9(R)_MOR - Revised Package_Restructuring_Separation_TAX_JuneFC2010 tf_II.8. Sep&amp;Discrete_Guidance_Sheet1" xfId="6801"/>
    <cellStyle name="_MOR - BDWY - 1+11_MOR - Gurgaon - 3+9(R)_MOR - Revised Package_Restructuring_Separation_TAX_JuneFC2010 tf_II.8. Sep&amp;Discrete_Guidance_Sheet2" xfId="6802"/>
    <cellStyle name="_MOR - BDWY - 1+11_MOR - Gurgaon - 3+9(R)_MOR - Revised Package_Restructuring_Separation_TAX_JuneFC2010 tf_II.8. Sep&amp;Discrete_Guidance_Sheet3" xfId="6803"/>
    <cellStyle name="_MOR - BDWY - 1+11_MOR - Gurgaon - 3+9(R)_MOR - Revised Package_Restructuring_Separation_TAX_JuneFC2010 tf_II.8. Sep&amp;Discrete_Guidance_Sheet4" xfId="6804"/>
    <cellStyle name="_MOR - BDWY - 1+11_MOR - Gurgaon - 3+9(R)_MOR - Revised Package_Restructuring_Separation_TAX_JuneFC2010 tf_Restructuring &amp; Separation" xfId="6805"/>
    <cellStyle name="_MOR - BDWY - 1+11_MOR - Gurgaon - 3+9(R)_MOR - Revised Package_Restructuring_Separation_TAX_JuneFC2010 tf_Restructuring &amp; Separation_Guidance" xfId="6806"/>
    <cellStyle name="_MOR - BDWY - 1+11_MOR - Gurgaon - 3+9(R)_MOR - Revised Package_Restructuring_Separation_TAX_JuneFC2010 tf_Restructuring &amp; Separation_Guidance 2" xfId="6807"/>
    <cellStyle name="_MOR - BDWY - 1+11_MOR - Gurgaon - 3+9(R)_MOR - Revised Package_Restructuring_Separation_TAX_JuneFC2010 tf_Restructuring &amp; Separation_Guidance_BS retrieve" xfId="6808"/>
    <cellStyle name="_MOR - BDWY - 1+11_MOR - Gurgaon - 3+9(R)_MOR - Revised Package_Restructuring_Separation_TAX_JuneFC2010 tf_Restructuring &amp; Separation_Guidance_Free CF" xfId="6809"/>
    <cellStyle name="_MOR - BDWY - 1+11_MOR - Gurgaon - 3+9(R)_MOR - Revised Package_Restructuring_Separation_TAX_JuneFC2010 tf_Restructuring &amp; Separation_Guidance_P&amp;L Rec Qtr" xfId="6810"/>
    <cellStyle name="_MOR - BDWY - 1+11_MOR - Gurgaon - 3+9(R)_MOR - Revised Package_Restructuring_Separation_TAX_JuneFC2010 tf_Restructuring &amp; Separation_Guidance_Sheet1" xfId="6811"/>
    <cellStyle name="_MOR - BDWY - 1+11_MOR - Gurgaon - 3+9(R)_MOR - Revised Package_Restructuring_Separation_TAX_JuneFC2010 tf_Restructuring &amp; Separation_Guidance_Sheet2" xfId="6812"/>
    <cellStyle name="_MOR - BDWY - 1+11_MOR - Gurgaon - 3+9(R)_MOR - Revised Package_Restructuring_Separation_TAX_JuneFC2010 tf_Restructuring &amp; Separation_Guidance_Sheet3" xfId="6813"/>
    <cellStyle name="_MOR - BDWY - 1+11_MOR - Gurgaon - 3+9(R)_MOR - Revised Package_Restructuring_Separation_TAX_JuneFC2010 tf_Restructuring &amp; Separation_Guidance_Sheet4" xfId="6814"/>
    <cellStyle name="_MOR - BDWY - 1+11_MOR - Gurgaon - 3+9(R)_MOR - Revised Package_Revised MOR Package - Latest" xfId="6815"/>
    <cellStyle name="_MOR - BDWY - 1+11_MOR - Gurgaon - 3+9(R)_MOR - Revised Package_Revised MOR Package - Latest_BS_Separation_TaxResIndem_Q12412 tf" xfId="6816"/>
    <cellStyle name="_MOR - BDWY - 1+11_MOR - Gurgaon - 3+9(R)_MOR - Revised Package_Revised MOR Package - Latest_BS_Separation_TaxResIndem_Q12412 tf_Guidance" xfId="6817"/>
    <cellStyle name="_MOR - BDWY - 1+11_MOR - Gurgaon - 3+9(R)_MOR - Revised Package_Revised MOR Package - Latest_BS_Separation_TaxResIndem_Q12412 tf_Guidance 2" xfId="6818"/>
    <cellStyle name="_MOR - BDWY - 1+11_MOR - Gurgaon - 3+9(R)_MOR - Revised Package_Revised MOR Package - Latest_BS_Separation_TaxResIndem_Q12412 tf_Guidance_BS retrieve" xfId="6819"/>
    <cellStyle name="_MOR - BDWY - 1+11_MOR - Gurgaon - 3+9(R)_MOR - Revised Package_Revised MOR Package - Latest_BS_Separation_TaxResIndem_Q12412 tf_Guidance_Free CF" xfId="6820"/>
    <cellStyle name="_MOR - BDWY - 1+11_MOR - Gurgaon - 3+9(R)_MOR - Revised Package_Revised MOR Package - Latest_BS_Separation_TaxResIndem_Q12412 tf_Guidance_P&amp;L Rec Qtr" xfId="6821"/>
    <cellStyle name="_MOR - BDWY - 1+11_MOR - Gurgaon - 3+9(R)_MOR - Revised Package_Revised MOR Package - Latest_BS_Separation_TaxResIndem_Q12412 tf_Guidance_Sheet1" xfId="6822"/>
    <cellStyle name="_MOR - BDWY - 1+11_MOR - Gurgaon - 3+9(R)_MOR - Revised Package_Revised MOR Package - Latest_BS_Separation_TaxResIndem_Q12412 tf_Guidance_Sheet2" xfId="6823"/>
    <cellStyle name="_MOR - BDWY - 1+11_MOR - Gurgaon - 3+9(R)_MOR - Revised Package_Revised MOR Package - Latest_BS_Separation_TaxResIndem_Q12412 tf_Guidance_Sheet3" xfId="6824"/>
    <cellStyle name="_MOR - BDWY - 1+11_MOR - Gurgaon - 3+9(R)_MOR - Revised Package_Revised MOR Package - Latest_BS_Separation_TaxResIndem_Q12412 tf_Guidance_Sheet4" xfId="6825"/>
    <cellStyle name="_MOR - BDWY - 1+11_MOR - Gurgaon - 3+9(R)_MOR - Revised Package_Revised MOR Package - Latest_BS_Separation_TaxResIndem_Q12412 tf_Restructuring &amp; Separation" xfId="6826"/>
    <cellStyle name="_MOR - BDWY - 1+11_MOR - Gurgaon - 3+9(R)_MOR - Revised Package_Revised MOR Package - Latest_BS_Separation_TaxResIndem_Q12412 tf_Restructuring &amp; Separation_Guidance" xfId="6827"/>
    <cellStyle name="_MOR - BDWY - 1+11_MOR - Gurgaon - 3+9(R)_MOR - Revised Package_Revised MOR Package - Latest_BS_Separation_TaxResIndem_Q12412 tf_Restructuring &amp; Separation_Guidance 2" xfId="6828"/>
    <cellStyle name="_MOR - BDWY - 1+11_MOR - Gurgaon - 3+9(R)_MOR - Revised Package_Revised MOR Package - Latest_BS_Separation_TaxResIndem_Q12412 tf_Restructuring &amp; Separation_Guidance_BS retrieve" xfId="6829"/>
    <cellStyle name="_MOR - BDWY - 1+11_MOR - Gurgaon - 3+9(R)_MOR - Revised Package_Revised MOR Package - Latest_BS_Separation_TaxResIndem_Q12412 tf_Restructuring &amp; Separation_Guidance_Free CF" xfId="6830"/>
    <cellStyle name="_MOR - BDWY - 1+11_MOR - Gurgaon - 3+9(R)_MOR - Revised Package_Revised MOR Package - Latest_BS_Separation_TaxResIndem_Q12412 tf_Restructuring &amp; Separation_Guidance_P&amp;L Rec Qtr" xfId="6831"/>
    <cellStyle name="_MOR - BDWY - 1+11_MOR - Gurgaon - 3+9(R)_MOR - Revised Package_Revised MOR Package - Latest_BS_Separation_TaxResIndem_Q12412 tf_Restructuring &amp; Separation_Guidance_Sheet1" xfId="6832"/>
    <cellStyle name="_MOR - BDWY - 1+11_MOR - Gurgaon - 3+9(R)_MOR - Revised Package_Revised MOR Package - Latest_BS_Separation_TaxResIndem_Q12412 tf_Restructuring &amp; Separation_Guidance_Sheet2" xfId="6833"/>
    <cellStyle name="_MOR - BDWY - 1+11_MOR - Gurgaon - 3+9(R)_MOR - Revised Package_Revised MOR Package - Latest_BS_Separation_TaxResIndem_Q12412 tf_Restructuring &amp; Separation_Guidance_Sheet3" xfId="6834"/>
    <cellStyle name="_MOR - BDWY - 1+11_MOR - Gurgaon - 3+9(R)_MOR - Revised Package_Revised MOR Package - Latest_BS_Separation_TaxResIndem_Q12412 tf_Restructuring &amp; Separation_Guidance_Sheet4" xfId="6835"/>
    <cellStyle name="_MOR - BDWY - 1+11_MOR - Gurgaon - 3+9(R)_MOR - Revised Package_Revised MOR Package - Latest_By Country Detail 1Q10 041410pm FIN 18 revised per disc w Mary" xfId="6836"/>
    <cellStyle name="_MOR - BDWY - 1+11_MOR - Gurgaon - 3+9(R)_MOR - Revised Package_Revised MOR Package - Latest_By Country Detail 1Q10 041410pm FIN 18 revised per disc w Mary_BS_Separation_TaxResIndem_Q12412 tf" xfId="6837"/>
    <cellStyle name="_MOR - BDWY - 1+11_MOR - Gurgaon - 3+9(R)_MOR - Revised Package_Revised MOR Package - Latest_By Country Detail 1Q10 041410pm FIN 18 revised per disc w Mary_BS_Separation_TaxResIndem_Q12412 tf_Guidance" xfId="6838"/>
    <cellStyle name="_MOR - BDWY - 1+11_MOR - Gurgaon - 3+9(R)_MOR - Revised Package_Revised MOR Package - Latest_By Country Detail 1Q10 041410pm FIN 18 revised per disc w Mary_BS_Separation_TaxResIndem_Q12412 tf_Guidance 2" xfId="6839"/>
    <cellStyle name="_MOR - BDWY - 1+11_MOR - Gurgaon - 3+9(R)_MOR - Revised Package_Revised MOR Package - Latest_By Country Detail 1Q10 041410pm FIN 18 revised per disc w Mary_BS_Separation_TaxResIndem_Q12412 tf_Guidance_BS retrieve" xfId="6840"/>
    <cellStyle name="_MOR - BDWY - 1+11_MOR - Gurgaon - 3+9(R)_MOR - Revised Package_Revised MOR Package - Latest_By Country Detail 1Q10 041410pm FIN 18 revised per disc w Mary_BS_Separation_TaxResIndem_Q12412 tf_Guidance_Free CF" xfId="6841"/>
    <cellStyle name="_MOR - BDWY - 1+11_MOR - Gurgaon - 3+9(R)_MOR - Revised Package_Revised MOR Package - Latest_By Country Detail 1Q10 041410pm FIN 18 revised per disc w Mary_BS_Separation_TaxResIndem_Q12412 tf_Guidance_P&amp;L Rec Qtr" xfId="6842"/>
    <cellStyle name="_MOR - BDWY - 1+11_MOR - Gurgaon - 3+9(R)_MOR - Revised Package_Revised MOR Package - Latest_By Country Detail 1Q10 041410pm FIN 18 revised per disc w Mary_BS_Separation_TaxResIndem_Q12412 tf_Guidance_Sheet1" xfId="6843"/>
    <cellStyle name="_MOR - BDWY - 1+11_MOR - Gurgaon - 3+9(R)_MOR - Revised Package_Revised MOR Package - Latest_By Country Detail 1Q10 041410pm FIN 18 revised per disc w Mary_BS_Separation_TaxResIndem_Q12412 tf_Guidance_Sheet2" xfId="6844"/>
    <cellStyle name="_MOR - BDWY - 1+11_MOR - Gurgaon - 3+9(R)_MOR - Revised Package_Revised MOR Package - Latest_By Country Detail 1Q10 041410pm FIN 18 revised per disc w Mary_BS_Separation_TaxResIndem_Q12412 tf_Guidance_Sheet3" xfId="6845"/>
    <cellStyle name="_MOR - BDWY - 1+11_MOR - Gurgaon - 3+9(R)_MOR - Revised Package_Revised MOR Package - Latest_By Country Detail 1Q10 041410pm FIN 18 revised per disc w Mary_BS_Separation_TaxResIndem_Q12412 tf_Guidance_Sheet4" xfId="6846"/>
    <cellStyle name="_MOR - BDWY - 1+11_MOR - Gurgaon - 3+9(R)_MOR - Revised Package_Revised MOR Package - Latest_By Country Detail 1Q10 041410pm FIN 18 revised per disc w Mary_BS_Separation_TaxResIndem_Q12412 tf_Restructuring &amp; Separation" xfId="6847"/>
    <cellStyle name="_MOR - BDWY - 1+11_MOR - Gurgaon - 3+9(R)_MOR - Revised Package_Revised MOR Package - Latest_By Country Detail 1Q10 041410pm FIN 18 revised per disc w Mary_BS_Separation_TaxResIndem_Q12412 tf_Restructuring &amp; Separation_Guidance" xfId="6848"/>
    <cellStyle name="_MOR - BDWY - 1+11_MOR - Gurgaon - 3+9(R)_MOR - Revised Package_Revised MOR Package - Latest_By Country Detail 1Q10 041410pm FIN 18 revised per disc w Mary_BS_Separation_TaxResIndem_Q12412 tf_Restructuring &amp; Separation_Guidance 2" xfId="6849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/>
    <cellStyle name="_MOR - BDWY - 1+11_MOR - Gurgaon - 3+9(R)_MOR - Revised Package_Revised MOR Package - Latest_By Country Detail 1Q10 041410pm FIN 18 revised per disc w Mary_BS_Separation_TaxResIndem_Q12412 tf_Restructuring &amp; Separation_Guidance_Free CF" xfId="6851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/>
    <cellStyle name="_MOR - BDWY - 1+11_MOR - Gurgaon - 3+9(R)_MOR - Revised Package_Revised MOR Package - Latest_By Country Detail 1Q10 041410pm FIN 18 revised per disc w Mary_BS_Separation_TaxResIndem_Q12412 tf_Restructuring &amp; Separation_Guidance_Sheet1" xfId="6853"/>
    <cellStyle name="_MOR - BDWY - 1+11_MOR - Gurgaon - 3+9(R)_MOR - Revised Package_Revised MOR Package - Latest_By Country Detail 1Q10 041410pm FIN 18 revised per disc w Mary_BS_Separation_TaxResIndem_Q12412 tf_Restructuring &amp; Separation_Guidance_Sheet2" xfId="6854"/>
    <cellStyle name="_MOR - BDWY - 1+11_MOR - Gurgaon - 3+9(R)_MOR - Revised Package_Revised MOR Package - Latest_By Country Detail 1Q10 041410pm FIN 18 revised per disc w Mary_BS_Separation_TaxResIndem_Q12412 tf_Restructuring &amp; Separation_Guidance_Sheet3" xfId="6855"/>
    <cellStyle name="_MOR - BDWY - 1+11_MOR - Gurgaon - 3+9(R)_MOR - Revised Package_Revised MOR Package - Latest_By Country Detail 1Q10 041410pm FIN 18 revised per disc w Mary_BS_Separation_TaxResIndem_Q12412 tf_Restructuring &amp; Separation_Guidance_Sheet4" xfId="6856"/>
    <cellStyle name="_MOR - BDWY - 1+11_MOR - Gurgaon - 3+9(R)_MOR - Revised Package_Revised MOR Package - Latest_By Country Detail 1Q10 041410pm FIN 18 revised per disc w Mary_Guidance" xfId="6857"/>
    <cellStyle name="_MOR - BDWY - 1+11_MOR - Gurgaon - 3+9(R)_MOR - Revised Package_Revised MOR Package - Latest_By Country Detail 1Q10 041410pm FIN 18 revised per disc w Mary_Guidance 2" xfId="6858"/>
    <cellStyle name="_MOR - BDWY - 1+11_MOR - Gurgaon - 3+9(R)_MOR - Revised Package_Revised MOR Package - Latest_By Country Detail 1Q10 041410pm FIN 18 revised per disc w Mary_Guidance_BS retrieve" xfId="6859"/>
    <cellStyle name="_MOR - BDWY - 1+11_MOR - Gurgaon - 3+9(R)_MOR - Revised Package_Revised MOR Package - Latest_By Country Detail 1Q10 041410pm FIN 18 revised per disc w Mary_Guidance_Free CF" xfId="6860"/>
    <cellStyle name="_MOR - BDWY - 1+11_MOR - Gurgaon - 3+9(R)_MOR - Revised Package_Revised MOR Package - Latest_By Country Detail 1Q10 041410pm FIN 18 revised per disc w Mary_Guidance_P&amp;L Rec Qtr" xfId="6861"/>
    <cellStyle name="_MOR - BDWY - 1+11_MOR - Gurgaon - 3+9(R)_MOR - Revised Package_Revised MOR Package - Latest_By Country Detail 1Q10 041410pm FIN 18 revised per disc w Mary_Guidance_Sheet1" xfId="6862"/>
    <cellStyle name="_MOR - BDWY - 1+11_MOR - Gurgaon - 3+9(R)_MOR - Revised Package_Revised MOR Package - Latest_By Country Detail 1Q10 041410pm FIN 18 revised per disc w Mary_Guidance_Sheet2" xfId="6863"/>
    <cellStyle name="_MOR - BDWY - 1+11_MOR - Gurgaon - 3+9(R)_MOR - Revised Package_Revised MOR Package - Latest_By Country Detail 1Q10 041410pm FIN 18 revised per disc w Mary_Guidance_Sheet3" xfId="6864"/>
    <cellStyle name="_MOR - BDWY - 1+11_MOR - Gurgaon - 3+9(R)_MOR - Revised Package_Revised MOR Package - Latest_By Country Detail 1Q10 041410pm FIN 18 revised per disc w Mary_Guidance_Sheet4" xfId="6865"/>
    <cellStyle name="_MOR - BDWY - 1+11_MOR - Gurgaon - 3+9(R)_MOR - Revised Package_Revised MOR Package - Latest_By Country Detail 1Q10 041410pm FIN 18 revised per disc w Mary_II.8. Sep&amp;Discrete" xfId="6866"/>
    <cellStyle name="_MOR - BDWY - 1+11_MOR - Gurgaon - 3+9(R)_MOR - Revised Package_Revised MOR Package - Latest_By Country Detail 1Q10 041410pm FIN 18 revised per disc w Mary_II.8. Sep&amp;Discrete_Guidance" xfId="6867"/>
    <cellStyle name="_MOR - BDWY - 1+11_MOR - Gurgaon - 3+9(R)_MOR - Revised Package_Revised MOR Package - Latest_By Country Detail 1Q10 041410pm FIN 18 revised per disc w Mary_II.8. Sep&amp;Discrete_Guidance 2" xfId="6868"/>
    <cellStyle name="_MOR - BDWY - 1+11_MOR - Gurgaon - 3+9(R)_MOR - Revised Package_Revised MOR Package - Latest_By Country Detail 1Q10 041410pm FIN 18 revised per disc w Mary_II.8. Sep&amp;Discrete_Guidance_BS retrieve" xfId="6869"/>
    <cellStyle name="_MOR - BDWY - 1+11_MOR - Gurgaon - 3+9(R)_MOR - Revised Package_Revised MOR Package - Latest_By Country Detail 1Q10 041410pm FIN 18 revised per disc w Mary_II.8. Sep&amp;Discrete_Guidance_Free CF" xfId="6870"/>
    <cellStyle name="_MOR - BDWY - 1+11_MOR - Gurgaon - 3+9(R)_MOR - Revised Package_Revised MOR Package - Latest_By Country Detail 1Q10 041410pm FIN 18 revised per disc w Mary_II.8. Sep&amp;Discrete_Guidance_P&amp;L Rec Qtr" xfId="6871"/>
    <cellStyle name="_MOR - BDWY - 1+11_MOR - Gurgaon - 3+9(R)_MOR - Revised Package_Revised MOR Package - Latest_By Country Detail 1Q10 041410pm FIN 18 revised per disc w Mary_II.8. Sep&amp;Discrete_Guidance_Sheet1" xfId="6872"/>
    <cellStyle name="_MOR - BDWY - 1+11_MOR - Gurgaon - 3+9(R)_MOR - Revised Package_Revised MOR Package - Latest_By Country Detail 1Q10 041410pm FIN 18 revised per disc w Mary_II.8. Sep&amp;Discrete_Guidance_Sheet2" xfId="6873"/>
    <cellStyle name="_MOR - BDWY - 1+11_MOR - Gurgaon - 3+9(R)_MOR - Revised Package_Revised MOR Package - Latest_By Country Detail 1Q10 041410pm FIN 18 revised per disc w Mary_II.8. Sep&amp;Discrete_Guidance_Sheet3" xfId="6874"/>
    <cellStyle name="_MOR - BDWY - 1+11_MOR - Gurgaon - 3+9(R)_MOR - Revised Package_Revised MOR Package - Latest_By Country Detail 1Q10 041410pm FIN 18 revised per disc w Mary_II.8. Sep&amp;Discrete_Guidance_Sheet4" xfId="6875"/>
    <cellStyle name="_MOR - BDWY - 1+11_MOR - Gurgaon - 3+9(R)_MOR - Revised Package_Revised MOR Package - Latest_By Country Detail 1Q10 041410pm FIN 18 revised per disc w Mary_Restructuring &amp; Separation" xfId="6876"/>
    <cellStyle name="_MOR - BDWY - 1+11_MOR - Gurgaon - 3+9(R)_MOR - Revised Package_Revised MOR Package - Latest_By Country Detail 1Q10 041410pm FIN 18 revised per disc w Mary_Restructuring &amp; Separation_Guidance" xfId="6877"/>
    <cellStyle name="_MOR - BDWY - 1+11_MOR - Gurgaon - 3+9(R)_MOR - Revised Package_Revised MOR Package - Latest_By Country Detail 1Q10 041410pm FIN 18 revised per disc w Mary_Restructuring &amp; Separation_Guidance 2" xfId="6878"/>
    <cellStyle name="_MOR - BDWY - 1+11_MOR - Gurgaon - 3+9(R)_MOR - Revised Package_Revised MOR Package - Latest_By Country Detail 1Q10 041410pm FIN 18 revised per disc w Mary_Restructuring &amp; Separation_Guidance_BS retrieve" xfId="6879"/>
    <cellStyle name="_MOR - BDWY - 1+11_MOR - Gurgaon - 3+9(R)_MOR - Revised Package_Revised MOR Package - Latest_By Country Detail 1Q10 041410pm FIN 18 revised per disc w Mary_Restructuring &amp; Separation_Guidance_Free CF" xfId="6880"/>
    <cellStyle name="_MOR - BDWY - 1+11_MOR - Gurgaon - 3+9(R)_MOR - Revised Package_Revised MOR Package - Latest_By Country Detail 1Q10 041410pm FIN 18 revised per disc w Mary_Restructuring &amp; Separation_Guidance_P&amp;L Rec Qtr" xfId="6881"/>
    <cellStyle name="_MOR - BDWY - 1+11_MOR - Gurgaon - 3+9(R)_MOR - Revised Package_Revised MOR Package - Latest_By Country Detail 1Q10 041410pm FIN 18 revised per disc w Mary_Restructuring &amp; Separation_Guidance_Sheet1" xfId="6882"/>
    <cellStyle name="_MOR - BDWY - 1+11_MOR - Gurgaon - 3+9(R)_MOR - Revised Package_Revised MOR Package - Latest_By Country Detail 1Q10 041410pm FIN 18 revised per disc w Mary_Restructuring &amp; Separation_Guidance_Sheet2" xfId="6883"/>
    <cellStyle name="_MOR - BDWY - 1+11_MOR - Gurgaon - 3+9(R)_MOR - Revised Package_Revised MOR Package - Latest_By Country Detail 1Q10 041410pm FIN 18 revised per disc w Mary_Restructuring &amp; Separation_Guidance_Sheet3" xfId="6884"/>
    <cellStyle name="_MOR - BDWY - 1+11_MOR - Gurgaon - 3+9(R)_MOR - Revised Package_Revised MOR Package - Latest_By Country Detail 1Q10 041410pm FIN 18 revised per disc w Mary_Restructuring &amp; Separation_Guidance_Sheet4" xfId="6885"/>
    <cellStyle name="_MOR - BDWY - 1+11_MOR - Gurgaon - 3+9(R)_MOR - Revised Package_Revised MOR Package - Latest_Guidance" xfId="6886"/>
    <cellStyle name="_MOR - BDWY - 1+11_MOR - Gurgaon - 3+9(R)_MOR - Revised Package_Revised MOR Package - Latest_Guidance 2" xfId="6887"/>
    <cellStyle name="_MOR - BDWY - 1+11_MOR - Gurgaon - 3+9(R)_MOR - Revised Package_Revised MOR Package - Latest_Guidance_BS retrieve" xfId="6888"/>
    <cellStyle name="_MOR - BDWY - 1+11_MOR - Gurgaon - 3+9(R)_MOR - Revised Package_Revised MOR Package - Latest_Guidance_Free CF" xfId="6889"/>
    <cellStyle name="_MOR - BDWY - 1+11_MOR - Gurgaon - 3+9(R)_MOR - Revised Package_Revised MOR Package - Latest_Guidance_P&amp;L Rec Qtr" xfId="6890"/>
    <cellStyle name="_MOR - BDWY - 1+11_MOR - Gurgaon - 3+9(R)_MOR - Revised Package_Revised MOR Package - Latest_Guidance_Sheet1" xfId="6891"/>
    <cellStyle name="_MOR - BDWY - 1+11_MOR - Gurgaon - 3+9(R)_MOR - Revised Package_Revised MOR Package - Latest_Guidance_Sheet2" xfId="6892"/>
    <cellStyle name="_MOR - BDWY - 1+11_MOR - Gurgaon - 3+9(R)_MOR - Revised Package_Revised MOR Package - Latest_Guidance_Sheet3" xfId="6893"/>
    <cellStyle name="_MOR - BDWY - 1+11_MOR - Gurgaon - 3+9(R)_MOR - Revised Package_Revised MOR Package - Latest_Guidance_Sheet4" xfId="6894"/>
    <cellStyle name="_MOR - BDWY - 1+11_MOR - Gurgaon - 3+9(R)_MOR - Revised Package_Revised MOR Package - Latest_II.4. RawMaterials" xfId="6895"/>
    <cellStyle name="_MOR - BDWY - 1+11_MOR - Gurgaon - 3+9(R)_MOR - Revised Package_Revised MOR Package - Latest_II.4. RawMaterials 2" xfId="6896"/>
    <cellStyle name="_MOR - BDWY - 1+11_MOR - Gurgaon - 3+9(R)_MOR - Revised Package_Revised MOR Package - Latest_II.4. RawMaterials_BS retrieve" xfId="6897"/>
    <cellStyle name="_MOR - BDWY - 1+11_MOR - Gurgaon - 3+9(R)_MOR - Revised Package_Revised MOR Package - Latest_II.4. RawMaterials_Free CF" xfId="6898"/>
    <cellStyle name="_MOR - BDWY - 1+11_MOR - Gurgaon - 3+9(R)_MOR - Revised Package_Revised MOR Package - Latest_II.4. RawMaterials_P&amp;L Rec Qtr" xfId="6899"/>
    <cellStyle name="_MOR - BDWY - 1+11_MOR - Gurgaon - 3+9(R)_MOR - Revised Package_Revised MOR Package - Latest_II.4. RawMaterials_Sheet1" xfId="6900"/>
    <cellStyle name="_MOR - BDWY - 1+11_MOR - Gurgaon - 3+9(R)_MOR - Revised Package_Revised MOR Package - Latest_II.4. RawMaterials_Sheet2" xfId="6901"/>
    <cellStyle name="_MOR - BDWY - 1+11_MOR - Gurgaon - 3+9(R)_MOR - Revised Package_Revised MOR Package - Latest_II.4. RawMaterials_Sheet3" xfId="6902"/>
    <cellStyle name="_MOR - BDWY - 1+11_MOR - Gurgaon - 3+9(R)_MOR - Revised Package_Revised MOR Package - Latest_II.4. RawMaterials_Sheet4" xfId="6903"/>
    <cellStyle name="_MOR - BDWY - 1+11_MOR - Gurgaon - 3+9(R)_MOR - Revised Package_Revised MOR Package - Latest_II.5. RawMaterials" xfId="6904"/>
    <cellStyle name="_MOR - BDWY - 1+11_MOR - Gurgaon - 3+9(R)_MOR - Revised Package_Revised MOR Package - Latest_II.5. RawMaterials 2" xfId="6905"/>
    <cellStyle name="_MOR - BDWY - 1+11_MOR - Gurgaon - 3+9(R)_MOR - Revised Package_Revised MOR Package - Latest_II.5. RawMaterials_BS retrieve" xfId="6906"/>
    <cellStyle name="_MOR - BDWY - 1+11_MOR - Gurgaon - 3+9(R)_MOR - Revised Package_Revised MOR Package - Latest_II.5. RawMaterials_Free CF" xfId="6907"/>
    <cellStyle name="_MOR - BDWY - 1+11_MOR - Gurgaon - 3+9(R)_MOR - Revised Package_Revised MOR Package - Latest_II.5. RawMaterials_Guidance" xfId="6908"/>
    <cellStyle name="_MOR - BDWY - 1+11_MOR - Gurgaon - 3+9(R)_MOR - Revised Package_Revised MOR Package - Latest_II.5. RawMaterials_Guidance 2" xfId="6909"/>
    <cellStyle name="_MOR - BDWY - 1+11_MOR - Gurgaon - 3+9(R)_MOR - Revised Package_Revised MOR Package - Latest_II.5. RawMaterials_Guidance_BS retrieve" xfId="6910"/>
    <cellStyle name="_MOR - BDWY - 1+11_MOR - Gurgaon - 3+9(R)_MOR - Revised Package_Revised MOR Package - Latest_II.5. RawMaterials_Guidance_Free CF" xfId="6911"/>
    <cellStyle name="_MOR - BDWY - 1+11_MOR - Gurgaon - 3+9(R)_MOR - Revised Package_Revised MOR Package - Latest_II.5. RawMaterials_Guidance_P&amp;L Rec Qtr" xfId="6912"/>
    <cellStyle name="_MOR - BDWY - 1+11_MOR - Gurgaon - 3+9(R)_MOR - Revised Package_Revised MOR Package - Latest_II.5. RawMaterials_Guidance_Sheet1" xfId="6913"/>
    <cellStyle name="_MOR - BDWY - 1+11_MOR - Gurgaon - 3+9(R)_MOR - Revised Package_Revised MOR Package - Latest_II.5. RawMaterials_Guidance_Sheet2" xfId="6914"/>
    <cellStyle name="_MOR - BDWY - 1+11_MOR - Gurgaon - 3+9(R)_MOR - Revised Package_Revised MOR Package - Latest_II.5. RawMaterials_Guidance_Sheet3" xfId="6915"/>
    <cellStyle name="_MOR - BDWY - 1+11_MOR - Gurgaon - 3+9(R)_MOR - Revised Package_Revised MOR Package - Latest_II.5. RawMaterials_Guidance_Sheet4" xfId="6916"/>
    <cellStyle name="_MOR - BDWY - 1+11_MOR - Gurgaon - 3+9(R)_MOR - Revised Package_Revised MOR Package - Latest_II.5. RawMaterials_P&amp;L Rec Qtr" xfId="6917"/>
    <cellStyle name="_MOR - BDWY - 1+11_MOR - Gurgaon - 3+9(R)_MOR - Revised Package_Revised MOR Package - Latest_II.5. RawMaterials_Sheet1" xfId="6918"/>
    <cellStyle name="_MOR - BDWY - 1+11_MOR - Gurgaon - 3+9(R)_MOR - Revised Package_Revised MOR Package - Latest_II.5. RawMaterials_Sheet2" xfId="6919"/>
    <cellStyle name="_MOR - BDWY - 1+11_MOR - Gurgaon - 3+9(R)_MOR - Revised Package_Revised MOR Package - Latest_II.5. RawMaterials_Sheet3" xfId="6920"/>
    <cellStyle name="_MOR - BDWY - 1+11_MOR - Gurgaon - 3+9(R)_MOR - Revised Package_Revised MOR Package - Latest_II.5. RawMaterials_Sheet4" xfId="6921"/>
    <cellStyle name="_MOR - BDWY - 1+11_MOR - Gurgaon - 3+9(R)_MOR - Revised Package_Revised MOR Package - Latest_II.5. RM Volume Sensitivities" xfId="6922"/>
    <cellStyle name="_MOR - BDWY - 1+11_MOR - Gurgaon - 3+9(R)_MOR - Revised Package_Revised MOR Package - Latest_II.5. RM Volume Sensitivities 2" xfId="6923"/>
    <cellStyle name="_MOR - BDWY - 1+11_MOR - Gurgaon - 3+9(R)_MOR - Revised Package_Revised MOR Package - Latest_II.5. RM Volume Sensitivities_BS retrieve" xfId="6924"/>
    <cellStyle name="_MOR - BDWY - 1+11_MOR - Gurgaon - 3+9(R)_MOR - Revised Package_Revised MOR Package - Latest_II.5. RM Volume Sensitivities_Free CF" xfId="6925"/>
    <cellStyle name="_MOR - BDWY - 1+11_MOR - Gurgaon - 3+9(R)_MOR - Revised Package_Revised MOR Package - Latest_II.5. RM Volume Sensitivities_P&amp;L Rec Qtr" xfId="6926"/>
    <cellStyle name="_MOR - BDWY - 1+11_MOR - Gurgaon - 3+9(R)_MOR - Revised Package_Revised MOR Package - Latest_II.5. RM Volume Sensitivities_Sheet1" xfId="6927"/>
    <cellStyle name="_MOR - BDWY - 1+11_MOR - Gurgaon - 3+9(R)_MOR - Revised Package_Revised MOR Package - Latest_II.5. RM Volume Sensitivities_Sheet2" xfId="6928"/>
    <cellStyle name="_MOR - BDWY - 1+11_MOR - Gurgaon - 3+9(R)_MOR - Revised Package_Revised MOR Package - Latest_II.5. RM Volume Sensitivities_Sheet3" xfId="6929"/>
    <cellStyle name="_MOR - BDWY - 1+11_MOR - Gurgaon - 3+9(R)_MOR - Revised Package_Revised MOR Package - Latest_II.5. RM Volume Sensitivities_Sheet4" xfId="6930"/>
    <cellStyle name="_MOR - BDWY - 1+11_MOR - Gurgaon - 3+9(R)_MOR - Revised Package_Revised MOR Package - Latest_II.8. Sep&amp;Discrete" xfId="6931"/>
    <cellStyle name="_MOR - BDWY - 1+11_MOR - Gurgaon - 3+9(R)_MOR - Revised Package_Revised MOR Package - Latest_II.8. Sep&amp;Discrete_Guidance" xfId="6932"/>
    <cellStyle name="_MOR - BDWY - 1+11_MOR - Gurgaon - 3+9(R)_MOR - Revised Package_Revised MOR Package - Latest_II.8. Sep&amp;Discrete_Guidance 2" xfId="6933"/>
    <cellStyle name="_MOR - BDWY - 1+11_MOR - Gurgaon - 3+9(R)_MOR - Revised Package_Revised MOR Package - Latest_II.8. Sep&amp;Discrete_Guidance_BS retrieve" xfId="6934"/>
    <cellStyle name="_MOR - BDWY - 1+11_MOR - Gurgaon - 3+9(R)_MOR - Revised Package_Revised MOR Package - Latest_II.8. Sep&amp;Discrete_Guidance_Free CF" xfId="6935"/>
    <cellStyle name="_MOR - BDWY - 1+11_MOR - Gurgaon - 3+9(R)_MOR - Revised Package_Revised MOR Package - Latest_II.8. Sep&amp;Discrete_Guidance_P&amp;L Rec Qtr" xfId="6936"/>
    <cellStyle name="_MOR - BDWY - 1+11_MOR - Gurgaon - 3+9(R)_MOR - Revised Package_Revised MOR Package - Latest_II.8. Sep&amp;Discrete_Guidance_Sheet1" xfId="6937"/>
    <cellStyle name="_MOR - BDWY - 1+11_MOR - Gurgaon - 3+9(R)_MOR - Revised Package_Revised MOR Package - Latest_II.8. Sep&amp;Discrete_Guidance_Sheet2" xfId="6938"/>
    <cellStyle name="_MOR - BDWY - 1+11_MOR - Gurgaon - 3+9(R)_MOR - Revised Package_Revised MOR Package - Latest_II.8. Sep&amp;Discrete_Guidance_Sheet3" xfId="6939"/>
    <cellStyle name="_MOR - BDWY - 1+11_MOR - Gurgaon - 3+9(R)_MOR - Revised Package_Revised MOR Package - Latest_II.8. Sep&amp;Discrete_Guidance_Sheet4" xfId="6940"/>
    <cellStyle name="_MOR - BDWY - 1+11_MOR - Gurgaon - 3+9(R)_MOR - Revised Package_Revised MOR Package - Latest_Restructuring &amp; Separation" xfId="6941"/>
    <cellStyle name="_MOR - BDWY - 1+11_MOR - Gurgaon - 3+9(R)_MOR - Revised Package_Revised MOR Package - Latest_Restructuring &amp; Separation_Guidance" xfId="6942"/>
    <cellStyle name="_MOR - BDWY - 1+11_MOR - Gurgaon - 3+9(R)_MOR - Revised Package_Revised MOR Package - Latest_Restructuring &amp; Separation_Guidance 2" xfId="6943"/>
    <cellStyle name="_MOR - BDWY - 1+11_MOR - Gurgaon - 3+9(R)_MOR - Revised Package_Revised MOR Package - Latest_Restructuring &amp; Separation_Guidance_BS retrieve" xfId="6944"/>
    <cellStyle name="_MOR - BDWY - 1+11_MOR - Gurgaon - 3+9(R)_MOR - Revised Package_Revised MOR Package - Latest_Restructuring &amp; Separation_Guidance_Free CF" xfId="6945"/>
    <cellStyle name="_MOR - BDWY - 1+11_MOR - Gurgaon - 3+9(R)_MOR - Revised Package_Revised MOR Package - Latest_Restructuring &amp; Separation_Guidance_P&amp;L Rec Qtr" xfId="6946"/>
    <cellStyle name="_MOR - BDWY - 1+11_MOR - Gurgaon - 3+9(R)_MOR - Revised Package_Revised MOR Package - Latest_Restructuring &amp; Separation_Guidance_Sheet1" xfId="6947"/>
    <cellStyle name="_MOR - BDWY - 1+11_MOR - Gurgaon - 3+9(R)_MOR - Revised Package_Revised MOR Package - Latest_Restructuring &amp; Separation_Guidance_Sheet2" xfId="6948"/>
    <cellStyle name="_MOR - BDWY - 1+11_MOR - Gurgaon - 3+9(R)_MOR - Revised Package_Revised MOR Package - Latest_Restructuring &amp; Separation_Guidance_Sheet3" xfId="6949"/>
    <cellStyle name="_MOR - BDWY - 1+11_MOR - Gurgaon - 3+9(R)_MOR - Revised Package_Revised MOR Package - Latest_Restructuring &amp; Separation_Guidance_Sheet4" xfId="6950"/>
    <cellStyle name="_MOR - BDWY - 1+11_MOR - Gurgaon - 3+9(R)_MOR - Revised Package_Revised MOR Package - Latest_Restructuring_Separation_TAX_JuneFC2010 tf" xfId="6951"/>
    <cellStyle name="_MOR - BDWY - 1+11_MOR - Gurgaon - 3+9(R)_MOR - Revised Package_Revised MOR Package - Latest_Restructuring_Separation_TAX_JuneFC2010 tf_BS_Separation_TaxResIndem_Q12412 tf" xfId="6952"/>
    <cellStyle name="_MOR - BDWY - 1+11_MOR - Gurgaon - 3+9(R)_MOR - Revised Package_Revised MOR Package - Latest_Restructuring_Separation_TAX_JuneFC2010 tf_BS_Separation_TaxResIndem_Q12412 tf_Guidance" xfId="6953"/>
    <cellStyle name="_MOR - BDWY - 1+11_MOR - Gurgaon - 3+9(R)_MOR - Revised Package_Revised MOR Package - Latest_Restructuring_Separation_TAX_JuneFC2010 tf_BS_Separation_TaxResIndem_Q12412 tf_Guidance 2" xfId="6954"/>
    <cellStyle name="_MOR - BDWY - 1+11_MOR - Gurgaon - 3+9(R)_MOR - Revised Package_Revised MOR Package - Latest_Restructuring_Separation_TAX_JuneFC2010 tf_BS_Separation_TaxResIndem_Q12412 tf_Guidance_BS retrieve" xfId="6955"/>
    <cellStyle name="_MOR - BDWY - 1+11_MOR - Gurgaon - 3+9(R)_MOR - Revised Package_Revised MOR Package - Latest_Restructuring_Separation_TAX_JuneFC2010 tf_BS_Separation_TaxResIndem_Q12412 tf_Guidance_Free CF" xfId="6956"/>
    <cellStyle name="_MOR - BDWY - 1+11_MOR - Gurgaon - 3+9(R)_MOR - Revised Package_Revised MOR Package - Latest_Restructuring_Separation_TAX_JuneFC2010 tf_BS_Separation_TaxResIndem_Q12412 tf_Guidance_P&amp;L Rec Qtr" xfId="6957"/>
    <cellStyle name="_MOR - BDWY - 1+11_MOR - Gurgaon - 3+9(R)_MOR - Revised Package_Revised MOR Package - Latest_Restructuring_Separation_TAX_JuneFC2010 tf_BS_Separation_TaxResIndem_Q12412 tf_Guidance_Sheet1" xfId="6958"/>
    <cellStyle name="_MOR - BDWY - 1+11_MOR - Gurgaon - 3+9(R)_MOR - Revised Package_Revised MOR Package - Latest_Restructuring_Separation_TAX_JuneFC2010 tf_BS_Separation_TaxResIndem_Q12412 tf_Guidance_Sheet2" xfId="6959"/>
    <cellStyle name="_MOR - BDWY - 1+11_MOR - Gurgaon - 3+9(R)_MOR - Revised Package_Revised MOR Package - Latest_Restructuring_Separation_TAX_JuneFC2010 tf_BS_Separation_TaxResIndem_Q12412 tf_Guidance_Sheet3" xfId="6960"/>
    <cellStyle name="_MOR - BDWY - 1+11_MOR - Gurgaon - 3+9(R)_MOR - Revised Package_Revised MOR Package - Latest_Restructuring_Separation_TAX_JuneFC2010 tf_BS_Separation_TaxResIndem_Q12412 tf_Guidance_Sheet4" xfId="6961"/>
    <cellStyle name="_MOR - BDWY - 1+11_MOR - Gurgaon - 3+9(R)_MOR - Revised Package_Revised MOR Package - Latest_Restructuring_Separation_TAX_JuneFC2010 tf_BS_Separation_TaxResIndem_Q12412 tf_Restructuring &amp; Separation" xfId="6962"/>
    <cellStyle name="_MOR - BDWY - 1+11_MOR - Gurgaon - 3+9(R)_MOR - Revised Package_Revised MOR Package - Latest_Restructuring_Separation_TAX_JuneFC2010 tf_BS_Separation_TaxResIndem_Q12412 tf_Restructuring &amp; Separation_Guidance" xfId="6963"/>
    <cellStyle name="_MOR - BDWY - 1+11_MOR - Gurgaon - 3+9(R)_MOR - Revised Package_Revised MOR Package - Latest_Restructuring_Separation_TAX_JuneFC2010 tf_BS_Separation_TaxResIndem_Q12412 tf_Restructuring &amp; Separation_Guidance 2" xfId="6964"/>
    <cellStyle name="_MOR - BDWY - 1+11_MOR - Gurgaon - 3+9(R)_MOR - Revised Package_Revised MOR Package - Latest_Restructuring_Separation_TAX_JuneFC2010 tf_BS_Separation_TaxResIndem_Q12412 tf_Restructuring &amp; Separation_Guidance_BS retrieve" xfId="6965"/>
    <cellStyle name="_MOR - BDWY - 1+11_MOR - Gurgaon - 3+9(R)_MOR - Revised Package_Revised MOR Package - Latest_Restructuring_Separation_TAX_JuneFC2010 tf_BS_Separation_TaxResIndem_Q12412 tf_Restructuring &amp; Separation_Guidance_Free CF" xfId="6966"/>
    <cellStyle name="_MOR - BDWY - 1+11_MOR - Gurgaon - 3+9(R)_MOR - Revised Package_Revised MOR Package - Latest_Restructuring_Separation_TAX_JuneFC2010 tf_BS_Separation_TaxResIndem_Q12412 tf_Restructuring &amp; Separation_Guidance_P&amp;L Rec Qtr" xfId="6967"/>
    <cellStyle name="_MOR - BDWY - 1+11_MOR - Gurgaon - 3+9(R)_MOR - Revised Package_Revised MOR Package - Latest_Restructuring_Separation_TAX_JuneFC2010 tf_BS_Separation_TaxResIndem_Q12412 tf_Restructuring &amp; Separation_Guidance_Sheet1" xfId="6968"/>
    <cellStyle name="_MOR - BDWY - 1+11_MOR - Gurgaon - 3+9(R)_MOR - Revised Package_Revised MOR Package - Latest_Restructuring_Separation_TAX_JuneFC2010 tf_BS_Separation_TaxResIndem_Q12412 tf_Restructuring &amp; Separation_Guidance_Sheet2" xfId="6969"/>
    <cellStyle name="_MOR - BDWY - 1+11_MOR - Gurgaon - 3+9(R)_MOR - Revised Package_Revised MOR Package - Latest_Restructuring_Separation_TAX_JuneFC2010 tf_BS_Separation_TaxResIndem_Q12412 tf_Restructuring &amp; Separation_Guidance_Sheet3" xfId="6970"/>
    <cellStyle name="_MOR - BDWY - 1+11_MOR - Gurgaon - 3+9(R)_MOR - Revised Package_Revised MOR Package - Latest_Restructuring_Separation_TAX_JuneFC2010 tf_BS_Separation_TaxResIndem_Q12412 tf_Restructuring &amp; Separation_Guidance_Sheet4" xfId="6971"/>
    <cellStyle name="_MOR - BDWY - 1+11_MOR - Gurgaon - 3+9(R)_MOR - Revised Package_Revised MOR Package - Latest_Restructuring_Separation_TAX_JuneFC2010 tf_Guidance" xfId="6972"/>
    <cellStyle name="_MOR - BDWY - 1+11_MOR - Gurgaon - 3+9(R)_MOR - Revised Package_Revised MOR Package - Latest_Restructuring_Separation_TAX_JuneFC2010 tf_Guidance 2" xfId="6973"/>
    <cellStyle name="_MOR - BDWY - 1+11_MOR - Gurgaon - 3+9(R)_MOR - Revised Package_Revised MOR Package - Latest_Restructuring_Separation_TAX_JuneFC2010 tf_Guidance_BS retrieve" xfId="6974"/>
    <cellStyle name="_MOR - BDWY - 1+11_MOR - Gurgaon - 3+9(R)_MOR - Revised Package_Revised MOR Package - Latest_Restructuring_Separation_TAX_JuneFC2010 tf_Guidance_Free CF" xfId="6975"/>
    <cellStyle name="_MOR - BDWY - 1+11_MOR - Gurgaon - 3+9(R)_MOR - Revised Package_Revised MOR Package - Latest_Restructuring_Separation_TAX_JuneFC2010 tf_Guidance_P&amp;L Rec Qtr" xfId="6976"/>
    <cellStyle name="_MOR - BDWY - 1+11_MOR - Gurgaon - 3+9(R)_MOR - Revised Package_Revised MOR Package - Latest_Restructuring_Separation_TAX_JuneFC2010 tf_Guidance_Sheet1" xfId="6977"/>
    <cellStyle name="_MOR - BDWY - 1+11_MOR - Gurgaon - 3+9(R)_MOR - Revised Package_Revised MOR Package - Latest_Restructuring_Separation_TAX_JuneFC2010 tf_Guidance_Sheet2" xfId="6978"/>
    <cellStyle name="_MOR - BDWY - 1+11_MOR - Gurgaon - 3+9(R)_MOR - Revised Package_Revised MOR Package - Latest_Restructuring_Separation_TAX_JuneFC2010 tf_Guidance_Sheet3" xfId="6979"/>
    <cellStyle name="_MOR - BDWY - 1+11_MOR - Gurgaon - 3+9(R)_MOR - Revised Package_Revised MOR Package - Latest_Restructuring_Separation_TAX_JuneFC2010 tf_Guidance_Sheet4" xfId="6980"/>
    <cellStyle name="_MOR - BDWY - 1+11_MOR - Gurgaon - 3+9(R)_MOR - Revised Package_Revised MOR Package - Latest_Restructuring_Separation_TAX_JuneFC2010 tf_II.8. Sep&amp;Discrete" xfId="6981"/>
    <cellStyle name="_MOR - BDWY - 1+11_MOR - Gurgaon - 3+9(R)_MOR - Revised Package_Revised MOR Package - Latest_Restructuring_Separation_TAX_JuneFC2010 tf_II.8. Sep&amp;Discrete_Guidance" xfId="6982"/>
    <cellStyle name="_MOR - BDWY - 1+11_MOR - Gurgaon - 3+9(R)_MOR - Revised Package_Revised MOR Package - Latest_Restructuring_Separation_TAX_JuneFC2010 tf_II.8. Sep&amp;Discrete_Guidance 2" xfId="6983"/>
    <cellStyle name="_MOR - BDWY - 1+11_MOR - Gurgaon - 3+9(R)_MOR - Revised Package_Revised MOR Package - Latest_Restructuring_Separation_TAX_JuneFC2010 tf_II.8. Sep&amp;Discrete_Guidance_BS retrieve" xfId="6984"/>
    <cellStyle name="_MOR - BDWY - 1+11_MOR - Gurgaon - 3+9(R)_MOR - Revised Package_Revised MOR Package - Latest_Restructuring_Separation_TAX_JuneFC2010 tf_II.8. Sep&amp;Discrete_Guidance_Free CF" xfId="6985"/>
    <cellStyle name="_MOR - BDWY - 1+11_MOR - Gurgaon - 3+9(R)_MOR - Revised Package_Revised MOR Package - Latest_Restructuring_Separation_TAX_JuneFC2010 tf_II.8. Sep&amp;Discrete_Guidance_P&amp;L Rec Qtr" xfId="6986"/>
    <cellStyle name="_MOR - BDWY - 1+11_MOR - Gurgaon - 3+9(R)_MOR - Revised Package_Revised MOR Package - Latest_Restructuring_Separation_TAX_JuneFC2010 tf_II.8. Sep&amp;Discrete_Guidance_Sheet1" xfId="6987"/>
    <cellStyle name="_MOR - BDWY - 1+11_MOR - Gurgaon - 3+9(R)_MOR - Revised Package_Revised MOR Package - Latest_Restructuring_Separation_TAX_JuneFC2010 tf_II.8. Sep&amp;Discrete_Guidance_Sheet2" xfId="6988"/>
    <cellStyle name="_MOR - BDWY - 1+11_MOR - Gurgaon - 3+9(R)_MOR - Revised Package_Revised MOR Package - Latest_Restructuring_Separation_TAX_JuneFC2010 tf_II.8. Sep&amp;Discrete_Guidance_Sheet3" xfId="6989"/>
    <cellStyle name="_MOR - BDWY - 1+11_MOR - Gurgaon - 3+9(R)_MOR - Revised Package_Revised MOR Package - Latest_Restructuring_Separation_TAX_JuneFC2010 tf_II.8. Sep&amp;Discrete_Guidance_Sheet4" xfId="6990"/>
    <cellStyle name="_MOR - BDWY - 1+11_MOR - Gurgaon - 3+9(R)_MOR - Revised Package_Revised MOR Package - Latest_Restructuring_Separation_TAX_JuneFC2010 tf_Restructuring &amp; Separation" xfId="6991"/>
    <cellStyle name="_MOR - BDWY - 1+11_MOR - Gurgaon - 3+9(R)_MOR - Revised Package_Revised MOR Package - Latest_Restructuring_Separation_TAX_JuneFC2010 tf_Restructuring &amp; Separation_Guidance" xfId="6992"/>
    <cellStyle name="_MOR - BDWY - 1+11_MOR - Gurgaon - 3+9(R)_MOR - Revised Package_Revised MOR Package - Latest_Restructuring_Separation_TAX_JuneFC2010 tf_Restructuring &amp; Separation_Guidance 2" xfId="6993"/>
    <cellStyle name="_MOR - BDWY - 1+11_MOR - Gurgaon - 3+9(R)_MOR - Revised Package_Revised MOR Package - Latest_Restructuring_Separation_TAX_JuneFC2010 tf_Restructuring &amp; Separation_Guidance_BS retrieve" xfId="6994"/>
    <cellStyle name="_MOR - BDWY - 1+11_MOR - Gurgaon - 3+9(R)_MOR - Revised Package_Revised MOR Package - Latest_Restructuring_Separation_TAX_JuneFC2010 tf_Restructuring &amp; Separation_Guidance_Free CF" xfId="6995"/>
    <cellStyle name="_MOR - BDWY - 1+11_MOR - Gurgaon - 3+9(R)_MOR - Revised Package_Revised MOR Package - Latest_Restructuring_Separation_TAX_JuneFC2010 tf_Restructuring &amp; Separation_Guidance_P&amp;L Rec Qtr" xfId="6996"/>
    <cellStyle name="_MOR - BDWY - 1+11_MOR - Gurgaon - 3+9(R)_MOR - Revised Package_Revised MOR Package - Latest_Restructuring_Separation_TAX_JuneFC2010 tf_Restructuring &amp; Separation_Guidance_Sheet1" xfId="6997"/>
    <cellStyle name="_MOR - BDWY - 1+11_MOR - Gurgaon - 3+9(R)_MOR - Revised Package_Revised MOR Package - Latest_Restructuring_Separation_TAX_JuneFC2010 tf_Restructuring &amp; Separation_Guidance_Sheet2" xfId="6998"/>
    <cellStyle name="_MOR - BDWY - 1+11_MOR - Gurgaon - 3+9(R)_MOR - Revised Package_Revised MOR Package - Latest_Restructuring_Separation_TAX_JuneFC2010 tf_Restructuring &amp; Separation_Guidance_Sheet3" xfId="6999"/>
    <cellStyle name="_MOR - BDWY - 1+11_MOR - Gurgaon - 3+9(R)_MOR - Revised Package_Revised MOR Package - Latest_Restructuring_Separation_TAX_JuneFC2010 tf_Restructuring &amp; Separation_Guidance_Sheet4" xfId="7000"/>
    <cellStyle name="_MOR - BDWY - 1+11_MOR - Gurgaon - 3+9(R)_Restructuring &amp; Separation" xfId="7001"/>
    <cellStyle name="_MOR - BDWY - 1+11_MOR - Gurgaon - 3+9(R)_Restructuring &amp; Separation_Guidance" xfId="7002"/>
    <cellStyle name="_MOR - BDWY - 1+11_MOR - Gurgaon - 3+9(R)_Restructuring &amp; Separation_Guidance 2" xfId="7003"/>
    <cellStyle name="_MOR - BDWY - 1+11_MOR - Gurgaon - 3+9(R)_Restructuring &amp; Separation_Guidance_BS retrieve" xfId="7004"/>
    <cellStyle name="_MOR - BDWY - 1+11_MOR - Gurgaon - 3+9(R)_Restructuring &amp; Separation_Guidance_Free CF" xfId="7005"/>
    <cellStyle name="_MOR - BDWY - 1+11_MOR - Gurgaon - 3+9(R)_Restructuring &amp; Separation_Guidance_P&amp;L Rec Qtr" xfId="7006"/>
    <cellStyle name="_MOR - BDWY - 1+11_MOR - Gurgaon - 3+9(R)_Restructuring &amp; Separation_Guidance_Sheet1" xfId="7007"/>
    <cellStyle name="_MOR - BDWY - 1+11_MOR - Gurgaon - 3+9(R)_Restructuring &amp; Separation_Guidance_Sheet2" xfId="7008"/>
    <cellStyle name="_MOR - BDWY - 1+11_MOR - Gurgaon - 3+9(R)_Restructuring &amp; Separation_Guidance_Sheet3" xfId="7009"/>
    <cellStyle name="_MOR - BDWY - 1+11_MOR - Gurgaon - 3+9(R)_Restructuring &amp; Separation_Guidance_Sheet4" xfId="7010"/>
    <cellStyle name="_MOR - BDWY - 1+11_MOR - Gurgaon - 3+9(R)_Restructuring_Separation_TAX_JuneFC2010 tf" xfId="7011"/>
    <cellStyle name="_MOR - BDWY - 1+11_MOR - Gurgaon - 3+9(R)_Restructuring_Separation_TAX_JuneFC2010 tf_BS_Separation_TaxResIndem_Q12412 tf" xfId="7012"/>
    <cellStyle name="_MOR - BDWY - 1+11_MOR - Gurgaon - 3+9(R)_Restructuring_Separation_TAX_JuneFC2010 tf_BS_Separation_TaxResIndem_Q12412 tf_Guidance" xfId="7013"/>
    <cellStyle name="_MOR - BDWY - 1+11_MOR - Gurgaon - 3+9(R)_Restructuring_Separation_TAX_JuneFC2010 tf_BS_Separation_TaxResIndem_Q12412 tf_Guidance 2" xfId="7014"/>
    <cellStyle name="_MOR - BDWY - 1+11_MOR - Gurgaon - 3+9(R)_Restructuring_Separation_TAX_JuneFC2010 tf_BS_Separation_TaxResIndem_Q12412 tf_Guidance_BS retrieve" xfId="7015"/>
    <cellStyle name="_MOR - BDWY - 1+11_MOR - Gurgaon - 3+9(R)_Restructuring_Separation_TAX_JuneFC2010 tf_BS_Separation_TaxResIndem_Q12412 tf_Guidance_Free CF" xfId="7016"/>
    <cellStyle name="_MOR - BDWY - 1+11_MOR - Gurgaon - 3+9(R)_Restructuring_Separation_TAX_JuneFC2010 tf_BS_Separation_TaxResIndem_Q12412 tf_Guidance_P&amp;L Rec Qtr" xfId="7017"/>
    <cellStyle name="_MOR - BDWY - 1+11_MOR - Gurgaon - 3+9(R)_Restructuring_Separation_TAX_JuneFC2010 tf_BS_Separation_TaxResIndem_Q12412 tf_Guidance_Sheet1" xfId="7018"/>
    <cellStyle name="_MOR - BDWY - 1+11_MOR - Gurgaon - 3+9(R)_Restructuring_Separation_TAX_JuneFC2010 tf_BS_Separation_TaxResIndem_Q12412 tf_Guidance_Sheet2" xfId="7019"/>
    <cellStyle name="_MOR - BDWY - 1+11_MOR - Gurgaon - 3+9(R)_Restructuring_Separation_TAX_JuneFC2010 tf_BS_Separation_TaxResIndem_Q12412 tf_Guidance_Sheet3" xfId="7020"/>
    <cellStyle name="_MOR - BDWY - 1+11_MOR - Gurgaon - 3+9(R)_Restructuring_Separation_TAX_JuneFC2010 tf_BS_Separation_TaxResIndem_Q12412 tf_Guidance_Sheet4" xfId="7021"/>
    <cellStyle name="_MOR - BDWY - 1+11_MOR - Gurgaon - 3+9(R)_Restructuring_Separation_TAX_JuneFC2010 tf_BS_Separation_TaxResIndem_Q12412 tf_Restructuring &amp; Separation" xfId="7022"/>
    <cellStyle name="_MOR - BDWY - 1+11_MOR - Gurgaon - 3+9(R)_Restructuring_Separation_TAX_JuneFC2010 tf_BS_Separation_TaxResIndem_Q12412 tf_Restructuring &amp; Separation_Guidance" xfId="7023"/>
    <cellStyle name="_MOR - BDWY - 1+11_MOR - Gurgaon - 3+9(R)_Restructuring_Separation_TAX_JuneFC2010 tf_BS_Separation_TaxResIndem_Q12412 tf_Restructuring &amp; Separation_Guidance 2" xfId="7024"/>
    <cellStyle name="_MOR - BDWY - 1+11_MOR - Gurgaon - 3+9(R)_Restructuring_Separation_TAX_JuneFC2010 tf_BS_Separation_TaxResIndem_Q12412 tf_Restructuring &amp; Separation_Guidance_BS retrieve" xfId="7025"/>
    <cellStyle name="_MOR - BDWY - 1+11_MOR - Gurgaon - 3+9(R)_Restructuring_Separation_TAX_JuneFC2010 tf_BS_Separation_TaxResIndem_Q12412 tf_Restructuring &amp; Separation_Guidance_Free CF" xfId="7026"/>
    <cellStyle name="_MOR - BDWY - 1+11_MOR - Gurgaon - 3+9(R)_Restructuring_Separation_TAX_JuneFC2010 tf_BS_Separation_TaxResIndem_Q12412 tf_Restructuring &amp; Separation_Guidance_P&amp;L Rec Qtr" xfId="7027"/>
    <cellStyle name="_MOR - BDWY - 1+11_MOR - Gurgaon - 3+9(R)_Restructuring_Separation_TAX_JuneFC2010 tf_BS_Separation_TaxResIndem_Q12412 tf_Restructuring &amp; Separation_Guidance_Sheet1" xfId="7028"/>
    <cellStyle name="_MOR - BDWY - 1+11_MOR - Gurgaon - 3+9(R)_Restructuring_Separation_TAX_JuneFC2010 tf_BS_Separation_TaxResIndem_Q12412 tf_Restructuring &amp; Separation_Guidance_Sheet2" xfId="7029"/>
    <cellStyle name="_MOR - BDWY - 1+11_MOR - Gurgaon - 3+9(R)_Restructuring_Separation_TAX_JuneFC2010 tf_BS_Separation_TaxResIndem_Q12412 tf_Restructuring &amp; Separation_Guidance_Sheet3" xfId="7030"/>
    <cellStyle name="_MOR - BDWY - 1+11_MOR - Gurgaon - 3+9(R)_Restructuring_Separation_TAX_JuneFC2010 tf_BS_Separation_TaxResIndem_Q12412 tf_Restructuring &amp; Separation_Guidance_Sheet4" xfId="7031"/>
    <cellStyle name="_MOR - BDWY - 1+11_MOR - Gurgaon - 3+9(R)_Restructuring_Separation_TAX_JuneFC2010 tf_Guidance" xfId="7032"/>
    <cellStyle name="_MOR - BDWY - 1+11_MOR - Gurgaon - 3+9(R)_Restructuring_Separation_TAX_JuneFC2010 tf_Guidance 2" xfId="7033"/>
    <cellStyle name="_MOR - BDWY - 1+11_MOR - Gurgaon - 3+9(R)_Restructuring_Separation_TAX_JuneFC2010 tf_Guidance_BS retrieve" xfId="7034"/>
    <cellStyle name="_MOR - BDWY - 1+11_MOR - Gurgaon - 3+9(R)_Restructuring_Separation_TAX_JuneFC2010 tf_Guidance_Free CF" xfId="7035"/>
    <cellStyle name="_MOR - BDWY - 1+11_MOR - Gurgaon - 3+9(R)_Restructuring_Separation_TAX_JuneFC2010 tf_Guidance_P&amp;L Rec Qtr" xfId="7036"/>
    <cellStyle name="_MOR - BDWY - 1+11_MOR - Gurgaon - 3+9(R)_Restructuring_Separation_TAX_JuneFC2010 tf_Guidance_Sheet1" xfId="7037"/>
    <cellStyle name="_MOR - BDWY - 1+11_MOR - Gurgaon - 3+9(R)_Restructuring_Separation_TAX_JuneFC2010 tf_Guidance_Sheet2" xfId="7038"/>
    <cellStyle name="_MOR - BDWY - 1+11_MOR - Gurgaon - 3+9(R)_Restructuring_Separation_TAX_JuneFC2010 tf_Guidance_Sheet3" xfId="7039"/>
    <cellStyle name="_MOR - BDWY - 1+11_MOR - Gurgaon - 3+9(R)_Restructuring_Separation_TAX_JuneFC2010 tf_Guidance_Sheet4" xfId="7040"/>
    <cellStyle name="_MOR - BDWY - 1+11_MOR - Gurgaon - 3+9(R)_Restructuring_Separation_TAX_JuneFC2010 tf_II.8. Sep&amp;Discrete" xfId="7041"/>
    <cellStyle name="_MOR - BDWY - 1+11_MOR - Gurgaon - 3+9(R)_Restructuring_Separation_TAX_JuneFC2010 tf_II.8. Sep&amp;Discrete_Guidance" xfId="7042"/>
    <cellStyle name="_MOR - BDWY - 1+11_MOR - Gurgaon - 3+9(R)_Restructuring_Separation_TAX_JuneFC2010 tf_II.8. Sep&amp;Discrete_Guidance 2" xfId="7043"/>
    <cellStyle name="_MOR - BDWY - 1+11_MOR - Gurgaon - 3+9(R)_Restructuring_Separation_TAX_JuneFC2010 tf_II.8. Sep&amp;Discrete_Guidance_BS retrieve" xfId="7044"/>
    <cellStyle name="_MOR - BDWY - 1+11_MOR - Gurgaon - 3+9(R)_Restructuring_Separation_TAX_JuneFC2010 tf_II.8. Sep&amp;Discrete_Guidance_Free CF" xfId="7045"/>
    <cellStyle name="_MOR - BDWY - 1+11_MOR - Gurgaon - 3+9(R)_Restructuring_Separation_TAX_JuneFC2010 tf_II.8. Sep&amp;Discrete_Guidance_P&amp;L Rec Qtr" xfId="7046"/>
    <cellStyle name="_MOR - BDWY - 1+11_MOR - Gurgaon - 3+9(R)_Restructuring_Separation_TAX_JuneFC2010 tf_II.8. Sep&amp;Discrete_Guidance_Sheet1" xfId="7047"/>
    <cellStyle name="_MOR - BDWY - 1+11_MOR - Gurgaon - 3+9(R)_Restructuring_Separation_TAX_JuneFC2010 tf_II.8. Sep&amp;Discrete_Guidance_Sheet2" xfId="7048"/>
    <cellStyle name="_MOR - BDWY - 1+11_MOR - Gurgaon - 3+9(R)_Restructuring_Separation_TAX_JuneFC2010 tf_II.8. Sep&amp;Discrete_Guidance_Sheet3" xfId="7049"/>
    <cellStyle name="_MOR - BDWY - 1+11_MOR - Gurgaon - 3+9(R)_Restructuring_Separation_TAX_JuneFC2010 tf_II.8. Sep&amp;Discrete_Guidance_Sheet4" xfId="7050"/>
    <cellStyle name="_MOR - BDWY - 1+11_MOR - Gurgaon - 3+9(R)_Restructuring_Separation_TAX_JuneFC2010 tf_Restructuring &amp; Separation" xfId="7051"/>
    <cellStyle name="_MOR - BDWY - 1+11_MOR - Gurgaon - 3+9(R)_Restructuring_Separation_TAX_JuneFC2010 tf_Restructuring &amp; Separation_Guidance" xfId="7052"/>
    <cellStyle name="_MOR - BDWY - 1+11_MOR - Gurgaon - 3+9(R)_Restructuring_Separation_TAX_JuneFC2010 tf_Restructuring &amp; Separation_Guidance 2" xfId="7053"/>
    <cellStyle name="_MOR - BDWY - 1+11_MOR - Gurgaon - 3+9(R)_Restructuring_Separation_TAX_JuneFC2010 tf_Restructuring &amp; Separation_Guidance_BS retrieve" xfId="7054"/>
    <cellStyle name="_MOR - BDWY - 1+11_MOR - Gurgaon - 3+9(R)_Restructuring_Separation_TAX_JuneFC2010 tf_Restructuring &amp; Separation_Guidance_Free CF" xfId="7055"/>
    <cellStyle name="_MOR - BDWY - 1+11_MOR - Gurgaon - 3+9(R)_Restructuring_Separation_TAX_JuneFC2010 tf_Restructuring &amp; Separation_Guidance_P&amp;L Rec Qtr" xfId="7056"/>
    <cellStyle name="_MOR - BDWY - 1+11_MOR - Gurgaon - 3+9(R)_Restructuring_Separation_TAX_JuneFC2010 tf_Restructuring &amp; Separation_Guidance_Sheet1" xfId="7057"/>
    <cellStyle name="_MOR - BDWY - 1+11_MOR - Gurgaon - 3+9(R)_Restructuring_Separation_TAX_JuneFC2010 tf_Restructuring &amp; Separation_Guidance_Sheet2" xfId="7058"/>
    <cellStyle name="_MOR - BDWY - 1+11_MOR - Gurgaon - 3+9(R)_Restructuring_Separation_TAX_JuneFC2010 tf_Restructuring &amp; Separation_Guidance_Sheet3" xfId="7059"/>
    <cellStyle name="_MOR - BDWY - 1+11_MOR - Gurgaon - 3+9(R)_Restructuring_Separation_TAX_JuneFC2010 tf_Restructuring &amp; Separation_Guidance_Sheet4" xfId="7060"/>
    <cellStyle name="_MOR - BDWY - 1+11_MOR - Gurgaon - 3+9(R)_Revised MOR Package" xfId="7061"/>
    <cellStyle name="_MOR - BDWY - 1+11_MOR - Gurgaon - 3+9(R)_Revised MOR Package_~0039877" xfId="7062"/>
    <cellStyle name="_MOR - BDWY - 1+11_MOR - Gurgaon - 3+9(R)_Revised MOR Package_~0039877_BS_Separation_TaxResIndem_Q12412 tf" xfId="7063"/>
    <cellStyle name="_MOR - BDWY - 1+11_MOR - Gurgaon - 3+9(R)_Revised MOR Package_~0039877_BS_Separation_TaxResIndem_Q12412 tf_Guidance" xfId="7064"/>
    <cellStyle name="_MOR - BDWY - 1+11_MOR - Gurgaon - 3+9(R)_Revised MOR Package_~0039877_BS_Separation_TaxResIndem_Q12412 tf_Guidance 2" xfId="7065"/>
    <cellStyle name="_MOR - BDWY - 1+11_MOR - Gurgaon - 3+9(R)_Revised MOR Package_~0039877_BS_Separation_TaxResIndem_Q12412 tf_Guidance_BS retrieve" xfId="7066"/>
    <cellStyle name="_MOR - BDWY - 1+11_MOR - Gurgaon - 3+9(R)_Revised MOR Package_~0039877_BS_Separation_TaxResIndem_Q12412 tf_Guidance_Free CF" xfId="7067"/>
    <cellStyle name="_MOR - BDWY - 1+11_MOR - Gurgaon - 3+9(R)_Revised MOR Package_~0039877_BS_Separation_TaxResIndem_Q12412 tf_Guidance_P&amp;L Rec Qtr" xfId="7068"/>
    <cellStyle name="_MOR - BDWY - 1+11_MOR - Gurgaon - 3+9(R)_Revised MOR Package_~0039877_BS_Separation_TaxResIndem_Q12412 tf_Guidance_Sheet1" xfId="7069"/>
    <cellStyle name="_MOR - BDWY - 1+11_MOR - Gurgaon - 3+9(R)_Revised MOR Package_~0039877_BS_Separation_TaxResIndem_Q12412 tf_Guidance_Sheet2" xfId="7070"/>
    <cellStyle name="_MOR - BDWY - 1+11_MOR - Gurgaon - 3+9(R)_Revised MOR Package_~0039877_BS_Separation_TaxResIndem_Q12412 tf_Guidance_Sheet3" xfId="7071"/>
    <cellStyle name="_MOR - BDWY - 1+11_MOR - Gurgaon - 3+9(R)_Revised MOR Package_~0039877_BS_Separation_TaxResIndem_Q12412 tf_Guidance_Sheet4" xfId="7072"/>
    <cellStyle name="_MOR - BDWY - 1+11_MOR - Gurgaon - 3+9(R)_Revised MOR Package_~0039877_BS_Separation_TaxResIndem_Q12412 tf_Restructuring &amp; Separation" xfId="7073"/>
    <cellStyle name="_MOR - BDWY - 1+11_MOR - Gurgaon - 3+9(R)_Revised MOR Package_~0039877_BS_Separation_TaxResIndem_Q12412 tf_Restructuring &amp; Separation_Guidance" xfId="7074"/>
    <cellStyle name="_MOR - BDWY - 1+11_MOR - Gurgaon - 3+9(R)_Revised MOR Package_~0039877_BS_Separation_TaxResIndem_Q12412 tf_Restructuring &amp; Separation_Guidance 2" xfId="7075"/>
    <cellStyle name="_MOR - BDWY - 1+11_MOR - Gurgaon - 3+9(R)_Revised MOR Package_~0039877_BS_Separation_TaxResIndem_Q12412 tf_Restructuring &amp; Separation_Guidance_BS retrieve" xfId="7076"/>
    <cellStyle name="_MOR - BDWY - 1+11_MOR - Gurgaon - 3+9(R)_Revised MOR Package_~0039877_BS_Separation_TaxResIndem_Q12412 tf_Restructuring &amp; Separation_Guidance_Free CF" xfId="7077"/>
    <cellStyle name="_MOR - BDWY - 1+11_MOR - Gurgaon - 3+9(R)_Revised MOR Package_~0039877_BS_Separation_TaxResIndem_Q12412 tf_Restructuring &amp; Separation_Guidance_P&amp;L Rec Qtr" xfId="7078"/>
    <cellStyle name="_MOR - BDWY - 1+11_MOR - Gurgaon - 3+9(R)_Revised MOR Package_~0039877_BS_Separation_TaxResIndem_Q12412 tf_Restructuring &amp; Separation_Guidance_Sheet1" xfId="7079"/>
    <cellStyle name="_MOR - BDWY - 1+11_MOR - Gurgaon - 3+9(R)_Revised MOR Package_~0039877_BS_Separation_TaxResIndem_Q12412 tf_Restructuring &amp; Separation_Guidance_Sheet2" xfId="7080"/>
    <cellStyle name="_MOR - BDWY - 1+11_MOR - Gurgaon - 3+9(R)_Revised MOR Package_~0039877_BS_Separation_TaxResIndem_Q12412 tf_Restructuring &amp; Separation_Guidance_Sheet3" xfId="7081"/>
    <cellStyle name="_MOR - BDWY - 1+11_MOR - Gurgaon - 3+9(R)_Revised MOR Package_~0039877_BS_Separation_TaxResIndem_Q12412 tf_Restructuring &amp; Separation_Guidance_Sheet4" xfId="7082"/>
    <cellStyle name="_MOR - BDWY - 1+11_MOR - Gurgaon - 3+9(R)_Revised MOR Package_~0039877_By Country Detail 1Q10 041410pm FIN 18 revised per disc w Mary" xfId="7083"/>
    <cellStyle name="_MOR - BDWY - 1+11_MOR - Gurgaon - 3+9(R)_Revised MOR Package_~0039877_By Country Detail 1Q10 041410pm FIN 18 revised per disc w Mary_BS_Separation_TaxResIndem_Q12412 tf" xfId="7084"/>
    <cellStyle name="_MOR - BDWY - 1+11_MOR - Gurgaon - 3+9(R)_Revised MOR Package_~0039877_By Country Detail 1Q10 041410pm FIN 18 revised per disc w Mary_BS_Separation_TaxResIndem_Q12412 tf_Guidance" xfId="7085"/>
    <cellStyle name="_MOR - BDWY - 1+11_MOR - Gurgaon - 3+9(R)_Revised MOR Package_~0039877_By Country Detail 1Q10 041410pm FIN 18 revised per disc w Mary_BS_Separation_TaxResIndem_Q12412 tf_Guidance 2" xfId="7086"/>
    <cellStyle name="_MOR - BDWY - 1+11_MOR - Gurgaon - 3+9(R)_Revised MOR Package_~0039877_By Country Detail 1Q10 041410pm FIN 18 revised per disc w Mary_BS_Separation_TaxResIndem_Q12412 tf_Guidance_BS retrieve" xfId="7087"/>
    <cellStyle name="_MOR - BDWY - 1+11_MOR - Gurgaon - 3+9(R)_Revised MOR Package_~0039877_By Country Detail 1Q10 041410pm FIN 18 revised per disc w Mary_BS_Separation_TaxResIndem_Q12412 tf_Guidance_Free CF" xfId="7088"/>
    <cellStyle name="_MOR - BDWY - 1+11_MOR - Gurgaon - 3+9(R)_Revised MOR Package_~0039877_By Country Detail 1Q10 041410pm FIN 18 revised per disc w Mary_BS_Separation_TaxResIndem_Q12412 tf_Guidance_P&amp;L Rec Qtr" xfId="7089"/>
    <cellStyle name="_MOR - BDWY - 1+11_MOR - Gurgaon - 3+9(R)_Revised MOR Package_~0039877_By Country Detail 1Q10 041410pm FIN 18 revised per disc w Mary_BS_Separation_TaxResIndem_Q12412 tf_Guidance_Sheet1" xfId="7090"/>
    <cellStyle name="_MOR - BDWY - 1+11_MOR - Gurgaon - 3+9(R)_Revised MOR Package_~0039877_By Country Detail 1Q10 041410pm FIN 18 revised per disc w Mary_BS_Separation_TaxResIndem_Q12412 tf_Guidance_Sheet2" xfId="7091"/>
    <cellStyle name="_MOR - BDWY - 1+11_MOR - Gurgaon - 3+9(R)_Revised MOR Package_~0039877_By Country Detail 1Q10 041410pm FIN 18 revised per disc w Mary_BS_Separation_TaxResIndem_Q12412 tf_Guidance_Sheet3" xfId="7092"/>
    <cellStyle name="_MOR - BDWY - 1+11_MOR - Gurgaon - 3+9(R)_Revised MOR Package_~0039877_By Country Detail 1Q10 041410pm FIN 18 revised per disc w Mary_BS_Separation_TaxResIndem_Q12412 tf_Guidance_Sheet4" xfId="7093"/>
    <cellStyle name="_MOR - BDWY - 1+11_MOR - Gurgaon - 3+9(R)_Revised MOR Package_~0039877_By Country Detail 1Q10 041410pm FIN 18 revised per disc w Mary_BS_Separation_TaxResIndem_Q12412 tf_Restructuring &amp; Separation" xfId="7094"/>
    <cellStyle name="_MOR - BDWY - 1+11_MOR - Gurgaon - 3+9(R)_Revised MOR Package_~0039877_By Country Detail 1Q10 041410pm FIN 18 revised per disc w Mary_BS_Separation_TaxResIndem_Q12412 tf_Restructuring &amp; Separation_Guidance" xfId="7095"/>
    <cellStyle name="_MOR - BDWY - 1+11_MOR - Gurgaon - 3+9(R)_Revised MOR Package_~0039877_By Country Detail 1Q10 041410pm FIN 18 revised per disc w Mary_BS_Separation_TaxResIndem_Q12412 tf_Restructuring &amp; Separation_Guidance 2" xfId="7096"/>
    <cellStyle name="_MOR - BDWY - 1+11_MOR - Gurgaon - 3+9(R)_Revised MOR Package_~0039877_By Country Detail 1Q10 041410pm FIN 18 revised per disc w Mary_BS_Separation_TaxResIndem_Q12412 tf_Restructuring &amp; Separation_Guidance_BS retrieve" xfId="7097"/>
    <cellStyle name="_MOR - BDWY - 1+11_MOR - Gurgaon - 3+9(R)_Revised MOR Package_~0039877_By Country Detail 1Q10 041410pm FIN 18 revised per disc w Mary_BS_Separation_TaxResIndem_Q12412 tf_Restructuring &amp; Separation_Guidance_Free CF" xfId="7098"/>
    <cellStyle name="_MOR - BDWY - 1+11_MOR - Gurgaon - 3+9(R)_Revised MOR Package_~0039877_By Country Detail 1Q10 041410pm FIN 18 revised per disc w Mary_BS_Separation_TaxResIndem_Q12412 tf_Restructuring &amp; Separation_Guidance_P&amp;L Rec Qtr" xfId="7099"/>
    <cellStyle name="_MOR - BDWY - 1+11_MOR - Gurgaon - 3+9(R)_Revised MOR Package_~0039877_By Country Detail 1Q10 041410pm FIN 18 revised per disc w Mary_BS_Separation_TaxResIndem_Q12412 tf_Restructuring &amp; Separation_Guidance_Sheet1" xfId="7100"/>
    <cellStyle name="_MOR - BDWY - 1+11_MOR - Gurgaon - 3+9(R)_Revised MOR Package_~0039877_By Country Detail 1Q10 041410pm FIN 18 revised per disc w Mary_BS_Separation_TaxResIndem_Q12412 tf_Restructuring &amp; Separation_Guidance_Sheet2" xfId="7101"/>
    <cellStyle name="_MOR - BDWY - 1+11_MOR - Gurgaon - 3+9(R)_Revised MOR Package_~0039877_By Country Detail 1Q10 041410pm FIN 18 revised per disc w Mary_BS_Separation_TaxResIndem_Q12412 tf_Restructuring &amp; Separation_Guidance_Sheet3" xfId="7102"/>
    <cellStyle name="_MOR - BDWY - 1+11_MOR - Gurgaon - 3+9(R)_Revised MOR Package_~0039877_By Country Detail 1Q10 041410pm FIN 18 revised per disc w Mary_BS_Separation_TaxResIndem_Q12412 tf_Restructuring &amp; Separation_Guidance_Sheet4" xfId="7103"/>
    <cellStyle name="_MOR - BDWY - 1+11_MOR - Gurgaon - 3+9(R)_Revised MOR Package_~0039877_By Country Detail 1Q10 041410pm FIN 18 revised per disc w Mary_Guidance" xfId="7104"/>
    <cellStyle name="_MOR - BDWY - 1+11_MOR - Gurgaon - 3+9(R)_Revised MOR Package_~0039877_By Country Detail 1Q10 041410pm FIN 18 revised per disc w Mary_Guidance 2" xfId="7105"/>
    <cellStyle name="_MOR - BDWY - 1+11_MOR - Gurgaon - 3+9(R)_Revised MOR Package_~0039877_By Country Detail 1Q10 041410pm FIN 18 revised per disc w Mary_Guidance_BS retrieve" xfId="7106"/>
    <cellStyle name="_MOR - BDWY - 1+11_MOR - Gurgaon - 3+9(R)_Revised MOR Package_~0039877_By Country Detail 1Q10 041410pm FIN 18 revised per disc w Mary_Guidance_Free CF" xfId="7107"/>
    <cellStyle name="_MOR - BDWY - 1+11_MOR - Gurgaon - 3+9(R)_Revised MOR Package_~0039877_By Country Detail 1Q10 041410pm FIN 18 revised per disc w Mary_Guidance_P&amp;L Rec Qtr" xfId="7108"/>
    <cellStyle name="_MOR - BDWY - 1+11_MOR - Gurgaon - 3+9(R)_Revised MOR Package_~0039877_By Country Detail 1Q10 041410pm FIN 18 revised per disc w Mary_Guidance_Sheet1" xfId="7109"/>
    <cellStyle name="_MOR - BDWY - 1+11_MOR - Gurgaon - 3+9(R)_Revised MOR Package_~0039877_By Country Detail 1Q10 041410pm FIN 18 revised per disc w Mary_Guidance_Sheet2" xfId="7110"/>
    <cellStyle name="_MOR - BDWY - 1+11_MOR - Gurgaon - 3+9(R)_Revised MOR Package_~0039877_By Country Detail 1Q10 041410pm FIN 18 revised per disc w Mary_Guidance_Sheet3" xfId="7111"/>
    <cellStyle name="_MOR - BDWY - 1+11_MOR - Gurgaon - 3+9(R)_Revised MOR Package_~0039877_By Country Detail 1Q10 041410pm FIN 18 revised per disc w Mary_Guidance_Sheet4" xfId="7112"/>
    <cellStyle name="_MOR - BDWY - 1+11_MOR - Gurgaon - 3+9(R)_Revised MOR Package_~0039877_By Country Detail 1Q10 041410pm FIN 18 revised per disc w Mary_II.8. Sep&amp;Discrete" xfId="7113"/>
    <cellStyle name="_MOR - BDWY - 1+11_MOR - Gurgaon - 3+9(R)_Revised MOR Package_~0039877_By Country Detail 1Q10 041410pm FIN 18 revised per disc w Mary_II.8. Sep&amp;Discrete_Guidance" xfId="7114"/>
    <cellStyle name="_MOR - BDWY - 1+11_MOR - Gurgaon - 3+9(R)_Revised MOR Package_~0039877_By Country Detail 1Q10 041410pm FIN 18 revised per disc w Mary_II.8. Sep&amp;Discrete_Guidance 2" xfId="7115"/>
    <cellStyle name="_MOR - BDWY - 1+11_MOR - Gurgaon - 3+9(R)_Revised MOR Package_~0039877_By Country Detail 1Q10 041410pm FIN 18 revised per disc w Mary_II.8. Sep&amp;Discrete_Guidance_BS retrieve" xfId="7116"/>
    <cellStyle name="_MOR - BDWY - 1+11_MOR - Gurgaon - 3+9(R)_Revised MOR Package_~0039877_By Country Detail 1Q10 041410pm FIN 18 revised per disc w Mary_II.8. Sep&amp;Discrete_Guidance_Free CF" xfId="7117"/>
    <cellStyle name="_MOR - BDWY - 1+11_MOR - Gurgaon - 3+9(R)_Revised MOR Package_~0039877_By Country Detail 1Q10 041410pm FIN 18 revised per disc w Mary_II.8. Sep&amp;Discrete_Guidance_P&amp;L Rec Qtr" xfId="7118"/>
    <cellStyle name="_MOR - BDWY - 1+11_MOR - Gurgaon - 3+9(R)_Revised MOR Package_~0039877_By Country Detail 1Q10 041410pm FIN 18 revised per disc w Mary_II.8. Sep&amp;Discrete_Guidance_Sheet1" xfId="7119"/>
    <cellStyle name="_MOR - BDWY - 1+11_MOR - Gurgaon - 3+9(R)_Revised MOR Package_~0039877_By Country Detail 1Q10 041410pm FIN 18 revised per disc w Mary_II.8. Sep&amp;Discrete_Guidance_Sheet2" xfId="7120"/>
    <cellStyle name="_MOR - BDWY - 1+11_MOR - Gurgaon - 3+9(R)_Revised MOR Package_~0039877_By Country Detail 1Q10 041410pm FIN 18 revised per disc w Mary_II.8. Sep&amp;Discrete_Guidance_Sheet3" xfId="7121"/>
    <cellStyle name="_MOR - BDWY - 1+11_MOR - Gurgaon - 3+9(R)_Revised MOR Package_~0039877_By Country Detail 1Q10 041410pm FIN 18 revised per disc w Mary_II.8. Sep&amp;Discrete_Guidance_Sheet4" xfId="7122"/>
    <cellStyle name="_MOR - BDWY - 1+11_MOR - Gurgaon - 3+9(R)_Revised MOR Package_~0039877_By Country Detail 1Q10 041410pm FIN 18 revised per disc w Mary_Restructuring &amp; Separation" xfId="7123"/>
    <cellStyle name="_MOR - BDWY - 1+11_MOR - Gurgaon - 3+9(R)_Revised MOR Package_~0039877_By Country Detail 1Q10 041410pm FIN 18 revised per disc w Mary_Restructuring &amp; Separation_Guidance" xfId="7124"/>
    <cellStyle name="_MOR - BDWY - 1+11_MOR - Gurgaon - 3+9(R)_Revised MOR Package_~0039877_By Country Detail 1Q10 041410pm FIN 18 revised per disc w Mary_Restructuring &amp; Separation_Guidance 2" xfId="7125"/>
    <cellStyle name="_MOR - BDWY - 1+11_MOR - Gurgaon - 3+9(R)_Revised MOR Package_~0039877_By Country Detail 1Q10 041410pm FIN 18 revised per disc w Mary_Restructuring &amp; Separation_Guidance_BS retrieve" xfId="7126"/>
    <cellStyle name="_MOR - BDWY - 1+11_MOR - Gurgaon - 3+9(R)_Revised MOR Package_~0039877_By Country Detail 1Q10 041410pm FIN 18 revised per disc w Mary_Restructuring &amp; Separation_Guidance_Free CF" xfId="7127"/>
    <cellStyle name="_MOR - BDWY - 1+11_MOR - Gurgaon - 3+9(R)_Revised MOR Package_~0039877_By Country Detail 1Q10 041410pm FIN 18 revised per disc w Mary_Restructuring &amp; Separation_Guidance_P&amp;L Rec Qtr" xfId="7128"/>
    <cellStyle name="_MOR - BDWY - 1+11_MOR - Gurgaon - 3+9(R)_Revised MOR Package_~0039877_By Country Detail 1Q10 041410pm FIN 18 revised per disc w Mary_Restructuring &amp; Separation_Guidance_Sheet1" xfId="7129"/>
    <cellStyle name="_MOR - BDWY - 1+11_MOR - Gurgaon - 3+9(R)_Revised MOR Package_~0039877_By Country Detail 1Q10 041410pm FIN 18 revised per disc w Mary_Restructuring &amp; Separation_Guidance_Sheet2" xfId="7130"/>
    <cellStyle name="_MOR - BDWY - 1+11_MOR - Gurgaon - 3+9(R)_Revised MOR Package_~0039877_By Country Detail 1Q10 041410pm FIN 18 revised per disc w Mary_Restructuring &amp; Separation_Guidance_Sheet3" xfId="7131"/>
    <cellStyle name="_MOR - BDWY - 1+11_MOR - Gurgaon - 3+9(R)_Revised MOR Package_~0039877_By Country Detail 1Q10 041410pm FIN 18 revised per disc w Mary_Restructuring &amp; Separation_Guidance_Sheet4" xfId="7132"/>
    <cellStyle name="_MOR - BDWY - 1+11_MOR - Gurgaon - 3+9(R)_Revised MOR Package_~0039877_Guidance" xfId="7133"/>
    <cellStyle name="_MOR - BDWY - 1+11_MOR - Gurgaon - 3+9(R)_Revised MOR Package_~0039877_Guidance 2" xfId="7134"/>
    <cellStyle name="_MOR - BDWY - 1+11_MOR - Gurgaon - 3+9(R)_Revised MOR Package_~0039877_Guidance_BS retrieve" xfId="7135"/>
    <cellStyle name="_MOR - BDWY - 1+11_MOR - Gurgaon - 3+9(R)_Revised MOR Package_~0039877_Guidance_Free CF" xfId="7136"/>
    <cellStyle name="_MOR - BDWY - 1+11_MOR - Gurgaon - 3+9(R)_Revised MOR Package_~0039877_Guidance_P&amp;L Rec Qtr" xfId="7137"/>
    <cellStyle name="_MOR - BDWY - 1+11_MOR - Gurgaon - 3+9(R)_Revised MOR Package_~0039877_Guidance_Sheet1" xfId="7138"/>
    <cellStyle name="_MOR - BDWY - 1+11_MOR - Gurgaon - 3+9(R)_Revised MOR Package_~0039877_Guidance_Sheet2" xfId="7139"/>
    <cellStyle name="_MOR - BDWY - 1+11_MOR - Gurgaon - 3+9(R)_Revised MOR Package_~0039877_Guidance_Sheet3" xfId="7140"/>
    <cellStyle name="_MOR - BDWY - 1+11_MOR - Gurgaon - 3+9(R)_Revised MOR Package_~0039877_Guidance_Sheet4" xfId="7141"/>
    <cellStyle name="_MOR - BDWY - 1+11_MOR - Gurgaon - 3+9(R)_Revised MOR Package_~0039877_II.4. RawMaterials" xfId="7142"/>
    <cellStyle name="_MOR - BDWY - 1+11_MOR - Gurgaon - 3+9(R)_Revised MOR Package_~0039877_II.4. RawMaterials 2" xfId="7143"/>
    <cellStyle name="_MOR - BDWY - 1+11_MOR - Gurgaon - 3+9(R)_Revised MOR Package_~0039877_II.4. RawMaterials_BS retrieve" xfId="7144"/>
    <cellStyle name="_MOR - BDWY - 1+11_MOR - Gurgaon - 3+9(R)_Revised MOR Package_~0039877_II.4. RawMaterials_Free CF" xfId="7145"/>
    <cellStyle name="_MOR - BDWY - 1+11_MOR - Gurgaon - 3+9(R)_Revised MOR Package_~0039877_II.4. RawMaterials_P&amp;L Rec Qtr" xfId="7146"/>
    <cellStyle name="_MOR - BDWY - 1+11_MOR - Gurgaon - 3+9(R)_Revised MOR Package_~0039877_II.4. RawMaterials_Sheet1" xfId="7147"/>
    <cellStyle name="_MOR - BDWY - 1+11_MOR - Gurgaon - 3+9(R)_Revised MOR Package_~0039877_II.4. RawMaterials_Sheet2" xfId="7148"/>
    <cellStyle name="_MOR - BDWY - 1+11_MOR - Gurgaon - 3+9(R)_Revised MOR Package_~0039877_II.4. RawMaterials_Sheet3" xfId="7149"/>
    <cellStyle name="_MOR - BDWY - 1+11_MOR - Gurgaon - 3+9(R)_Revised MOR Package_~0039877_II.4. RawMaterials_Sheet4" xfId="7150"/>
    <cellStyle name="_MOR - BDWY - 1+11_MOR - Gurgaon - 3+9(R)_Revised MOR Package_~0039877_II.5. RawMaterials" xfId="7151"/>
    <cellStyle name="_MOR - BDWY - 1+11_MOR - Gurgaon - 3+9(R)_Revised MOR Package_~0039877_II.5. RawMaterials 2" xfId="7152"/>
    <cellStyle name="_MOR - BDWY - 1+11_MOR - Gurgaon - 3+9(R)_Revised MOR Package_~0039877_II.5. RawMaterials_BS retrieve" xfId="7153"/>
    <cellStyle name="_MOR - BDWY - 1+11_MOR - Gurgaon - 3+9(R)_Revised MOR Package_~0039877_II.5. RawMaterials_Free CF" xfId="7154"/>
    <cellStyle name="_MOR - BDWY - 1+11_MOR - Gurgaon - 3+9(R)_Revised MOR Package_~0039877_II.5. RawMaterials_Guidance" xfId="7155"/>
    <cellStyle name="_MOR - BDWY - 1+11_MOR - Gurgaon - 3+9(R)_Revised MOR Package_~0039877_II.5. RawMaterials_Guidance 2" xfId="7156"/>
    <cellStyle name="_MOR - BDWY - 1+11_MOR - Gurgaon - 3+9(R)_Revised MOR Package_~0039877_II.5. RawMaterials_Guidance_BS retrieve" xfId="7157"/>
    <cellStyle name="_MOR - BDWY - 1+11_MOR - Gurgaon - 3+9(R)_Revised MOR Package_~0039877_II.5. RawMaterials_Guidance_Free CF" xfId="7158"/>
    <cellStyle name="_MOR - BDWY - 1+11_MOR - Gurgaon - 3+9(R)_Revised MOR Package_~0039877_II.5. RawMaterials_Guidance_P&amp;L Rec Qtr" xfId="7159"/>
    <cellStyle name="_MOR - BDWY - 1+11_MOR - Gurgaon - 3+9(R)_Revised MOR Package_~0039877_II.5. RawMaterials_Guidance_Sheet1" xfId="7160"/>
    <cellStyle name="_MOR - BDWY - 1+11_MOR - Gurgaon - 3+9(R)_Revised MOR Package_~0039877_II.5. RawMaterials_Guidance_Sheet2" xfId="7161"/>
    <cellStyle name="_MOR - BDWY - 1+11_MOR - Gurgaon - 3+9(R)_Revised MOR Package_~0039877_II.5. RawMaterials_Guidance_Sheet3" xfId="7162"/>
    <cellStyle name="_MOR - BDWY - 1+11_MOR - Gurgaon - 3+9(R)_Revised MOR Package_~0039877_II.5. RawMaterials_Guidance_Sheet4" xfId="7163"/>
    <cellStyle name="_MOR - BDWY - 1+11_MOR - Gurgaon - 3+9(R)_Revised MOR Package_~0039877_II.5. RawMaterials_P&amp;L Rec Qtr" xfId="7164"/>
    <cellStyle name="_MOR - BDWY - 1+11_MOR - Gurgaon - 3+9(R)_Revised MOR Package_~0039877_II.5. RawMaterials_Sheet1" xfId="7165"/>
    <cellStyle name="_MOR - BDWY - 1+11_MOR - Gurgaon - 3+9(R)_Revised MOR Package_~0039877_II.5. RawMaterials_Sheet2" xfId="7166"/>
    <cellStyle name="_MOR - BDWY - 1+11_MOR - Gurgaon - 3+9(R)_Revised MOR Package_~0039877_II.5. RawMaterials_Sheet3" xfId="7167"/>
    <cellStyle name="_MOR - BDWY - 1+11_MOR - Gurgaon - 3+9(R)_Revised MOR Package_~0039877_II.5. RawMaterials_Sheet4" xfId="7168"/>
    <cellStyle name="_MOR - BDWY - 1+11_MOR - Gurgaon - 3+9(R)_Revised MOR Package_~0039877_II.5. RM Volume Sensitivities" xfId="7169"/>
    <cellStyle name="_MOR - BDWY - 1+11_MOR - Gurgaon - 3+9(R)_Revised MOR Package_~0039877_II.5. RM Volume Sensitivities 2" xfId="7170"/>
    <cellStyle name="_MOR - BDWY - 1+11_MOR - Gurgaon - 3+9(R)_Revised MOR Package_~0039877_II.5. RM Volume Sensitivities_BS retrieve" xfId="7171"/>
    <cellStyle name="_MOR - BDWY - 1+11_MOR - Gurgaon - 3+9(R)_Revised MOR Package_~0039877_II.5. RM Volume Sensitivities_Free CF" xfId="7172"/>
    <cellStyle name="_MOR - BDWY - 1+11_MOR - Gurgaon - 3+9(R)_Revised MOR Package_~0039877_II.5. RM Volume Sensitivities_P&amp;L Rec Qtr" xfId="7173"/>
    <cellStyle name="_MOR - BDWY - 1+11_MOR - Gurgaon - 3+9(R)_Revised MOR Package_~0039877_II.5. RM Volume Sensitivities_Sheet1" xfId="7174"/>
    <cellStyle name="_MOR - BDWY - 1+11_MOR - Gurgaon - 3+9(R)_Revised MOR Package_~0039877_II.5. RM Volume Sensitivities_Sheet2" xfId="7175"/>
    <cellStyle name="_MOR - BDWY - 1+11_MOR - Gurgaon - 3+9(R)_Revised MOR Package_~0039877_II.5. RM Volume Sensitivities_Sheet3" xfId="7176"/>
    <cellStyle name="_MOR - BDWY - 1+11_MOR - Gurgaon - 3+9(R)_Revised MOR Package_~0039877_II.5. RM Volume Sensitivities_Sheet4" xfId="7177"/>
    <cellStyle name="_MOR - BDWY - 1+11_MOR - Gurgaon - 3+9(R)_Revised MOR Package_~0039877_II.8. Sep&amp;Discrete" xfId="7178"/>
    <cellStyle name="_MOR - BDWY - 1+11_MOR - Gurgaon - 3+9(R)_Revised MOR Package_~0039877_II.8. Sep&amp;Discrete_Guidance" xfId="7179"/>
    <cellStyle name="_MOR - BDWY - 1+11_MOR - Gurgaon - 3+9(R)_Revised MOR Package_~0039877_II.8. Sep&amp;Discrete_Guidance 2" xfId="7180"/>
    <cellStyle name="_MOR - BDWY - 1+11_MOR - Gurgaon - 3+9(R)_Revised MOR Package_~0039877_II.8. Sep&amp;Discrete_Guidance_BS retrieve" xfId="7181"/>
    <cellStyle name="_MOR - BDWY - 1+11_MOR - Gurgaon - 3+9(R)_Revised MOR Package_~0039877_II.8. Sep&amp;Discrete_Guidance_Free CF" xfId="7182"/>
    <cellStyle name="_MOR - BDWY - 1+11_MOR - Gurgaon - 3+9(R)_Revised MOR Package_~0039877_II.8. Sep&amp;Discrete_Guidance_P&amp;L Rec Qtr" xfId="7183"/>
    <cellStyle name="_MOR - BDWY - 1+11_MOR - Gurgaon - 3+9(R)_Revised MOR Package_~0039877_II.8. Sep&amp;Discrete_Guidance_Sheet1" xfId="7184"/>
    <cellStyle name="_MOR - BDWY - 1+11_MOR - Gurgaon - 3+9(R)_Revised MOR Package_~0039877_II.8. Sep&amp;Discrete_Guidance_Sheet2" xfId="7185"/>
    <cellStyle name="_MOR - BDWY - 1+11_MOR - Gurgaon - 3+9(R)_Revised MOR Package_~0039877_II.8. Sep&amp;Discrete_Guidance_Sheet3" xfId="7186"/>
    <cellStyle name="_MOR - BDWY - 1+11_MOR - Gurgaon - 3+9(R)_Revised MOR Package_~0039877_II.8. Sep&amp;Discrete_Guidance_Sheet4" xfId="7187"/>
    <cellStyle name="_MOR - BDWY - 1+11_MOR - Gurgaon - 3+9(R)_Revised MOR Package_~0039877_Restructuring &amp; Separation" xfId="7188"/>
    <cellStyle name="_MOR - BDWY - 1+11_MOR - Gurgaon - 3+9(R)_Revised MOR Package_~0039877_Restructuring &amp; Separation_Guidance" xfId="7189"/>
    <cellStyle name="_MOR - BDWY - 1+11_MOR - Gurgaon - 3+9(R)_Revised MOR Package_~0039877_Restructuring &amp; Separation_Guidance 2" xfId="7190"/>
    <cellStyle name="_MOR - BDWY - 1+11_MOR - Gurgaon - 3+9(R)_Revised MOR Package_~0039877_Restructuring &amp; Separation_Guidance_BS retrieve" xfId="7191"/>
    <cellStyle name="_MOR - BDWY - 1+11_MOR - Gurgaon - 3+9(R)_Revised MOR Package_~0039877_Restructuring &amp; Separation_Guidance_Free CF" xfId="7192"/>
    <cellStyle name="_MOR - BDWY - 1+11_MOR - Gurgaon - 3+9(R)_Revised MOR Package_~0039877_Restructuring &amp; Separation_Guidance_P&amp;L Rec Qtr" xfId="7193"/>
    <cellStyle name="_MOR - BDWY - 1+11_MOR - Gurgaon - 3+9(R)_Revised MOR Package_~0039877_Restructuring &amp; Separation_Guidance_Sheet1" xfId="7194"/>
    <cellStyle name="_MOR - BDWY - 1+11_MOR - Gurgaon - 3+9(R)_Revised MOR Package_~0039877_Restructuring &amp; Separation_Guidance_Sheet2" xfId="7195"/>
    <cellStyle name="_MOR - BDWY - 1+11_MOR - Gurgaon - 3+9(R)_Revised MOR Package_~0039877_Restructuring &amp; Separation_Guidance_Sheet3" xfId="7196"/>
    <cellStyle name="_MOR - BDWY - 1+11_MOR - Gurgaon - 3+9(R)_Revised MOR Package_~0039877_Restructuring &amp; Separation_Guidance_Sheet4" xfId="7197"/>
    <cellStyle name="_MOR - BDWY - 1+11_MOR - Gurgaon - 3+9(R)_Revised MOR Package_~0039877_Restructuring_Separation_TAX_JuneFC2010 tf" xfId="7198"/>
    <cellStyle name="_MOR - BDWY - 1+11_MOR - Gurgaon - 3+9(R)_Revised MOR Package_~0039877_Restructuring_Separation_TAX_JuneFC2010 tf_BS_Separation_TaxResIndem_Q12412 tf" xfId="7199"/>
    <cellStyle name="_MOR - BDWY - 1+11_MOR - Gurgaon - 3+9(R)_Revised MOR Package_~0039877_Restructuring_Separation_TAX_JuneFC2010 tf_BS_Separation_TaxResIndem_Q12412 tf_Guidance" xfId="7200"/>
    <cellStyle name="_MOR - BDWY - 1+11_MOR - Gurgaon - 3+9(R)_Revised MOR Package_~0039877_Restructuring_Separation_TAX_JuneFC2010 tf_BS_Separation_TaxResIndem_Q12412 tf_Guidance 2" xfId="7201"/>
    <cellStyle name="_MOR - BDWY - 1+11_MOR - Gurgaon - 3+9(R)_Revised MOR Package_~0039877_Restructuring_Separation_TAX_JuneFC2010 tf_BS_Separation_TaxResIndem_Q12412 tf_Guidance_BS retrieve" xfId="7202"/>
    <cellStyle name="_MOR - BDWY - 1+11_MOR - Gurgaon - 3+9(R)_Revised MOR Package_~0039877_Restructuring_Separation_TAX_JuneFC2010 tf_BS_Separation_TaxResIndem_Q12412 tf_Guidance_Free CF" xfId="7203"/>
    <cellStyle name="_MOR - BDWY - 1+11_MOR - Gurgaon - 3+9(R)_Revised MOR Package_~0039877_Restructuring_Separation_TAX_JuneFC2010 tf_BS_Separation_TaxResIndem_Q12412 tf_Guidance_P&amp;L Rec Qtr" xfId="7204"/>
    <cellStyle name="_MOR - BDWY - 1+11_MOR - Gurgaon - 3+9(R)_Revised MOR Package_~0039877_Restructuring_Separation_TAX_JuneFC2010 tf_BS_Separation_TaxResIndem_Q12412 tf_Guidance_Sheet1" xfId="7205"/>
    <cellStyle name="_MOR - BDWY - 1+11_MOR - Gurgaon - 3+9(R)_Revised MOR Package_~0039877_Restructuring_Separation_TAX_JuneFC2010 tf_BS_Separation_TaxResIndem_Q12412 tf_Guidance_Sheet2" xfId="7206"/>
    <cellStyle name="_MOR - BDWY - 1+11_MOR - Gurgaon - 3+9(R)_Revised MOR Package_~0039877_Restructuring_Separation_TAX_JuneFC2010 tf_BS_Separation_TaxResIndem_Q12412 tf_Guidance_Sheet3" xfId="7207"/>
    <cellStyle name="_MOR - BDWY - 1+11_MOR - Gurgaon - 3+9(R)_Revised MOR Package_~0039877_Restructuring_Separation_TAX_JuneFC2010 tf_BS_Separation_TaxResIndem_Q12412 tf_Guidance_Sheet4" xfId="7208"/>
    <cellStyle name="_MOR - BDWY - 1+11_MOR - Gurgaon - 3+9(R)_Revised MOR Package_~0039877_Restructuring_Separation_TAX_JuneFC2010 tf_BS_Separation_TaxResIndem_Q12412 tf_Restructuring &amp; Separation" xfId="7209"/>
    <cellStyle name="_MOR - BDWY - 1+11_MOR - Gurgaon - 3+9(R)_Revised MOR Package_~0039877_Restructuring_Separation_TAX_JuneFC2010 tf_BS_Separation_TaxResIndem_Q12412 tf_Restructuring &amp; Separation_Guidance" xfId="7210"/>
    <cellStyle name="_MOR - BDWY - 1+11_MOR - Gurgaon - 3+9(R)_Revised MOR Package_~0039877_Restructuring_Separation_TAX_JuneFC2010 tf_BS_Separation_TaxResIndem_Q12412 tf_Restructuring &amp; Separation_Guidance 2" xfId="7211"/>
    <cellStyle name="_MOR - BDWY - 1+11_MOR - Gurgaon - 3+9(R)_Revised MOR Package_~0039877_Restructuring_Separation_TAX_JuneFC2010 tf_BS_Separation_TaxResIndem_Q12412 tf_Restructuring &amp; Separation_Guidance_BS retrieve" xfId="7212"/>
    <cellStyle name="_MOR - BDWY - 1+11_MOR - Gurgaon - 3+9(R)_Revised MOR Package_~0039877_Restructuring_Separation_TAX_JuneFC2010 tf_BS_Separation_TaxResIndem_Q12412 tf_Restructuring &amp; Separation_Guidance_Free CF" xfId="7213"/>
    <cellStyle name="_MOR - BDWY - 1+11_MOR - Gurgaon - 3+9(R)_Revised MOR Package_~0039877_Restructuring_Separation_TAX_JuneFC2010 tf_BS_Separation_TaxResIndem_Q12412 tf_Restructuring &amp; Separation_Guidance_P&amp;L Rec Qtr" xfId="7214"/>
    <cellStyle name="_MOR - BDWY - 1+11_MOR - Gurgaon - 3+9(R)_Revised MOR Package_~0039877_Restructuring_Separation_TAX_JuneFC2010 tf_BS_Separation_TaxResIndem_Q12412 tf_Restructuring &amp; Separation_Guidance_Sheet1" xfId="7215"/>
    <cellStyle name="_MOR - BDWY - 1+11_MOR - Gurgaon - 3+9(R)_Revised MOR Package_~0039877_Restructuring_Separation_TAX_JuneFC2010 tf_BS_Separation_TaxResIndem_Q12412 tf_Restructuring &amp; Separation_Guidance_Sheet2" xfId="7216"/>
    <cellStyle name="_MOR - BDWY - 1+11_MOR - Gurgaon - 3+9(R)_Revised MOR Package_~0039877_Restructuring_Separation_TAX_JuneFC2010 tf_BS_Separation_TaxResIndem_Q12412 tf_Restructuring &amp; Separation_Guidance_Sheet3" xfId="7217"/>
    <cellStyle name="_MOR - BDWY - 1+11_MOR - Gurgaon - 3+9(R)_Revised MOR Package_~0039877_Restructuring_Separation_TAX_JuneFC2010 tf_BS_Separation_TaxResIndem_Q12412 tf_Restructuring &amp; Separation_Guidance_Sheet4" xfId="7218"/>
    <cellStyle name="_MOR - BDWY - 1+11_MOR - Gurgaon - 3+9(R)_Revised MOR Package_~0039877_Restructuring_Separation_TAX_JuneFC2010 tf_Guidance" xfId="7219"/>
    <cellStyle name="_MOR - BDWY - 1+11_MOR - Gurgaon - 3+9(R)_Revised MOR Package_~0039877_Restructuring_Separation_TAX_JuneFC2010 tf_Guidance 2" xfId="7220"/>
    <cellStyle name="_MOR - BDWY - 1+11_MOR - Gurgaon - 3+9(R)_Revised MOR Package_~0039877_Restructuring_Separation_TAX_JuneFC2010 tf_Guidance_BS retrieve" xfId="7221"/>
    <cellStyle name="_MOR - BDWY - 1+11_MOR - Gurgaon - 3+9(R)_Revised MOR Package_~0039877_Restructuring_Separation_TAX_JuneFC2010 tf_Guidance_Free CF" xfId="7222"/>
    <cellStyle name="_MOR - BDWY - 1+11_MOR - Gurgaon - 3+9(R)_Revised MOR Package_~0039877_Restructuring_Separation_TAX_JuneFC2010 tf_Guidance_P&amp;L Rec Qtr" xfId="7223"/>
    <cellStyle name="_MOR - BDWY - 1+11_MOR - Gurgaon - 3+9(R)_Revised MOR Package_~0039877_Restructuring_Separation_TAX_JuneFC2010 tf_Guidance_Sheet1" xfId="7224"/>
    <cellStyle name="_MOR - BDWY - 1+11_MOR - Gurgaon - 3+9(R)_Revised MOR Package_~0039877_Restructuring_Separation_TAX_JuneFC2010 tf_Guidance_Sheet2" xfId="7225"/>
    <cellStyle name="_MOR - BDWY - 1+11_MOR - Gurgaon - 3+9(R)_Revised MOR Package_~0039877_Restructuring_Separation_TAX_JuneFC2010 tf_Guidance_Sheet3" xfId="7226"/>
    <cellStyle name="_MOR - BDWY - 1+11_MOR - Gurgaon - 3+9(R)_Revised MOR Package_~0039877_Restructuring_Separation_TAX_JuneFC2010 tf_Guidance_Sheet4" xfId="7227"/>
    <cellStyle name="_MOR - BDWY - 1+11_MOR - Gurgaon - 3+9(R)_Revised MOR Package_~0039877_Restructuring_Separation_TAX_JuneFC2010 tf_II.8. Sep&amp;Discrete" xfId="7228"/>
    <cellStyle name="_MOR - BDWY - 1+11_MOR - Gurgaon - 3+9(R)_Revised MOR Package_~0039877_Restructuring_Separation_TAX_JuneFC2010 tf_II.8. Sep&amp;Discrete_Guidance" xfId="7229"/>
    <cellStyle name="_MOR - BDWY - 1+11_MOR - Gurgaon - 3+9(R)_Revised MOR Package_~0039877_Restructuring_Separation_TAX_JuneFC2010 tf_II.8. Sep&amp;Discrete_Guidance 2" xfId="7230"/>
    <cellStyle name="_MOR - BDWY - 1+11_MOR - Gurgaon - 3+9(R)_Revised MOR Package_~0039877_Restructuring_Separation_TAX_JuneFC2010 tf_II.8. Sep&amp;Discrete_Guidance_BS retrieve" xfId="7231"/>
    <cellStyle name="_MOR - BDWY - 1+11_MOR - Gurgaon - 3+9(R)_Revised MOR Package_~0039877_Restructuring_Separation_TAX_JuneFC2010 tf_II.8. Sep&amp;Discrete_Guidance_Free CF" xfId="7232"/>
    <cellStyle name="_MOR - BDWY - 1+11_MOR - Gurgaon - 3+9(R)_Revised MOR Package_~0039877_Restructuring_Separation_TAX_JuneFC2010 tf_II.8. Sep&amp;Discrete_Guidance_P&amp;L Rec Qtr" xfId="7233"/>
    <cellStyle name="_MOR - BDWY - 1+11_MOR - Gurgaon - 3+9(R)_Revised MOR Package_~0039877_Restructuring_Separation_TAX_JuneFC2010 tf_II.8. Sep&amp;Discrete_Guidance_Sheet1" xfId="7234"/>
    <cellStyle name="_MOR - BDWY - 1+11_MOR - Gurgaon - 3+9(R)_Revised MOR Package_~0039877_Restructuring_Separation_TAX_JuneFC2010 tf_II.8. Sep&amp;Discrete_Guidance_Sheet2" xfId="7235"/>
    <cellStyle name="_MOR - BDWY - 1+11_MOR - Gurgaon - 3+9(R)_Revised MOR Package_~0039877_Restructuring_Separation_TAX_JuneFC2010 tf_II.8. Sep&amp;Discrete_Guidance_Sheet3" xfId="7236"/>
    <cellStyle name="_MOR - BDWY - 1+11_MOR - Gurgaon - 3+9(R)_Revised MOR Package_~0039877_Restructuring_Separation_TAX_JuneFC2010 tf_II.8. Sep&amp;Discrete_Guidance_Sheet4" xfId="7237"/>
    <cellStyle name="_MOR - BDWY - 1+11_MOR - Gurgaon - 3+9(R)_Revised MOR Package_~0039877_Restructuring_Separation_TAX_JuneFC2010 tf_Restructuring &amp; Separation" xfId="7238"/>
    <cellStyle name="_MOR - BDWY - 1+11_MOR - Gurgaon - 3+9(R)_Revised MOR Package_~0039877_Restructuring_Separation_TAX_JuneFC2010 tf_Restructuring &amp; Separation_Guidance" xfId="7239"/>
    <cellStyle name="_MOR - BDWY - 1+11_MOR - Gurgaon - 3+9(R)_Revised MOR Package_~0039877_Restructuring_Separation_TAX_JuneFC2010 tf_Restructuring &amp; Separation_Guidance 2" xfId="7240"/>
    <cellStyle name="_MOR - BDWY - 1+11_MOR - Gurgaon - 3+9(R)_Revised MOR Package_~0039877_Restructuring_Separation_TAX_JuneFC2010 tf_Restructuring &amp; Separation_Guidance_BS retrieve" xfId="7241"/>
    <cellStyle name="_MOR - BDWY - 1+11_MOR - Gurgaon - 3+9(R)_Revised MOR Package_~0039877_Restructuring_Separation_TAX_JuneFC2010 tf_Restructuring &amp; Separation_Guidance_Free CF" xfId="7242"/>
    <cellStyle name="_MOR - BDWY - 1+11_MOR - Gurgaon - 3+9(R)_Revised MOR Package_~0039877_Restructuring_Separation_TAX_JuneFC2010 tf_Restructuring &amp; Separation_Guidance_P&amp;L Rec Qtr" xfId="7243"/>
    <cellStyle name="_MOR - BDWY - 1+11_MOR - Gurgaon - 3+9(R)_Revised MOR Package_~0039877_Restructuring_Separation_TAX_JuneFC2010 tf_Restructuring &amp; Separation_Guidance_Sheet1" xfId="7244"/>
    <cellStyle name="_MOR - BDWY - 1+11_MOR - Gurgaon - 3+9(R)_Revised MOR Package_~0039877_Restructuring_Separation_TAX_JuneFC2010 tf_Restructuring &amp; Separation_Guidance_Sheet2" xfId="7245"/>
    <cellStyle name="_MOR - BDWY - 1+11_MOR - Gurgaon - 3+9(R)_Revised MOR Package_~0039877_Restructuring_Separation_TAX_JuneFC2010 tf_Restructuring &amp; Separation_Guidance_Sheet3" xfId="7246"/>
    <cellStyle name="_MOR - BDWY - 1+11_MOR - Gurgaon - 3+9(R)_Revised MOR Package_~0039877_Restructuring_Separation_TAX_JuneFC2010 tf_Restructuring &amp; Separation_Guidance_Sheet4" xfId="7247"/>
    <cellStyle name="_MOR - BDWY - 1+11_MOR - Gurgaon - 3+9(R)_Revised MOR Package_BS_Separation_TaxResIndem_Q12412 tf" xfId="7248"/>
    <cellStyle name="_MOR - BDWY - 1+11_MOR - Gurgaon - 3+9(R)_Revised MOR Package_BS_Separation_TaxResIndem_Q12412 tf_Guidance" xfId="7249"/>
    <cellStyle name="_MOR - BDWY - 1+11_MOR - Gurgaon - 3+9(R)_Revised MOR Package_BS_Separation_TaxResIndem_Q12412 tf_Guidance 2" xfId="7250"/>
    <cellStyle name="_MOR - BDWY - 1+11_MOR - Gurgaon - 3+9(R)_Revised MOR Package_BS_Separation_TaxResIndem_Q12412 tf_Guidance_BS retrieve" xfId="7251"/>
    <cellStyle name="_MOR - BDWY - 1+11_MOR - Gurgaon - 3+9(R)_Revised MOR Package_BS_Separation_TaxResIndem_Q12412 tf_Guidance_Free CF" xfId="7252"/>
    <cellStyle name="_MOR - BDWY - 1+11_MOR - Gurgaon - 3+9(R)_Revised MOR Package_BS_Separation_TaxResIndem_Q12412 tf_Guidance_P&amp;L Rec Qtr" xfId="7253"/>
    <cellStyle name="_MOR - BDWY - 1+11_MOR - Gurgaon - 3+9(R)_Revised MOR Package_BS_Separation_TaxResIndem_Q12412 tf_Guidance_Sheet1" xfId="7254"/>
    <cellStyle name="_MOR - BDWY - 1+11_MOR - Gurgaon - 3+9(R)_Revised MOR Package_BS_Separation_TaxResIndem_Q12412 tf_Guidance_Sheet2" xfId="7255"/>
    <cellStyle name="_MOR - BDWY - 1+11_MOR - Gurgaon - 3+9(R)_Revised MOR Package_BS_Separation_TaxResIndem_Q12412 tf_Guidance_Sheet3" xfId="7256"/>
    <cellStyle name="_MOR - BDWY - 1+11_MOR - Gurgaon - 3+9(R)_Revised MOR Package_BS_Separation_TaxResIndem_Q12412 tf_Guidance_Sheet4" xfId="7257"/>
    <cellStyle name="_MOR - BDWY - 1+11_MOR - Gurgaon - 3+9(R)_Revised MOR Package_BS_Separation_TaxResIndem_Q12412 tf_Restructuring &amp; Separation" xfId="7258"/>
    <cellStyle name="_MOR - BDWY - 1+11_MOR - Gurgaon - 3+9(R)_Revised MOR Package_BS_Separation_TaxResIndem_Q12412 tf_Restructuring &amp; Separation_Guidance" xfId="7259"/>
    <cellStyle name="_MOR - BDWY - 1+11_MOR - Gurgaon - 3+9(R)_Revised MOR Package_BS_Separation_TaxResIndem_Q12412 tf_Restructuring &amp; Separation_Guidance 2" xfId="7260"/>
    <cellStyle name="_MOR - BDWY - 1+11_MOR - Gurgaon - 3+9(R)_Revised MOR Package_BS_Separation_TaxResIndem_Q12412 tf_Restructuring &amp; Separation_Guidance_BS retrieve" xfId="7261"/>
    <cellStyle name="_MOR - BDWY - 1+11_MOR - Gurgaon - 3+9(R)_Revised MOR Package_BS_Separation_TaxResIndem_Q12412 tf_Restructuring &amp; Separation_Guidance_Free CF" xfId="7262"/>
    <cellStyle name="_MOR - BDWY - 1+11_MOR - Gurgaon - 3+9(R)_Revised MOR Package_BS_Separation_TaxResIndem_Q12412 tf_Restructuring &amp; Separation_Guidance_P&amp;L Rec Qtr" xfId="7263"/>
    <cellStyle name="_MOR - BDWY - 1+11_MOR - Gurgaon - 3+9(R)_Revised MOR Package_BS_Separation_TaxResIndem_Q12412 tf_Restructuring &amp; Separation_Guidance_Sheet1" xfId="7264"/>
    <cellStyle name="_MOR - BDWY - 1+11_MOR - Gurgaon - 3+9(R)_Revised MOR Package_BS_Separation_TaxResIndem_Q12412 tf_Restructuring &amp; Separation_Guidance_Sheet2" xfId="7265"/>
    <cellStyle name="_MOR - BDWY - 1+11_MOR - Gurgaon - 3+9(R)_Revised MOR Package_BS_Separation_TaxResIndem_Q12412 tf_Restructuring &amp; Separation_Guidance_Sheet3" xfId="7266"/>
    <cellStyle name="_MOR - BDWY - 1+11_MOR - Gurgaon - 3+9(R)_Revised MOR Package_BS_Separation_TaxResIndem_Q12412 tf_Restructuring &amp; Separation_Guidance_Sheet4" xfId="7267"/>
    <cellStyle name="_MOR - BDWY - 1+11_MOR - Gurgaon - 3+9(R)_Revised MOR Package_By Country Detail 1Q10 041410pm FIN 18 revised per disc w Mary" xfId="7268"/>
    <cellStyle name="_MOR - BDWY - 1+11_MOR - Gurgaon - 3+9(R)_Revised MOR Package_By Country Detail 1Q10 041410pm FIN 18 revised per disc w Mary_BS_Separation_TaxResIndem_Q12412 tf" xfId="7269"/>
    <cellStyle name="_MOR - BDWY - 1+11_MOR - Gurgaon - 3+9(R)_Revised MOR Package_By Country Detail 1Q10 041410pm FIN 18 revised per disc w Mary_BS_Separation_TaxResIndem_Q12412 tf_Guidance" xfId="7270"/>
    <cellStyle name="_MOR - BDWY - 1+11_MOR - Gurgaon - 3+9(R)_Revised MOR Package_By Country Detail 1Q10 041410pm FIN 18 revised per disc w Mary_BS_Separation_TaxResIndem_Q12412 tf_Guidance 2" xfId="7271"/>
    <cellStyle name="_MOR - BDWY - 1+11_MOR - Gurgaon - 3+9(R)_Revised MOR Package_By Country Detail 1Q10 041410pm FIN 18 revised per disc w Mary_BS_Separation_TaxResIndem_Q12412 tf_Guidance_BS retrieve" xfId="7272"/>
    <cellStyle name="_MOR - BDWY - 1+11_MOR - Gurgaon - 3+9(R)_Revised MOR Package_By Country Detail 1Q10 041410pm FIN 18 revised per disc w Mary_BS_Separation_TaxResIndem_Q12412 tf_Guidance_Free CF" xfId="7273"/>
    <cellStyle name="_MOR - BDWY - 1+11_MOR - Gurgaon - 3+9(R)_Revised MOR Package_By Country Detail 1Q10 041410pm FIN 18 revised per disc w Mary_BS_Separation_TaxResIndem_Q12412 tf_Guidance_P&amp;L Rec Qtr" xfId="7274"/>
    <cellStyle name="_MOR - BDWY - 1+11_MOR - Gurgaon - 3+9(R)_Revised MOR Package_By Country Detail 1Q10 041410pm FIN 18 revised per disc w Mary_BS_Separation_TaxResIndem_Q12412 tf_Guidance_Sheet1" xfId="7275"/>
    <cellStyle name="_MOR - BDWY - 1+11_MOR - Gurgaon - 3+9(R)_Revised MOR Package_By Country Detail 1Q10 041410pm FIN 18 revised per disc w Mary_BS_Separation_TaxResIndem_Q12412 tf_Guidance_Sheet2" xfId="7276"/>
    <cellStyle name="_MOR - BDWY - 1+11_MOR - Gurgaon - 3+9(R)_Revised MOR Package_By Country Detail 1Q10 041410pm FIN 18 revised per disc w Mary_BS_Separation_TaxResIndem_Q12412 tf_Guidance_Sheet3" xfId="7277"/>
    <cellStyle name="_MOR - BDWY - 1+11_MOR - Gurgaon - 3+9(R)_Revised MOR Package_By Country Detail 1Q10 041410pm FIN 18 revised per disc w Mary_BS_Separation_TaxResIndem_Q12412 tf_Guidance_Sheet4" xfId="7278"/>
    <cellStyle name="_MOR - BDWY - 1+11_MOR - Gurgaon - 3+9(R)_Revised MOR Package_By Country Detail 1Q10 041410pm FIN 18 revised per disc w Mary_BS_Separation_TaxResIndem_Q12412 tf_Restructuring &amp; Separation" xfId="7279"/>
    <cellStyle name="_MOR - BDWY - 1+11_MOR - Gurgaon - 3+9(R)_Revised MOR Package_By Country Detail 1Q10 041410pm FIN 18 revised per disc w Mary_BS_Separation_TaxResIndem_Q12412 tf_Restructuring &amp; Separation_Guidance" xfId="7280"/>
    <cellStyle name="_MOR - BDWY - 1+11_MOR - Gurgaon - 3+9(R)_Revised MOR Package_By Country Detail 1Q10 041410pm FIN 18 revised per disc w Mary_BS_Separation_TaxResIndem_Q12412 tf_Restructuring &amp; Separation_Guidance 2" xfId="7281"/>
    <cellStyle name="_MOR - BDWY - 1+11_MOR - Gurgaon - 3+9(R)_Revised MOR Package_By Country Detail 1Q10 041410pm FIN 18 revised per disc w Mary_BS_Separation_TaxResIndem_Q12412 tf_Restructuring &amp; Separation_Guidance_BS retrieve" xfId="7282"/>
    <cellStyle name="_MOR - BDWY - 1+11_MOR - Gurgaon - 3+9(R)_Revised MOR Package_By Country Detail 1Q10 041410pm FIN 18 revised per disc w Mary_BS_Separation_TaxResIndem_Q12412 tf_Restructuring &amp; Separation_Guidance_Free CF" xfId="7283"/>
    <cellStyle name="_MOR - BDWY - 1+11_MOR - Gurgaon - 3+9(R)_Revised MOR Package_By Country Detail 1Q10 041410pm FIN 18 revised per disc w Mary_BS_Separation_TaxResIndem_Q12412 tf_Restructuring &amp; Separation_Guidance_P&amp;L Rec Qtr" xfId="7284"/>
    <cellStyle name="_MOR - BDWY - 1+11_MOR - Gurgaon - 3+9(R)_Revised MOR Package_By Country Detail 1Q10 041410pm FIN 18 revised per disc w Mary_BS_Separation_TaxResIndem_Q12412 tf_Restructuring &amp; Separation_Guidance_Sheet1" xfId="7285"/>
    <cellStyle name="_MOR - BDWY - 1+11_MOR - Gurgaon - 3+9(R)_Revised MOR Package_By Country Detail 1Q10 041410pm FIN 18 revised per disc w Mary_BS_Separation_TaxResIndem_Q12412 tf_Restructuring &amp; Separation_Guidance_Sheet2" xfId="7286"/>
    <cellStyle name="_MOR - BDWY - 1+11_MOR - Gurgaon - 3+9(R)_Revised MOR Package_By Country Detail 1Q10 041410pm FIN 18 revised per disc w Mary_BS_Separation_TaxResIndem_Q12412 tf_Restructuring &amp; Separation_Guidance_Sheet3" xfId="7287"/>
    <cellStyle name="_MOR - BDWY - 1+11_MOR - Gurgaon - 3+9(R)_Revised MOR Package_By Country Detail 1Q10 041410pm FIN 18 revised per disc w Mary_BS_Separation_TaxResIndem_Q12412 tf_Restructuring &amp; Separation_Guidance_Sheet4" xfId="7288"/>
    <cellStyle name="_MOR - BDWY - 1+11_MOR - Gurgaon - 3+9(R)_Revised MOR Package_By Country Detail 1Q10 041410pm FIN 18 revised per disc w Mary_Guidance" xfId="7289"/>
    <cellStyle name="_MOR - BDWY - 1+11_MOR - Gurgaon - 3+9(R)_Revised MOR Package_By Country Detail 1Q10 041410pm FIN 18 revised per disc w Mary_Guidance 2" xfId="7290"/>
    <cellStyle name="_MOR - BDWY - 1+11_MOR - Gurgaon - 3+9(R)_Revised MOR Package_By Country Detail 1Q10 041410pm FIN 18 revised per disc w Mary_Guidance_BS retrieve" xfId="7291"/>
    <cellStyle name="_MOR - BDWY - 1+11_MOR - Gurgaon - 3+9(R)_Revised MOR Package_By Country Detail 1Q10 041410pm FIN 18 revised per disc w Mary_Guidance_Free CF" xfId="7292"/>
    <cellStyle name="_MOR - BDWY - 1+11_MOR - Gurgaon - 3+9(R)_Revised MOR Package_By Country Detail 1Q10 041410pm FIN 18 revised per disc w Mary_Guidance_P&amp;L Rec Qtr" xfId="7293"/>
    <cellStyle name="_MOR - BDWY - 1+11_MOR - Gurgaon - 3+9(R)_Revised MOR Package_By Country Detail 1Q10 041410pm FIN 18 revised per disc w Mary_Guidance_Sheet1" xfId="7294"/>
    <cellStyle name="_MOR - BDWY - 1+11_MOR - Gurgaon - 3+9(R)_Revised MOR Package_By Country Detail 1Q10 041410pm FIN 18 revised per disc w Mary_Guidance_Sheet2" xfId="7295"/>
    <cellStyle name="_MOR - BDWY - 1+11_MOR - Gurgaon - 3+9(R)_Revised MOR Package_By Country Detail 1Q10 041410pm FIN 18 revised per disc w Mary_Guidance_Sheet3" xfId="7296"/>
    <cellStyle name="_MOR - BDWY - 1+11_MOR - Gurgaon - 3+9(R)_Revised MOR Package_By Country Detail 1Q10 041410pm FIN 18 revised per disc w Mary_Guidance_Sheet4" xfId="7297"/>
    <cellStyle name="_MOR - BDWY - 1+11_MOR - Gurgaon - 3+9(R)_Revised MOR Package_By Country Detail 1Q10 041410pm FIN 18 revised per disc w Mary_II.8. Sep&amp;Discrete" xfId="7298"/>
    <cellStyle name="_MOR - BDWY - 1+11_MOR - Gurgaon - 3+9(R)_Revised MOR Package_By Country Detail 1Q10 041410pm FIN 18 revised per disc w Mary_II.8. Sep&amp;Discrete_Guidance" xfId="7299"/>
    <cellStyle name="_MOR - BDWY - 1+11_MOR - Gurgaon - 3+9(R)_Revised MOR Package_By Country Detail 1Q10 041410pm FIN 18 revised per disc w Mary_II.8. Sep&amp;Discrete_Guidance 2" xfId="7300"/>
    <cellStyle name="_MOR - BDWY - 1+11_MOR - Gurgaon - 3+9(R)_Revised MOR Package_By Country Detail 1Q10 041410pm FIN 18 revised per disc w Mary_II.8. Sep&amp;Discrete_Guidance_BS retrieve" xfId="7301"/>
    <cellStyle name="_MOR - BDWY - 1+11_MOR - Gurgaon - 3+9(R)_Revised MOR Package_By Country Detail 1Q10 041410pm FIN 18 revised per disc w Mary_II.8. Sep&amp;Discrete_Guidance_Free CF" xfId="7302"/>
    <cellStyle name="_MOR - BDWY - 1+11_MOR - Gurgaon - 3+9(R)_Revised MOR Package_By Country Detail 1Q10 041410pm FIN 18 revised per disc w Mary_II.8. Sep&amp;Discrete_Guidance_P&amp;L Rec Qtr" xfId="7303"/>
    <cellStyle name="_MOR - BDWY - 1+11_MOR - Gurgaon - 3+9(R)_Revised MOR Package_By Country Detail 1Q10 041410pm FIN 18 revised per disc w Mary_II.8. Sep&amp;Discrete_Guidance_Sheet1" xfId="7304"/>
    <cellStyle name="_MOR - BDWY - 1+11_MOR - Gurgaon - 3+9(R)_Revised MOR Package_By Country Detail 1Q10 041410pm FIN 18 revised per disc w Mary_II.8. Sep&amp;Discrete_Guidance_Sheet2" xfId="7305"/>
    <cellStyle name="_MOR - BDWY - 1+11_MOR - Gurgaon - 3+9(R)_Revised MOR Package_By Country Detail 1Q10 041410pm FIN 18 revised per disc w Mary_II.8. Sep&amp;Discrete_Guidance_Sheet3" xfId="7306"/>
    <cellStyle name="_MOR - BDWY - 1+11_MOR - Gurgaon - 3+9(R)_Revised MOR Package_By Country Detail 1Q10 041410pm FIN 18 revised per disc w Mary_II.8. Sep&amp;Discrete_Guidance_Sheet4" xfId="7307"/>
    <cellStyle name="_MOR - BDWY - 1+11_MOR - Gurgaon - 3+9(R)_Revised MOR Package_By Country Detail 1Q10 041410pm FIN 18 revised per disc w Mary_Restructuring &amp; Separation" xfId="7308"/>
    <cellStyle name="_MOR - BDWY - 1+11_MOR - Gurgaon - 3+9(R)_Revised MOR Package_By Country Detail 1Q10 041410pm FIN 18 revised per disc w Mary_Restructuring &amp; Separation_Guidance" xfId="7309"/>
    <cellStyle name="_MOR - BDWY - 1+11_MOR - Gurgaon - 3+9(R)_Revised MOR Package_By Country Detail 1Q10 041410pm FIN 18 revised per disc w Mary_Restructuring &amp; Separation_Guidance 2" xfId="7310"/>
    <cellStyle name="_MOR - BDWY - 1+11_MOR - Gurgaon - 3+9(R)_Revised MOR Package_By Country Detail 1Q10 041410pm FIN 18 revised per disc w Mary_Restructuring &amp; Separation_Guidance_BS retrieve" xfId="7311"/>
    <cellStyle name="_MOR - BDWY - 1+11_MOR - Gurgaon - 3+9(R)_Revised MOR Package_By Country Detail 1Q10 041410pm FIN 18 revised per disc w Mary_Restructuring &amp; Separation_Guidance_Free CF" xfId="7312"/>
    <cellStyle name="_MOR - BDWY - 1+11_MOR - Gurgaon - 3+9(R)_Revised MOR Package_By Country Detail 1Q10 041410pm FIN 18 revised per disc w Mary_Restructuring &amp; Separation_Guidance_P&amp;L Rec Qtr" xfId="7313"/>
    <cellStyle name="_MOR - BDWY - 1+11_MOR - Gurgaon - 3+9(R)_Revised MOR Package_By Country Detail 1Q10 041410pm FIN 18 revised per disc w Mary_Restructuring &amp; Separation_Guidance_Sheet1" xfId="7314"/>
    <cellStyle name="_MOR - BDWY - 1+11_MOR - Gurgaon - 3+9(R)_Revised MOR Package_By Country Detail 1Q10 041410pm FIN 18 revised per disc w Mary_Restructuring &amp; Separation_Guidance_Sheet2" xfId="7315"/>
    <cellStyle name="_MOR - BDWY - 1+11_MOR - Gurgaon - 3+9(R)_Revised MOR Package_By Country Detail 1Q10 041410pm FIN 18 revised per disc w Mary_Restructuring &amp; Separation_Guidance_Sheet3" xfId="7316"/>
    <cellStyle name="_MOR - BDWY - 1+11_MOR - Gurgaon - 3+9(R)_Revised MOR Package_By Country Detail 1Q10 041410pm FIN 18 revised per disc w Mary_Restructuring &amp; Separation_Guidance_Sheet4" xfId="7317"/>
    <cellStyle name="_MOR - BDWY - 1+11_MOR - Gurgaon - 3+9(R)_Revised MOR Package_Guidance" xfId="7318"/>
    <cellStyle name="_MOR - BDWY - 1+11_MOR - Gurgaon - 3+9(R)_Revised MOR Package_Guidance 2" xfId="7319"/>
    <cellStyle name="_MOR - BDWY - 1+11_MOR - Gurgaon - 3+9(R)_Revised MOR Package_Guidance_BS retrieve" xfId="7320"/>
    <cellStyle name="_MOR - BDWY - 1+11_MOR - Gurgaon - 3+9(R)_Revised MOR Package_Guidance_Free CF" xfId="7321"/>
    <cellStyle name="_MOR - BDWY - 1+11_MOR - Gurgaon - 3+9(R)_Revised MOR Package_Guidance_P&amp;L Rec Qtr" xfId="7322"/>
    <cellStyle name="_MOR - BDWY - 1+11_MOR - Gurgaon - 3+9(R)_Revised MOR Package_Guidance_Sheet1" xfId="7323"/>
    <cellStyle name="_MOR - BDWY - 1+11_MOR - Gurgaon - 3+9(R)_Revised MOR Package_Guidance_Sheet2" xfId="7324"/>
    <cellStyle name="_MOR - BDWY - 1+11_MOR - Gurgaon - 3+9(R)_Revised MOR Package_Guidance_Sheet3" xfId="7325"/>
    <cellStyle name="_MOR - BDWY - 1+11_MOR - Gurgaon - 3+9(R)_Revised MOR Package_Guidance_Sheet4" xfId="7326"/>
    <cellStyle name="_MOR - BDWY - 1+11_MOR - Gurgaon - 3+9(R)_Revised MOR Package_II.4. RawMaterials" xfId="7327"/>
    <cellStyle name="_MOR - BDWY - 1+11_MOR - Gurgaon - 3+9(R)_Revised MOR Package_II.4. RawMaterials 2" xfId="7328"/>
    <cellStyle name="_MOR - BDWY - 1+11_MOR - Gurgaon - 3+9(R)_Revised MOR Package_II.4. RawMaterials_BS retrieve" xfId="7329"/>
    <cellStyle name="_MOR - BDWY - 1+11_MOR - Gurgaon - 3+9(R)_Revised MOR Package_II.4. RawMaterials_Free CF" xfId="7330"/>
    <cellStyle name="_MOR - BDWY - 1+11_MOR - Gurgaon - 3+9(R)_Revised MOR Package_II.4. RawMaterials_P&amp;L Rec Qtr" xfId="7331"/>
    <cellStyle name="_MOR - BDWY - 1+11_MOR - Gurgaon - 3+9(R)_Revised MOR Package_II.4. RawMaterials_Sheet1" xfId="7332"/>
    <cellStyle name="_MOR - BDWY - 1+11_MOR - Gurgaon - 3+9(R)_Revised MOR Package_II.4. RawMaterials_Sheet2" xfId="7333"/>
    <cellStyle name="_MOR - BDWY - 1+11_MOR - Gurgaon - 3+9(R)_Revised MOR Package_II.4. RawMaterials_Sheet3" xfId="7334"/>
    <cellStyle name="_MOR - BDWY - 1+11_MOR - Gurgaon - 3+9(R)_Revised MOR Package_II.4. RawMaterials_Sheet4" xfId="7335"/>
    <cellStyle name="_MOR - BDWY - 1+11_MOR - Gurgaon - 3+9(R)_Revised MOR Package_II.5. RawMaterials" xfId="7336"/>
    <cellStyle name="_MOR - BDWY - 1+11_MOR - Gurgaon - 3+9(R)_Revised MOR Package_II.5. RawMaterials 2" xfId="7337"/>
    <cellStyle name="_MOR - BDWY - 1+11_MOR - Gurgaon - 3+9(R)_Revised MOR Package_II.5. RawMaterials_BS retrieve" xfId="7338"/>
    <cellStyle name="_MOR - BDWY - 1+11_MOR - Gurgaon - 3+9(R)_Revised MOR Package_II.5. RawMaterials_Free CF" xfId="7339"/>
    <cellStyle name="_MOR - BDWY - 1+11_MOR - Gurgaon - 3+9(R)_Revised MOR Package_II.5. RawMaterials_Guidance" xfId="7340"/>
    <cellStyle name="_MOR - BDWY - 1+11_MOR - Gurgaon - 3+9(R)_Revised MOR Package_II.5. RawMaterials_Guidance 2" xfId="7341"/>
    <cellStyle name="_MOR - BDWY - 1+11_MOR - Gurgaon - 3+9(R)_Revised MOR Package_II.5. RawMaterials_Guidance_BS retrieve" xfId="7342"/>
    <cellStyle name="_MOR - BDWY - 1+11_MOR - Gurgaon - 3+9(R)_Revised MOR Package_II.5. RawMaterials_Guidance_Free CF" xfId="7343"/>
    <cellStyle name="_MOR - BDWY - 1+11_MOR - Gurgaon - 3+9(R)_Revised MOR Package_II.5. RawMaterials_Guidance_P&amp;L Rec Qtr" xfId="7344"/>
    <cellStyle name="_MOR - BDWY - 1+11_MOR - Gurgaon - 3+9(R)_Revised MOR Package_II.5. RawMaterials_Guidance_Sheet1" xfId="7345"/>
    <cellStyle name="_MOR - BDWY - 1+11_MOR - Gurgaon - 3+9(R)_Revised MOR Package_II.5. RawMaterials_Guidance_Sheet2" xfId="7346"/>
    <cellStyle name="_MOR - BDWY - 1+11_MOR - Gurgaon - 3+9(R)_Revised MOR Package_II.5. RawMaterials_Guidance_Sheet3" xfId="7347"/>
    <cellStyle name="_MOR - BDWY - 1+11_MOR - Gurgaon - 3+9(R)_Revised MOR Package_II.5. RawMaterials_Guidance_Sheet4" xfId="7348"/>
    <cellStyle name="_MOR - BDWY - 1+11_MOR - Gurgaon - 3+9(R)_Revised MOR Package_II.5. RawMaterials_P&amp;L Rec Qtr" xfId="7349"/>
    <cellStyle name="_MOR - BDWY - 1+11_MOR - Gurgaon - 3+9(R)_Revised MOR Package_II.5. RawMaterials_Sheet1" xfId="7350"/>
    <cellStyle name="_MOR - BDWY - 1+11_MOR - Gurgaon - 3+9(R)_Revised MOR Package_II.5. RawMaterials_Sheet2" xfId="7351"/>
    <cellStyle name="_MOR - BDWY - 1+11_MOR - Gurgaon - 3+9(R)_Revised MOR Package_II.5. RawMaterials_Sheet3" xfId="7352"/>
    <cellStyle name="_MOR - BDWY - 1+11_MOR - Gurgaon - 3+9(R)_Revised MOR Package_II.5. RawMaterials_Sheet4" xfId="7353"/>
    <cellStyle name="_MOR - BDWY - 1+11_MOR - Gurgaon - 3+9(R)_Revised MOR Package_II.5. RM Volume Sensitivities" xfId="7354"/>
    <cellStyle name="_MOR - BDWY - 1+11_MOR - Gurgaon - 3+9(R)_Revised MOR Package_II.5. RM Volume Sensitivities 2" xfId="7355"/>
    <cellStyle name="_MOR - BDWY - 1+11_MOR - Gurgaon - 3+9(R)_Revised MOR Package_II.5. RM Volume Sensitivities_BS retrieve" xfId="7356"/>
    <cellStyle name="_MOR - BDWY - 1+11_MOR - Gurgaon - 3+9(R)_Revised MOR Package_II.5. RM Volume Sensitivities_Free CF" xfId="7357"/>
    <cellStyle name="_MOR - BDWY - 1+11_MOR - Gurgaon - 3+9(R)_Revised MOR Package_II.5. RM Volume Sensitivities_P&amp;L Rec Qtr" xfId="7358"/>
    <cellStyle name="_MOR - BDWY - 1+11_MOR - Gurgaon - 3+9(R)_Revised MOR Package_II.5. RM Volume Sensitivities_Sheet1" xfId="7359"/>
    <cellStyle name="_MOR - BDWY - 1+11_MOR - Gurgaon - 3+9(R)_Revised MOR Package_II.5. RM Volume Sensitivities_Sheet2" xfId="7360"/>
    <cellStyle name="_MOR - BDWY - 1+11_MOR - Gurgaon - 3+9(R)_Revised MOR Package_II.5. RM Volume Sensitivities_Sheet3" xfId="7361"/>
    <cellStyle name="_MOR - BDWY - 1+11_MOR - Gurgaon - 3+9(R)_Revised MOR Package_II.5. RM Volume Sensitivities_Sheet4" xfId="7362"/>
    <cellStyle name="_MOR - BDWY - 1+11_MOR - Gurgaon - 3+9(R)_Revised MOR Package_II.8. Sep&amp;Discrete" xfId="7363"/>
    <cellStyle name="_MOR - BDWY - 1+11_MOR - Gurgaon - 3+9(R)_Revised MOR Package_II.8. Sep&amp;Discrete_Guidance" xfId="7364"/>
    <cellStyle name="_MOR - BDWY - 1+11_MOR - Gurgaon - 3+9(R)_Revised MOR Package_II.8. Sep&amp;Discrete_Guidance 2" xfId="7365"/>
    <cellStyle name="_MOR - BDWY - 1+11_MOR - Gurgaon - 3+9(R)_Revised MOR Package_II.8. Sep&amp;Discrete_Guidance_BS retrieve" xfId="7366"/>
    <cellStyle name="_MOR - BDWY - 1+11_MOR - Gurgaon - 3+9(R)_Revised MOR Package_II.8. Sep&amp;Discrete_Guidance_Free CF" xfId="7367"/>
    <cellStyle name="_MOR - BDWY - 1+11_MOR - Gurgaon - 3+9(R)_Revised MOR Package_II.8. Sep&amp;Discrete_Guidance_P&amp;L Rec Qtr" xfId="7368"/>
    <cellStyle name="_MOR - BDWY - 1+11_MOR - Gurgaon - 3+9(R)_Revised MOR Package_II.8. Sep&amp;Discrete_Guidance_Sheet1" xfId="7369"/>
    <cellStyle name="_MOR - BDWY - 1+11_MOR - Gurgaon - 3+9(R)_Revised MOR Package_II.8. Sep&amp;Discrete_Guidance_Sheet2" xfId="7370"/>
    <cellStyle name="_MOR - BDWY - 1+11_MOR - Gurgaon - 3+9(R)_Revised MOR Package_II.8. Sep&amp;Discrete_Guidance_Sheet3" xfId="7371"/>
    <cellStyle name="_MOR - BDWY - 1+11_MOR - Gurgaon - 3+9(R)_Revised MOR Package_II.8. Sep&amp;Discrete_Guidance_Sheet4" xfId="7372"/>
    <cellStyle name="_MOR - BDWY - 1+11_MOR - Gurgaon - 3+9(R)_Revised MOR Package_Restructuring &amp; Separation" xfId="7373"/>
    <cellStyle name="_MOR - BDWY - 1+11_MOR - Gurgaon - 3+9(R)_Revised MOR Package_Restructuring &amp; Separation_Guidance" xfId="7374"/>
    <cellStyle name="_MOR - BDWY - 1+11_MOR - Gurgaon - 3+9(R)_Revised MOR Package_Restructuring &amp; Separation_Guidance 2" xfId="7375"/>
    <cellStyle name="_MOR - BDWY - 1+11_MOR - Gurgaon - 3+9(R)_Revised MOR Package_Restructuring &amp; Separation_Guidance_BS retrieve" xfId="7376"/>
    <cellStyle name="_MOR - BDWY - 1+11_MOR - Gurgaon - 3+9(R)_Revised MOR Package_Restructuring &amp; Separation_Guidance_Free CF" xfId="7377"/>
    <cellStyle name="_MOR - BDWY - 1+11_MOR - Gurgaon - 3+9(R)_Revised MOR Package_Restructuring &amp; Separation_Guidance_P&amp;L Rec Qtr" xfId="7378"/>
    <cellStyle name="_MOR - BDWY - 1+11_MOR - Gurgaon - 3+9(R)_Revised MOR Package_Restructuring &amp; Separation_Guidance_Sheet1" xfId="7379"/>
    <cellStyle name="_MOR - BDWY - 1+11_MOR - Gurgaon - 3+9(R)_Revised MOR Package_Restructuring &amp; Separation_Guidance_Sheet2" xfId="7380"/>
    <cellStyle name="_MOR - BDWY - 1+11_MOR - Gurgaon - 3+9(R)_Revised MOR Package_Restructuring &amp; Separation_Guidance_Sheet3" xfId="7381"/>
    <cellStyle name="_MOR - BDWY - 1+11_MOR - Gurgaon - 3+9(R)_Revised MOR Package_Restructuring &amp; Separation_Guidance_Sheet4" xfId="7382"/>
    <cellStyle name="_MOR - BDWY - 1+11_MOR - Gurgaon - 3+9(R)_Revised MOR Package_Restructuring_Separation_TAX_JuneFC2010 tf" xfId="7383"/>
    <cellStyle name="_MOR - BDWY - 1+11_MOR - Gurgaon - 3+9(R)_Revised MOR Package_Restructuring_Separation_TAX_JuneFC2010 tf_BS_Separation_TaxResIndem_Q12412 tf" xfId="7384"/>
    <cellStyle name="_MOR - BDWY - 1+11_MOR - Gurgaon - 3+9(R)_Revised MOR Package_Restructuring_Separation_TAX_JuneFC2010 tf_BS_Separation_TaxResIndem_Q12412 tf_Guidance" xfId="7385"/>
    <cellStyle name="_MOR - BDWY - 1+11_MOR - Gurgaon - 3+9(R)_Revised MOR Package_Restructuring_Separation_TAX_JuneFC2010 tf_BS_Separation_TaxResIndem_Q12412 tf_Guidance 2" xfId="7386"/>
    <cellStyle name="_MOR - BDWY - 1+11_MOR - Gurgaon - 3+9(R)_Revised MOR Package_Restructuring_Separation_TAX_JuneFC2010 tf_BS_Separation_TaxResIndem_Q12412 tf_Guidance_BS retrieve" xfId="7387"/>
    <cellStyle name="_MOR - BDWY - 1+11_MOR - Gurgaon - 3+9(R)_Revised MOR Package_Restructuring_Separation_TAX_JuneFC2010 tf_BS_Separation_TaxResIndem_Q12412 tf_Guidance_Free CF" xfId="7388"/>
    <cellStyle name="_MOR - BDWY - 1+11_MOR - Gurgaon - 3+9(R)_Revised MOR Package_Restructuring_Separation_TAX_JuneFC2010 tf_BS_Separation_TaxResIndem_Q12412 tf_Guidance_P&amp;L Rec Qtr" xfId="7389"/>
    <cellStyle name="_MOR - BDWY - 1+11_MOR - Gurgaon - 3+9(R)_Revised MOR Package_Restructuring_Separation_TAX_JuneFC2010 tf_BS_Separation_TaxResIndem_Q12412 tf_Guidance_Sheet1" xfId="7390"/>
    <cellStyle name="_MOR - BDWY - 1+11_MOR - Gurgaon - 3+9(R)_Revised MOR Package_Restructuring_Separation_TAX_JuneFC2010 tf_BS_Separation_TaxResIndem_Q12412 tf_Guidance_Sheet2" xfId="7391"/>
    <cellStyle name="_MOR - BDWY - 1+11_MOR - Gurgaon - 3+9(R)_Revised MOR Package_Restructuring_Separation_TAX_JuneFC2010 tf_BS_Separation_TaxResIndem_Q12412 tf_Guidance_Sheet3" xfId="7392"/>
    <cellStyle name="_MOR - BDWY - 1+11_MOR - Gurgaon - 3+9(R)_Revised MOR Package_Restructuring_Separation_TAX_JuneFC2010 tf_BS_Separation_TaxResIndem_Q12412 tf_Guidance_Sheet4" xfId="7393"/>
    <cellStyle name="_MOR - BDWY - 1+11_MOR - Gurgaon - 3+9(R)_Revised MOR Package_Restructuring_Separation_TAX_JuneFC2010 tf_BS_Separation_TaxResIndem_Q12412 tf_Restructuring &amp; Separation" xfId="7394"/>
    <cellStyle name="_MOR - BDWY - 1+11_MOR - Gurgaon - 3+9(R)_Revised MOR Package_Restructuring_Separation_TAX_JuneFC2010 tf_BS_Separation_TaxResIndem_Q12412 tf_Restructuring &amp; Separation_Guidance" xfId="7395"/>
    <cellStyle name="_MOR - BDWY - 1+11_MOR - Gurgaon - 3+9(R)_Revised MOR Package_Restructuring_Separation_TAX_JuneFC2010 tf_BS_Separation_TaxResIndem_Q12412 tf_Restructuring &amp; Separation_Guidance 2" xfId="7396"/>
    <cellStyle name="_MOR - BDWY - 1+11_MOR - Gurgaon - 3+9(R)_Revised MOR Package_Restructuring_Separation_TAX_JuneFC2010 tf_BS_Separation_TaxResIndem_Q12412 tf_Restructuring &amp; Separation_Guidance_BS retrieve" xfId="7397"/>
    <cellStyle name="_MOR - BDWY - 1+11_MOR - Gurgaon - 3+9(R)_Revised MOR Package_Restructuring_Separation_TAX_JuneFC2010 tf_BS_Separation_TaxResIndem_Q12412 tf_Restructuring &amp; Separation_Guidance_Free CF" xfId="7398"/>
    <cellStyle name="_MOR - BDWY - 1+11_MOR - Gurgaon - 3+9(R)_Revised MOR Package_Restructuring_Separation_TAX_JuneFC2010 tf_BS_Separation_TaxResIndem_Q12412 tf_Restructuring &amp; Separation_Guidance_P&amp;L Rec Qtr" xfId="7399"/>
    <cellStyle name="_MOR - BDWY - 1+11_MOR - Gurgaon - 3+9(R)_Revised MOR Package_Restructuring_Separation_TAX_JuneFC2010 tf_BS_Separation_TaxResIndem_Q12412 tf_Restructuring &amp; Separation_Guidance_Sheet1" xfId="7400"/>
    <cellStyle name="_MOR - BDWY - 1+11_MOR - Gurgaon - 3+9(R)_Revised MOR Package_Restructuring_Separation_TAX_JuneFC2010 tf_BS_Separation_TaxResIndem_Q12412 tf_Restructuring &amp; Separation_Guidance_Sheet2" xfId="7401"/>
    <cellStyle name="_MOR - BDWY - 1+11_MOR - Gurgaon - 3+9(R)_Revised MOR Package_Restructuring_Separation_TAX_JuneFC2010 tf_BS_Separation_TaxResIndem_Q12412 tf_Restructuring &amp; Separation_Guidance_Sheet3" xfId="7402"/>
    <cellStyle name="_MOR - BDWY - 1+11_MOR - Gurgaon - 3+9(R)_Revised MOR Package_Restructuring_Separation_TAX_JuneFC2010 tf_BS_Separation_TaxResIndem_Q12412 tf_Restructuring &amp; Separation_Guidance_Sheet4" xfId="7403"/>
    <cellStyle name="_MOR - BDWY - 1+11_MOR - Gurgaon - 3+9(R)_Revised MOR Package_Restructuring_Separation_TAX_JuneFC2010 tf_Guidance" xfId="7404"/>
    <cellStyle name="_MOR - BDWY - 1+11_MOR - Gurgaon - 3+9(R)_Revised MOR Package_Restructuring_Separation_TAX_JuneFC2010 tf_Guidance 2" xfId="7405"/>
    <cellStyle name="_MOR - BDWY - 1+11_MOR - Gurgaon - 3+9(R)_Revised MOR Package_Restructuring_Separation_TAX_JuneFC2010 tf_Guidance_BS retrieve" xfId="7406"/>
    <cellStyle name="_MOR - BDWY - 1+11_MOR - Gurgaon - 3+9(R)_Revised MOR Package_Restructuring_Separation_TAX_JuneFC2010 tf_Guidance_Free CF" xfId="7407"/>
    <cellStyle name="_MOR - BDWY - 1+11_MOR - Gurgaon - 3+9(R)_Revised MOR Package_Restructuring_Separation_TAX_JuneFC2010 tf_Guidance_P&amp;L Rec Qtr" xfId="7408"/>
    <cellStyle name="_MOR - BDWY - 1+11_MOR - Gurgaon - 3+9(R)_Revised MOR Package_Restructuring_Separation_TAX_JuneFC2010 tf_Guidance_Sheet1" xfId="7409"/>
    <cellStyle name="_MOR - BDWY - 1+11_MOR - Gurgaon - 3+9(R)_Revised MOR Package_Restructuring_Separation_TAX_JuneFC2010 tf_Guidance_Sheet2" xfId="7410"/>
    <cellStyle name="_MOR - BDWY - 1+11_MOR - Gurgaon - 3+9(R)_Revised MOR Package_Restructuring_Separation_TAX_JuneFC2010 tf_Guidance_Sheet3" xfId="7411"/>
    <cellStyle name="_MOR - BDWY - 1+11_MOR - Gurgaon - 3+9(R)_Revised MOR Package_Restructuring_Separation_TAX_JuneFC2010 tf_Guidance_Sheet4" xfId="7412"/>
    <cellStyle name="_MOR - BDWY - 1+11_MOR - Gurgaon - 3+9(R)_Revised MOR Package_Restructuring_Separation_TAX_JuneFC2010 tf_II.8. Sep&amp;Discrete" xfId="7413"/>
    <cellStyle name="_MOR - BDWY - 1+11_MOR - Gurgaon - 3+9(R)_Revised MOR Package_Restructuring_Separation_TAX_JuneFC2010 tf_II.8. Sep&amp;Discrete_Guidance" xfId="7414"/>
    <cellStyle name="_MOR - BDWY - 1+11_MOR - Gurgaon - 3+9(R)_Revised MOR Package_Restructuring_Separation_TAX_JuneFC2010 tf_II.8. Sep&amp;Discrete_Guidance 2" xfId="7415"/>
    <cellStyle name="_MOR - BDWY - 1+11_MOR - Gurgaon - 3+9(R)_Revised MOR Package_Restructuring_Separation_TAX_JuneFC2010 tf_II.8. Sep&amp;Discrete_Guidance_BS retrieve" xfId="7416"/>
    <cellStyle name="_MOR - BDWY - 1+11_MOR - Gurgaon - 3+9(R)_Revised MOR Package_Restructuring_Separation_TAX_JuneFC2010 tf_II.8. Sep&amp;Discrete_Guidance_Free CF" xfId="7417"/>
    <cellStyle name="_MOR - BDWY - 1+11_MOR - Gurgaon - 3+9(R)_Revised MOR Package_Restructuring_Separation_TAX_JuneFC2010 tf_II.8. Sep&amp;Discrete_Guidance_P&amp;L Rec Qtr" xfId="7418"/>
    <cellStyle name="_MOR - BDWY - 1+11_MOR - Gurgaon - 3+9(R)_Revised MOR Package_Restructuring_Separation_TAX_JuneFC2010 tf_II.8. Sep&amp;Discrete_Guidance_Sheet1" xfId="7419"/>
    <cellStyle name="_MOR - BDWY - 1+11_MOR - Gurgaon - 3+9(R)_Revised MOR Package_Restructuring_Separation_TAX_JuneFC2010 tf_II.8. Sep&amp;Discrete_Guidance_Sheet2" xfId="7420"/>
    <cellStyle name="_MOR - BDWY - 1+11_MOR - Gurgaon - 3+9(R)_Revised MOR Package_Restructuring_Separation_TAX_JuneFC2010 tf_II.8. Sep&amp;Discrete_Guidance_Sheet3" xfId="7421"/>
    <cellStyle name="_MOR - BDWY - 1+11_MOR - Gurgaon - 3+9(R)_Revised MOR Package_Restructuring_Separation_TAX_JuneFC2010 tf_II.8. Sep&amp;Discrete_Guidance_Sheet4" xfId="7422"/>
    <cellStyle name="_MOR - BDWY - 1+11_MOR - Gurgaon - 3+9(R)_Revised MOR Package_Restructuring_Separation_TAX_JuneFC2010 tf_Restructuring &amp; Separation" xfId="7423"/>
    <cellStyle name="_MOR - BDWY - 1+11_MOR - Gurgaon - 3+9(R)_Revised MOR Package_Restructuring_Separation_TAX_JuneFC2010 tf_Restructuring &amp; Separation_Guidance" xfId="7424"/>
    <cellStyle name="_MOR - BDWY - 1+11_MOR - Gurgaon - 3+9(R)_Revised MOR Package_Restructuring_Separation_TAX_JuneFC2010 tf_Restructuring &amp; Separation_Guidance 2" xfId="7425"/>
    <cellStyle name="_MOR - BDWY - 1+11_MOR - Gurgaon - 3+9(R)_Revised MOR Package_Restructuring_Separation_TAX_JuneFC2010 tf_Restructuring &amp; Separation_Guidance_BS retrieve" xfId="7426"/>
    <cellStyle name="_MOR - BDWY - 1+11_MOR - Gurgaon - 3+9(R)_Revised MOR Package_Restructuring_Separation_TAX_JuneFC2010 tf_Restructuring &amp; Separation_Guidance_Free CF" xfId="7427"/>
    <cellStyle name="_MOR - BDWY - 1+11_MOR - Gurgaon - 3+9(R)_Revised MOR Package_Restructuring_Separation_TAX_JuneFC2010 tf_Restructuring &amp; Separation_Guidance_P&amp;L Rec Qtr" xfId="7428"/>
    <cellStyle name="_MOR - BDWY - 1+11_MOR - Gurgaon - 3+9(R)_Revised MOR Package_Restructuring_Separation_TAX_JuneFC2010 tf_Restructuring &amp; Separation_Guidance_Sheet1" xfId="7429"/>
    <cellStyle name="_MOR - BDWY - 1+11_MOR - Gurgaon - 3+9(R)_Revised MOR Package_Restructuring_Separation_TAX_JuneFC2010 tf_Restructuring &amp; Separation_Guidance_Sheet2" xfId="7430"/>
    <cellStyle name="_MOR - BDWY - 1+11_MOR - Gurgaon - 3+9(R)_Revised MOR Package_Restructuring_Separation_TAX_JuneFC2010 tf_Restructuring &amp; Separation_Guidance_Sheet3" xfId="7431"/>
    <cellStyle name="_MOR - BDWY - 1+11_MOR - Gurgaon - 3+9(R)_Revised MOR Package_Restructuring_Separation_TAX_JuneFC2010 tf_Restructuring &amp; Separation_Guidance_Sheet4" xfId="7432"/>
    <cellStyle name="_MOR - BDWY - 1+11_MOR - Gurgaon - 3+9(R)_Revised MOR Package_Revised MOR Package - Latest" xfId="7433"/>
    <cellStyle name="_MOR - BDWY - 1+11_MOR - Gurgaon - 3+9(R)_Revised MOR Package_Revised MOR Package - Latest_BS_Separation_TaxResIndem_Q12412 tf" xfId="7434"/>
    <cellStyle name="_MOR - BDWY - 1+11_MOR - Gurgaon - 3+9(R)_Revised MOR Package_Revised MOR Package - Latest_BS_Separation_TaxResIndem_Q12412 tf_Guidance" xfId="7435"/>
    <cellStyle name="_MOR - BDWY - 1+11_MOR - Gurgaon - 3+9(R)_Revised MOR Package_Revised MOR Package - Latest_BS_Separation_TaxResIndem_Q12412 tf_Guidance 2" xfId="7436"/>
    <cellStyle name="_MOR - BDWY - 1+11_MOR - Gurgaon - 3+9(R)_Revised MOR Package_Revised MOR Package - Latest_BS_Separation_TaxResIndem_Q12412 tf_Guidance_BS retrieve" xfId="7437"/>
    <cellStyle name="_MOR - BDWY - 1+11_MOR - Gurgaon - 3+9(R)_Revised MOR Package_Revised MOR Package - Latest_BS_Separation_TaxResIndem_Q12412 tf_Guidance_Free CF" xfId="7438"/>
    <cellStyle name="_MOR - BDWY - 1+11_MOR - Gurgaon - 3+9(R)_Revised MOR Package_Revised MOR Package - Latest_BS_Separation_TaxResIndem_Q12412 tf_Guidance_P&amp;L Rec Qtr" xfId="7439"/>
    <cellStyle name="_MOR - BDWY - 1+11_MOR - Gurgaon - 3+9(R)_Revised MOR Package_Revised MOR Package - Latest_BS_Separation_TaxResIndem_Q12412 tf_Guidance_Sheet1" xfId="7440"/>
    <cellStyle name="_MOR - BDWY - 1+11_MOR - Gurgaon - 3+9(R)_Revised MOR Package_Revised MOR Package - Latest_BS_Separation_TaxResIndem_Q12412 tf_Guidance_Sheet2" xfId="7441"/>
    <cellStyle name="_MOR - BDWY - 1+11_MOR - Gurgaon - 3+9(R)_Revised MOR Package_Revised MOR Package - Latest_BS_Separation_TaxResIndem_Q12412 tf_Guidance_Sheet3" xfId="7442"/>
    <cellStyle name="_MOR - BDWY - 1+11_MOR - Gurgaon - 3+9(R)_Revised MOR Package_Revised MOR Package - Latest_BS_Separation_TaxResIndem_Q12412 tf_Guidance_Sheet4" xfId="7443"/>
    <cellStyle name="_MOR - BDWY - 1+11_MOR - Gurgaon - 3+9(R)_Revised MOR Package_Revised MOR Package - Latest_BS_Separation_TaxResIndem_Q12412 tf_Restructuring &amp; Separation" xfId="7444"/>
    <cellStyle name="_MOR - BDWY - 1+11_MOR - Gurgaon - 3+9(R)_Revised MOR Package_Revised MOR Package - Latest_BS_Separation_TaxResIndem_Q12412 tf_Restructuring &amp; Separation_Guidance" xfId="7445"/>
    <cellStyle name="_MOR - BDWY - 1+11_MOR - Gurgaon - 3+9(R)_Revised MOR Package_Revised MOR Package - Latest_BS_Separation_TaxResIndem_Q12412 tf_Restructuring &amp; Separation_Guidance 2" xfId="7446"/>
    <cellStyle name="_MOR - BDWY - 1+11_MOR - Gurgaon - 3+9(R)_Revised MOR Package_Revised MOR Package - Latest_BS_Separation_TaxResIndem_Q12412 tf_Restructuring &amp; Separation_Guidance_BS retrieve" xfId="7447"/>
    <cellStyle name="_MOR - BDWY - 1+11_MOR - Gurgaon - 3+9(R)_Revised MOR Package_Revised MOR Package - Latest_BS_Separation_TaxResIndem_Q12412 tf_Restructuring &amp; Separation_Guidance_Free CF" xfId="7448"/>
    <cellStyle name="_MOR - BDWY - 1+11_MOR - Gurgaon - 3+9(R)_Revised MOR Package_Revised MOR Package - Latest_BS_Separation_TaxResIndem_Q12412 tf_Restructuring &amp; Separation_Guidance_P&amp;L Rec Qtr" xfId="7449"/>
    <cellStyle name="_MOR - BDWY - 1+11_MOR - Gurgaon - 3+9(R)_Revised MOR Package_Revised MOR Package - Latest_BS_Separation_TaxResIndem_Q12412 tf_Restructuring &amp; Separation_Guidance_Sheet1" xfId="7450"/>
    <cellStyle name="_MOR - BDWY - 1+11_MOR - Gurgaon - 3+9(R)_Revised MOR Package_Revised MOR Package - Latest_BS_Separation_TaxResIndem_Q12412 tf_Restructuring &amp; Separation_Guidance_Sheet2" xfId="7451"/>
    <cellStyle name="_MOR - BDWY - 1+11_MOR - Gurgaon - 3+9(R)_Revised MOR Package_Revised MOR Package - Latest_BS_Separation_TaxResIndem_Q12412 tf_Restructuring &amp; Separation_Guidance_Sheet3" xfId="7452"/>
    <cellStyle name="_MOR - BDWY - 1+11_MOR - Gurgaon - 3+9(R)_Revised MOR Package_Revised MOR Package - Latest_BS_Separation_TaxResIndem_Q12412 tf_Restructuring &amp; Separation_Guidance_Sheet4" xfId="7453"/>
    <cellStyle name="_MOR - BDWY - 1+11_MOR - Gurgaon - 3+9(R)_Revised MOR Package_Revised MOR Package - Latest_By Country Detail 1Q10 041410pm FIN 18 revised per disc w Mary" xfId="7454"/>
    <cellStyle name="_MOR - BDWY - 1+11_MOR - Gurgaon - 3+9(R)_Revised MOR Package_Revised MOR Package - Latest_By Country Detail 1Q10 041410pm FIN 18 revised per disc w Mary_BS_Separation_TaxResIndem_Q12412 tf" xfId="7455"/>
    <cellStyle name="_MOR - BDWY - 1+11_MOR - Gurgaon - 3+9(R)_Revised MOR Package_Revised MOR Package - Latest_By Country Detail 1Q10 041410pm FIN 18 revised per disc w Mary_BS_Separation_TaxResIndem_Q12412 tf_Guidance" xfId="7456"/>
    <cellStyle name="_MOR - BDWY - 1+11_MOR - Gurgaon - 3+9(R)_Revised MOR Package_Revised MOR Package - Latest_By Country Detail 1Q10 041410pm FIN 18 revised per disc w Mary_BS_Separation_TaxResIndem_Q12412 tf_Guidance 2" xfId="7457"/>
    <cellStyle name="_MOR - BDWY - 1+11_MOR - Gurgaon - 3+9(R)_Revised MOR Package_Revised MOR Package - Latest_By Country Detail 1Q10 041410pm FIN 18 revised per disc w Mary_BS_Separation_TaxResIndem_Q12412 tf_Guidance_BS retrieve" xfId="7458"/>
    <cellStyle name="_MOR - BDWY - 1+11_MOR - Gurgaon - 3+9(R)_Revised MOR Package_Revised MOR Package - Latest_By Country Detail 1Q10 041410pm FIN 18 revised per disc w Mary_BS_Separation_TaxResIndem_Q12412 tf_Guidance_Free CF" xfId="7459"/>
    <cellStyle name="_MOR - BDWY - 1+11_MOR - Gurgaon - 3+9(R)_Revised MOR Package_Revised MOR Package - Latest_By Country Detail 1Q10 041410pm FIN 18 revised per disc w Mary_BS_Separation_TaxResIndem_Q12412 tf_Guidance_P&amp;L Rec Qtr" xfId="7460"/>
    <cellStyle name="_MOR - BDWY - 1+11_MOR - Gurgaon - 3+9(R)_Revised MOR Package_Revised MOR Package - Latest_By Country Detail 1Q10 041410pm FIN 18 revised per disc w Mary_BS_Separation_TaxResIndem_Q12412 tf_Guidance_Sheet1" xfId="7461"/>
    <cellStyle name="_MOR - BDWY - 1+11_MOR - Gurgaon - 3+9(R)_Revised MOR Package_Revised MOR Package - Latest_By Country Detail 1Q10 041410pm FIN 18 revised per disc w Mary_BS_Separation_TaxResIndem_Q12412 tf_Guidance_Sheet2" xfId="7462"/>
    <cellStyle name="_MOR - BDWY - 1+11_MOR - Gurgaon - 3+9(R)_Revised MOR Package_Revised MOR Package - Latest_By Country Detail 1Q10 041410pm FIN 18 revised per disc w Mary_BS_Separation_TaxResIndem_Q12412 tf_Guidance_Sheet3" xfId="7463"/>
    <cellStyle name="_MOR - BDWY - 1+11_MOR - Gurgaon - 3+9(R)_Revised MOR Package_Revised MOR Package - Latest_By Country Detail 1Q10 041410pm FIN 18 revised per disc w Mary_BS_Separation_TaxResIndem_Q12412 tf_Guidance_Sheet4" xfId="7464"/>
    <cellStyle name="_MOR - BDWY - 1+11_MOR - Gurgaon - 3+9(R)_Revised MOR Package_Revised MOR Package - Latest_By Country Detail 1Q10 041410pm FIN 18 revised per disc w Mary_BS_Separation_TaxResIndem_Q12412 tf_Restructuring &amp; Separation" xfId="7465"/>
    <cellStyle name="_MOR - BDWY - 1+11_MOR - Gurgaon - 3+9(R)_Revised MOR Package_Revised MOR Package - Latest_By Country Detail 1Q10 041410pm FIN 18 revised per disc w Mary_BS_Separation_TaxResIndem_Q12412 tf_Restructuring &amp; Separation_Guidance" xfId="7466"/>
    <cellStyle name="_MOR - BDWY - 1+11_MOR - Gurgaon - 3+9(R)_Revised MOR Package_Revised MOR Package - Latest_By Country Detail 1Q10 041410pm FIN 18 revised per disc w Mary_BS_Separation_TaxResIndem_Q12412 tf_Restructuring &amp; Separation_Guidance 2" xfId="7467"/>
    <cellStyle name="_MOR - BDWY - 1+11_MOR - Gurgaon - 3+9(R)_Revised MOR Package_Revised MOR Package - Latest_By Country Detail 1Q10 041410pm FIN 18 revised per disc w Mary_BS_Separation_TaxResIndem_Q12412 tf_Restructuring &amp; Separation_Guidance_BS retrieve" xfId="7468"/>
    <cellStyle name="_MOR - BDWY - 1+11_MOR - Gurgaon - 3+9(R)_Revised MOR Package_Revised MOR Package - Latest_By Country Detail 1Q10 041410pm FIN 18 revised per disc w Mary_BS_Separation_TaxResIndem_Q12412 tf_Restructuring &amp; Separation_Guidance_Free CF" xfId="7469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/>
    <cellStyle name="_MOR - BDWY - 1+11_MOR - Gurgaon - 3+9(R)_Revised MOR Package_Revised MOR Package - Latest_By Country Detail 1Q10 041410pm FIN 18 revised per disc w Mary_BS_Separation_TaxResIndem_Q12412 tf_Restructuring &amp; Separation_Guidance_Sheet1" xfId="7471"/>
    <cellStyle name="_MOR - BDWY - 1+11_MOR - Gurgaon - 3+9(R)_Revised MOR Package_Revised MOR Package - Latest_By Country Detail 1Q10 041410pm FIN 18 revised per disc w Mary_BS_Separation_TaxResIndem_Q12412 tf_Restructuring &amp; Separation_Guidance_Sheet2" xfId="7472"/>
    <cellStyle name="_MOR - BDWY - 1+11_MOR - Gurgaon - 3+9(R)_Revised MOR Package_Revised MOR Package - Latest_By Country Detail 1Q10 041410pm FIN 18 revised per disc w Mary_BS_Separation_TaxResIndem_Q12412 tf_Restructuring &amp; Separation_Guidance_Sheet3" xfId="7473"/>
    <cellStyle name="_MOR - BDWY - 1+11_MOR - Gurgaon - 3+9(R)_Revised MOR Package_Revised MOR Package - Latest_By Country Detail 1Q10 041410pm FIN 18 revised per disc w Mary_BS_Separation_TaxResIndem_Q12412 tf_Restructuring &amp; Separation_Guidance_Sheet4" xfId="7474"/>
    <cellStyle name="_MOR - BDWY - 1+11_MOR - Gurgaon - 3+9(R)_Revised MOR Package_Revised MOR Package - Latest_By Country Detail 1Q10 041410pm FIN 18 revised per disc w Mary_Guidance" xfId="7475"/>
    <cellStyle name="_MOR - BDWY - 1+11_MOR - Gurgaon - 3+9(R)_Revised MOR Package_Revised MOR Package - Latest_By Country Detail 1Q10 041410pm FIN 18 revised per disc w Mary_Guidance 2" xfId="7476"/>
    <cellStyle name="_MOR - BDWY - 1+11_MOR - Gurgaon - 3+9(R)_Revised MOR Package_Revised MOR Package - Latest_By Country Detail 1Q10 041410pm FIN 18 revised per disc w Mary_Guidance_BS retrieve" xfId="7477"/>
    <cellStyle name="_MOR - BDWY - 1+11_MOR - Gurgaon - 3+9(R)_Revised MOR Package_Revised MOR Package - Latest_By Country Detail 1Q10 041410pm FIN 18 revised per disc w Mary_Guidance_Free CF" xfId="7478"/>
    <cellStyle name="_MOR - BDWY - 1+11_MOR - Gurgaon - 3+9(R)_Revised MOR Package_Revised MOR Package - Latest_By Country Detail 1Q10 041410pm FIN 18 revised per disc w Mary_Guidance_P&amp;L Rec Qtr" xfId="7479"/>
    <cellStyle name="_MOR - BDWY - 1+11_MOR - Gurgaon - 3+9(R)_Revised MOR Package_Revised MOR Package - Latest_By Country Detail 1Q10 041410pm FIN 18 revised per disc w Mary_Guidance_Sheet1" xfId="7480"/>
    <cellStyle name="_MOR - BDWY - 1+11_MOR - Gurgaon - 3+9(R)_Revised MOR Package_Revised MOR Package - Latest_By Country Detail 1Q10 041410pm FIN 18 revised per disc w Mary_Guidance_Sheet2" xfId="7481"/>
    <cellStyle name="_MOR - BDWY - 1+11_MOR - Gurgaon - 3+9(R)_Revised MOR Package_Revised MOR Package - Latest_By Country Detail 1Q10 041410pm FIN 18 revised per disc w Mary_Guidance_Sheet3" xfId="7482"/>
    <cellStyle name="_MOR - BDWY - 1+11_MOR - Gurgaon - 3+9(R)_Revised MOR Package_Revised MOR Package - Latest_By Country Detail 1Q10 041410pm FIN 18 revised per disc w Mary_Guidance_Sheet4" xfId="7483"/>
    <cellStyle name="_MOR - BDWY - 1+11_MOR - Gurgaon - 3+9(R)_Revised MOR Package_Revised MOR Package - Latest_By Country Detail 1Q10 041410pm FIN 18 revised per disc w Mary_II.8. Sep&amp;Discrete" xfId="7484"/>
    <cellStyle name="_MOR - BDWY - 1+11_MOR - Gurgaon - 3+9(R)_Revised MOR Package_Revised MOR Package - Latest_By Country Detail 1Q10 041410pm FIN 18 revised per disc w Mary_II.8. Sep&amp;Discrete_Guidance" xfId="7485"/>
    <cellStyle name="_MOR - BDWY - 1+11_MOR - Gurgaon - 3+9(R)_Revised MOR Package_Revised MOR Package - Latest_By Country Detail 1Q10 041410pm FIN 18 revised per disc w Mary_II.8. Sep&amp;Discrete_Guidance 2" xfId="7486"/>
    <cellStyle name="_MOR - BDWY - 1+11_MOR - Gurgaon - 3+9(R)_Revised MOR Package_Revised MOR Package - Latest_By Country Detail 1Q10 041410pm FIN 18 revised per disc w Mary_II.8. Sep&amp;Discrete_Guidance_BS retrieve" xfId="7487"/>
    <cellStyle name="_MOR - BDWY - 1+11_MOR - Gurgaon - 3+9(R)_Revised MOR Package_Revised MOR Package - Latest_By Country Detail 1Q10 041410pm FIN 18 revised per disc w Mary_II.8. Sep&amp;Discrete_Guidance_Free CF" xfId="7488"/>
    <cellStyle name="_MOR - BDWY - 1+11_MOR - Gurgaon - 3+9(R)_Revised MOR Package_Revised MOR Package - Latest_By Country Detail 1Q10 041410pm FIN 18 revised per disc w Mary_II.8. Sep&amp;Discrete_Guidance_P&amp;L Rec Qtr" xfId="7489"/>
    <cellStyle name="_MOR - BDWY - 1+11_MOR - Gurgaon - 3+9(R)_Revised MOR Package_Revised MOR Package - Latest_By Country Detail 1Q10 041410pm FIN 18 revised per disc w Mary_II.8. Sep&amp;Discrete_Guidance_Sheet1" xfId="7490"/>
    <cellStyle name="_MOR - BDWY - 1+11_MOR - Gurgaon - 3+9(R)_Revised MOR Package_Revised MOR Package - Latest_By Country Detail 1Q10 041410pm FIN 18 revised per disc w Mary_II.8. Sep&amp;Discrete_Guidance_Sheet2" xfId="7491"/>
    <cellStyle name="_MOR - BDWY - 1+11_MOR - Gurgaon - 3+9(R)_Revised MOR Package_Revised MOR Package - Latest_By Country Detail 1Q10 041410pm FIN 18 revised per disc w Mary_II.8. Sep&amp;Discrete_Guidance_Sheet3" xfId="7492"/>
    <cellStyle name="_MOR - BDWY - 1+11_MOR - Gurgaon - 3+9(R)_Revised MOR Package_Revised MOR Package - Latest_By Country Detail 1Q10 041410pm FIN 18 revised per disc w Mary_II.8. Sep&amp;Discrete_Guidance_Sheet4" xfId="7493"/>
    <cellStyle name="_MOR - BDWY - 1+11_MOR - Gurgaon - 3+9(R)_Revised MOR Package_Revised MOR Package - Latest_By Country Detail 1Q10 041410pm FIN 18 revised per disc w Mary_Restructuring &amp; Separation" xfId="7494"/>
    <cellStyle name="_MOR - BDWY - 1+11_MOR - Gurgaon - 3+9(R)_Revised MOR Package_Revised MOR Package - Latest_By Country Detail 1Q10 041410pm FIN 18 revised per disc w Mary_Restructuring &amp; Separation_Guidance" xfId="7495"/>
    <cellStyle name="_MOR - BDWY - 1+11_MOR - Gurgaon - 3+9(R)_Revised MOR Package_Revised MOR Package - Latest_By Country Detail 1Q10 041410pm FIN 18 revised per disc w Mary_Restructuring &amp; Separation_Guidance 2" xfId="7496"/>
    <cellStyle name="_MOR - BDWY - 1+11_MOR - Gurgaon - 3+9(R)_Revised MOR Package_Revised MOR Package - Latest_By Country Detail 1Q10 041410pm FIN 18 revised per disc w Mary_Restructuring &amp; Separation_Guidance_BS retrieve" xfId="7497"/>
    <cellStyle name="_MOR - BDWY - 1+11_MOR - Gurgaon - 3+9(R)_Revised MOR Package_Revised MOR Package - Latest_By Country Detail 1Q10 041410pm FIN 18 revised per disc w Mary_Restructuring &amp; Separation_Guidance_Free CF" xfId="7498"/>
    <cellStyle name="_MOR - BDWY - 1+11_MOR - Gurgaon - 3+9(R)_Revised MOR Package_Revised MOR Package - Latest_By Country Detail 1Q10 041410pm FIN 18 revised per disc w Mary_Restructuring &amp; Separation_Guidance_P&amp;L Rec Qtr" xfId="7499"/>
    <cellStyle name="_MOR - BDWY - 1+11_MOR - Gurgaon - 3+9(R)_Revised MOR Package_Revised MOR Package - Latest_By Country Detail 1Q10 041410pm FIN 18 revised per disc w Mary_Restructuring &amp; Separation_Guidance_Sheet1" xfId="7500"/>
    <cellStyle name="_MOR - BDWY - 1+11_MOR - Gurgaon - 3+9(R)_Revised MOR Package_Revised MOR Package - Latest_By Country Detail 1Q10 041410pm FIN 18 revised per disc w Mary_Restructuring &amp; Separation_Guidance_Sheet2" xfId="7501"/>
    <cellStyle name="_MOR - BDWY - 1+11_MOR - Gurgaon - 3+9(R)_Revised MOR Package_Revised MOR Package - Latest_By Country Detail 1Q10 041410pm FIN 18 revised per disc w Mary_Restructuring &amp; Separation_Guidance_Sheet3" xfId="7502"/>
    <cellStyle name="_MOR - BDWY - 1+11_MOR - Gurgaon - 3+9(R)_Revised MOR Package_Revised MOR Package - Latest_By Country Detail 1Q10 041410pm FIN 18 revised per disc w Mary_Restructuring &amp; Separation_Guidance_Sheet4" xfId="7503"/>
    <cellStyle name="_MOR - BDWY - 1+11_MOR - Gurgaon - 3+9(R)_Revised MOR Package_Revised MOR Package - Latest_Guidance" xfId="7504"/>
    <cellStyle name="_MOR - BDWY - 1+11_MOR - Gurgaon - 3+9(R)_Revised MOR Package_Revised MOR Package - Latest_Guidance 2" xfId="7505"/>
    <cellStyle name="_MOR - BDWY - 1+11_MOR - Gurgaon - 3+9(R)_Revised MOR Package_Revised MOR Package - Latest_Guidance_BS retrieve" xfId="7506"/>
    <cellStyle name="_MOR - BDWY - 1+11_MOR - Gurgaon - 3+9(R)_Revised MOR Package_Revised MOR Package - Latest_Guidance_Free CF" xfId="7507"/>
    <cellStyle name="_MOR - BDWY - 1+11_MOR - Gurgaon - 3+9(R)_Revised MOR Package_Revised MOR Package - Latest_Guidance_P&amp;L Rec Qtr" xfId="7508"/>
    <cellStyle name="_MOR - BDWY - 1+11_MOR - Gurgaon - 3+9(R)_Revised MOR Package_Revised MOR Package - Latest_Guidance_Sheet1" xfId="7509"/>
    <cellStyle name="_MOR - BDWY - 1+11_MOR - Gurgaon - 3+9(R)_Revised MOR Package_Revised MOR Package - Latest_Guidance_Sheet2" xfId="7510"/>
    <cellStyle name="_MOR - BDWY - 1+11_MOR - Gurgaon - 3+9(R)_Revised MOR Package_Revised MOR Package - Latest_Guidance_Sheet3" xfId="7511"/>
    <cellStyle name="_MOR - BDWY - 1+11_MOR - Gurgaon - 3+9(R)_Revised MOR Package_Revised MOR Package - Latest_Guidance_Sheet4" xfId="7512"/>
    <cellStyle name="_MOR - BDWY - 1+11_MOR - Gurgaon - 3+9(R)_Revised MOR Package_Revised MOR Package - Latest_II.4. RawMaterials" xfId="7513"/>
    <cellStyle name="_MOR - BDWY - 1+11_MOR - Gurgaon - 3+9(R)_Revised MOR Package_Revised MOR Package - Latest_II.4. RawMaterials 2" xfId="7514"/>
    <cellStyle name="_MOR - BDWY - 1+11_MOR - Gurgaon - 3+9(R)_Revised MOR Package_Revised MOR Package - Latest_II.4. RawMaterials_BS retrieve" xfId="7515"/>
    <cellStyle name="_MOR - BDWY - 1+11_MOR - Gurgaon - 3+9(R)_Revised MOR Package_Revised MOR Package - Latest_II.4. RawMaterials_Free CF" xfId="7516"/>
    <cellStyle name="_MOR - BDWY - 1+11_MOR - Gurgaon - 3+9(R)_Revised MOR Package_Revised MOR Package - Latest_II.4. RawMaterials_P&amp;L Rec Qtr" xfId="7517"/>
    <cellStyle name="_MOR - BDWY - 1+11_MOR - Gurgaon - 3+9(R)_Revised MOR Package_Revised MOR Package - Latest_II.4. RawMaterials_Sheet1" xfId="7518"/>
    <cellStyle name="_MOR - BDWY - 1+11_MOR - Gurgaon - 3+9(R)_Revised MOR Package_Revised MOR Package - Latest_II.4. RawMaterials_Sheet2" xfId="7519"/>
    <cellStyle name="_MOR - BDWY - 1+11_MOR - Gurgaon - 3+9(R)_Revised MOR Package_Revised MOR Package - Latest_II.4. RawMaterials_Sheet3" xfId="7520"/>
    <cellStyle name="_MOR - BDWY - 1+11_MOR - Gurgaon - 3+9(R)_Revised MOR Package_Revised MOR Package - Latest_II.4. RawMaterials_Sheet4" xfId="7521"/>
    <cellStyle name="_MOR - BDWY - 1+11_MOR - Gurgaon - 3+9(R)_Revised MOR Package_Revised MOR Package - Latest_II.5. RawMaterials" xfId="7522"/>
    <cellStyle name="_MOR - BDWY - 1+11_MOR - Gurgaon - 3+9(R)_Revised MOR Package_Revised MOR Package - Latest_II.5. RawMaterials 2" xfId="7523"/>
    <cellStyle name="_MOR - BDWY - 1+11_MOR - Gurgaon - 3+9(R)_Revised MOR Package_Revised MOR Package - Latest_II.5. RawMaterials_BS retrieve" xfId="7524"/>
    <cellStyle name="_MOR - BDWY - 1+11_MOR - Gurgaon - 3+9(R)_Revised MOR Package_Revised MOR Package - Latest_II.5. RawMaterials_Free CF" xfId="7525"/>
    <cellStyle name="_MOR - BDWY - 1+11_MOR - Gurgaon - 3+9(R)_Revised MOR Package_Revised MOR Package - Latest_II.5. RawMaterials_Guidance" xfId="7526"/>
    <cellStyle name="_MOR - BDWY - 1+11_MOR - Gurgaon - 3+9(R)_Revised MOR Package_Revised MOR Package - Latest_II.5. RawMaterials_Guidance 2" xfId="7527"/>
    <cellStyle name="_MOR - BDWY - 1+11_MOR - Gurgaon - 3+9(R)_Revised MOR Package_Revised MOR Package - Latest_II.5. RawMaterials_Guidance_BS retrieve" xfId="7528"/>
    <cellStyle name="_MOR - BDWY - 1+11_MOR - Gurgaon - 3+9(R)_Revised MOR Package_Revised MOR Package - Latest_II.5. RawMaterials_Guidance_Free CF" xfId="7529"/>
    <cellStyle name="_MOR - BDWY - 1+11_MOR - Gurgaon - 3+9(R)_Revised MOR Package_Revised MOR Package - Latest_II.5. RawMaterials_Guidance_P&amp;L Rec Qtr" xfId="7530"/>
    <cellStyle name="_MOR - BDWY - 1+11_MOR - Gurgaon - 3+9(R)_Revised MOR Package_Revised MOR Package - Latest_II.5. RawMaterials_Guidance_Sheet1" xfId="7531"/>
    <cellStyle name="_MOR - BDWY - 1+11_MOR - Gurgaon - 3+9(R)_Revised MOR Package_Revised MOR Package - Latest_II.5. RawMaterials_Guidance_Sheet2" xfId="7532"/>
    <cellStyle name="_MOR - BDWY - 1+11_MOR - Gurgaon - 3+9(R)_Revised MOR Package_Revised MOR Package - Latest_II.5. RawMaterials_Guidance_Sheet3" xfId="7533"/>
    <cellStyle name="_MOR - BDWY - 1+11_MOR - Gurgaon - 3+9(R)_Revised MOR Package_Revised MOR Package - Latest_II.5. RawMaterials_Guidance_Sheet4" xfId="7534"/>
    <cellStyle name="_MOR - BDWY - 1+11_MOR - Gurgaon - 3+9(R)_Revised MOR Package_Revised MOR Package - Latest_II.5. RawMaterials_P&amp;L Rec Qtr" xfId="7535"/>
    <cellStyle name="_MOR - BDWY - 1+11_MOR - Gurgaon - 3+9(R)_Revised MOR Package_Revised MOR Package - Latest_II.5. RawMaterials_Sheet1" xfId="7536"/>
    <cellStyle name="_MOR - BDWY - 1+11_MOR - Gurgaon - 3+9(R)_Revised MOR Package_Revised MOR Package - Latest_II.5. RawMaterials_Sheet2" xfId="7537"/>
    <cellStyle name="_MOR - BDWY - 1+11_MOR - Gurgaon - 3+9(R)_Revised MOR Package_Revised MOR Package - Latest_II.5. RawMaterials_Sheet3" xfId="7538"/>
    <cellStyle name="_MOR - BDWY - 1+11_MOR - Gurgaon - 3+9(R)_Revised MOR Package_Revised MOR Package - Latest_II.5. RawMaterials_Sheet4" xfId="7539"/>
    <cellStyle name="_MOR - BDWY - 1+11_MOR - Gurgaon - 3+9(R)_Revised MOR Package_Revised MOR Package - Latest_II.5. RM Volume Sensitivities" xfId="7540"/>
    <cellStyle name="_MOR - BDWY - 1+11_MOR - Gurgaon - 3+9(R)_Revised MOR Package_Revised MOR Package - Latest_II.5. RM Volume Sensitivities 2" xfId="7541"/>
    <cellStyle name="_MOR - BDWY - 1+11_MOR - Gurgaon - 3+9(R)_Revised MOR Package_Revised MOR Package - Latest_II.5. RM Volume Sensitivities_BS retrieve" xfId="7542"/>
    <cellStyle name="_MOR - BDWY - 1+11_MOR - Gurgaon - 3+9(R)_Revised MOR Package_Revised MOR Package - Latest_II.5. RM Volume Sensitivities_Free CF" xfId="7543"/>
    <cellStyle name="_MOR - BDWY - 1+11_MOR - Gurgaon - 3+9(R)_Revised MOR Package_Revised MOR Package - Latest_II.5. RM Volume Sensitivities_P&amp;L Rec Qtr" xfId="7544"/>
    <cellStyle name="_MOR - BDWY - 1+11_MOR - Gurgaon - 3+9(R)_Revised MOR Package_Revised MOR Package - Latest_II.5. RM Volume Sensitivities_Sheet1" xfId="7545"/>
    <cellStyle name="_MOR - BDWY - 1+11_MOR - Gurgaon - 3+9(R)_Revised MOR Package_Revised MOR Package - Latest_II.5. RM Volume Sensitivities_Sheet2" xfId="7546"/>
    <cellStyle name="_MOR - BDWY - 1+11_MOR - Gurgaon - 3+9(R)_Revised MOR Package_Revised MOR Package - Latest_II.5. RM Volume Sensitivities_Sheet3" xfId="7547"/>
    <cellStyle name="_MOR - BDWY - 1+11_MOR - Gurgaon - 3+9(R)_Revised MOR Package_Revised MOR Package - Latest_II.5. RM Volume Sensitivities_Sheet4" xfId="7548"/>
    <cellStyle name="_MOR - BDWY - 1+11_MOR - Gurgaon - 3+9(R)_Revised MOR Package_Revised MOR Package - Latest_II.8. Sep&amp;Discrete" xfId="7549"/>
    <cellStyle name="_MOR - BDWY - 1+11_MOR - Gurgaon - 3+9(R)_Revised MOR Package_Revised MOR Package - Latest_II.8. Sep&amp;Discrete_Guidance" xfId="7550"/>
    <cellStyle name="_MOR - BDWY - 1+11_MOR - Gurgaon - 3+9(R)_Revised MOR Package_Revised MOR Package - Latest_II.8. Sep&amp;Discrete_Guidance 2" xfId="7551"/>
    <cellStyle name="_MOR - BDWY - 1+11_MOR - Gurgaon - 3+9(R)_Revised MOR Package_Revised MOR Package - Latest_II.8. Sep&amp;Discrete_Guidance_BS retrieve" xfId="7552"/>
    <cellStyle name="_MOR - BDWY - 1+11_MOR - Gurgaon - 3+9(R)_Revised MOR Package_Revised MOR Package - Latest_II.8. Sep&amp;Discrete_Guidance_Free CF" xfId="7553"/>
    <cellStyle name="_MOR - BDWY - 1+11_MOR - Gurgaon - 3+9(R)_Revised MOR Package_Revised MOR Package - Latest_II.8. Sep&amp;Discrete_Guidance_P&amp;L Rec Qtr" xfId="7554"/>
    <cellStyle name="_MOR - BDWY - 1+11_MOR - Gurgaon - 3+9(R)_Revised MOR Package_Revised MOR Package - Latest_II.8. Sep&amp;Discrete_Guidance_Sheet1" xfId="7555"/>
    <cellStyle name="_MOR - BDWY - 1+11_MOR - Gurgaon - 3+9(R)_Revised MOR Package_Revised MOR Package - Latest_II.8. Sep&amp;Discrete_Guidance_Sheet2" xfId="7556"/>
    <cellStyle name="_MOR - BDWY - 1+11_MOR - Gurgaon - 3+9(R)_Revised MOR Package_Revised MOR Package - Latest_II.8. Sep&amp;Discrete_Guidance_Sheet3" xfId="7557"/>
    <cellStyle name="_MOR - BDWY - 1+11_MOR - Gurgaon - 3+9(R)_Revised MOR Package_Revised MOR Package - Latest_II.8. Sep&amp;Discrete_Guidance_Sheet4" xfId="7558"/>
    <cellStyle name="_MOR - BDWY - 1+11_MOR - Gurgaon - 3+9(R)_Revised MOR Package_Revised MOR Package - Latest_Restructuring &amp; Separation" xfId="7559"/>
    <cellStyle name="_MOR - BDWY - 1+11_MOR - Gurgaon - 3+9(R)_Revised MOR Package_Revised MOR Package - Latest_Restructuring &amp; Separation_Guidance" xfId="7560"/>
    <cellStyle name="_MOR - BDWY - 1+11_MOR - Gurgaon - 3+9(R)_Revised MOR Package_Revised MOR Package - Latest_Restructuring &amp; Separation_Guidance 2" xfId="7561"/>
    <cellStyle name="_MOR - BDWY - 1+11_MOR - Gurgaon - 3+9(R)_Revised MOR Package_Revised MOR Package - Latest_Restructuring &amp; Separation_Guidance_BS retrieve" xfId="7562"/>
    <cellStyle name="_MOR - BDWY - 1+11_MOR - Gurgaon - 3+9(R)_Revised MOR Package_Revised MOR Package - Latest_Restructuring &amp; Separation_Guidance_Free CF" xfId="7563"/>
    <cellStyle name="_MOR - BDWY - 1+11_MOR - Gurgaon - 3+9(R)_Revised MOR Package_Revised MOR Package - Latest_Restructuring &amp; Separation_Guidance_P&amp;L Rec Qtr" xfId="7564"/>
    <cellStyle name="_MOR - BDWY - 1+11_MOR - Gurgaon - 3+9(R)_Revised MOR Package_Revised MOR Package - Latest_Restructuring &amp; Separation_Guidance_Sheet1" xfId="7565"/>
    <cellStyle name="_MOR - BDWY - 1+11_MOR - Gurgaon - 3+9(R)_Revised MOR Package_Revised MOR Package - Latest_Restructuring &amp; Separation_Guidance_Sheet2" xfId="7566"/>
    <cellStyle name="_MOR - BDWY - 1+11_MOR - Gurgaon - 3+9(R)_Revised MOR Package_Revised MOR Package - Latest_Restructuring &amp; Separation_Guidance_Sheet3" xfId="7567"/>
    <cellStyle name="_MOR - BDWY - 1+11_MOR - Gurgaon - 3+9(R)_Revised MOR Package_Revised MOR Package - Latest_Restructuring &amp; Separation_Guidance_Sheet4" xfId="7568"/>
    <cellStyle name="_MOR - BDWY - 1+11_MOR - Gurgaon - 3+9(R)_Revised MOR Package_Revised MOR Package - Latest_Restructuring_Separation_TAX_JuneFC2010 tf" xfId="7569"/>
    <cellStyle name="_MOR - BDWY - 1+11_MOR - Gurgaon - 3+9(R)_Revised MOR Package_Revised MOR Package - Latest_Restructuring_Separation_TAX_JuneFC2010 tf_BS_Separation_TaxResIndem_Q12412 tf" xfId="7570"/>
    <cellStyle name="_MOR - BDWY - 1+11_MOR - Gurgaon - 3+9(R)_Revised MOR Package_Revised MOR Package - Latest_Restructuring_Separation_TAX_JuneFC2010 tf_BS_Separation_TaxResIndem_Q12412 tf_Guidance" xfId="7571"/>
    <cellStyle name="_MOR - BDWY - 1+11_MOR - Gurgaon - 3+9(R)_Revised MOR Package_Revised MOR Package - Latest_Restructuring_Separation_TAX_JuneFC2010 tf_BS_Separation_TaxResIndem_Q12412 tf_Guidance 2" xfId="7572"/>
    <cellStyle name="_MOR - BDWY - 1+11_MOR - Gurgaon - 3+9(R)_Revised MOR Package_Revised MOR Package - Latest_Restructuring_Separation_TAX_JuneFC2010 tf_BS_Separation_TaxResIndem_Q12412 tf_Guidance_BS retrieve" xfId="7573"/>
    <cellStyle name="_MOR - BDWY - 1+11_MOR - Gurgaon - 3+9(R)_Revised MOR Package_Revised MOR Package - Latest_Restructuring_Separation_TAX_JuneFC2010 tf_BS_Separation_TaxResIndem_Q12412 tf_Guidance_Free CF" xfId="7574"/>
    <cellStyle name="_MOR - BDWY - 1+11_MOR - Gurgaon - 3+9(R)_Revised MOR Package_Revised MOR Package - Latest_Restructuring_Separation_TAX_JuneFC2010 tf_BS_Separation_TaxResIndem_Q12412 tf_Guidance_P&amp;L Rec Qtr" xfId="7575"/>
    <cellStyle name="_MOR - BDWY - 1+11_MOR - Gurgaon - 3+9(R)_Revised MOR Package_Revised MOR Package - Latest_Restructuring_Separation_TAX_JuneFC2010 tf_BS_Separation_TaxResIndem_Q12412 tf_Guidance_Sheet1" xfId="7576"/>
    <cellStyle name="_MOR - BDWY - 1+11_MOR - Gurgaon - 3+9(R)_Revised MOR Package_Revised MOR Package - Latest_Restructuring_Separation_TAX_JuneFC2010 tf_BS_Separation_TaxResIndem_Q12412 tf_Guidance_Sheet2" xfId="7577"/>
    <cellStyle name="_MOR - BDWY - 1+11_MOR - Gurgaon - 3+9(R)_Revised MOR Package_Revised MOR Package - Latest_Restructuring_Separation_TAX_JuneFC2010 tf_BS_Separation_TaxResIndem_Q12412 tf_Guidance_Sheet3" xfId="7578"/>
    <cellStyle name="_MOR - BDWY - 1+11_MOR - Gurgaon - 3+9(R)_Revised MOR Package_Revised MOR Package - Latest_Restructuring_Separation_TAX_JuneFC2010 tf_BS_Separation_TaxResIndem_Q12412 tf_Guidance_Sheet4" xfId="7579"/>
    <cellStyle name="_MOR - BDWY - 1+11_MOR - Gurgaon - 3+9(R)_Revised MOR Package_Revised MOR Package - Latest_Restructuring_Separation_TAX_JuneFC2010 tf_BS_Separation_TaxResIndem_Q12412 tf_Restructuring &amp; Separation" xfId="7580"/>
    <cellStyle name="_MOR - BDWY - 1+11_MOR - Gurgaon - 3+9(R)_Revised MOR Package_Revised MOR Package - Latest_Restructuring_Separation_TAX_JuneFC2010 tf_BS_Separation_TaxResIndem_Q12412 tf_Restructuring &amp; Separation_Guidance" xfId="7581"/>
    <cellStyle name="_MOR - BDWY - 1+11_MOR - Gurgaon - 3+9(R)_Revised MOR Package_Revised MOR Package - Latest_Restructuring_Separation_TAX_JuneFC2010 tf_BS_Separation_TaxResIndem_Q12412 tf_Restructuring &amp; Separation_Guidance 2" xfId="7582"/>
    <cellStyle name="_MOR - BDWY - 1+11_MOR - Gurgaon - 3+9(R)_Revised MOR Package_Revised MOR Package - Latest_Restructuring_Separation_TAX_JuneFC2010 tf_BS_Separation_TaxResIndem_Q12412 tf_Restructuring &amp; Separation_Guidance_BS retrieve" xfId="7583"/>
    <cellStyle name="_MOR - BDWY - 1+11_MOR - Gurgaon - 3+9(R)_Revised MOR Package_Revised MOR Package - Latest_Restructuring_Separation_TAX_JuneFC2010 tf_BS_Separation_TaxResIndem_Q12412 tf_Restructuring &amp; Separation_Guidance_Free CF" xfId="7584"/>
    <cellStyle name="_MOR - BDWY - 1+11_MOR - Gurgaon - 3+9(R)_Revised MOR Package_Revised MOR Package - Latest_Restructuring_Separation_TAX_JuneFC2010 tf_BS_Separation_TaxResIndem_Q12412 tf_Restructuring &amp; Separation_Guidance_P&amp;L Rec Qtr" xfId="7585"/>
    <cellStyle name="_MOR - BDWY - 1+11_MOR - Gurgaon - 3+9(R)_Revised MOR Package_Revised MOR Package - Latest_Restructuring_Separation_TAX_JuneFC2010 tf_BS_Separation_TaxResIndem_Q12412 tf_Restructuring &amp; Separation_Guidance_Sheet1" xfId="7586"/>
    <cellStyle name="_MOR - BDWY - 1+11_MOR - Gurgaon - 3+9(R)_Revised MOR Package_Revised MOR Package - Latest_Restructuring_Separation_TAX_JuneFC2010 tf_BS_Separation_TaxResIndem_Q12412 tf_Restructuring &amp; Separation_Guidance_Sheet2" xfId="7587"/>
    <cellStyle name="_MOR - BDWY - 1+11_MOR - Gurgaon - 3+9(R)_Revised MOR Package_Revised MOR Package - Latest_Restructuring_Separation_TAX_JuneFC2010 tf_BS_Separation_TaxResIndem_Q12412 tf_Restructuring &amp; Separation_Guidance_Sheet3" xfId="7588"/>
    <cellStyle name="_MOR - BDWY - 1+11_MOR - Gurgaon - 3+9(R)_Revised MOR Package_Revised MOR Package - Latest_Restructuring_Separation_TAX_JuneFC2010 tf_BS_Separation_TaxResIndem_Q12412 tf_Restructuring &amp; Separation_Guidance_Sheet4" xfId="7589"/>
    <cellStyle name="_MOR - BDWY - 1+11_MOR - Gurgaon - 3+9(R)_Revised MOR Package_Revised MOR Package - Latest_Restructuring_Separation_TAX_JuneFC2010 tf_Guidance" xfId="7590"/>
    <cellStyle name="_MOR - BDWY - 1+11_MOR - Gurgaon - 3+9(R)_Revised MOR Package_Revised MOR Package - Latest_Restructuring_Separation_TAX_JuneFC2010 tf_Guidance 2" xfId="7591"/>
    <cellStyle name="_MOR - BDWY - 1+11_MOR - Gurgaon - 3+9(R)_Revised MOR Package_Revised MOR Package - Latest_Restructuring_Separation_TAX_JuneFC2010 tf_Guidance_BS retrieve" xfId="7592"/>
    <cellStyle name="_MOR - BDWY - 1+11_MOR - Gurgaon - 3+9(R)_Revised MOR Package_Revised MOR Package - Latest_Restructuring_Separation_TAX_JuneFC2010 tf_Guidance_Free CF" xfId="7593"/>
    <cellStyle name="_MOR - BDWY - 1+11_MOR - Gurgaon - 3+9(R)_Revised MOR Package_Revised MOR Package - Latest_Restructuring_Separation_TAX_JuneFC2010 tf_Guidance_P&amp;L Rec Qtr" xfId="7594"/>
    <cellStyle name="_MOR - BDWY - 1+11_MOR - Gurgaon - 3+9(R)_Revised MOR Package_Revised MOR Package - Latest_Restructuring_Separation_TAX_JuneFC2010 tf_Guidance_Sheet1" xfId="7595"/>
    <cellStyle name="_MOR - BDWY - 1+11_MOR - Gurgaon - 3+9(R)_Revised MOR Package_Revised MOR Package - Latest_Restructuring_Separation_TAX_JuneFC2010 tf_Guidance_Sheet2" xfId="7596"/>
    <cellStyle name="_MOR - BDWY - 1+11_MOR - Gurgaon - 3+9(R)_Revised MOR Package_Revised MOR Package - Latest_Restructuring_Separation_TAX_JuneFC2010 tf_Guidance_Sheet3" xfId="7597"/>
    <cellStyle name="_MOR - BDWY - 1+11_MOR - Gurgaon - 3+9(R)_Revised MOR Package_Revised MOR Package - Latest_Restructuring_Separation_TAX_JuneFC2010 tf_Guidance_Sheet4" xfId="7598"/>
    <cellStyle name="_MOR - BDWY - 1+11_MOR - Gurgaon - 3+9(R)_Revised MOR Package_Revised MOR Package - Latest_Restructuring_Separation_TAX_JuneFC2010 tf_II.8. Sep&amp;Discrete" xfId="7599"/>
    <cellStyle name="_MOR - BDWY - 1+11_MOR - Gurgaon - 3+9(R)_Revised MOR Package_Revised MOR Package - Latest_Restructuring_Separation_TAX_JuneFC2010 tf_II.8. Sep&amp;Discrete_Guidance" xfId="7600"/>
    <cellStyle name="_MOR - BDWY - 1+11_MOR - Gurgaon - 3+9(R)_Revised MOR Package_Revised MOR Package - Latest_Restructuring_Separation_TAX_JuneFC2010 tf_II.8. Sep&amp;Discrete_Guidance 2" xfId="7601"/>
    <cellStyle name="_MOR - BDWY - 1+11_MOR - Gurgaon - 3+9(R)_Revised MOR Package_Revised MOR Package - Latest_Restructuring_Separation_TAX_JuneFC2010 tf_II.8. Sep&amp;Discrete_Guidance_BS retrieve" xfId="7602"/>
    <cellStyle name="_MOR - BDWY - 1+11_MOR - Gurgaon - 3+9(R)_Revised MOR Package_Revised MOR Package - Latest_Restructuring_Separation_TAX_JuneFC2010 tf_II.8. Sep&amp;Discrete_Guidance_Free CF" xfId="7603"/>
    <cellStyle name="_MOR - BDWY - 1+11_MOR - Gurgaon - 3+9(R)_Revised MOR Package_Revised MOR Package - Latest_Restructuring_Separation_TAX_JuneFC2010 tf_II.8. Sep&amp;Discrete_Guidance_P&amp;L Rec Qtr" xfId="7604"/>
    <cellStyle name="_MOR - BDWY - 1+11_MOR - Gurgaon - 3+9(R)_Revised MOR Package_Revised MOR Package - Latest_Restructuring_Separation_TAX_JuneFC2010 tf_II.8. Sep&amp;Discrete_Guidance_Sheet1" xfId="7605"/>
    <cellStyle name="_MOR - BDWY - 1+11_MOR - Gurgaon - 3+9(R)_Revised MOR Package_Revised MOR Package - Latest_Restructuring_Separation_TAX_JuneFC2010 tf_II.8. Sep&amp;Discrete_Guidance_Sheet2" xfId="7606"/>
    <cellStyle name="_MOR - BDWY - 1+11_MOR - Gurgaon - 3+9(R)_Revised MOR Package_Revised MOR Package - Latest_Restructuring_Separation_TAX_JuneFC2010 tf_II.8. Sep&amp;Discrete_Guidance_Sheet3" xfId="7607"/>
    <cellStyle name="_MOR - BDWY - 1+11_MOR - Gurgaon - 3+9(R)_Revised MOR Package_Revised MOR Package - Latest_Restructuring_Separation_TAX_JuneFC2010 tf_II.8. Sep&amp;Discrete_Guidance_Sheet4" xfId="7608"/>
    <cellStyle name="_MOR - BDWY - 1+11_MOR - Gurgaon - 3+9(R)_Revised MOR Package_Revised MOR Package - Latest_Restructuring_Separation_TAX_JuneFC2010 tf_Restructuring &amp; Separation" xfId="7609"/>
    <cellStyle name="_MOR - BDWY - 1+11_MOR - Gurgaon - 3+9(R)_Revised MOR Package_Revised MOR Package - Latest_Restructuring_Separation_TAX_JuneFC2010 tf_Restructuring &amp; Separation_Guidance" xfId="7610"/>
    <cellStyle name="_MOR - BDWY - 1+11_MOR - Gurgaon - 3+9(R)_Revised MOR Package_Revised MOR Package - Latest_Restructuring_Separation_TAX_JuneFC2010 tf_Restructuring &amp; Separation_Guidance 2" xfId="7611"/>
    <cellStyle name="_MOR - BDWY - 1+11_MOR - Gurgaon - 3+9(R)_Revised MOR Package_Revised MOR Package - Latest_Restructuring_Separation_TAX_JuneFC2010 tf_Restructuring &amp; Separation_Guidance_BS retrieve" xfId="7612"/>
    <cellStyle name="_MOR - BDWY - 1+11_MOR - Gurgaon - 3+9(R)_Revised MOR Package_Revised MOR Package - Latest_Restructuring_Separation_TAX_JuneFC2010 tf_Restructuring &amp; Separation_Guidance_Free CF" xfId="7613"/>
    <cellStyle name="_MOR - BDWY - 1+11_MOR - Gurgaon - 3+9(R)_Revised MOR Package_Revised MOR Package - Latest_Restructuring_Separation_TAX_JuneFC2010 tf_Restructuring &amp; Separation_Guidance_P&amp;L Rec Qtr" xfId="7614"/>
    <cellStyle name="_MOR - BDWY - 1+11_MOR - Gurgaon - 3+9(R)_Revised MOR Package_Revised MOR Package - Latest_Restructuring_Separation_TAX_JuneFC2010 tf_Restructuring &amp; Separation_Guidance_Sheet1" xfId="7615"/>
    <cellStyle name="_MOR - BDWY - 1+11_MOR - Gurgaon - 3+9(R)_Revised MOR Package_Revised MOR Package - Latest_Restructuring_Separation_TAX_JuneFC2010 tf_Restructuring &amp; Separation_Guidance_Sheet2" xfId="7616"/>
    <cellStyle name="_MOR - BDWY - 1+11_MOR - Gurgaon - 3+9(R)_Revised MOR Package_Revised MOR Package - Latest_Restructuring_Separation_TAX_JuneFC2010 tf_Restructuring &amp; Separation_Guidance_Sheet3" xfId="7617"/>
    <cellStyle name="_MOR - BDWY - 1+11_MOR - Gurgaon - 3+9(R)_Revised MOR Package_Revised MOR Package - Latest_Restructuring_Separation_TAX_JuneFC2010 tf_Restructuring &amp; Separation_Guidance_Sheet4" xfId="7618"/>
    <cellStyle name="_MOR - BDWY - 1+11_MOR - Gurgaon - 3+9(R)-1" xfId="7619"/>
    <cellStyle name="_MOR - BDWY - 1+11_MOR - Gurgaon - 3+9(R)-1_BS_Separation_TaxResIndem_Q12412 tf" xfId="7620"/>
    <cellStyle name="_MOR - BDWY - 1+11_MOR - Gurgaon - 3+9(R)-1_BS_Separation_TaxResIndem_Q12412 tf_Guidance" xfId="7621"/>
    <cellStyle name="_MOR - BDWY - 1+11_MOR - Gurgaon - 3+9(R)-1_BS_Separation_TaxResIndem_Q12412 tf_Guidance 2" xfId="7622"/>
    <cellStyle name="_MOR - BDWY - 1+11_MOR - Gurgaon - 3+9(R)-1_BS_Separation_TaxResIndem_Q12412 tf_Guidance_BS retrieve" xfId="7623"/>
    <cellStyle name="_MOR - BDWY - 1+11_MOR - Gurgaon - 3+9(R)-1_BS_Separation_TaxResIndem_Q12412 tf_Guidance_Free CF" xfId="7624"/>
    <cellStyle name="_MOR - BDWY - 1+11_MOR - Gurgaon - 3+9(R)-1_BS_Separation_TaxResIndem_Q12412 tf_Guidance_P&amp;L Rec Qtr" xfId="7625"/>
    <cellStyle name="_MOR - BDWY - 1+11_MOR - Gurgaon - 3+9(R)-1_BS_Separation_TaxResIndem_Q12412 tf_Guidance_Sheet1" xfId="7626"/>
    <cellStyle name="_MOR - BDWY - 1+11_MOR - Gurgaon - 3+9(R)-1_BS_Separation_TaxResIndem_Q12412 tf_Guidance_Sheet2" xfId="7627"/>
    <cellStyle name="_MOR - BDWY - 1+11_MOR - Gurgaon - 3+9(R)-1_BS_Separation_TaxResIndem_Q12412 tf_Guidance_Sheet3" xfId="7628"/>
    <cellStyle name="_MOR - BDWY - 1+11_MOR - Gurgaon - 3+9(R)-1_BS_Separation_TaxResIndem_Q12412 tf_Guidance_Sheet4" xfId="7629"/>
    <cellStyle name="_MOR - BDWY - 1+11_MOR - Gurgaon - 3+9(R)-1_BS_Separation_TaxResIndem_Q12412 tf_Restructuring &amp; Separation" xfId="7630"/>
    <cellStyle name="_MOR - BDWY - 1+11_MOR - Gurgaon - 3+9(R)-1_BS_Separation_TaxResIndem_Q12412 tf_Restructuring &amp; Separation_Guidance" xfId="7631"/>
    <cellStyle name="_MOR - BDWY - 1+11_MOR - Gurgaon - 3+9(R)-1_BS_Separation_TaxResIndem_Q12412 tf_Restructuring &amp; Separation_Guidance 2" xfId="7632"/>
    <cellStyle name="_MOR - BDWY - 1+11_MOR - Gurgaon - 3+9(R)-1_BS_Separation_TaxResIndem_Q12412 tf_Restructuring &amp; Separation_Guidance_BS retrieve" xfId="7633"/>
    <cellStyle name="_MOR - BDWY - 1+11_MOR - Gurgaon - 3+9(R)-1_BS_Separation_TaxResIndem_Q12412 tf_Restructuring &amp; Separation_Guidance_Free CF" xfId="7634"/>
    <cellStyle name="_MOR - BDWY - 1+11_MOR - Gurgaon - 3+9(R)-1_BS_Separation_TaxResIndem_Q12412 tf_Restructuring &amp; Separation_Guidance_P&amp;L Rec Qtr" xfId="7635"/>
    <cellStyle name="_MOR - BDWY - 1+11_MOR - Gurgaon - 3+9(R)-1_BS_Separation_TaxResIndem_Q12412 tf_Restructuring &amp; Separation_Guidance_Sheet1" xfId="7636"/>
    <cellStyle name="_MOR - BDWY - 1+11_MOR - Gurgaon - 3+9(R)-1_BS_Separation_TaxResIndem_Q12412 tf_Restructuring &amp; Separation_Guidance_Sheet2" xfId="7637"/>
    <cellStyle name="_MOR - BDWY - 1+11_MOR - Gurgaon - 3+9(R)-1_BS_Separation_TaxResIndem_Q12412 tf_Restructuring &amp; Separation_Guidance_Sheet3" xfId="7638"/>
    <cellStyle name="_MOR - BDWY - 1+11_MOR - Gurgaon - 3+9(R)-1_BS_Separation_TaxResIndem_Q12412 tf_Restructuring &amp; Separation_Guidance_Sheet4" xfId="7639"/>
    <cellStyle name="_MOR - BDWY - 1+11_MOR - Gurgaon - 3+9(R)-1_By Country Detail 1Q10 041410pm FIN 18 revised per disc w Mary" xfId="7640"/>
    <cellStyle name="_MOR - BDWY - 1+11_MOR - Gurgaon - 3+9(R)-1_By Country Detail 1Q10 041410pm FIN 18 revised per disc w Mary_BS_Separation_TaxResIndem_Q12412 tf" xfId="7641"/>
    <cellStyle name="_MOR - BDWY - 1+11_MOR - Gurgaon - 3+9(R)-1_By Country Detail 1Q10 041410pm FIN 18 revised per disc w Mary_BS_Separation_TaxResIndem_Q12412 tf_Guidance" xfId="7642"/>
    <cellStyle name="_MOR - BDWY - 1+11_MOR - Gurgaon - 3+9(R)-1_By Country Detail 1Q10 041410pm FIN 18 revised per disc w Mary_BS_Separation_TaxResIndem_Q12412 tf_Guidance 2" xfId="7643"/>
    <cellStyle name="_MOR - BDWY - 1+11_MOR - Gurgaon - 3+9(R)-1_By Country Detail 1Q10 041410pm FIN 18 revised per disc w Mary_BS_Separation_TaxResIndem_Q12412 tf_Guidance_BS retrieve" xfId="7644"/>
    <cellStyle name="_MOR - BDWY - 1+11_MOR - Gurgaon - 3+9(R)-1_By Country Detail 1Q10 041410pm FIN 18 revised per disc w Mary_BS_Separation_TaxResIndem_Q12412 tf_Guidance_Free CF" xfId="7645"/>
    <cellStyle name="_MOR - BDWY - 1+11_MOR - Gurgaon - 3+9(R)-1_By Country Detail 1Q10 041410pm FIN 18 revised per disc w Mary_BS_Separation_TaxResIndem_Q12412 tf_Guidance_P&amp;L Rec Qtr" xfId="7646"/>
    <cellStyle name="_MOR - BDWY - 1+11_MOR - Gurgaon - 3+9(R)-1_By Country Detail 1Q10 041410pm FIN 18 revised per disc w Mary_BS_Separation_TaxResIndem_Q12412 tf_Guidance_Sheet1" xfId="7647"/>
    <cellStyle name="_MOR - BDWY - 1+11_MOR - Gurgaon - 3+9(R)-1_By Country Detail 1Q10 041410pm FIN 18 revised per disc w Mary_BS_Separation_TaxResIndem_Q12412 tf_Guidance_Sheet2" xfId="7648"/>
    <cellStyle name="_MOR - BDWY - 1+11_MOR - Gurgaon - 3+9(R)-1_By Country Detail 1Q10 041410pm FIN 18 revised per disc w Mary_BS_Separation_TaxResIndem_Q12412 tf_Guidance_Sheet3" xfId="7649"/>
    <cellStyle name="_MOR - BDWY - 1+11_MOR - Gurgaon - 3+9(R)-1_By Country Detail 1Q10 041410pm FIN 18 revised per disc w Mary_BS_Separation_TaxResIndem_Q12412 tf_Guidance_Sheet4" xfId="7650"/>
    <cellStyle name="_MOR - BDWY - 1+11_MOR - Gurgaon - 3+9(R)-1_By Country Detail 1Q10 041410pm FIN 18 revised per disc w Mary_BS_Separation_TaxResIndem_Q12412 tf_Restructuring &amp; Separation" xfId="7651"/>
    <cellStyle name="_MOR - BDWY - 1+11_MOR - Gurgaon - 3+9(R)-1_By Country Detail 1Q10 041410pm FIN 18 revised per disc w Mary_BS_Separation_TaxResIndem_Q12412 tf_Restructuring &amp; Separation_Guidance" xfId="7652"/>
    <cellStyle name="_MOR - BDWY - 1+11_MOR - Gurgaon - 3+9(R)-1_By Country Detail 1Q10 041410pm FIN 18 revised per disc w Mary_BS_Separation_TaxResIndem_Q12412 tf_Restructuring &amp; Separation_Guidance 2" xfId="7653"/>
    <cellStyle name="_MOR - BDWY - 1+11_MOR - Gurgaon - 3+9(R)-1_By Country Detail 1Q10 041410pm FIN 18 revised per disc w Mary_BS_Separation_TaxResIndem_Q12412 tf_Restructuring &amp; Separation_Guidance_BS retrieve" xfId="7654"/>
    <cellStyle name="_MOR - BDWY - 1+11_MOR - Gurgaon - 3+9(R)-1_By Country Detail 1Q10 041410pm FIN 18 revised per disc w Mary_BS_Separation_TaxResIndem_Q12412 tf_Restructuring &amp; Separation_Guidance_Free CF" xfId="7655"/>
    <cellStyle name="_MOR - BDWY - 1+11_MOR - Gurgaon - 3+9(R)-1_By Country Detail 1Q10 041410pm FIN 18 revised per disc w Mary_BS_Separation_TaxResIndem_Q12412 tf_Restructuring &amp; Separation_Guidance_P&amp;L Rec Qtr" xfId="7656"/>
    <cellStyle name="_MOR - BDWY - 1+11_MOR - Gurgaon - 3+9(R)-1_By Country Detail 1Q10 041410pm FIN 18 revised per disc w Mary_BS_Separation_TaxResIndem_Q12412 tf_Restructuring &amp; Separation_Guidance_Sheet1" xfId="7657"/>
    <cellStyle name="_MOR - BDWY - 1+11_MOR - Gurgaon - 3+9(R)-1_By Country Detail 1Q10 041410pm FIN 18 revised per disc w Mary_BS_Separation_TaxResIndem_Q12412 tf_Restructuring &amp; Separation_Guidance_Sheet2" xfId="7658"/>
    <cellStyle name="_MOR - BDWY - 1+11_MOR - Gurgaon - 3+9(R)-1_By Country Detail 1Q10 041410pm FIN 18 revised per disc w Mary_BS_Separation_TaxResIndem_Q12412 tf_Restructuring &amp; Separation_Guidance_Sheet3" xfId="7659"/>
    <cellStyle name="_MOR - BDWY - 1+11_MOR - Gurgaon - 3+9(R)-1_By Country Detail 1Q10 041410pm FIN 18 revised per disc w Mary_BS_Separation_TaxResIndem_Q12412 tf_Restructuring &amp; Separation_Guidance_Sheet4" xfId="7660"/>
    <cellStyle name="_MOR - BDWY - 1+11_MOR - Gurgaon - 3+9(R)-1_By Country Detail 1Q10 041410pm FIN 18 revised per disc w Mary_Guidance" xfId="7661"/>
    <cellStyle name="_MOR - BDWY - 1+11_MOR - Gurgaon - 3+9(R)-1_By Country Detail 1Q10 041410pm FIN 18 revised per disc w Mary_Guidance 2" xfId="7662"/>
    <cellStyle name="_MOR - BDWY - 1+11_MOR - Gurgaon - 3+9(R)-1_By Country Detail 1Q10 041410pm FIN 18 revised per disc w Mary_Guidance_BS retrieve" xfId="7663"/>
    <cellStyle name="_MOR - BDWY - 1+11_MOR - Gurgaon - 3+9(R)-1_By Country Detail 1Q10 041410pm FIN 18 revised per disc w Mary_Guidance_Free CF" xfId="7664"/>
    <cellStyle name="_MOR - BDWY - 1+11_MOR - Gurgaon - 3+9(R)-1_By Country Detail 1Q10 041410pm FIN 18 revised per disc w Mary_Guidance_P&amp;L Rec Qtr" xfId="7665"/>
    <cellStyle name="_MOR - BDWY - 1+11_MOR - Gurgaon - 3+9(R)-1_By Country Detail 1Q10 041410pm FIN 18 revised per disc w Mary_Guidance_Sheet1" xfId="7666"/>
    <cellStyle name="_MOR - BDWY - 1+11_MOR - Gurgaon - 3+9(R)-1_By Country Detail 1Q10 041410pm FIN 18 revised per disc w Mary_Guidance_Sheet2" xfId="7667"/>
    <cellStyle name="_MOR - BDWY - 1+11_MOR - Gurgaon - 3+9(R)-1_By Country Detail 1Q10 041410pm FIN 18 revised per disc w Mary_Guidance_Sheet3" xfId="7668"/>
    <cellStyle name="_MOR - BDWY - 1+11_MOR - Gurgaon - 3+9(R)-1_By Country Detail 1Q10 041410pm FIN 18 revised per disc w Mary_Guidance_Sheet4" xfId="7669"/>
    <cellStyle name="_MOR - BDWY - 1+11_MOR - Gurgaon - 3+9(R)-1_By Country Detail 1Q10 041410pm FIN 18 revised per disc w Mary_II.8. Sep&amp;Discrete" xfId="7670"/>
    <cellStyle name="_MOR - BDWY - 1+11_MOR - Gurgaon - 3+9(R)-1_By Country Detail 1Q10 041410pm FIN 18 revised per disc w Mary_II.8. Sep&amp;Discrete_Guidance" xfId="7671"/>
    <cellStyle name="_MOR - BDWY - 1+11_MOR - Gurgaon - 3+9(R)-1_By Country Detail 1Q10 041410pm FIN 18 revised per disc w Mary_II.8. Sep&amp;Discrete_Guidance 2" xfId="7672"/>
    <cellStyle name="_MOR - BDWY - 1+11_MOR - Gurgaon - 3+9(R)-1_By Country Detail 1Q10 041410pm FIN 18 revised per disc w Mary_II.8. Sep&amp;Discrete_Guidance_BS retrieve" xfId="7673"/>
    <cellStyle name="_MOR - BDWY - 1+11_MOR - Gurgaon - 3+9(R)-1_By Country Detail 1Q10 041410pm FIN 18 revised per disc w Mary_II.8. Sep&amp;Discrete_Guidance_Free CF" xfId="7674"/>
    <cellStyle name="_MOR - BDWY - 1+11_MOR - Gurgaon - 3+9(R)-1_By Country Detail 1Q10 041410pm FIN 18 revised per disc w Mary_II.8. Sep&amp;Discrete_Guidance_P&amp;L Rec Qtr" xfId="7675"/>
    <cellStyle name="_MOR - BDWY - 1+11_MOR - Gurgaon - 3+9(R)-1_By Country Detail 1Q10 041410pm FIN 18 revised per disc w Mary_II.8. Sep&amp;Discrete_Guidance_Sheet1" xfId="7676"/>
    <cellStyle name="_MOR - BDWY - 1+11_MOR - Gurgaon - 3+9(R)-1_By Country Detail 1Q10 041410pm FIN 18 revised per disc w Mary_II.8. Sep&amp;Discrete_Guidance_Sheet2" xfId="7677"/>
    <cellStyle name="_MOR - BDWY - 1+11_MOR - Gurgaon - 3+9(R)-1_By Country Detail 1Q10 041410pm FIN 18 revised per disc w Mary_II.8. Sep&amp;Discrete_Guidance_Sheet3" xfId="7678"/>
    <cellStyle name="_MOR - BDWY - 1+11_MOR - Gurgaon - 3+9(R)-1_By Country Detail 1Q10 041410pm FIN 18 revised per disc w Mary_II.8. Sep&amp;Discrete_Guidance_Sheet4" xfId="7679"/>
    <cellStyle name="_MOR - BDWY - 1+11_MOR - Gurgaon - 3+9(R)-1_By Country Detail 1Q10 041410pm FIN 18 revised per disc w Mary_Restructuring &amp; Separation" xfId="7680"/>
    <cellStyle name="_MOR - BDWY - 1+11_MOR - Gurgaon - 3+9(R)-1_By Country Detail 1Q10 041410pm FIN 18 revised per disc w Mary_Restructuring &amp; Separation_Guidance" xfId="7681"/>
    <cellStyle name="_MOR - BDWY - 1+11_MOR - Gurgaon - 3+9(R)-1_By Country Detail 1Q10 041410pm FIN 18 revised per disc w Mary_Restructuring &amp; Separation_Guidance 2" xfId="7682"/>
    <cellStyle name="_MOR - BDWY - 1+11_MOR - Gurgaon - 3+9(R)-1_By Country Detail 1Q10 041410pm FIN 18 revised per disc w Mary_Restructuring &amp; Separation_Guidance_BS retrieve" xfId="7683"/>
    <cellStyle name="_MOR - BDWY - 1+11_MOR - Gurgaon - 3+9(R)-1_By Country Detail 1Q10 041410pm FIN 18 revised per disc w Mary_Restructuring &amp; Separation_Guidance_Free CF" xfId="7684"/>
    <cellStyle name="_MOR - BDWY - 1+11_MOR - Gurgaon - 3+9(R)-1_By Country Detail 1Q10 041410pm FIN 18 revised per disc w Mary_Restructuring &amp; Separation_Guidance_P&amp;L Rec Qtr" xfId="7685"/>
    <cellStyle name="_MOR - BDWY - 1+11_MOR - Gurgaon - 3+9(R)-1_By Country Detail 1Q10 041410pm FIN 18 revised per disc w Mary_Restructuring &amp; Separation_Guidance_Sheet1" xfId="7686"/>
    <cellStyle name="_MOR - BDWY - 1+11_MOR - Gurgaon - 3+9(R)-1_By Country Detail 1Q10 041410pm FIN 18 revised per disc w Mary_Restructuring &amp; Separation_Guidance_Sheet2" xfId="7687"/>
    <cellStyle name="_MOR - BDWY - 1+11_MOR - Gurgaon - 3+9(R)-1_By Country Detail 1Q10 041410pm FIN 18 revised per disc w Mary_Restructuring &amp; Separation_Guidance_Sheet3" xfId="7688"/>
    <cellStyle name="_MOR - BDWY - 1+11_MOR - Gurgaon - 3+9(R)-1_By Country Detail 1Q10 041410pm FIN 18 revised per disc w Mary_Restructuring &amp; Separation_Guidance_Sheet4" xfId="7689"/>
    <cellStyle name="_MOR - BDWY - 1+11_MOR - Gurgaon - 3+9(R)-1_Guidance" xfId="7690"/>
    <cellStyle name="_MOR - BDWY - 1+11_MOR - Gurgaon - 3+9(R)-1_Guidance 2" xfId="7691"/>
    <cellStyle name="_MOR - BDWY - 1+11_MOR - Gurgaon - 3+9(R)-1_Guidance_BS retrieve" xfId="7692"/>
    <cellStyle name="_MOR - BDWY - 1+11_MOR - Gurgaon - 3+9(R)-1_Guidance_Free CF" xfId="7693"/>
    <cellStyle name="_MOR - BDWY - 1+11_MOR - Gurgaon - 3+9(R)-1_Guidance_P&amp;L Rec Qtr" xfId="7694"/>
    <cellStyle name="_MOR - BDWY - 1+11_MOR - Gurgaon - 3+9(R)-1_Guidance_Sheet1" xfId="7695"/>
    <cellStyle name="_MOR - BDWY - 1+11_MOR - Gurgaon - 3+9(R)-1_Guidance_Sheet2" xfId="7696"/>
    <cellStyle name="_MOR - BDWY - 1+11_MOR - Gurgaon - 3+9(R)-1_Guidance_Sheet3" xfId="7697"/>
    <cellStyle name="_MOR - BDWY - 1+11_MOR - Gurgaon - 3+9(R)-1_Guidance_Sheet4" xfId="7698"/>
    <cellStyle name="_MOR - BDWY - 1+11_MOR - Gurgaon - 3+9(R)-1_II.4. RawMaterials" xfId="7699"/>
    <cellStyle name="_MOR - BDWY - 1+11_MOR - Gurgaon - 3+9(R)-1_II.4. RawMaterials 2" xfId="7700"/>
    <cellStyle name="_MOR - BDWY - 1+11_MOR - Gurgaon - 3+9(R)-1_II.4. RawMaterials_BS retrieve" xfId="7701"/>
    <cellStyle name="_MOR - BDWY - 1+11_MOR - Gurgaon - 3+9(R)-1_II.4. RawMaterials_Free CF" xfId="7702"/>
    <cellStyle name="_MOR - BDWY - 1+11_MOR - Gurgaon - 3+9(R)-1_II.4. RawMaterials_P&amp;L Rec Qtr" xfId="7703"/>
    <cellStyle name="_MOR - BDWY - 1+11_MOR - Gurgaon - 3+9(R)-1_II.4. RawMaterials_Sheet1" xfId="7704"/>
    <cellStyle name="_MOR - BDWY - 1+11_MOR - Gurgaon - 3+9(R)-1_II.4. RawMaterials_Sheet2" xfId="7705"/>
    <cellStyle name="_MOR - BDWY - 1+11_MOR - Gurgaon - 3+9(R)-1_II.4. RawMaterials_Sheet3" xfId="7706"/>
    <cellStyle name="_MOR - BDWY - 1+11_MOR - Gurgaon - 3+9(R)-1_II.4. RawMaterials_Sheet4" xfId="7707"/>
    <cellStyle name="_MOR - BDWY - 1+11_MOR - Gurgaon - 3+9(R)-1_II.5. RawMaterials" xfId="7708"/>
    <cellStyle name="_MOR - BDWY - 1+11_MOR - Gurgaon - 3+9(R)-1_II.5. RawMaterials 2" xfId="7709"/>
    <cellStyle name="_MOR - BDWY - 1+11_MOR - Gurgaon - 3+9(R)-1_II.5. RawMaterials_BS retrieve" xfId="7710"/>
    <cellStyle name="_MOR - BDWY - 1+11_MOR - Gurgaon - 3+9(R)-1_II.5. RawMaterials_Free CF" xfId="7711"/>
    <cellStyle name="_MOR - BDWY - 1+11_MOR - Gurgaon - 3+9(R)-1_II.5. RawMaterials_Guidance" xfId="7712"/>
    <cellStyle name="_MOR - BDWY - 1+11_MOR - Gurgaon - 3+9(R)-1_II.5. RawMaterials_Guidance 2" xfId="7713"/>
    <cellStyle name="_MOR - BDWY - 1+11_MOR - Gurgaon - 3+9(R)-1_II.5. RawMaterials_Guidance_BS retrieve" xfId="7714"/>
    <cellStyle name="_MOR - BDWY - 1+11_MOR - Gurgaon - 3+9(R)-1_II.5. RawMaterials_Guidance_Free CF" xfId="7715"/>
    <cellStyle name="_MOR - BDWY - 1+11_MOR - Gurgaon - 3+9(R)-1_II.5. RawMaterials_Guidance_P&amp;L Rec Qtr" xfId="7716"/>
    <cellStyle name="_MOR - BDWY - 1+11_MOR - Gurgaon - 3+9(R)-1_II.5. RawMaterials_Guidance_Sheet1" xfId="7717"/>
    <cellStyle name="_MOR - BDWY - 1+11_MOR - Gurgaon - 3+9(R)-1_II.5. RawMaterials_Guidance_Sheet2" xfId="7718"/>
    <cellStyle name="_MOR - BDWY - 1+11_MOR - Gurgaon - 3+9(R)-1_II.5. RawMaterials_Guidance_Sheet3" xfId="7719"/>
    <cellStyle name="_MOR - BDWY - 1+11_MOR - Gurgaon - 3+9(R)-1_II.5. RawMaterials_Guidance_Sheet4" xfId="7720"/>
    <cellStyle name="_MOR - BDWY - 1+11_MOR - Gurgaon - 3+9(R)-1_II.5. RawMaterials_P&amp;L Rec Qtr" xfId="7721"/>
    <cellStyle name="_MOR - BDWY - 1+11_MOR - Gurgaon - 3+9(R)-1_II.5. RawMaterials_Sheet1" xfId="7722"/>
    <cellStyle name="_MOR - BDWY - 1+11_MOR - Gurgaon - 3+9(R)-1_II.5. RawMaterials_Sheet2" xfId="7723"/>
    <cellStyle name="_MOR - BDWY - 1+11_MOR - Gurgaon - 3+9(R)-1_II.5. RawMaterials_Sheet3" xfId="7724"/>
    <cellStyle name="_MOR - BDWY - 1+11_MOR - Gurgaon - 3+9(R)-1_II.5. RawMaterials_Sheet4" xfId="7725"/>
    <cellStyle name="_MOR - BDWY - 1+11_MOR - Gurgaon - 3+9(R)-1_II.5. RM Volume Sensitivities" xfId="7726"/>
    <cellStyle name="_MOR - BDWY - 1+11_MOR - Gurgaon - 3+9(R)-1_II.5. RM Volume Sensitivities 2" xfId="7727"/>
    <cellStyle name="_MOR - BDWY - 1+11_MOR - Gurgaon - 3+9(R)-1_II.5. RM Volume Sensitivities_BS retrieve" xfId="7728"/>
    <cellStyle name="_MOR - BDWY - 1+11_MOR - Gurgaon - 3+9(R)-1_II.5. RM Volume Sensitivities_Free CF" xfId="7729"/>
    <cellStyle name="_MOR - BDWY - 1+11_MOR - Gurgaon - 3+9(R)-1_II.5. RM Volume Sensitivities_P&amp;L Rec Qtr" xfId="7730"/>
    <cellStyle name="_MOR - BDWY - 1+11_MOR - Gurgaon - 3+9(R)-1_II.5. RM Volume Sensitivities_Sheet1" xfId="7731"/>
    <cellStyle name="_MOR - BDWY - 1+11_MOR - Gurgaon - 3+9(R)-1_II.5. RM Volume Sensitivities_Sheet2" xfId="7732"/>
    <cellStyle name="_MOR - BDWY - 1+11_MOR - Gurgaon - 3+9(R)-1_II.5. RM Volume Sensitivities_Sheet3" xfId="7733"/>
    <cellStyle name="_MOR - BDWY - 1+11_MOR - Gurgaon - 3+9(R)-1_II.5. RM Volume Sensitivities_Sheet4" xfId="7734"/>
    <cellStyle name="_MOR - BDWY - 1+11_MOR - Gurgaon - 3+9(R)-1_II.8. Sep&amp;Discrete" xfId="7735"/>
    <cellStyle name="_MOR - BDWY - 1+11_MOR - Gurgaon - 3+9(R)-1_II.8. Sep&amp;Discrete_Guidance" xfId="7736"/>
    <cellStyle name="_MOR - BDWY - 1+11_MOR - Gurgaon - 3+9(R)-1_II.8. Sep&amp;Discrete_Guidance 2" xfId="7737"/>
    <cellStyle name="_MOR - BDWY - 1+11_MOR - Gurgaon - 3+9(R)-1_II.8. Sep&amp;Discrete_Guidance_BS retrieve" xfId="7738"/>
    <cellStyle name="_MOR - BDWY - 1+11_MOR - Gurgaon - 3+9(R)-1_II.8. Sep&amp;Discrete_Guidance_Free CF" xfId="7739"/>
    <cellStyle name="_MOR - BDWY - 1+11_MOR - Gurgaon - 3+9(R)-1_II.8. Sep&amp;Discrete_Guidance_P&amp;L Rec Qtr" xfId="7740"/>
    <cellStyle name="_MOR - BDWY - 1+11_MOR - Gurgaon - 3+9(R)-1_II.8. Sep&amp;Discrete_Guidance_Sheet1" xfId="7741"/>
    <cellStyle name="_MOR - BDWY - 1+11_MOR - Gurgaon - 3+9(R)-1_II.8. Sep&amp;Discrete_Guidance_Sheet2" xfId="7742"/>
    <cellStyle name="_MOR - BDWY - 1+11_MOR - Gurgaon - 3+9(R)-1_II.8. Sep&amp;Discrete_Guidance_Sheet3" xfId="7743"/>
    <cellStyle name="_MOR - BDWY - 1+11_MOR - Gurgaon - 3+9(R)-1_II.8. Sep&amp;Discrete_Guidance_Sheet4" xfId="7744"/>
    <cellStyle name="_MOR - BDWY - 1+11_MOR - Gurgaon - 3+9(R)-1_Restructuring &amp; Separation" xfId="7745"/>
    <cellStyle name="_MOR - BDWY - 1+11_MOR - Gurgaon - 3+9(R)-1_Restructuring &amp; Separation_Guidance" xfId="7746"/>
    <cellStyle name="_MOR - BDWY - 1+11_MOR - Gurgaon - 3+9(R)-1_Restructuring &amp; Separation_Guidance 2" xfId="7747"/>
    <cellStyle name="_MOR - BDWY - 1+11_MOR - Gurgaon - 3+9(R)-1_Restructuring &amp; Separation_Guidance_BS retrieve" xfId="7748"/>
    <cellStyle name="_MOR - BDWY - 1+11_MOR - Gurgaon - 3+9(R)-1_Restructuring &amp; Separation_Guidance_Free CF" xfId="7749"/>
    <cellStyle name="_MOR - BDWY - 1+11_MOR - Gurgaon - 3+9(R)-1_Restructuring &amp; Separation_Guidance_P&amp;L Rec Qtr" xfId="7750"/>
    <cellStyle name="_MOR - BDWY - 1+11_MOR - Gurgaon - 3+9(R)-1_Restructuring &amp; Separation_Guidance_Sheet1" xfId="7751"/>
    <cellStyle name="_MOR - BDWY - 1+11_MOR - Gurgaon - 3+9(R)-1_Restructuring &amp; Separation_Guidance_Sheet2" xfId="7752"/>
    <cellStyle name="_MOR - BDWY - 1+11_MOR - Gurgaon - 3+9(R)-1_Restructuring &amp; Separation_Guidance_Sheet3" xfId="7753"/>
    <cellStyle name="_MOR - BDWY - 1+11_MOR - Gurgaon - 3+9(R)-1_Restructuring &amp; Separation_Guidance_Sheet4" xfId="7754"/>
    <cellStyle name="_MOR - BDWY - 1+11_MOR - Gurgaon - 3+9(R)-1_Restructuring_Separation_TAX_JuneFC2010 tf" xfId="7755"/>
    <cellStyle name="_MOR - BDWY - 1+11_MOR - Gurgaon - 3+9(R)-1_Restructuring_Separation_TAX_JuneFC2010 tf_BS_Separation_TaxResIndem_Q12412 tf" xfId="7756"/>
    <cellStyle name="_MOR - BDWY - 1+11_MOR - Gurgaon - 3+9(R)-1_Restructuring_Separation_TAX_JuneFC2010 tf_BS_Separation_TaxResIndem_Q12412 tf_Guidance" xfId="7757"/>
    <cellStyle name="_MOR - BDWY - 1+11_MOR - Gurgaon - 3+9(R)-1_Restructuring_Separation_TAX_JuneFC2010 tf_BS_Separation_TaxResIndem_Q12412 tf_Guidance 2" xfId="7758"/>
    <cellStyle name="_MOR - BDWY - 1+11_MOR - Gurgaon - 3+9(R)-1_Restructuring_Separation_TAX_JuneFC2010 tf_BS_Separation_TaxResIndem_Q12412 tf_Guidance_BS retrieve" xfId="7759"/>
    <cellStyle name="_MOR - BDWY - 1+11_MOR - Gurgaon - 3+9(R)-1_Restructuring_Separation_TAX_JuneFC2010 tf_BS_Separation_TaxResIndem_Q12412 tf_Guidance_Free CF" xfId="7760"/>
    <cellStyle name="_MOR - BDWY - 1+11_MOR - Gurgaon - 3+9(R)-1_Restructuring_Separation_TAX_JuneFC2010 tf_BS_Separation_TaxResIndem_Q12412 tf_Guidance_P&amp;L Rec Qtr" xfId="7761"/>
    <cellStyle name="_MOR - BDWY - 1+11_MOR - Gurgaon - 3+9(R)-1_Restructuring_Separation_TAX_JuneFC2010 tf_BS_Separation_TaxResIndem_Q12412 tf_Guidance_Sheet1" xfId="7762"/>
    <cellStyle name="_MOR - BDWY - 1+11_MOR - Gurgaon - 3+9(R)-1_Restructuring_Separation_TAX_JuneFC2010 tf_BS_Separation_TaxResIndem_Q12412 tf_Guidance_Sheet2" xfId="7763"/>
    <cellStyle name="_MOR - BDWY - 1+11_MOR - Gurgaon - 3+9(R)-1_Restructuring_Separation_TAX_JuneFC2010 tf_BS_Separation_TaxResIndem_Q12412 tf_Guidance_Sheet3" xfId="7764"/>
    <cellStyle name="_MOR - BDWY - 1+11_MOR - Gurgaon - 3+9(R)-1_Restructuring_Separation_TAX_JuneFC2010 tf_BS_Separation_TaxResIndem_Q12412 tf_Guidance_Sheet4" xfId="7765"/>
    <cellStyle name="_MOR - BDWY - 1+11_MOR - Gurgaon - 3+9(R)-1_Restructuring_Separation_TAX_JuneFC2010 tf_BS_Separation_TaxResIndem_Q12412 tf_Restructuring &amp; Separation" xfId="7766"/>
    <cellStyle name="_MOR - BDWY - 1+11_MOR - Gurgaon - 3+9(R)-1_Restructuring_Separation_TAX_JuneFC2010 tf_BS_Separation_TaxResIndem_Q12412 tf_Restructuring &amp; Separation_Guidance" xfId="7767"/>
    <cellStyle name="_MOR - BDWY - 1+11_MOR - Gurgaon - 3+9(R)-1_Restructuring_Separation_TAX_JuneFC2010 tf_BS_Separation_TaxResIndem_Q12412 tf_Restructuring &amp; Separation_Guidance 2" xfId="7768"/>
    <cellStyle name="_MOR - BDWY - 1+11_MOR - Gurgaon - 3+9(R)-1_Restructuring_Separation_TAX_JuneFC2010 tf_BS_Separation_TaxResIndem_Q12412 tf_Restructuring &amp; Separation_Guidance_BS retrieve" xfId="7769"/>
    <cellStyle name="_MOR - BDWY - 1+11_MOR - Gurgaon - 3+9(R)-1_Restructuring_Separation_TAX_JuneFC2010 tf_BS_Separation_TaxResIndem_Q12412 tf_Restructuring &amp; Separation_Guidance_Free CF" xfId="7770"/>
    <cellStyle name="_MOR - BDWY - 1+11_MOR - Gurgaon - 3+9(R)-1_Restructuring_Separation_TAX_JuneFC2010 tf_BS_Separation_TaxResIndem_Q12412 tf_Restructuring &amp; Separation_Guidance_P&amp;L Rec Qtr" xfId="7771"/>
    <cellStyle name="_MOR - BDWY - 1+11_MOR - Gurgaon - 3+9(R)-1_Restructuring_Separation_TAX_JuneFC2010 tf_BS_Separation_TaxResIndem_Q12412 tf_Restructuring &amp; Separation_Guidance_Sheet1" xfId="7772"/>
    <cellStyle name="_MOR - BDWY - 1+11_MOR - Gurgaon - 3+9(R)-1_Restructuring_Separation_TAX_JuneFC2010 tf_BS_Separation_TaxResIndem_Q12412 tf_Restructuring &amp; Separation_Guidance_Sheet2" xfId="7773"/>
    <cellStyle name="_MOR - BDWY - 1+11_MOR - Gurgaon - 3+9(R)-1_Restructuring_Separation_TAX_JuneFC2010 tf_BS_Separation_TaxResIndem_Q12412 tf_Restructuring &amp; Separation_Guidance_Sheet3" xfId="7774"/>
    <cellStyle name="_MOR - BDWY - 1+11_MOR - Gurgaon - 3+9(R)-1_Restructuring_Separation_TAX_JuneFC2010 tf_BS_Separation_TaxResIndem_Q12412 tf_Restructuring &amp; Separation_Guidance_Sheet4" xfId="7775"/>
    <cellStyle name="_MOR - BDWY - 1+11_MOR - Gurgaon - 3+9(R)-1_Restructuring_Separation_TAX_JuneFC2010 tf_Guidance" xfId="7776"/>
    <cellStyle name="_MOR - BDWY - 1+11_MOR - Gurgaon - 3+9(R)-1_Restructuring_Separation_TAX_JuneFC2010 tf_Guidance 2" xfId="7777"/>
    <cellStyle name="_MOR - BDWY - 1+11_MOR - Gurgaon - 3+9(R)-1_Restructuring_Separation_TAX_JuneFC2010 tf_Guidance_BS retrieve" xfId="7778"/>
    <cellStyle name="_MOR - BDWY - 1+11_MOR - Gurgaon - 3+9(R)-1_Restructuring_Separation_TAX_JuneFC2010 tf_Guidance_Free CF" xfId="7779"/>
    <cellStyle name="_MOR - BDWY - 1+11_MOR - Gurgaon - 3+9(R)-1_Restructuring_Separation_TAX_JuneFC2010 tf_Guidance_P&amp;L Rec Qtr" xfId="7780"/>
    <cellStyle name="_MOR - BDWY - 1+11_MOR - Gurgaon - 3+9(R)-1_Restructuring_Separation_TAX_JuneFC2010 tf_Guidance_Sheet1" xfId="7781"/>
    <cellStyle name="_MOR - BDWY - 1+11_MOR - Gurgaon - 3+9(R)-1_Restructuring_Separation_TAX_JuneFC2010 tf_Guidance_Sheet2" xfId="7782"/>
    <cellStyle name="_MOR - BDWY - 1+11_MOR - Gurgaon - 3+9(R)-1_Restructuring_Separation_TAX_JuneFC2010 tf_Guidance_Sheet3" xfId="7783"/>
    <cellStyle name="_MOR - BDWY - 1+11_MOR - Gurgaon - 3+9(R)-1_Restructuring_Separation_TAX_JuneFC2010 tf_Guidance_Sheet4" xfId="7784"/>
    <cellStyle name="_MOR - BDWY - 1+11_MOR - Gurgaon - 3+9(R)-1_Restructuring_Separation_TAX_JuneFC2010 tf_II.8. Sep&amp;Discrete" xfId="7785"/>
    <cellStyle name="_MOR - BDWY - 1+11_MOR - Gurgaon - 3+9(R)-1_Restructuring_Separation_TAX_JuneFC2010 tf_II.8. Sep&amp;Discrete_Guidance" xfId="7786"/>
    <cellStyle name="_MOR - BDWY - 1+11_MOR - Gurgaon - 3+9(R)-1_Restructuring_Separation_TAX_JuneFC2010 tf_II.8. Sep&amp;Discrete_Guidance 2" xfId="7787"/>
    <cellStyle name="_MOR - BDWY - 1+11_MOR - Gurgaon - 3+9(R)-1_Restructuring_Separation_TAX_JuneFC2010 tf_II.8. Sep&amp;Discrete_Guidance_BS retrieve" xfId="7788"/>
    <cellStyle name="_MOR - BDWY - 1+11_MOR - Gurgaon - 3+9(R)-1_Restructuring_Separation_TAX_JuneFC2010 tf_II.8. Sep&amp;Discrete_Guidance_Free CF" xfId="7789"/>
    <cellStyle name="_MOR - BDWY - 1+11_MOR - Gurgaon - 3+9(R)-1_Restructuring_Separation_TAX_JuneFC2010 tf_II.8. Sep&amp;Discrete_Guidance_P&amp;L Rec Qtr" xfId="7790"/>
    <cellStyle name="_MOR - BDWY - 1+11_MOR - Gurgaon - 3+9(R)-1_Restructuring_Separation_TAX_JuneFC2010 tf_II.8. Sep&amp;Discrete_Guidance_Sheet1" xfId="7791"/>
    <cellStyle name="_MOR - BDWY - 1+11_MOR - Gurgaon - 3+9(R)-1_Restructuring_Separation_TAX_JuneFC2010 tf_II.8. Sep&amp;Discrete_Guidance_Sheet2" xfId="7792"/>
    <cellStyle name="_MOR - BDWY - 1+11_MOR - Gurgaon - 3+9(R)-1_Restructuring_Separation_TAX_JuneFC2010 tf_II.8. Sep&amp;Discrete_Guidance_Sheet3" xfId="7793"/>
    <cellStyle name="_MOR - BDWY - 1+11_MOR - Gurgaon - 3+9(R)-1_Restructuring_Separation_TAX_JuneFC2010 tf_II.8. Sep&amp;Discrete_Guidance_Sheet4" xfId="7794"/>
    <cellStyle name="_MOR - BDWY - 1+11_MOR - Gurgaon - 3+9(R)-1_Restructuring_Separation_TAX_JuneFC2010 tf_Restructuring &amp; Separation" xfId="7795"/>
    <cellStyle name="_MOR - BDWY - 1+11_MOR - Gurgaon - 3+9(R)-1_Restructuring_Separation_TAX_JuneFC2010 tf_Restructuring &amp; Separation_Guidance" xfId="7796"/>
    <cellStyle name="_MOR - BDWY - 1+11_MOR - Gurgaon - 3+9(R)-1_Restructuring_Separation_TAX_JuneFC2010 tf_Restructuring &amp; Separation_Guidance 2" xfId="7797"/>
    <cellStyle name="_MOR - BDWY - 1+11_MOR - Gurgaon - 3+9(R)-1_Restructuring_Separation_TAX_JuneFC2010 tf_Restructuring &amp; Separation_Guidance_BS retrieve" xfId="7798"/>
    <cellStyle name="_MOR - BDWY - 1+11_MOR - Gurgaon - 3+9(R)-1_Restructuring_Separation_TAX_JuneFC2010 tf_Restructuring &amp; Separation_Guidance_Free CF" xfId="7799"/>
    <cellStyle name="_MOR - BDWY - 1+11_MOR - Gurgaon - 3+9(R)-1_Restructuring_Separation_TAX_JuneFC2010 tf_Restructuring &amp; Separation_Guidance_P&amp;L Rec Qtr" xfId="7800"/>
    <cellStyle name="_MOR - BDWY - 1+11_MOR - Gurgaon - 3+9(R)-1_Restructuring_Separation_TAX_JuneFC2010 tf_Restructuring &amp; Separation_Guidance_Sheet1" xfId="7801"/>
    <cellStyle name="_MOR - BDWY - 1+11_MOR - Gurgaon - 3+9(R)-1_Restructuring_Separation_TAX_JuneFC2010 tf_Restructuring &amp; Separation_Guidance_Sheet2" xfId="7802"/>
    <cellStyle name="_MOR - BDWY - 1+11_MOR - Gurgaon - 3+9(R)-1_Restructuring_Separation_TAX_JuneFC2010 tf_Restructuring &amp; Separation_Guidance_Sheet3" xfId="7803"/>
    <cellStyle name="_MOR - BDWY - 1+11_MOR - Gurgaon - 3+9(R)-1_Restructuring_Separation_TAX_JuneFC2010 tf_Restructuring &amp; Separation_Guidance_Sheet4" xfId="7804"/>
    <cellStyle name="_MOR - BDWY - 1+11_MOR - Gurgaon - 3+9(R)-1_Revised MOR Package" xfId="7805"/>
    <cellStyle name="_MOR - BDWY - 1+11_MOR - Gurgaon - 3+9(R)-1_Revised MOR Package_~0039877" xfId="7806"/>
    <cellStyle name="_MOR - BDWY - 1+11_MOR - Gurgaon - 3+9(R)-1_Revised MOR Package_~0039877_BS_Separation_TaxResIndem_Q12412 tf" xfId="7807"/>
    <cellStyle name="_MOR - BDWY - 1+11_MOR - Gurgaon - 3+9(R)-1_Revised MOR Package_~0039877_BS_Separation_TaxResIndem_Q12412 tf_Guidance" xfId="7808"/>
    <cellStyle name="_MOR - BDWY - 1+11_MOR - Gurgaon - 3+9(R)-1_Revised MOR Package_~0039877_BS_Separation_TaxResIndem_Q12412 tf_Guidance 2" xfId="7809"/>
    <cellStyle name="_MOR - BDWY - 1+11_MOR - Gurgaon - 3+9(R)-1_Revised MOR Package_~0039877_BS_Separation_TaxResIndem_Q12412 tf_Guidance_BS retrieve" xfId="7810"/>
    <cellStyle name="_MOR - BDWY - 1+11_MOR - Gurgaon - 3+9(R)-1_Revised MOR Package_~0039877_BS_Separation_TaxResIndem_Q12412 tf_Guidance_Free CF" xfId="7811"/>
    <cellStyle name="_MOR - BDWY - 1+11_MOR - Gurgaon - 3+9(R)-1_Revised MOR Package_~0039877_BS_Separation_TaxResIndem_Q12412 tf_Guidance_P&amp;L Rec Qtr" xfId="7812"/>
    <cellStyle name="_MOR - BDWY - 1+11_MOR - Gurgaon - 3+9(R)-1_Revised MOR Package_~0039877_BS_Separation_TaxResIndem_Q12412 tf_Guidance_Sheet1" xfId="7813"/>
    <cellStyle name="_MOR - BDWY - 1+11_MOR - Gurgaon - 3+9(R)-1_Revised MOR Package_~0039877_BS_Separation_TaxResIndem_Q12412 tf_Guidance_Sheet2" xfId="7814"/>
    <cellStyle name="_MOR - BDWY - 1+11_MOR - Gurgaon - 3+9(R)-1_Revised MOR Package_~0039877_BS_Separation_TaxResIndem_Q12412 tf_Guidance_Sheet3" xfId="7815"/>
    <cellStyle name="_MOR - BDWY - 1+11_MOR - Gurgaon - 3+9(R)-1_Revised MOR Package_~0039877_BS_Separation_TaxResIndem_Q12412 tf_Guidance_Sheet4" xfId="7816"/>
    <cellStyle name="_MOR - BDWY - 1+11_MOR - Gurgaon - 3+9(R)-1_Revised MOR Package_~0039877_BS_Separation_TaxResIndem_Q12412 tf_Restructuring &amp; Separation" xfId="7817"/>
    <cellStyle name="_MOR - BDWY - 1+11_MOR - Gurgaon - 3+9(R)-1_Revised MOR Package_~0039877_BS_Separation_TaxResIndem_Q12412 tf_Restructuring &amp; Separation_Guidance" xfId="7818"/>
    <cellStyle name="_MOR - BDWY - 1+11_MOR - Gurgaon - 3+9(R)-1_Revised MOR Package_~0039877_BS_Separation_TaxResIndem_Q12412 tf_Restructuring &amp; Separation_Guidance 2" xfId="7819"/>
    <cellStyle name="_MOR - BDWY - 1+11_MOR - Gurgaon - 3+9(R)-1_Revised MOR Package_~0039877_BS_Separation_TaxResIndem_Q12412 tf_Restructuring &amp; Separation_Guidance_BS retrieve" xfId="7820"/>
    <cellStyle name="_MOR - BDWY - 1+11_MOR - Gurgaon - 3+9(R)-1_Revised MOR Package_~0039877_BS_Separation_TaxResIndem_Q12412 tf_Restructuring &amp; Separation_Guidance_Free CF" xfId="7821"/>
    <cellStyle name="_MOR - BDWY - 1+11_MOR - Gurgaon - 3+9(R)-1_Revised MOR Package_~0039877_BS_Separation_TaxResIndem_Q12412 tf_Restructuring &amp; Separation_Guidance_P&amp;L Rec Qtr" xfId="7822"/>
    <cellStyle name="_MOR - BDWY - 1+11_MOR - Gurgaon - 3+9(R)-1_Revised MOR Package_~0039877_BS_Separation_TaxResIndem_Q12412 tf_Restructuring &amp; Separation_Guidance_Sheet1" xfId="7823"/>
    <cellStyle name="_MOR - BDWY - 1+11_MOR - Gurgaon - 3+9(R)-1_Revised MOR Package_~0039877_BS_Separation_TaxResIndem_Q12412 tf_Restructuring &amp; Separation_Guidance_Sheet2" xfId="7824"/>
    <cellStyle name="_MOR - BDWY - 1+11_MOR - Gurgaon - 3+9(R)-1_Revised MOR Package_~0039877_BS_Separation_TaxResIndem_Q12412 tf_Restructuring &amp; Separation_Guidance_Sheet3" xfId="7825"/>
    <cellStyle name="_MOR - BDWY - 1+11_MOR - Gurgaon - 3+9(R)-1_Revised MOR Package_~0039877_BS_Separation_TaxResIndem_Q12412 tf_Restructuring &amp; Separation_Guidance_Sheet4" xfId="7826"/>
    <cellStyle name="_MOR - BDWY - 1+11_MOR - Gurgaon - 3+9(R)-1_Revised MOR Package_~0039877_By Country Detail 1Q10 041410pm FIN 18 revised per disc w Mary" xfId="7827"/>
    <cellStyle name="_MOR - BDWY - 1+11_MOR - Gurgaon - 3+9(R)-1_Revised MOR Package_~0039877_By Country Detail 1Q10 041410pm FIN 18 revised per disc w Mary_BS_Separation_TaxResIndem_Q12412 tf" xfId="7828"/>
    <cellStyle name="_MOR - BDWY - 1+11_MOR - Gurgaon - 3+9(R)-1_Revised MOR Package_~0039877_By Country Detail 1Q10 041410pm FIN 18 revised per disc w Mary_BS_Separation_TaxResIndem_Q12412 tf_Guidance" xfId="7829"/>
    <cellStyle name="_MOR - BDWY - 1+11_MOR - Gurgaon - 3+9(R)-1_Revised MOR Package_~0039877_By Country Detail 1Q10 041410pm FIN 18 revised per disc w Mary_BS_Separation_TaxResIndem_Q12412 tf_Guidance 2" xfId="7830"/>
    <cellStyle name="_MOR - BDWY - 1+11_MOR - Gurgaon - 3+9(R)-1_Revised MOR Package_~0039877_By Country Detail 1Q10 041410pm FIN 18 revised per disc w Mary_BS_Separation_TaxResIndem_Q12412 tf_Guidance_BS retrieve" xfId="7831"/>
    <cellStyle name="_MOR - BDWY - 1+11_MOR - Gurgaon - 3+9(R)-1_Revised MOR Package_~0039877_By Country Detail 1Q10 041410pm FIN 18 revised per disc w Mary_BS_Separation_TaxResIndem_Q12412 tf_Guidance_Free CF" xfId="7832"/>
    <cellStyle name="_MOR - BDWY - 1+11_MOR - Gurgaon - 3+9(R)-1_Revised MOR Package_~0039877_By Country Detail 1Q10 041410pm FIN 18 revised per disc w Mary_BS_Separation_TaxResIndem_Q12412 tf_Guidance_P&amp;L Rec Qtr" xfId="7833"/>
    <cellStyle name="_MOR - BDWY - 1+11_MOR - Gurgaon - 3+9(R)-1_Revised MOR Package_~0039877_By Country Detail 1Q10 041410pm FIN 18 revised per disc w Mary_BS_Separation_TaxResIndem_Q12412 tf_Guidance_Sheet1" xfId="7834"/>
    <cellStyle name="_MOR - BDWY - 1+11_MOR - Gurgaon - 3+9(R)-1_Revised MOR Package_~0039877_By Country Detail 1Q10 041410pm FIN 18 revised per disc w Mary_BS_Separation_TaxResIndem_Q12412 tf_Guidance_Sheet2" xfId="7835"/>
    <cellStyle name="_MOR - BDWY - 1+11_MOR - Gurgaon - 3+9(R)-1_Revised MOR Package_~0039877_By Country Detail 1Q10 041410pm FIN 18 revised per disc w Mary_BS_Separation_TaxResIndem_Q12412 tf_Guidance_Sheet3" xfId="7836"/>
    <cellStyle name="_MOR - BDWY - 1+11_MOR - Gurgaon - 3+9(R)-1_Revised MOR Package_~0039877_By Country Detail 1Q10 041410pm FIN 18 revised per disc w Mary_BS_Separation_TaxResIndem_Q12412 tf_Guidance_Sheet4" xfId="7837"/>
    <cellStyle name="_MOR - BDWY - 1+11_MOR - Gurgaon - 3+9(R)-1_Revised MOR Package_~0039877_By Country Detail 1Q10 041410pm FIN 18 revised per disc w Mary_BS_Separation_TaxResIndem_Q12412 tf_Restructuring &amp; Separation" xfId="7838"/>
    <cellStyle name="_MOR - BDWY - 1+11_MOR - Gurgaon - 3+9(R)-1_Revised MOR Package_~0039877_By Country Detail 1Q10 041410pm FIN 18 revised per disc w Mary_Guidance" xfId="7839"/>
    <cellStyle name="_MOR - BDWY - 1+11_MOR - Gurgaon - 3+9(R)-1_Revised MOR Package_~0039877_By Country Detail 1Q10 041410pm FIN 18 revised per disc w Mary_Guidance 2" xfId="7840"/>
    <cellStyle name="_MOR - BDWY - 1+11_MOR - Gurgaon - 3+9(R)-1_Revised MOR Package_~0039877_By Country Detail 1Q10 041410pm FIN 18 revised per disc w Mary_Guidance_BS retrieve" xfId="7841"/>
    <cellStyle name="_MOR - BDWY - 1+11_MOR - Gurgaon - 3+9(R)-1_Revised MOR Package_~0039877_By Country Detail 1Q10 041410pm FIN 18 revised per disc w Mary_Guidance_Free CF" xfId="7842"/>
    <cellStyle name="_MOR - BDWY - 1+11_MOR - Gurgaon - 3+9(R)-1_Revised MOR Package_~0039877_By Country Detail 1Q10 041410pm FIN 18 revised per disc w Mary_Guidance_P&amp;L Rec Qtr" xfId="7843"/>
    <cellStyle name="_MOR - BDWY - 1+11_MOR - Gurgaon - 3+9(R)-1_Revised MOR Package_~0039877_By Country Detail 1Q10 041410pm FIN 18 revised per disc w Mary_Guidance_Sheet1" xfId="7844"/>
    <cellStyle name="_MOR - BDWY - 1+11_MOR - Gurgaon - 3+9(R)-1_Revised MOR Package_~0039877_By Country Detail 1Q10 041410pm FIN 18 revised per disc w Mary_Guidance_Sheet2" xfId="7845"/>
    <cellStyle name="_MOR - BDWY - 1+11_MOR - Gurgaon - 3+9(R)-1_Revised MOR Package_~0039877_By Country Detail 1Q10 041410pm FIN 18 revised per disc w Mary_Guidance_Sheet3" xfId="7846"/>
    <cellStyle name="_MOR - BDWY - 1+11_MOR - Gurgaon - 3+9(R)-1_Revised MOR Package_~0039877_By Country Detail 1Q10 041410pm FIN 18 revised per disc w Mary_Guidance_Sheet4" xfId="7847"/>
    <cellStyle name="_MOR - BDWY - 1+11_MOR - Gurgaon - 3+9(R)-1_Revised MOR Package_~0039877_By Country Detail 1Q10 041410pm FIN 18 revised per disc w Mary_II.8. Sep&amp;Discrete" xfId="7848"/>
    <cellStyle name="_MOR - BDWY - 1+11_MOR - Gurgaon - 3+9(R)-1_Revised MOR Package_~0039877_By Country Detail 1Q10 041410pm FIN 18 revised per disc w Mary_Restructuring &amp; Separation" xfId="7849"/>
    <cellStyle name="_MOR - BDWY - 1+11_MOR - Gurgaon - 3+9(R)-1_Revised MOR Package_~0039877_Guidance" xfId="7850"/>
    <cellStyle name="_MOR - BDWY - 1+11_MOR - Gurgaon - 3+9(R)-1_Revised MOR Package_~0039877_Guidance 2" xfId="7851"/>
    <cellStyle name="_MOR - BDWY - 1+11_MOR - Gurgaon - 3+9(R)-1_Revised MOR Package_~0039877_Guidance_BS retrieve" xfId="7852"/>
    <cellStyle name="_MOR - BDWY - 1+11_MOR - Gurgaon - 3+9(R)-1_Revised MOR Package_~0039877_Guidance_Free CF" xfId="7853"/>
    <cellStyle name="_MOR - BDWY - 1+11_MOR - Gurgaon - 3+9(R)-1_Revised MOR Package_~0039877_Guidance_P&amp;L Rec Qtr" xfId="7854"/>
    <cellStyle name="_MOR - BDWY - 1+11_MOR - Gurgaon - 3+9(R)-1_Revised MOR Package_~0039877_Guidance_Sheet1" xfId="7855"/>
    <cellStyle name="_MOR - BDWY - 1+11_MOR - Gurgaon - 3+9(R)-1_Revised MOR Package_~0039877_Guidance_Sheet2" xfId="7856"/>
    <cellStyle name="_MOR - BDWY - 1+11_MOR - Gurgaon - 3+9(R)-1_Revised MOR Package_~0039877_Guidance_Sheet3" xfId="7857"/>
    <cellStyle name="_MOR - BDWY - 1+11_MOR - Gurgaon - 3+9(R)-1_Revised MOR Package_~0039877_Guidance_Sheet4" xfId="7858"/>
    <cellStyle name="_MOR - BDWY - 1+11_MOR - Gurgaon - 3+9(R)-1_Revised MOR Package_~0039877_II.4. RawMaterials" xfId="7859"/>
    <cellStyle name="_MOR - BDWY - 1+11_MOR - Gurgaon - 3+9(R)-1_Revised MOR Package_~0039877_II.4. RawMaterials 2" xfId="7860"/>
    <cellStyle name="_MOR - BDWY - 1+11_MOR - Gurgaon - 3+9(R)-1_Revised MOR Package_~0039877_II.4. RawMaterials_BS retrieve" xfId="7861"/>
    <cellStyle name="_MOR - BDWY - 1+11_MOR - Gurgaon - 3+9(R)-1_Revised MOR Package_~0039877_II.4. RawMaterials_Free CF" xfId="7862"/>
    <cellStyle name="_MOR - BDWY - 1+11_MOR - Gurgaon - 3+9(R)-1_Revised MOR Package_~0039877_II.4. RawMaterials_P&amp;L Rec Qtr" xfId="7863"/>
    <cellStyle name="_MOR - BDWY - 1+11_MOR - Gurgaon - 3+9(R)-1_Revised MOR Package_~0039877_II.4. RawMaterials_Sheet1" xfId="7864"/>
    <cellStyle name="_MOR - BDWY - 1+11_MOR - Gurgaon - 3+9(R)-1_Revised MOR Package_~0039877_II.4. RawMaterials_Sheet2" xfId="7865"/>
    <cellStyle name="_MOR - BDWY - 1+11_MOR - Gurgaon - 3+9(R)-1_Revised MOR Package_~0039877_II.4. RawMaterials_Sheet3" xfId="7866"/>
    <cellStyle name="_MOR - BDWY - 1+11_MOR - Gurgaon - 3+9(R)-1_Revised MOR Package_~0039877_II.4. RawMaterials_Sheet4" xfId="7867"/>
    <cellStyle name="_MOR - BDWY - 1+11_MOR - Gurgaon - 3+9(R)-1_Revised MOR Package_~0039877_II.5. RawMaterials" xfId="7868"/>
    <cellStyle name="_MOR - BDWY - 1+11_MOR - Gurgaon - 3+9(R)-1_Revised MOR Package_~0039877_II.5. RawMaterials 2" xfId="7869"/>
    <cellStyle name="_MOR - BDWY - 1+11_MOR - Gurgaon - 3+9(R)-1_Revised MOR Package_~0039877_II.5. RawMaterials_BS retrieve" xfId="7870"/>
    <cellStyle name="_MOR - BDWY - 1+11_MOR - Gurgaon - 3+9(R)-1_Revised MOR Package_~0039877_II.5. RawMaterials_Free CF" xfId="7871"/>
    <cellStyle name="_MOR - BDWY - 1+11_MOR - Gurgaon - 3+9(R)-1_Revised MOR Package_~0039877_II.5. RawMaterials_P&amp;L Rec Qtr" xfId="7872"/>
    <cellStyle name="_MOR - BDWY - 1+11_MOR - Gurgaon - 3+9(R)-1_Revised MOR Package_~0039877_II.5. RawMaterials_Sheet1" xfId="7873"/>
    <cellStyle name="_MOR - BDWY - 1+11_MOR - Gurgaon - 3+9(R)-1_Revised MOR Package_~0039877_II.5. RawMaterials_Sheet2" xfId="7874"/>
    <cellStyle name="_MOR - BDWY - 1+11_MOR - Gurgaon - 3+9(R)-1_Revised MOR Package_~0039877_II.5. RawMaterials_Sheet3" xfId="7875"/>
    <cellStyle name="_MOR - BDWY - 1+11_MOR - Gurgaon - 3+9(R)-1_Revised MOR Package_~0039877_II.5. RawMaterials_Sheet4" xfId="7876"/>
    <cellStyle name="_MOR - BDWY - 1+11_MOR - Gurgaon - 3+9(R)-1_Revised MOR Package_~0039877_II.5. RM Volume Sensitivities" xfId="7877"/>
    <cellStyle name="_MOR - BDWY - 1+11_MOR - Gurgaon - 3+9(R)-1_Revised MOR Package_~0039877_II.5. RM Volume Sensitivities 2" xfId="7878"/>
    <cellStyle name="_MOR - BDWY - 1+11_MOR - Gurgaon - 3+9(R)-1_Revised MOR Package_~0039877_II.5. RM Volume Sensitivities_BS retrieve" xfId="7879"/>
    <cellStyle name="_MOR - BDWY - 1+11_MOR - Gurgaon - 3+9(R)-1_Revised MOR Package_~0039877_II.5. RM Volume Sensitivities_Free CF" xfId="7880"/>
    <cellStyle name="_MOR - BDWY - 1+11_MOR - Gurgaon - 3+9(R)-1_Revised MOR Package_~0039877_II.5. RM Volume Sensitivities_P&amp;L Rec Qtr" xfId="7881"/>
    <cellStyle name="_MOR - BDWY - 1+11_MOR - Gurgaon - 3+9(R)-1_Revised MOR Package_~0039877_II.5. RM Volume Sensitivities_Sheet1" xfId="7882"/>
    <cellStyle name="_MOR - BDWY - 1+11_MOR - Gurgaon - 3+9(R)-1_Revised MOR Package_~0039877_II.5. RM Volume Sensitivities_Sheet2" xfId="7883"/>
    <cellStyle name="_MOR - BDWY - 1+11_MOR - Gurgaon - 3+9(R)-1_Revised MOR Package_~0039877_II.5. RM Volume Sensitivities_Sheet3" xfId="7884"/>
    <cellStyle name="_MOR - BDWY - 1+11_MOR - Gurgaon - 3+9(R)-1_Revised MOR Package_~0039877_II.5. RM Volume Sensitivities_Sheet4" xfId="7885"/>
    <cellStyle name="_MOR - BDWY - 1+11_MOR - Gurgaon - 3+9(R)-1_Revised MOR Package_~0039877_II.8. Sep&amp;Discrete" xfId="7886"/>
    <cellStyle name="_MOR - BDWY - 1+11_MOR - Gurgaon - 3+9(R)-1_Revised MOR Package_~0039877_Restructuring &amp; Separation" xfId="7887"/>
    <cellStyle name="_MOR - BDWY - 1+11_MOR - Gurgaon - 3+9(R)-1_Revised MOR Package_~0039877_Restructuring_Separation_TAX_JuneFC2010 tf" xfId="7888"/>
    <cellStyle name="_MOR - BDWY - 1+11_MOR - Gurgaon - 3+9(R)-1_Revised MOR Package_~0039877_Restructuring_Separation_TAX_JuneFC2010 tf_BS_Separation_TaxResIndem_Q12412 tf" xfId="7889"/>
    <cellStyle name="_MOR - BDWY - 1+11_MOR - Gurgaon - 3+9(R)-1_Revised MOR Package_~0039877_Restructuring_Separation_TAX_JuneFC2010 tf_BS_Separation_TaxResIndem_Q12412 tf_Restructuring &amp; Separation" xfId="7890"/>
    <cellStyle name="_MOR - BDWY - 1+11_MOR - Gurgaon - 3+9(R)-1_Revised MOR Package_~0039877_Restructuring_Separation_TAX_JuneFC2010 tf_II.8. Sep&amp;Discrete" xfId="7891"/>
    <cellStyle name="_MOR - BDWY - 1+11_MOR - Gurgaon - 3+9(R)-1_Revised MOR Package_~0039877_Restructuring_Separation_TAX_JuneFC2010 tf_Restructuring &amp; Separation" xfId="7892"/>
    <cellStyle name="_MOR - BDWY - 1+11_MOR - Gurgaon - 3+9(R)-1_Revised MOR Package_BS_Separation_TaxResIndem_Q12412 tf" xfId="7893"/>
    <cellStyle name="_MOR - BDWY - 1+11_MOR - Gurgaon - 3+9(R)-1_Revised MOR Package_BS_Separation_TaxResIndem_Q12412 tf_Restructuring &amp; Separation" xfId="7894"/>
    <cellStyle name="_MOR - BDWY - 1+11_MOR - Gurgaon - 3+9(R)-1_Revised MOR Package_By Country Detail 1Q10 041410pm FIN 18 revised per disc w Mary" xfId="7895"/>
    <cellStyle name="_MOR - BDWY - 1+11_MOR - Gurgaon - 3+9(R)-1_Revised MOR Package_By Country Detail 1Q10 041410pm FIN 18 revised per disc w Mary_BS_Separation_TaxResIndem_Q12412 tf" xfId="7896"/>
    <cellStyle name="_MOR - BDWY - 1+11_MOR - Gurgaon - 3+9(R)-1_Revised MOR Package_By Country Detail 1Q10 041410pm FIN 18 revised per disc w Mary_BS_Separation_TaxResIndem_Q12412 tf_Restructuring &amp; Separation" xfId="7897"/>
    <cellStyle name="_MOR - BDWY - 1+11_MOR - Gurgaon - 3+9(R)-1_Revised MOR Package_By Country Detail 1Q10 041410pm FIN 18 revised per disc w Mary_II.8. Sep&amp;Discrete" xfId="7898"/>
    <cellStyle name="_MOR - BDWY - 1+11_MOR - Gurgaon - 3+9(R)-1_Revised MOR Package_By Country Detail 1Q10 041410pm FIN 18 revised per disc w Mary_Restructuring &amp; Separation" xfId="7899"/>
    <cellStyle name="_MOR - BDWY - 1+11_MOR - Gurgaon - 3+9(R)-1_Revised MOR Package_Guidance" xfId="7900"/>
    <cellStyle name="_MOR - BDWY - 1+11_MOR - Gurgaon - 3+9(R)-1_Revised MOR Package_Guidance 2" xfId="7901"/>
    <cellStyle name="_MOR - BDWY - 1+11_MOR - Gurgaon - 3+9(R)-1_Revised MOR Package_Guidance_BS retrieve" xfId="7902"/>
    <cellStyle name="_MOR - BDWY - 1+11_MOR - Gurgaon - 3+9(R)-1_Revised MOR Package_Guidance_Free CF" xfId="7903"/>
    <cellStyle name="_MOR - BDWY - 1+11_MOR - Gurgaon - 3+9(R)-1_Revised MOR Package_Guidance_P&amp;L Rec Qtr" xfId="7904"/>
    <cellStyle name="_MOR - BDWY - 1+11_MOR - Gurgaon - 3+9(R)-1_Revised MOR Package_Guidance_Sheet1" xfId="7905"/>
    <cellStyle name="_MOR - BDWY - 1+11_MOR - Gurgaon - 3+9(R)-1_Revised MOR Package_Guidance_Sheet2" xfId="7906"/>
    <cellStyle name="_MOR - BDWY - 1+11_MOR - Gurgaon - 3+9(R)-1_Revised MOR Package_Guidance_Sheet3" xfId="7907"/>
    <cellStyle name="_MOR - BDWY - 1+11_MOR - Gurgaon - 3+9(R)-1_Revised MOR Package_Guidance_Sheet4" xfId="7908"/>
    <cellStyle name="_MOR - BDWY - 1+11_MOR - Gurgaon - 3+9(R)-1_Revised MOR Package_II.4. RawMaterials" xfId="7909"/>
    <cellStyle name="_MOR - BDWY - 1+11_MOR - Gurgaon - 3+9(R)-1_Revised MOR Package_II.4. RawMaterials 2" xfId="7910"/>
    <cellStyle name="_MOR - BDWY - 1+11_MOR - Gurgaon - 3+9(R)-1_Revised MOR Package_II.4. RawMaterials_BS retrieve" xfId="7911"/>
    <cellStyle name="_MOR - BDWY - 1+11_MOR - Gurgaon - 3+9(R)-1_Revised MOR Package_II.4. RawMaterials_Free CF" xfId="7912"/>
    <cellStyle name="_MOR - BDWY - 1+11_MOR - Gurgaon - 3+9(R)-1_Revised MOR Package_II.4. RawMaterials_P&amp;L Rec Qtr" xfId="7913"/>
    <cellStyle name="_MOR - BDWY - 1+11_MOR - Gurgaon - 3+9(R)-1_Revised MOR Package_II.4. RawMaterials_Sheet1" xfId="7914"/>
    <cellStyle name="_MOR - BDWY - 1+11_MOR - Gurgaon - 3+9(R)-1_Revised MOR Package_II.4. RawMaterials_Sheet2" xfId="7915"/>
    <cellStyle name="_MOR - BDWY - 1+11_MOR - Gurgaon - 3+9(R)-1_Revised MOR Package_II.4. RawMaterials_Sheet3" xfId="7916"/>
    <cellStyle name="_MOR - BDWY - 1+11_MOR - Gurgaon - 3+9(R)-1_Revised MOR Package_II.4. RawMaterials_Sheet4" xfId="7917"/>
    <cellStyle name="_MOR - BDWY - 1+11_MOR - Gurgaon - 3+9(R)-1_Revised MOR Package_II.5. RawMaterials" xfId="7918"/>
    <cellStyle name="_MOR - BDWY - 1+11_MOR - Gurgaon - 3+9(R)-1_Revised MOR Package_II.5. RawMaterials 2" xfId="7919"/>
    <cellStyle name="_MOR - BDWY - 1+11_MOR - Gurgaon - 3+9(R)-1_Revised MOR Package_II.5. RawMaterials_BS retrieve" xfId="7920"/>
    <cellStyle name="_MOR - BDWY - 1+11_MOR - Gurgaon - 3+9(R)-1_Revised MOR Package_II.5. RawMaterials_Free CF" xfId="7921"/>
    <cellStyle name="_MOR - BDWY - 1+11_MOR - Gurgaon - 3+9(R)-1_Revised MOR Package_II.5. RawMaterials_P&amp;L Rec Qtr" xfId="7922"/>
    <cellStyle name="_MOR - BDWY - 1+11_MOR - Gurgaon - 3+9(R)-1_Revised MOR Package_II.5. RawMaterials_Sheet1" xfId="7923"/>
    <cellStyle name="_MOR - BDWY - 1+11_MOR - Gurgaon - 3+9(R)-1_Revised MOR Package_II.5. RawMaterials_Sheet2" xfId="7924"/>
    <cellStyle name="_MOR - BDWY - 1+11_MOR - Gurgaon - 3+9(R)-1_Revised MOR Package_II.5. RawMaterials_Sheet3" xfId="7925"/>
    <cellStyle name="_MOR - BDWY - 1+11_MOR - Gurgaon - 3+9(R)-1_Revised MOR Package_II.5. RawMaterials_Sheet4" xfId="7926"/>
    <cellStyle name="_MOR - BDWY - 1+11_MOR - Gurgaon - 3+9(R)-1_Revised MOR Package_II.5. RM Volume Sensitivities" xfId="7927"/>
    <cellStyle name="_MOR - BDWY - 1+11_MOR - Gurgaon - 3+9(R)-1_Revised MOR Package_II.5. RM Volume Sensitivities 2" xfId="7928"/>
    <cellStyle name="_MOR - BDWY - 1+11_MOR - Gurgaon - 3+9(R)-1_Revised MOR Package_II.5. RM Volume Sensitivities_BS retrieve" xfId="7929"/>
    <cellStyle name="_MOR - BDWY - 1+11_MOR - Gurgaon - 3+9(R)-1_Revised MOR Package_II.5. RM Volume Sensitivities_Free CF" xfId="7930"/>
    <cellStyle name="_MOR - BDWY - 1+11_MOR - Gurgaon - 3+9(R)-1_Revised MOR Package_II.5. RM Volume Sensitivities_P&amp;L Rec Qtr" xfId="7931"/>
    <cellStyle name="_MOR - BDWY - 1+11_MOR - Gurgaon - 3+9(R)-1_Revised MOR Package_II.5. RM Volume Sensitivities_Sheet1" xfId="7932"/>
    <cellStyle name="_MOR - BDWY - 1+11_MOR - Gurgaon - 3+9(R)-1_Revised MOR Package_II.5. RM Volume Sensitivities_Sheet2" xfId="7933"/>
    <cellStyle name="_MOR - BDWY - 1+11_MOR - Gurgaon - 3+9(R)-1_Revised MOR Package_II.5. RM Volume Sensitivities_Sheet3" xfId="7934"/>
    <cellStyle name="_MOR - BDWY - 1+11_MOR - Gurgaon - 3+9(R)-1_Revised MOR Package_II.5. RM Volume Sensitivities_Sheet4" xfId="7935"/>
    <cellStyle name="_MOR - BDWY - 1+11_MOR - Gurgaon - 3+9(R)-1_Revised MOR Package_II.8. Sep&amp;Discrete" xfId="7936"/>
    <cellStyle name="_MOR - BDWY - 1+11_MOR - Gurgaon - 3+9(R)-1_Revised MOR Package_Restructuring &amp; Separation" xfId="7937"/>
    <cellStyle name="_MOR - BDWY - 1+11_MOR - Gurgaon - 3+9(R)-1_Revised MOR Package_Restructuring_Separation_TAX_JuneFC2010 tf" xfId="7938"/>
    <cellStyle name="_MOR - BDWY - 1+11_MOR - Gurgaon - 3+9(R)-1_Revised MOR Package_Restructuring_Separation_TAX_JuneFC2010 tf_BS_Separation_TaxResIndem_Q12412 tf" xfId="7939"/>
    <cellStyle name="_MOR - BDWY - 1+11_MOR - Gurgaon - 3+9(R)-1_Revised MOR Package_Restructuring_Separation_TAX_JuneFC2010 tf_BS_Separation_TaxResIndem_Q12412 tf_Restructuring &amp; Separation" xfId="7940"/>
    <cellStyle name="_MOR - BDWY - 1+11_MOR - Gurgaon - 3+9(R)-1_Revised MOR Package_Restructuring_Separation_TAX_JuneFC2010 tf_II.8. Sep&amp;Discrete" xfId="7941"/>
    <cellStyle name="_MOR - BDWY - 1+11_MOR - Gurgaon - 3+9(R)-1_Revised MOR Package_Restructuring_Separation_TAX_JuneFC2010 tf_Restructuring &amp; Separation" xfId="7942"/>
    <cellStyle name="_MOR - BDWY - 1+11_MOR - Gurgaon - 3+9(R)-1_Revised MOR Package_Revised MOR Package - Latest" xfId="7943"/>
    <cellStyle name="_MOR - BDWY - 1+11_MOR - Gurgaon - 3+9(R)-1_Revised MOR Package_Revised MOR Package - Latest_BS_Separation_TaxResIndem_Q12412 tf" xfId="7944"/>
    <cellStyle name="_MOR - BDWY - 1+11_MOR - Gurgaon - 3+9(R)-1_Revised MOR Package_Revised MOR Package - Latest_BS_Separation_TaxResIndem_Q12412 tf_Restructuring &amp; Separation" xfId="7945"/>
    <cellStyle name="_MOR - BDWY - 1+11_MOR - Gurgaon - 3+9(R)-1_Revised MOR Package_Revised MOR Package - Latest_By Country Detail 1Q10 041410pm FIN 18 revised per disc w Mary" xfId="7946"/>
    <cellStyle name="_MOR - BDWY - 1+11_MOR - Gurgaon - 3+9(R)-1_Revised MOR Package_Revised MOR Package - Latest_By Country Detail 1Q10 041410pm FIN 18 revised per disc w Mary_BS_Separation_TaxResIndem_Q12412 tf" xfId="7947"/>
    <cellStyle name="_MOR - BDWY - 1+11_MOR - Gurgaon - 3+9(R)-1_Revised MOR Package_Revised MOR Package - Latest_By Country Detail 1Q10 041410pm FIN 18 revised per disc w Mary_BS_Separation_TaxResIndem_Q12412 tf_Restructuring &amp; Separation" xfId="7948"/>
    <cellStyle name="_MOR - BDWY - 1+11_MOR - Gurgaon - 3+9(R)-1_Revised MOR Package_Revised MOR Package - Latest_By Country Detail 1Q10 041410pm FIN 18 revised per disc w Mary_II.8. Sep&amp;Discrete" xfId="7949"/>
    <cellStyle name="_MOR - BDWY - 1+11_MOR - Gurgaon - 3+9(R)-1_Revised MOR Package_Revised MOR Package - Latest_By Country Detail 1Q10 041410pm FIN 18 revised per disc w Mary_Restructuring &amp; Separation" xfId="7950"/>
    <cellStyle name="_MOR - BDWY - 1+11_MOR - Gurgaon - 3+9(R)-1_Revised MOR Package_Revised MOR Package - Latest_II.4. RawMaterials" xfId="7951"/>
    <cellStyle name="_MOR - BDWY - 1+11_MOR - Gurgaon - 3+9(R)-1_Revised MOR Package_Revised MOR Package - Latest_II.4. RawMaterials 2" xfId="7952"/>
    <cellStyle name="_MOR - BDWY - 1+11_MOR - Gurgaon - 3+9(R)-1_Revised MOR Package_Revised MOR Package - Latest_II.4. RawMaterials_BS retrieve" xfId="7953"/>
    <cellStyle name="_MOR - BDWY - 1+11_MOR - Gurgaon - 3+9(R)-1_Revised MOR Package_Revised MOR Package - Latest_II.4. RawMaterials_Free CF" xfId="7954"/>
    <cellStyle name="_MOR - BDWY - 1+11_MOR - Gurgaon - 3+9(R)-1_Revised MOR Package_Revised MOR Package - Latest_II.4. RawMaterials_P&amp;L Rec Qtr" xfId="7955"/>
    <cellStyle name="_MOR - BDWY - 1+11_MOR - Gurgaon - 3+9(R)-1_Revised MOR Package_Revised MOR Package - Latest_II.4. RawMaterials_Sheet1" xfId="7956"/>
    <cellStyle name="_MOR - BDWY - 1+11_MOR - Gurgaon - 3+9(R)-1_Revised MOR Package_Revised MOR Package - Latest_II.4. RawMaterials_Sheet2" xfId="7957"/>
    <cellStyle name="_MOR - BDWY - 1+11_MOR - Gurgaon - 3+9(R)-1_Revised MOR Package_Revised MOR Package - Latest_II.4. RawMaterials_Sheet3" xfId="7958"/>
    <cellStyle name="_MOR - BDWY - 1+11_MOR - Gurgaon - 3+9(R)-1_Revised MOR Package_Revised MOR Package - Latest_II.4. RawMaterials_Sheet4" xfId="7959"/>
    <cellStyle name="_MOR - BDWY - 1+11_MOR - Gurgaon - 3+9(R)-1_Revised MOR Package_Revised MOR Package - Latest_II.5. RawMaterials" xfId="7960"/>
    <cellStyle name="_MOR - BDWY - 1+11_MOR - Gurgaon - 3+9(R)-1_Revised MOR Package_Revised MOR Package - Latest_II.5. RawMaterials 2" xfId="7961"/>
    <cellStyle name="_MOR - BDWY - 1+11_MOR - Gurgaon - 3+9(R)-1_Revised MOR Package_Revised MOR Package - Latest_II.5. RawMaterials_BS retrieve" xfId="7962"/>
    <cellStyle name="_MOR - BDWY - 1+11_MOR - Gurgaon - 3+9(R)-1_Revised MOR Package_Revised MOR Package - Latest_II.5. RawMaterials_Free CF" xfId="7963"/>
    <cellStyle name="_MOR - BDWY - 1+11_MOR - Gurgaon - 3+9(R)-1_Revised MOR Package_Revised MOR Package - Latest_II.5. RawMaterials_P&amp;L Rec Qtr" xfId="7964"/>
    <cellStyle name="_MOR - BDWY - 1+11_MOR - Gurgaon - 3+9(R)-1_Revised MOR Package_Revised MOR Package - Latest_II.5. RawMaterials_Sheet1" xfId="7965"/>
    <cellStyle name="_MOR - BDWY - 1+11_MOR - Gurgaon - 3+9(R)-1_Revised MOR Package_Revised MOR Package - Latest_II.5. RawMaterials_Sheet2" xfId="7966"/>
    <cellStyle name="_MOR - BDWY - 1+11_MOR - Gurgaon - 3+9(R)-1_Revised MOR Package_Revised MOR Package - Latest_II.5. RawMaterials_Sheet3" xfId="7967"/>
    <cellStyle name="_MOR - BDWY - 1+11_MOR - Gurgaon - 3+9(R)-1_Revised MOR Package_Revised MOR Package - Latest_II.5. RawMaterials_Sheet4" xfId="7968"/>
    <cellStyle name="_MOR - BDWY - 1+11_MOR - Gurgaon - 3+9(R)-1_Revised MOR Package_Revised MOR Package - Latest_II.5. RM Volume Sensitivities" xfId="7969"/>
    <cellStyle name="_MOR - BDWY - 1+11_MOR - Gurgaon - 3+9(R)-1_Revised MOR Package_Revised MOR Package - Latest_II.5. RM Volume Sensitivities 2" xfId="7970"/>
    <cellStyle name="_MOR - BDWY - 1+11_MOR - Gurgaon - 3+9(R)-1_Revised MOR Package_Revised MOR Package - Latest_II.5. RM Volume Sensitivities_BS retrieve" xfId="7971"/>
    <cellStyle name="_MOR - BDWY - 1+11_MOR - Gurgaon - 3+9(R)-1_Revised MOR Package_Revised MOR Package - Latest_II.5. RM Volume Sensitivities_Free CF" xfId="7972"/>
    <cellStyle name="_MOR - BDWY - 1+11_MOR - Gurgaon - 3+9(R)-1_Revised MOR Package_Revised MOR Package - Latest_II.5. RM Volume Sensitivities_P&amp;L Rec Qtr" xfId="7973"/>
    <cellStyle name="_MOR - BDWY - 1+11_MOR - Gurgaon - 3+9(R)-1_Revised MOR Package_Revised MOR Package - Latest_II.5. RM Volume Sensitivities_Sheet1" xfId="7974"/>
    <cellStyle name="_MOR - BDWY - 1+11_MOR - Gurgaon - 3+9(R)-1_Revised MOR Package_Revised MOR Package - Latest_II.5. RM Volume Sensitivities_Sheet2" xfId="7975"/>
    <cellStyle name="_MOR - BDWY - 1+11_MOR - Gurgaon - 3+9(R)-1_Revised MOR Package_Revised MOR Package - Latest_II.5. RM Volume Sensitivities_Sheet3" xfId="7976"/>
    <cellStyle name="_MOR - BDWY - 1+11_MOR - Gurgaon - 3+9(R)-1_Revised MOR Package_Revised MOR Package - Latest_II.5. RM Volume Sensitivities_Sheet4" xfId="7977"/>
    <cellStyle name="_MOR - BDWY - 1+11_MOR - Gurgaon - 3+9(R)-1_Revised MOR Package_Revised MOR Package - Latest_II.8. Sep&amp;Discrete" xfId="7978"/>
    <cellStyle name="_MOR - BDWY - 1+11_MOR - Gurgaon - 3+9(R)-1_Revised MOR Package_Revised MOR Package - Latest_Restructuring &amp; Separation" xfId="7979"/>
    <cellStyle name="_MOR - BDWY - 1+11_MOR - Gurgaon - 3+9(R)-1_Revised MOR Package_Revised MOR Package - Latest_Restructuring_Separation_TAX_JuneFC2010 tf" xfId="7980"/>
    <cellStyle name="_MOR - BDWY - 1+11_MOR - Gurgaon - 3+9(R)-1_Revised MOR Package_Revised MOR Package - Latest_Restructuring_Separation_TAX_JuneFC2010 tf_BS_Separation_TaxResIndem_Q12412 tf" xfId="7981"/>
    <cellStyle name="_MOR - BDWY - 1+11_MOR - Gurgaon - 3+9(R)-1_Revised MOR Package_Revised MOR Package - Latest_Restructuring_Separation_TAX_JuneFC2010 tf_BS_Separation_TaxResIndem_Q12412 tf_Restructuring &amp; Separation" xfId="7982"/>
    <cellStyle name="_MOR - BDWY - 1+11_MOR - Gurgaon - 3+9(R)-1_Revised MOR Package_Revised MOR Package - Latest_Restructuring_Separation_TAX_JuneFC2010 tf_II.8. Sep&amp;Discrete" xfId="7983"/>
    <cellStyle name="_MOR - BDWY - 1+11_MOR - Gurgaon - 3+9(R)-1_Revised MOR Package_Revised MOR Package - Latest_Restructuring_Separation_TAX_JuneFC2010 tf_Restructuring &amp; Separation" xfId="7984"/>
    <cellStyle name="_MOR - BDWY - 1+11_Restructuring &amp; Separation" xfId="7985"/>
    <cellStyle name="_MOR - BDWY - 1+11_Restructuring_Separation_TAX_JuneFC2010 tf" xfId="7986"/>
    <cellStyle name="_MOR - BDWY - 1+11_Restructuring_Separation_TAX_JuneFC2010 tf_BS_Separation_TaxResIndem_Q12412 tf" xfId="7987"/>
    <cellStyle name="_MOR - BDWY - 1+11_Restructuring_Separation_TAX_JuneFC2010 tf_BS_Separation_TaxResIndem_Q12412 tf_Restructuring &amp; Separation" xfId="7988"/>
    <cellStyle name="_MOR - BDWY - 1+11_Restructuring_Separation_TAX_JuneFC2010 tf_II.8. Sep&amp;Discrete" xfId="7989"/>
    <cellStyle name="_MOR - BDWY - 1+11_Restructuring_Separation_TAX_JuneFC2010 tf_Restructuring &amp; Separation" xfId="7990"/>
    <cellStyle name="_MOR - BDWY - 1+11_Revised MOR - Australia -  EC - 4+8" xfId="7991"/>
    <cellStyle name="_MOR - BDWY - 1+11_Revised MOR - Australia -  EC - 4+8_BS_Separation_TaxResIndem_Q12412 tf" xfId="7992"/>
    <cellStyle name="_MOR - BDWY - 1+11_Revised MOR - Australia -  EC - 4+8_BS_Separation_TaxResIndem_Q12412 tf_Restructuring &amp; Separation" xfId="7993"/>
    <cellStyle name="_MOR - BDWY - 1+11_Revised MOR - Australia -  EC - 4+8_By Country Detail 1Q10 041410pm FIN 18 revised per disc w Mary" xfId="7994"/>
    <cellStyle name="_MOR - BDWY - 1+11_Revised MOR - Australia -  EC - 4+8_By Country Detail 1Q10 041410pm FIN 18 revised per disc w Mary_BS_Separation_TaxResIndem_Q12412 tf" xfId="7995"/>
    <cellStyle name="_MOR - BDWY - 1+11_Revised MOR - Australia -  EC - 4+8_By Country Detail 1Q10 041410pm FIN 18 revised per disc w Mary_BS_Separation_TaxResIndem_Q12412 tf_Restructuring &amp; Separation" xfId="7996"/>
    <cellStyle name="_MOR - BDWY - 1+11_Revised MOR - Australia -  EC - 4+8_By Country Detail 1Q10 041410pm FIN 18 revised per disc w Mary_II.8. Sep&amp;Discrete" xfId="7997"/>
    <cellStyle name="_MOR - BDWY - 1+11_Revised MOR - Australia -  EC - 4+8_By Country Detail 1Q10 041410pm FIN 18 revised per disc w Mary_Restructuring &amp; Separation" xfId="7998"/>
    <cellStyle name="_MOR - BDWY - 1+11_Revised MOR - Australia -  EC - 4+8_II.4. RawMaterials" xfId="7999"/>
    <cellStyle name="_MOR - BDWY - 1+11_Revised MOR - Australia -  EC - 4+8_II.4. RawMaterials 2" xfId="8000"/>
    <cellStyle name="_MOR - BDWY - 1+11_Revised MOR - Australia -  EC - 4+8_II.4. RawMaterials_BS retrieve" xfId="8001"/>
    <cellStyle name="_MOR - BDWY - 1+11_Revised MOR - Australia -  EC - 4+8_II.4. RawMaterials_Free CF" xfId="8002"/>
    <cellStyle name="_MOR - BDWY - 1+11_Revised MOR - Australia -  EC - 4+8_II.4. RawMaterials_P&amp;L Rec Qtr" xfId="8003"/>
    <cellStyle name="_MOR - BDWY - 1+11_Revised MOR - Australia -  EC - 4+8_II.4. RawMaterials_Sheet1" xfId="8004"/>
    <cellStyle name="_MOR - BDWY - 1+11_Revised MOR - Australia -  EC - 4+8_II.4. RawMaterials_Sheet2" xfId="8005"/>
    <cellStyle name="_MOR - BDWY - 1+11_Revised MOR - Australia -  EC - 4+8_II.4. RawMaterials_Sheet3" xfId="8006"/>
    <cellStyle name="_MOR - BDWY - 1+11_Revised MOR - Australia -  EC - 4+8_II.4. RawMaterials_Sheet4" xfId="8007"/>
    <cellStyle name="_MOR - BDWY - 1+11_Revised MOR - Australia -  EC - 4+8_II.5. RawMaterials" xfId="8008"/>
    <cellStyle name="_MOR - BDWY - 1+11_Revised MOR - Australia -  EC - 4+8_II.5. RawMaterials 2" xfId="8009"/>
    <cellStyle name="_MOR - BDWY - 1+11_Revised MOR - Australia -  EC - 4+8_II.5. RawMaterials_BS retrieve" xfId="8010"/>
    <cellStyle name="_MOR - BDWY - 1+11_Revised MOR - Australia -  EC - 4+8_II.5. RawMaterials_Free CF" xfId="8011"/>
    <cellStyle name="_MOR - BDWY - 1+11_Revised MOR - Australia -  EC - 4+8_II.5. RawMaterials_P&amp;L Rec Qtr" xfId="8012"/>
    <cellStyle name="_MOR - BDWY - 1+11_Revised MOR - Australia -  EC - 4+8_II.5. RawMaterials_Sheet1" xfId="8013"/>
    <cellStyle name="_MOR - BDWY - 1+11_Revised MOR - Australia -  EC - 4+8_II.5. RawMaterials_Sheet2" xfId="8014"/>
    <cellStyle name="_MOR - BDWY - 1+11_Revised MOR - Australia -  EC - 4+8_II.5. RawMaterials_Sheet3" xfId="8015"/>
    <cellStyle name="_MOR - BDWY - 1+11_Revised MOR - Australia -  EC - 4+8_II.5. RawMaterials_Sheet4" xfId="8016"/>
    <cellStyle name="_MOR - BDWY - 1+11_Revised MOR - Australia -  EC - 4+8_II.5. RM Volume Sensitivities" xfId="8017"/>
    <cellStyle name="_MOR - BDWY - 1+11_Revised MOR - Australia -  EC - 4+8_II.5. RM Volume Sensitivities 2" xfId="8018"/>
    <cellStyle name="_MOR - BDWY - 1+11_Revised MOR - Australia -  EC - 4+8_II.5. RM Volume Sensitivities_BS retrieve" xfId="8019"/>
    <cellStyle name="_MOR - BDWY - 1+11_Revised MOR - Australia -  EC - 4+8_II.5. RM Volume Sensitivities_Free CF" xfId="8020"/>
    <cellStyle name="_MOR - BDWY - 1+11_Revised MOR - Australia -  EC - 4+8_II.5. RM Volume Sensitivities_P&amp;L Rec Qtr" xfId="8021"/>
    <cellStyle name="_MOR - BDWY - 1+11_Revised MOR - Australia -  EC - 4+8_II.5. RM Volume Sensitivities_Sheet1" xfId="8022"/>
    <cellStyle name="_MOR - BDWY - 1+11_Revised MOR - Australia -  EC - 4+8_II.5. RM Volume Sensitivities_Sheet2" xfId="8023"/>
    <cellStyle name="_MOR - BDWY - 1+11_Revised MOR - Australia -  EC - 4+8_II.5. RM Volume Sensitivities_Sheet3" xfId="8024"/>
    <cellStyle name="_MOR - BDWY - 1+11_Revised MOR - Australia -  EC - 4+8_II.5. RM Volume Sensitivities_Sheet4" xfId="8025"/>
    <cellStyle name="_MOR - BDWY - 1+11_Revised MOR - Australia -  EC - 4+8_II.8. Sep&amp;Discrete" xfId="8026"/>
    <cellStyle name="_MOR - BDWY - 1+11_Revised MOR - Australia -  EC - 4+8_Restructuring &amp; Separation" xfId="8027"/>
    <cellStyle name="_MOR - BDWY - 1+11_Revised MOR - Australia -  EC - 4+8_Restructuring_Separation_TAX_JuneFC2010 tf" xfId="8028"/>
    <cellStyle name="_MOR - BDWY - 1+11_Revised MOR - Australia -  EC - 4+8_Restructuring_Separation_TAX_JuneFC2010 tf_BS_Separation_TaxResIndem_Q12412 tf" xfId="8029"/>
    <cellStyle name="_MOR - BDWY - 1+11_Revised MOR - Australia -  EC - 4+8_Restructuring_Separation_TAX_JuneFC2010 tf_BS_Separation_TaxResIndem_Q12412 tf_Restructuring &amp; Separation" xfId="8030"/>
    <cellStyle name="_MOR - BDWY - 1+11_Revised MOR - Australia -  EC - 4+8_Restructuring_Separation_TAX_JuneFC2010 tf_II.8. Sep&amp;Discrete" xfId="8031"/>
    <cellStyle name="_MOR - BDWY - 1+11_Revised MOR - Australia -  EC - 4+8_Restructuring_Separation_TAX_JuneFC2010 tf_Restructuring &amp; Separation" xfId="8032"/>
    <cellStyle name="_MOR - BDWY - 1+11_Revised MOR Package - Latest" xfId="8033"/>
    <cellStyle name="_MOR - BDWY - 1+11_Revised MOR Package - Latest_BS_Separation_TaxResIndem_Q12412 tf" xfId="8034"/>
    <cellStyle name="_MOR - BDWY - 1+11_Revised MOR Package - Latest_BS_Separation_TaxResIndem_Q12412 tf_Restructuring &amp; Separation" xfId="8035"/>
    <cellStyle name="_MOR - BDWY - 1+11_Revised MOR Package - Latest_By Country Detail 1Q10 041410pm FIN 18 revised per disc w Mary" xfId="8036"/>
    <cellStyle name="_MOR - BDWY - 1+11_Revised MOR Package - Latest_By Country Detail 1Q10 041410pm FIN 18 revised per disc w Mary_BS_Separation_TaxResIndem_Q12412 tf" xfId="8037"/>
    <cellStyle name="_MOR - BDWY - 1+11_Revised MOR Package - Latest_By Country Detail 1Q10 041410pm FIN 18 revised per disc w Mary_BS_Separation_TaxResIndem_Q12412 tf_Restructuring &amp; Separation" xfId="8038"/>
    <cellStyle name="_MOR - BDWY - 1+11_Revised MOR Package - Latest_By Country Detail 1Q10 041410pm FIN 18 revised per disc w Mary_II.8. Sep&amp;Discrete" xfId="8039"/>
    <cellStyle name="_MOR - BDWY - 1+11_Revised MOR Package - Latest_By Country Detail 1Q10 041410pm FIN 18 revised per disc w Mary_Restructuring &amp; Separation" xfId="8040"/>
    <cellStyle name="_MOR - BDWY - 1+11_Revised MOR Package - Latest_II.4. RawMaterials" xfId="8041"/>
    <cellStyle name="_MOR - BDWY - 1+11_Revised MOR Package - Latest_II.4. RawMaterials 2" xfId="8042"/>
    <cellStyle name="_MOR - BDWY - 1+11_Revised MOR Package - Latest_II.4. RawMaterials_BS retrieve" xfId="8043"/>
    <cellStyle name="_MOR - BDWY - 1+11_Revised MOR Package - Latest_II.4. RawMaterials_Free CF" xfId="8044"/>
    <cellStyle name="_MOR - BDWY - 1+11_Revised MOR Package - Latest_II.4. RawMaterials_P&amp;L Rec Qtr" xfId="8045"/>
    <cellStyle name="_MOR - BDWY - 1+11_Revised MOR Package - Latest_II.4. RawMaterials_Sheet1" xfId="8046"/>
    <cellStyle name="_MOR - BDWY - 1+11_Revised MOR Package - Latest_II.4. RawMaterials_Sheet2" xfId="8047"/>
    <cellStyle name="_MOR - BDWY - 1+11_Revised MOR Package - Latest_II.4. RawMaterials_Sheet3" xfId="8048"/>
    <cellStyle name="_MOR - BDWY - 1+11_Revised MOR Package - Latest_II.4. RawMaterials_Sheet4" xfId="8049"/>
    <cellStyle name="_MOR - BDWY - 1+11_Revised MOR Package - Latest_II.5. RawMaterials" xfId="8050"/>
    <cellStyle name="_MOR - BDWY - 1+11_Revised MOR Package - Latest_II.5. RawMaterials 2" xfId="8051"/>
    <cellStyle name="_MOR - BDWY - 1+11_Revised MOR Package - Latest_II.5. RawMaterials_BS retrieve" xfId="8052"/>
    <cellStyle name="_MOR - BDWY - 1+11_Revised MOR Package - Latest_II.5. RawMaterials_Free CF" xfId="8053"/>
    <cellStyle name="_MOR - BDWY - 1+11_Revised MOR Package - Latest_II.5. RawMaterials_P&amp;L Rec Qtr" xfId="8054"/>
    <cellStyle name="_MOR - BDWY - 1+11_Revised MOR Package - Latest_II.5. RawMaterials_Sheet1" xfId="8055"/>
    <cellStyle name="_MOR - BDWY - 1+11_Revised MOR Package - Latest_II.5. RawMaterials_Sheet2" xfId="8056"/>
    <cellStyle name="_MOR - BDWY - 1+11_Revised MOR Package - Latest_II.5. RawMaterials_Sheet3" xfId="8057"/>
    <cellStyle name="_MOR - BDWY - 1+11_Revised MOR Package - Latest_II.5. RawMaterials_Sheet4" xfId="8058"/>
    <cellStyle name="_MOR - BDWY - 1+11_Revised MOR Package - Latest_II.5. RM Volume Sensitivities" xfId="8059"/>
    <cellStyle name="_MOR - BDWY - 1+11_Revised MOR Package - Latest_II.5. RM Volume Sensitivities 2" xfId="8060"/>
    <cellStyle name="_MOR - BDWY - 1+11_Revised MOR Package - Latest_II.5. RM Volume Sensitivities_BS retrieve" xfId="8061"/>
    <cellStyle name="_MOR - BDWY - 1+11_Revised MOR Package - Latest_II.5. RM Volume Sensitivities_Free CF" xfId="8062"/>
    <cellStyle name="_MOR - BDWY - 1+11_Revised MOR Package - Latest_II.5. RM Volume Sensitivities_P&amp;L Rec Qtr" xfId="8063"/>
    <cellStyle name="_MOR - BDWY - 1+11_Revised MOR Package - Latest_II.5. RM Volume Sensitivities_Sheet1" xfId="8064"/>
    <cellStyle name="_MOR - BDWY - 1+11_Revised MOR Package - Latest_II.5. RM Volume Sensitivities_Sheet2" xfId="8065"/>
    <cellStyle name="_MOR - BDWY - 1+11_Revised MOR Package - Latest_II.5. RM Volume Sensitivities_Sheet3" xfId="8066"/>
    <cellStyle name="_MOR - BDWY - 1+11_Revised MOR Package - Latest_II.5. RM Volume Sensitivities_Sheet4" xfId="8067"/>
    <cellStyle name="_MOR - BDWY - 1+11_Revised MOR Package - Latest_II.8. Sep&amp;Discrete" xfId="8068"/>
    <cellStyle name="_MOR - BDWY - 1+11_Revised MOR Package - Latest_Restructuring &amp; Separation" xfId="8069"/>
    <cellStyle name="_MOR - BDWY - 1+11_Revised MOR Package - Latest_Restructuring_Separation_TAX_JuneFC2010 tf" xfId="8070"/>
    <cellStyle name="_MOR - BDWY - 1+11_Revised MOR Package - Latest_Restructuring_Separation_TAX_JuneFC2010 tf_BS_Separation_TaxResIndem_Q12412 tf" xfId="8071"/>
    <cellStyle name="_MOR - BDWY - 1+11_Revised MOR Package - Latest_Restructuring_Separation_TAX_JuneFC2010 tf_BS_Separation_TaxResIndem_Q12412 tf_Restructuring &amp; Separation" xfId="8072"/>
    <cellStyle name="_MOR - BDWY - 1+11_Revised MOR Package - Latest_Restructuring_Separation_TAX_JuneFC2010 tf_II.8. Sep&amp;Discrete" xfId="8073"/>
    <cellStyle name="_MOR - BDWY - 1+11_Revised MOR Package - Latest_Restructuring_Separation_TAX_JuneFC2010 tf_Restructuring &amp; Separation" xfId="8074"/>
    <cellStyle name="_MOR - Gurgaon - 3+9(R)" xfId="8075"/>
    <cellStyle name="_MOR - Gurgaon - 3+9(R)_BS_Separation_TaxResIndem_Q12412 tf" xfId="8076"/>
    <cellStyle name="_MOR - Gurgaon - 3+9(R)_BS_Separation_TaxResIndem_Q12412 tf_Restructuring &amp; Separation" xfId="8077"/>
    <cellStyle name="_MOR - Gurgaon - 3+9(R)_By Country Detail 1Q10 041410pm FIN 18 revised per disc w Mary" xfId="8078"/>
    <cellStyle name="_MOR - Gurgaon - 3+9(R)_By Country Detail 1Q10 041410pm FIN 18 revised per disc w Mary_BS_Separation_TaxResIndem_Q12412 tf" xfId="8079"/>
    <cellStyle name="_MOR - Gurgaon - 3+9(R)_By Country Detail 1Q10 041410pm FIN 18 revised per disc w Mary_BS_Separation_TaxResIndem_Q12412 tf_Restructuring &amp; Separation" xfId="8080"/>
    <cellStyle name="_MOR - Gurgaon - 3+9(R)_By Country Detail 1Q10 041410pm FIN 18 revised per disc w Mary_II.8. Sep&amp;Discrete" xfId="8081"/>
    <cellStyle name="_MOR - Gurgaon - 3+9(R)_By Country Detail 1Q10 041410pm FIN 18 revised per disc w Mary_Restructuring &amp; Separation" xfId="8082"/>
    <cellStyle name="_MOR - Gurgaon - 3+9(R)_II.4. RawMaterials" xfId="8083"/>
    <cellStyle name="_MOR - Gurgaon - 3+9(R)_II.4. RawMaterials 2" xfId="8084"/>
    <cellStyle name="_MOR - Gurgaon - 3+9(R)_II.4. RawMaterials_BS retrieve" xfId="8085"/>
    <cellStyle name="_MOR - Gurgaon - 3+9(R)_II.4. RawMaterials_Free CF" xfId="8086"/>
    <cellStyle name="_MOR - Gurgaon - 3+9(R)_II.4. RawMaterials_P&amp;L Rec Qtr" xfId="8087"/>
    <cellStyle name="_MOR - Gurgaon - 3+9(R)_II.4. RawMaterials_Sheet1" xfId="8088"/>
    <cellStyle name="_MOR - Gurgaon - 3+9(R)_II.4. RawMaterials_Sheet2" xfId="8089"/>
    <cellStyle name="_MOR - Gurgaon - 3+9(R)_II.4. RawMaterials_Sheet3" xfId="8090"/>
    <cellStyle name="_MOR - Gurgaon - 3+9(R)_II.4. RawMaterials_Sheet4" xfId="8091"/>
    <cellStyle name="_MOR - Gurgaon - 3+9(R)_II.5. RawMaterials" xfId="8092"/>
    <cellStyle name="_MOR - Gurgaon - 3+9(R)_II.5. RawMaterials 2" xfId="8093"/>
    <cellStyle name="_MOR - Gurgaon - 3+9(R)_II.5. RawMaterials_BS retrieve" xfId="8094"/>
    <cellStyle name="_MOR - Gurgaon - 3+9(R)_II.5. RawMaterials_Free CF" xfId="8095"/>
    <cellStyle name="_MOR - Gurgaon - 3+9(R)_II.5. RawMaterials_P&amp;L Rec Qtr" xfId="8096"/>
    <cellStyle name="_MOR - Gurgaon - 3+9(R)_II.5. RawMaterials_Sheet1" xfId="8097"/>
    <cellStyle name="_MOR - Gurgaon - 3+9(R)_II.5. RawMaterials_Sheet2" xfId="8098"/>
    <cellStyle name="_MOR - Gurgaon - 3+9(R)_II.5. RawMaterials_Sheet3" xfId="8099"/>
    <cellStyle name="_MOR - Gurgaon - 3+9(R)_II.5. RawMaterials_Sheet4" xfId="8100"/>
    <cellStyle name="_MOR - Gurgaon - 3+9(R)_II.5. RM Volume Sensitivities" xfId="8101"/>
    <cellStyle name="_MOR - Gurgaon - 3+9(R)_II.5. RM Volume Sensitivities 2" xfId="8102"/>
    <cellStyle name="_MOR - Gurgaon - 3+9(R)_II.5. RM Volume Sensitivities_BS retrieve" xfId="8103"/>
    <cellStyle name="_MOR - Gurgaon - 3+9(R)_II.5. RM Volume Sensitivities_Free CF" xfId="8104"/>
    <cellStyle name="_MOR - Gurgaon - 3+9(R)_II.5. RM Volume Sensitivities_P&amp;L Rec Qtr" xfId="8105"/>
    <cellStyle name="_MOR - Gurgaon - 3+9(R)_II.5. RM Volume Sensitivities_Sheet1" xfId="8106"/>
    <cellStyle name="_MOR - Gurgaon - 3+9(R)_II.5. RM Volume Sensitivities_Sheet2" xfId="8107"/>
    <cellStyle name="_MOR - Gurgaon - 3+9(R)_II.5. RM Volume Sensitivities_Sheet3" xfId="8108"/>
    <cellStyle name="_MOR - Gurgaon - 3+9(R)_II.5. RM Volume Sensitivities_Sheet4" xfId="8109"/>
    <cellStyle name="_MOR - Gurgaon - 3+9(R)_II.8. Sep&amp;Discrete" xfId="8110"/>
    <cellStyle name="_MOR - Gurgaon - 3+9(R)_MOR - Revised Package" xfId="8111"/>
    <cellStyle name="_MOR - Gurgaon - 3+9(R)_MOR - Revised Package_~0039877" xfId="8112"/>
    <cellStyle name="_MOR - Gurgaon - 3+9(R)_MOR - Revised Package_~0039877_BS_Separation_TaxResIndem_Q12412 tf" xfId="8113"/>
    <cellStyle name="_MOR - Gurgaon - 3+9(R)_MOR - Revised Package_~0039877_BS_Separation_TaxResIndem_Q12412 tf_Restructuring &amp; Separation" xfId="8114"/>
    <cellStyle name="_MOR - Gurgaon - 3+9(R)_MOR - Revised Package_~0039877_By Country Detail 1Q10 041410pm FIN 18 revised per disc w Mary" xfId="8115"/>
    <cellStyle name="_MOR - Gurgaon - 3+9(R)_MOR - Revised Package_~0039877_By Country Detail 1Q10 041410pm FIN 18 revised per disc w Mary_BS_Separation_TaxResIndem_Q12412 tf" xfId="8116"/>
    <cellStyle name="_MOR - Gurgaon - 3+9(R)_MOR - Revised Package_~0039877_By Country Detail 1Q10 041410pm FIN 18 revised per disc w Mary_BS_Separation_TaxResIndem_Q12412 tf_Restructuring &amp; Separation" xfId="8117"/>
    <cellStyle name="_MOR - Gurgaon - 3+9(R)_MOR - Revised Package_~0039877_By Country Detail 1Q10 041410pm FIN 18 revised per disc w Mary_II.8. Sep&amp;Discrete" xfId="8118"/>
    <cellStyle name="_MOR - Gurgaon - 3+9(R)_MOR - Revised Package_~0039877_By Country Detail 1Q10 041410pm FIN 18 revised per disc w Mary_Restructuring &amp; Separation" xfId="8119"/>
    <cellStyle name="_MOR - Gurgaon - 3+9(R)_MOR - Revised Package_~0039877_II.4. RawMaterials" xfId="8120"/>
    <cellStyle name="_MOR - Gurgaon - 3+9(R)_MOR - Revised Package_~0039877_II.4. RawMaterials 2" xfId="8121"/>
    <cellStyle name="_MOR - Gurgaon - 3+9(R)_MOR - Revised Package_~0039877_II.4. RawMaterials_BS retrieve" xfId="8122"/>
    <cellStyle name="_MOR - Gurgaon - 3+9(R)_MOR - Revised Package_~0039877_II.4. RawMaterials_Free CF" xfId="8123"/>
    <cellStyle name="_MOR - Gurgaon - 3+9(R)_MOR - Revised Package_~0039877_II.4. RawMaterials_P&amp;L Rec Qtr" xfId="8124"/>
    <cellStyle name="_MOR - Gurgaon - 3+9(R)_MOR - Revised Package_~0039877_II.4. RawMaterials_Sheet1" xfId="8125"/>
    <cellStyle name="_MOR - Gurgaon - 3+9(R)_MOR - Revised Package_~0039877_II.4. RawMaterials_Sheet2" xfId="8126"/>
    <cellStyle name="_MOR - Gurgaon - 3+9(R)_MOR - Revised Package_~0039877_II.4. RawMaterials_Sheet3" xfId="8127"/>
    <cellStyle name="_MOR - Gurgaon - 3+9(R)_MOR - Revised Package_~0039877_II.4. RawMaterials_Sheet4" xfId="8128"/>
    <cellStyle name="_MOR - Gurgaon - 3+9(R)_MOR - Revised Package_~0039877_II.5. RawMaterials" xfId="8129"/>
    <cellStyle name="_MOR - Gurgaon - 3+9(R)_MOR - Revised Package_~0039877_II.5. RawMaterials 2" xfId="8130"/>
    <cellStyle name="_MOR - Gurgaon - 3+9(R)_MOR - Revised Package_~0039877_II.5. RawMaterials_BS retrieve" xfId="8131"/>
    <cellStyle name="_MOR - Gurgaon - 3+9(R)_MOR - Revised Package_~0039877_II.5. RawMaterials_Free CF" xfId="8132"/>
    <cellStyle name="_MOR - Gurgaon - 3+9(R)_MOR - Revised Package_~0039877_II.5. RawMaterials_P&amp;L Rec Qtr" xfId="8133"/>
    <cellStyle name="_MOR - Gurgaon - 3+9(R)_MOR - Revised Package_~0039877_II.5. RawMaterials_Sheet1" xfId="8134"/>
    <cellStyle name="_MOR - Gurgaon - 3+9(R)_MOR - Revised Package_~0039877_II.5. RawMaterials_Sheet2" xfId="8135"/>
    <cellStyle name="_MOR - Gurgaon - 3+9(R)_MOR - Revised Package_~0039877_II.5. RawMaterials_Sheet3" xfId="8136"/>
    <cellStyle name="_MOR - Gurgaon - 3+9(R)_MOR - Revised Package_~0039877_II.5. RawMaterials_Sheet4" xfId="8137"/>
    <cellStyle name="_MOR - Gurgaon - 3+9(R)_MOR - Revised Package_~0039877_II.5. RM Volume Sensitivities" xfId="8138"/>
    <cellStyle name="_MOR - Gurgaon - 3+9(R)_MOR - Revised Package_~0039877_II.5. RM Volume Sensitivities 2" xfId="8139"/>
    <cellStyle name="_MOR - Gurgaon - 3+9(R)_MOR - Revised Package_~0039877_II.5. RM Volume Sensitivities_BS retrieve" xfId="8140"/>
    <cellStyle name="_MOR - Gurgaon - 3+9(R)_MOR - Revised Package_~0039877_II.5. RM Volume Sensitivities_Free CF" xfId="8141"/>
    <cellStyle name="_MOR - Gurgaon - 3+9(R)_MOR - Revised Package_~0039877_II.5. RM Volume Sensitivities_P&amp;L Rec Qtr" xfId="8142"/>
    <cellStyle name="_MOR - Gurgaon - 3+9(R)_MOR - Revised Package_~0039877_II.5. RM Volume Sensitivities_Sheet1" xfId="8143"/>
    <cellStyle name="_MOR - Gurgaon - 3+9(R)_MOR - Revised Package_~0039877_II.5. RM Volume Sensitivities_Sheet2" xfId="8144"/>
    <cellStyle name="_MOR - Gurgaon - 3+9(R)_MOR - Revised Package_~0039877_II.5. RM Volume Sensitivities_Sheet3" xfId="8145"/>
    <cellStyle name="_MOR - Gurgaon - 3+9(R)_MOR - Revised Package_~0039877_II.5. RM Volume Sensitivities_Sheet4" xfId="8146"/>
    <cellStyle name="_MOR - Gurgaon - 3+9(R)_MOR - Revised Package_~0039877_II.8. Sep&amp;Discrete" xfId="8147"/>
    <cellStyle name="_MOR - Gurgaon - 3+9(R)_MOR - Revised Package_~0039877_Restructuring &amp; Separation" xfId="8148"/>
    <cellStyle name="_MOR - Gurgaon - 3+9(R)_MOR - Revised Package_~0039877_Restructuring_Separation_TAX_JuneFC2010 tf" xfId="8149"/>
    <cellStyle name="_MOR - Gurgaon - 3+9(R)_MOR - Revised Package_~0039877_Restructuring_Separation_TAX_JuneFC2010 tf_BS_Separation_TaxResIndem_Q12412 tf" xfId="8150"/>
    <cellStyle name="_MOR - Gurgaon - 3+9(R)_MOR - Revised Package_~0039877_Restructuring_Separation_TAX_JuneFC2010 tf_BS_Separation_TaxResIndem_Q12412 tf_Restructuring &amp; Separation" xfId="8151"/>
    <cellStyle name="_MOR - Gurgaon - 3+9(R)_MOR - Revised Package_~0039877_Restructuring_Separation_TAX_JuneFC2010 tf_II.8. Sep&amp;Discrete" xfId="8152"/>
    <cellStyle name="_MOR - Gurgaon - 3+9(R)_MOR - Revised Package_~0039877_Restructuring_Separation_TAX_JuneFC2010 tf_Restructuring &amp; Separation" xfId="8153"/>
    <cellStyle name="_MOR - Gurgaon - 3+9(R)_MOR - Revised Package_BS_Separation_TaxResIndem_Q12412 tf" xfId="8154"/>
    <cellStyle name="_MOR - Gurgaon - 3+9(R)_MOR - Revised Package_BS_Separation_TaxResIndem_Q12412 tf_Restructuring &amp; Separation" xfId="8155"/>
    <cellStyle name="_MOR - Gurgaon - 3+9(R)_MOR - Revised Package_By Country Detail 1Q10 041410pm FIN 18 revised per disc w Mary" xfId="8156"/>
    <cellStyle name="_MOR - Gurgaon - 3+9(R)_MOR - Revised Package_By Country Detail 1Q10 041410pm FIN 18 revised per disc w Mary_BS_Separation_TaxResIndem_Q12412 tf" xfId="8157"/>
    <cellStyle name="_MOR - Gurgaon - 3+9(R)_MOR - Revised Package_By Country Detail 1Q10 041410pm FIN 18 revised per disc w Mary_BS_Separation_TaxResIndem_Q12412 tf_Restructuring &amp; Separation" xfId="8158"/>
    <cellStyle name="_MOR - Gurgaon - 3+9(R)_MOR - Revised Package_By Country Detail 1Q10 041410pm FIN 18 revised per disc w Mary_II.8. Sep&amp;Discrete" xfId="8159"/>
    <cellStyle name="_MOR - Gurgaon - 3+9(R)_MOR - Revised Package_By Country Detail 1Q10 041410pm FIN 18 revised per disc w Mary_Restructuring &amp; Separation" xfId="8160"/>
    <cellStyle name="_MOR - Gurgaon - 3+9(R)_MOR - Revised Package_II.4. RawMaterials" xfId="8161"/>
    <cellStyle name="_MOR - Gurgaon - 3+9(R)_MOR - Revised Package_II.4. RawMaterials 2" xfId="8162"/>
    <cellStyle name="_MOR - Gurgaon - 3+9(R)_MOR - Revised Package_II.4. RawMaterials_BS retrieve" xfId="8163"/>
    <cellStyle name="_MOR - Gurgaon - 3+9(R)_MOR - Revised Package_II.4. RawMaterials_Free CF" xfId="8164"/>
    <cellStyle name="_MOR - Gurgaon - 3+9(R)_MOR - Revised Package_II.4. RawMaterials_P&amp;L Rec Qtr" xfId="8165"/>
    <cellStyle name="_MOR - Gurgaon - 3+9(R)_MOR - Revised Package_II.4. RawMaterials_Sheet1" xfId="8166"/>
    <cellStyle name="_MOR - Gurgaon - 3+9(R)_MOR - Revised Package_II.4. RawMaterials_Sheet2" xfId="8167"/>
    <cellStyle name="_MOR - Gurgaon - 3+9(R)_MOR - Revised Package_II.4. RawMaterials_Sheet3" xfId="8168"/>
    <cellStyle name="_MOR - Gurgaon - 3+9(R)_MOR - Revised Package_II.4. RawMaterials_Sheet4" xfId="8169"/>
    <cellStyle name="_MOR - Gurgaon - 3+9(R)_MOR - Revised Package_II.5. RawMaterials" xfId="8170"/>
    <cellStyle name="_MOR - Gurgaon - 3+9(R)_MOR - Revised Package_II.5. RawMaterials 2" xfId="8171"/>
    <cellStyle name="_MOR - Gurgaon - 3+9(R)_MOR - Revised Package_II.5. RawMaterials_BS retrieve" xfId="8172"/>
    <cellStyle name="_MOR - Gurgaon - 3+9(R)_MOR - Revised Package_II.5. RawMaterials_Free CF" xfId="8173"/>
    <cellStyle name="_MOR - Gurgaon - 3+9(R)_MOR - Revised Package_II.5. RawMaterials_P&amp;L Rec Qtr" xfId="8174"/>
    <cellStyle name="_MOR - Gurgaon - 3+9(R)_MOR - Revised Package_II.5. RawMaterials_Sheet1" xfId="8175"/>
    <cellStyle name="_MOR - Gurgaon - 3+9(R)_MOR - Revised Package_II.5. RawMaterials_Sheet2" xfId="8176"/>
    <cellStyle name="_MOR - Gurgaon - 3+9(R)_MOR - Revised Package_II.5. RawMaterials_Sheet3" xfId="8177"/>
    <cellStyle name="_MOR - Gurgaon - 3+9(R)_MOR - Revised Package_II.5. RawMaterials_Sheet4" xfId="8178"/>
    <cellStyle name="_MOR - Gurgaon - 3+9(R)_MOR - Revised Package_II.5. RM Volume Sensitivities" xfId="8179"/>
    <cellStyle name="_MOR - Gurgaon - 3+9(R)_MOR - Revised Package_II.5. RM Volume Sensitivities 2" xfId="8180"/>
    <cellStyle name="_MOR - Gurgaon - 3+9(R)_MOR - Revised Package_II.5. RM Volume Sensitivities_BS retrieve" xfId="8181"/>
    <cellStyle name="_MOR - Gurgaon - 3+9(R)_MOR - Revised Package_II.5. RM Volume Sensitivities_Free CF" xfId="8182"/>
    <cellStyle name="_MOR - Gurgaon - 3+9(R)_MOR - Revised Package_II.5. RM Volume Sensitivities_P&amp;L Rec Qtr" xfId="8183"/>
    <cellStyle name="_MOR - Gurgaon - 3+9(R)_MOR - Revised Package_II.5. RM Volume Sensitivities_Sheet1" xfId="8184"/>
    <cellStyle name="_MOR - Gurgaon - 3+9(R)_MOR - Revised Package_II.5. RM Volume Sensitivities_Sheet2" xfId="8185"/>
    <cellStyle name="_MOR - Gurgaon - 3+9(R)_MOR - Revised Package_II.5. RM Volume Sensitivities_Sheet3" xfId="8186"/>
    <cellStyle name="_MOR - Gurgaon - 3+9(R)_MOR - Revised Package_II.5. RM Volume Sensitivities_Sheet4" xfId="8187"/>
    <cellStyle name="_MOR - Gurgaon - 3+9(R)_MOR - Revised Package_II.8. Sep&amp;Discrete" xfId="8188"/>
    <cellStyle name="_MOR - Gurgaon - 3+9(R)_MOR - Revised Package_Restructuring &amp; Separation" xfId="8189"/>
    <cellStyle name="_MOR - Gurgaon - 3+9(R)_MOR - Revised Package_Restructuring_Separation_TAX_JuneFC2010 tf" xfId="8190"/>
    <cellStyle name="_MOR - Gurgaon - 3+9(R)_MOR - Revised Package_Restructuring_Separation_TAX_JuneFC2010 tf_BS_Separation_TaxResIndem_Q12412 tf" xfId="8191"/>
    <cellStyle name="_MOR - Gurgaon - 3+9(R)_MOR - Revised Package_Restructuring_Separation_TAX_JuneFC2010 tf_BS_Separation_TaxResIndem_Q12412 tf_Restructuring &amp; Separation" xfId="8192"/>
    <cellStyle name="_MOR - Gurgaon - 3+9(R)_MOR - Revised Package_Restructuring_Separation_TAX_JuneFC2010 tf_II.8. Sep&amp;Discrete" xfId="8193"/>
    <cellStyle name="_MOR - Gurgaon - 3+9(R)_MOR - Revised Package_Restructuring_Separation_TAX_JuneFC2010 tf_Restructuring &amp; Separation" xfId="8194"/>
    <cellStyle name="_MOR - Gurgaon - 3+9(R)_MOR - Revised Package_Revised MOR Package - Latest" xfId="8195"/>
    <cellStyle name="_MOR - Gurgaon - 3+9(R)_MOR - Revised Package_Revised MOR Package - Latest_BS_Separation_TaxResIndem_Q12412 tf" xfId="8196"/>
    <cellStyle name="_MOR - Gurgaon - 3+9(R)_MOR - Revised Package_Revised MOR Package - Latest_BS_Separation_TaxResIndem_Q12412 tf_Restructuring &amp; Separation" xfId="8197"/>
    <cellStyle name="_MOR - Gurgaon - 3+9(R)_MOR - Revised Package_Revised MOR Package - Latest_By Country Detail 1Q10 041410pm FIN 18 revised per disc w Mary" xfId="8198"/>
    <cellStyle name="_MOR - Gurgaon - 3+9(R)_MOR - Revised Package_Revised MOR Package - Latest_By Country Detail 1Q10 041410pm FIN 18 revised per disc w Mary_BS_Separation_TaxResIndem_Q12412 tf" xfId="8199"/>
    <cellStyle name="_MOR - Gurgaon - 3+9(R)_MOR - Revised Package_Revised MOR Package - Latest_By Country Detail 1Q10 041410pm FIN 18 revised per disc w Mary_BS_Separation_TaxResIndem_Q12412 tf_Restructuring &amp; Separation" xfId="8200"/>
    <cellStyle name="_MOR - Gurgaon - 3+9(R)_MOR - Revised Package_Revised MOR Package - Latest_By Country Detail 1Q10 041410pm FIN 18 revised per disc w Mary_II.8. Sep&amp;Discrete" xfId="8201"/>
    <cellStyle name="_MOR - Gurgaon - 3+9(R)_MOR - Revised Package_Revised MOR Package - Latest_By Country Detail 1Q10 041410pm FIN 18 revised per disc w Mary_Restructuring &amp; Separation" xfId="8202"/>
    <cellStyle name="_MOR - Gurgaon - 3+9(R)_MOR - Revised Package_Revised MOR Package - Latest_II.4. RawMaterials" xfId="8203"/>
    <cellStyle name="_MOR - Gurgaon - 3+9(R)_MOR - Revised Package_Revised MOR Package - Latest_II.4. RawMaterials 2" xfId="8204"/>
    <cellStyle name="_MOR - Gurgaon - 3+9(R)_MOR - Revised Package_Revised MOR Package - Latest_II.4. RawMaterials_BS retrieve" xfId="8205"/>
    <cellStyle name="_MOR - Gurgaon - 3+9(R)_MOR - Revised Package_Revised MOR Package - Latest_II.4. RawMaterials_Free CF" xfId="8206"/>
    <cellStyle name="_MOR - Gurgaon - 3+9(R)_MOR - Revised Package_Revised MOR Package - Latest_II.4. RawMaterials_P&amp;L Rec Qtr" xfId="8207"/>
    <cellStyle name="_MOR - Gurgaon - 3+9(R)_MOR - Revised Package_Revised MOR Package - Latest_II.4. RawMaterials_Sheet1" xfId="8208"/>
    <cellStyle name="_MOR - Gurgaon - 3+9(R)_MOR - Revised Package_Revised MOR Package - Latest_II.4. RawMaterials_Sheet2" xfId="8209"/>
    <cellStyle name="_MOR - Gurgaon - 3+9(R)_MOR - Revised Package_Revised MOR Package - Latest_II.4. RawMaterials_Sheet3" xfId="8210"/>
    <cellStyle name="_MOR - Gurgaon - 3+9(R)_MOR - Revised Package_Revised MOR Package - Latest_II.4. RawMaterials_Sheet4" xfId="8211"/>
    <cellStyle name="_MOR - Gurgaon - 3+9(R)_MOR - Revised Package_Revised MOR Package - Latest_II.5. RawMaterials" xfId="8212"/>
    <cellStyle name="_MOR - Gurgaon - 3+9(R)_MOR - Revised Package_Revised MOR Package - Latest_II.5. RawMaterials 2" xfId="8213"/>
    <cellStyle name="_MOR - Gurgaon - 3+9(R)_MOR - Revised Package_Revised MOR Package - Latest_II.5. RawMaterials_BS retrieve" xfId="8214"/>
    <cellStyle name="_MOR - Gurgaon - 3+9(R)_MOR - Revised Package_Revised MOR Package - Latest_II.5. RawMaterials_Free CF" xfId="8215"/>
    <cellStyle name="_MOR - Gurgaon - 3+9(R)_MOR - Revised Package_Revised MOR Package - Latest_II.5. RawMaterials_P&amp;L Rec Qtr" xfId="8216"/>
    <cellStyle name="_MOR - Gurgaon - 3+9(R)_MOR - Revised Package_Revised MOR Package - Latest_II.5. RawMaterials_Sheet1" xfId="8217"/>
    <cellStyle name="_MOR - Gurgaon - 3+9(R)_MOR - Revised Package_Revised MOR Package - Latest_II.5. RawMaterials_Sheet2" xfId="8218"/>
    <cellStyle name="_MOR - Gurgaon - 3+9(R)_MOR - Revised Package_Revised MOR Package - Latest_II.5. RawMaterials_Sheet3" xfId="8219"/>
    <cellStyle name="_MOR - Gurgaon - 3+9(R)_MOR - Revised Package_Revised MOR Package - Latest_II.5. RawMaterials_Sheet4" xfId="8220"/>
    <cellStyle name="_MOR - Gurgaon - 3+9(R)_MOR - Revised Package_Revised MOR Package - Latest_II.5. RM Volume Sensitivities" xfId="8221"/>
    <cellStyle name="_MOR - Gurgaon - 3+9(R)_MOR - Revised Package_Revised MOR Package - Latest_II.5. RM Volume Sensitivities 2" xfId="8222"/>
    <cellStyle name="_MOR - Gurgaon - 3+9(R)_MOR - Revised Package_Revised MOR Package - Latest_II.5. RM Volume Sensitivities_BS retrieve" xfId="8223"/>
    <cellStyle name="_MOR - Gurgaon - 3+9(R)_MOR - Revised Package_Revised MOR Package - Latest_II.5. RM Volume Sensitivities_Free CF" xfId="8224"/>
    <cellStyle name="_MOR - Gurgaon - 3+9(R)_MOR - Revised Package_Revised MOR Package - Latest_II.5. RM Volume Sensitivities_P&amp;L Rec Qtr" xfId="8225"/>
    <cellStyle name="_MOR - Gurgaon - 3+9(R)_MOR - Revised Package_Revised MOR Package - Latest_II.5. RM Volume Sensitivities_Sheet1" xfId="8226"/>
    <cellStyle name="_MOR - Gurgaon - 3+9(R)_MOR - Revised Package_Revised MOR Package - Latest_II.5. RM Volume Sensitivities_Sheet2" xfId="8227"/>
    <cellStyle name="_MOR - Gurgaon - 3+9(R)_MOR - Revised Package_Revised MOR Package - Latest_II.5. RM Volume Sensitivities_Sheet3" xfId="8228"/>
    <cellStyle name="_MOR - Gurgaon - 3+9(R)_MOR - Revised Package_Revised MOR Package - Latest_II.5. RM Volume Sensitivities_Sheet4" xfId="8229"/>
    <cellStyle name="_MOR - Gurgaon - 3+9(R)_MOR - Revised Package_Revised MOR Package - Latest_II.8. Sep&amp;Discrete" xfId="8230"/>
    <cellStyle name="_MOR - Gurgaon - 3+9(R)_MOR - Revised Package_Revised MOR Package - Latest_Restructuring &amp; Separation" xfId="8231"/>
    <cellStyle name="_MOR - Gurgaon - 3+9(R)_MOR - Revised Package_Revised MOR Package - Latest_Restructuring_Separation_TAX_JuneFC2010 tf" xfId="8232"/>
    <cellStyle name="_MOR - Gurgaon - 3+9(R)_MOR - Revised Package_Revised MOR Package - Latest_Restructuring_Separation_TAX_JuneFC2010 tf_BS_Separation_TaxResIndem_Q12412 tf" xfId="8233"/>
    <cellStyle name="_MOR - Gurgaon - 3+9(R)_MOR - Revised Package_Revised MOR Package - Latest_Restructuring_Separation_TAX_JuneFC2010 tf_BS_Separation_TaxResIndem_Q12412 tf_Restructuring &amp; Separation" xfId="8234"/>
    <cellStyle name="_MOR - Gurgaon - 3+9(R)_MOR - Revised Package_Revised MOR Package - Latest_Restructuring_Separation_TAX_JuneFC2010 tf_II.8. Sep&amp;Discrete" xfId="8235"/>
    <cellStyle name="_MOR - Gurgaon - 3+9(R)_MOR - Revised Package_Revised MOR Package - Latest_Restructuring_Separation_TAX_JuneFC2010 tf_Restructuring &amp; Separation" xfId="8236"/>
    <cellStyle name="_MOR - Gurgaon - 3+9(R)_Restructuring &amp; Separation" xfId="8237"/>
    <cellStyle name="_MOR - Gurgaon - 3+9(R)_Restructuring_Separation_TAX_JuneFC2010 tf" xfId="8238"/>
    <cellStyle name="_MOR - Gurgaon - 3+9(R)_Restructuring_Separation_TAX_JuneFC2010 tf_BS_Separation_TaxResIndem_Q12412 tf" xfId="8239"/>
    <cellStyle name="_MOR - Gurgaon - 3+9(R)_Restructuring_Separation_TAX_JuneFC2010 tf_BS_Separation_TaxResIndem_Q12412 tf_Restructuring &amp; Separation" xfId="8240"/>
    <cellStyle name="_MOR - Gurgaon - 3+9(R)_Restructuring_Separation_TAX_JuneFC2010 tf_II.8. Sep&amp;Discrete" xfId="8241"/>
    <cellStyle name="_MOR - Gurgaon - 3+9(R)_Restructuring_Separation_TAX_JuneFC2010 tf_Restructuring &amp; Separation" xfId="8242"/>
    <cellStyle name="_MOR - Gurgaon - 3+9(R)_Revised MOR Package" xfId="8243"/>
    <cellStyle name="_MOR - Gurgaon - 3+9(R)_Revised MOR Package_~0039877" xfId="8244"/>
    <cellStyle name="_MOR - Gurgaon - 3+9(R)_Revised MOR Package_~0039877_BS_Separation_TaxResIndem_Q12412 tf" xfId="8245"/>
    <cellStyle name="_MOR - Gurgaon - 3+9(R)_Revised MOR Package_~0039877_BS_Separation_TaxResIndem_Q12412 tf_Restructuring &amp; Separation" xfId="8246"/>
    <cellStyle name="_MOR - Gurgaon - 3+9(R)_Revised MOR Package_~0039877_By Country Detail 1Q10 041410pm FIN 18 revised per disc w Mary" xfId="8247"/>
    <cellStyle name="_MOR - Gurgaon - 3+9(R)_Revised MOR Package_~0039877_By Country Detail 1Q10 041410pm FIN 18 revised per disc w Mary_BS_Separation_TaxResIndem_Q12412 tf" xfId="8248"/>
    <cellStyle name="_MOR - Gurgaon - 3+9(R)_Revised MOR Package_~0039877_By Country Detail 1Q10 041410pm FIN 18 revised per disc w Mary_BS_Separation_TaxResIndem_Q12412 tf_Restructuring &amp; Separation" xfId="8249"/>
    <cellStyle name="_MOR - Gurgaon - 3+9(R)_Revised MOR Package_~0039877_By Country Detail 1Q10 041410pm FIN 18 revised per disc w Mary_II.8. Sep&amp;Discrete" xfId="8250"/>
    <cellStyle name="_MOR - Gurgaon - 3+9(R)_Revised MOR Package_~0039877_By Country Detail 1Q10 041410pm FIN 18 revised per disc w Mary_Restructuring &amp; Separation" xfId="8251"/>
    <cellStyle name="_MOR - Gurgaon - 3+9(R)_Revised MOR Package_~0039877_II.4. RawMaterials" xfId="8252"/>
    <cellStyle name="_MOR - Gurgaon - 3+9(R)_Revised MOR Package_~0039877_II.4. RawMaterials 2" xfId="8253"/>
    <cellStyle name="_MOR - Gurgaon - 3+9(R)_Revised MOR Package_~0039877_II.4. RawMaterials_BS retrieve" xfId="8254"/>
    <cellStyle name="_MOR - Gurgaon - 3+9(R)_Revised MOR Package_~0039877_II.4. RawMaterials_Free CF" xfId="8255"/>
    <cellStyle name="_MOR - Gurgaon - 3+9(R)_Revised MOR Package_~0039877_II.4. RawMaterials_P&amp;L Rec Qtr" xfId="8256"/>
    <cellStyle name="_MOR - Gurgaon - 3+9(R)_Revised MOR Package_~0039877_II.4. RawMaterials_Sheet1" xfId="8257"/>
    <cellStyle name="_MOR - Gurgaon - 3+9(R)_Revised MOR Package_~0039877_II.4. RawMaterials_Sheet2" xfId="8258"/>
    <cellStyle name="_MOR - Gurgaon - 3+9(R)_Revised MOR Package_~0039877_II.4. RawMaterials_Sheet3" xfId="8259"/>
    <cellStyle name="_MOR - Gurgaon - 3+9(R)_Revised MOR Package_~0039877_II.4. RawMaterials_Sheet4" xfId="8260"/>
    <cellStyle name="_MOR - Gurgaon - 3+9(R)_Revised MOR Package_~0039877_II.5. RawMaterials" xfId="8261"/>
    <cellStyle name="_MOR - Gurgaon - 3+9(R)_Revised MOR Package_~0039877_II.5. RawMaterials 2" xfId="8262"/>
    <cellStyle name="_MOR - Gurgaon - 3+9(R)_Revised MOR Package_~0039877_II.5. RawMaterials_BS retrieve" xfId="8263"/>
    <cellStyle name="_MOR - Gurgaon - 3+9(R)_Revised MOR Package_~0039877_II.5. RawMaterials_Free CF" xfId="8264"/>
    <cellStyle name="_MOR - Gurgaon - 3+9(R)_Revised MOR Package_~0039877_II.5. RawMaterials_P&amp;L Rec Qtr" xfId="8265"/>
    <cellStyle name="_MOR - Gurgaon - 3+9(R)_Revised MOR Package_~0039877_II.5. RawMaterials_Sheet1" xfId="8266"/>
    <cellStyle name="_MOR - Gurgaon - 3+9(R)_Revised MOR Package_~0039877_II.5. RawMaterials_Sheet2" xfId="8267"/>
    <cellStyle name="_MOR - Gurgaon - 3+9(R)_Revised MOR Package_~0039877_II.5. RawMaterials_Sheet3" xfId="8268"/>
    <cellStyle name="_MOR - Gurgaon - 3+9(R)_Revised MOR Package_~0039877_II.5. RawMaterials_Sheet4" xfId="8269"/>
    <cellStyle name="_MOR - Gurgaon - 3+9(R)_Revised MOR Package_~0039877_II.5. RM Volume Sensitivities" xfId="8270"/>
    <cellStyle name="_MOR - Gurgaon - 3+9(R)_Revised MOR Package_~0039877_II.5. RM Volume Sensitivities 2" xfId="8271"/>
    <cellStyle name="_MOR - Gurgaon - 3+9(R)_Revised MOR Package_~0039877_II.5. RM Volume Sensitivities_BS retrieve" xfId="8272"/>
    <cellStyle name="_MOR - Gurgaon - 3+9(R)_Revised MOR Package_~0039877_II.5. RM Volume Sensitivities_Free CF" xfId="8273"/>
    <cellStyle name="_MOR - Gurgaon - 3+9(R)_Revised MOR Package_~0039877_II.5. RM Volume Sensitivities_P&amp;L Rec Qtr" xfId="8274"/>
    <cellStyle name="_MOR - Gurgaon - 3+9(R)_Revised MOR Package_~0039877_II.5. RM Volume Sensitivities_Sheet1" xfId="8275"/>
    <cellStyle name="_MOR - Gurgaon - 3+9(R)_Revised MOR Package_~0039877_II.5. RM Volume Sensitivities_Sheet2" xfId="8276"/>
    <cellStyle name="_MOR - Gurgaon - 3+9(R)_Revised MOR Package_~0039877_II.5. RM Volume Sensitivities_Sheet3" xfId="8277"/>
    <cellStyle name="_MOR - Gurgaon - 3+9(R)_Revised MOR Package_~0039877_II.5. RM Volume Sensitivities_Sheet4" xfId="8278"/>
    <cellStyle name="_MOR - Gurgaon - 3+9(R)_Revised MOR Package_~0039877_II.8. Sep&amp;Discrete" xfId="8279"/>
    <cellStyle name="_MOR - Gurgaon - 3+9(R)_Revised MOR Package_~0039877_Restructuring &amp; Separation" xfId="8280"/>
    <cellStyle name="_MOR - Gurgaon - 3+9(R)_Revised MOR Package_~0039877_Restructuring_Separation_TAX_JuneFC2010 tf" xfId="8281"/>
    <cellStyle name="_MOR - Gurgaon - 3+9(R)_Revised MOR Package_~0039877_Restructuring_Separation_TAX_JuneFC2010 tf_BS_Separation_TaxResIndem_Q12412 tf" xfId="8282"/>
    <cellStyle name="_MOR - Gurgaon - 3+9(R)_Revised MOR Package_~0039877_Restructuring_Separation_TAX_JuneFC2010 tf_BS_Separation_TaxResIndem_Q12412 tf_Restructuring &amp; Separation" xfId="8283"/>
    <cellStyle name="_MOR - Gurgaon - 3+9(R)_Revised MOR Package_~0039877_Restructuring_Separation_TAX_JuneFC2010 tf_II.8. Sep&amp;Discrete" xfId="8284"/>
    <cellStyle name="_MOR - Gurgaon - 3+9(R)_Revised MOR Package_~0039877_Restructuring_Separation_TAX_JuneFC2010 tf_Restructuring &amp; Separation" xfId="8285"/>
    <cellStyle name="_MOR - Gurgaon - 3+9(R)_Revised MOR Package_BS_Separation_TaxResIndem_Q12412 tf" xfId="8286"/>
    <cellStyle name="_MOR - Gurgaon - 3+9(R)_Revised MOR Package_BS_Separation_TaxResIndem_Q12412 tf_Restructuring &amp; Separation" xfId="8287"/>
    <cellStyle name="_MOR - Gurgaon - 3+9(R)_Revised MOR Package_By Country Detail 1Q10 041410pm FIN 18 revised per disc w Mary" xfId="8288"/>
    <cellStyle name="_MOR - Gurgaon - 3+9(R)_Revised MOR Package_By Country Detail 1Q10 041410pm FIN 18 revised per disc w Mary_BS_Separation_TaxResIndem_Q12412 tf" xfId="8289"/>
    <cellStyle name="_MOR - Gurgaon - 3+9(R)_Revised MOR Package_By Country Detail 1Q10 041410pm FIN 18 revised per disc w Mary_BS_Separation_TaxResIndem_Q12412 tf_Restructuring &amp; Separation" xfId="8290"/>
    <cellStyle name="_MOR - Gurgaon - 3+9(R)_Revised MOR Package_By Country Detail 1Q10 041410pm FIN 18 revised per disc w Mary_II.8. Sep&amp;Discrete" xfId="8291"/>
    <cellStyle name="_MOR - Gurgaon - 3+9(R)_Revised MOR Package_By Country Detail 1Q10 041410pm FIN 18 revised per disc w Mary_Restructuring &amp; Separation" xfId="8292"/>
    <cellStyle name="_MOR - Gurgaon - 3+9(R)_Revised MOR Package_II.4. RawMaterials" xfId="8293"/>
    <cellStyle name="_MOR - Gurgaon - 3+9(R)_Revised MOR Package_II.4. RawMaterials 2" xfId="8294"/>
    <cellStyle name="_MOR - Gurgaon - 3+9(R)_Revised MOR Package_II.4. RawMaterials_BS retrieve" xfId="8295"/>
    <cellStyle name="_MOR - Gurgaon - 3+9(R)_Revised MOR Package_II.4. RawMaterials_Free CF" xfId="8296"/>
    <cellStyle name="_MOR - Gurgaon - 3+9(R)_Revised MOR Package_II.4. RawMaterials_P&amp;L Rec Qtr" xfId="8297"/>
    <cellStyle name="_MOR - Gurgaon - 3+9(R)_Revised MOR Package_II.4. RawMaterials_Sheet1" xfId="8298"/>
    <cellStyle name="_MOR - Gurgaon - 3+9(R)_Revised MOR Package_II.4. RawMaterials_Sheet2" xfId="8299"/>
    <cellStyle name="_MOR - Gurgaon - 3+9(R)_Revised MOR Package_II.4. RawMaterials_Sheet3" xfId="8300"/>
    <cellStyle name="_MOR - Gurgaon - 3+9(R)_Revised MOR Package_II.4. RawMaterials_Sheet4" xfId="8301"/>
    <cellStyle name="_MOR - Gurgaon - 3+9(R)_Revised MOR Package_II.5. RawMaterials" xfId="8302"/>
    <cellStyle name="_MOR - Gurgaon - 3+9(R)_Revised MOR Package_II.5. RawMaterials 2" xfId="8303"/>
    <cellStyle name="_MOR - Gurgaon - 3+9(R)_Revised MOR Package_II.5. RawMaterials_BS retrieve" xfId="8304"/>
    <cellStyle name="_MOR - Gurgaon - 3+9(R)_Revised MOR Package_II.5. RawMaterials_Free CF" xfId="8305"/>
    <cellStyle name="_MOR - Gurgaon - 3+9(R)_Revised MOR Package_II.5. RawMaterials_P&amp;L Rec Qtr" xfId="8306"/>
    <cellStyle name="_MOR - Gurgaon - 3+9(R)_Revised MOR Package_II.5. RawMaterials_Sheet1" xfId="8307"/>
    <cellStyle name="_MOR - Gurgaon - 3+9(R)_Revised MOR Package_II.5. RawMaterials_Sheet2" xfId="8308"/>
    <cellStyle name="_MOR - Gurgaon - 3+9(R)_Revised MOR Package_II.5. RawMaterials_Sheet3" xfId="8309"/>
    <cellStyle name="_MOR - Gurgaon - 3+9(R)_Revised MOR Package_II.5. RawMaterials_Sheet4" xfId="8310"/>
    <cellStyle name="_MOR - Gurgaon - 3+9(R)_Revised MOR Package_II.5. RM Volume Sensitivities" xfId="8311"/>
    <cellStyle name="_MOR - Gurgaon - 3+9(R)_Revised MOR Package_II.5. RM Volume Sensitivities 2" xfId="8312"/>
    <cellStyle name="_MOR - Gurgaon - 3+9(R)_Revised MOR Package_II.5. RM Volume Sensitivities_BS retrieve" xfId="8313"/>
    <cellStyle name="_MOR - Gurgaon - 3+9(R)_Revised MOR Package_II.5. RM Volume Sensitivities_Free CF" xfId="8314"/>
    <cellStyle name="_MOR - Gurgaon - 3+9(R)_Revised MOR Package_II.5. RM Volume Sensitivities_P&amp;L Rec Qtr" xfId="8315"/>
    <cellStyle name="_MOR - Gurgaon - 3+9(R)_Revised MOR Package_II.5. RM Volume Sensitivities_Sheet1" xfId="8316"/>
    <cellStyle name="_MOR - Gurgaon - 3+9(R)_Revised MOR Package_II.5. RM Volume Sensitivities_Sheet2" xfId="8317"/>
    <cellStyle name="_MOR - Gurgaon - 3+9(R)_Revised MOR Package_II.5. RM Volume Sensitivities_Sheet3" xfId="8318"/>
    <cellStyle name="_MOR - Gurgaon - 3+9(R)_Revised MOR Package_II.5. RM Volume Sensitivities_Sheet4" xfId="8319"/>
    <cellStyle name="_MOR - Gurgaon - 3+9(R)_Revised MOR Package_II.8. Sep&amp;Discrete" xfId="8320"/>
    <cellStyle name="_MOR - Gurgaon - 3+9(R)_Revised MOR Package_Restructuring &amp; Separation" xfId="8321"/>
    <cellStyle name="_MOR - Gurgaon - 3+9(R)_Revised MOR Package_Restructuring_Separation_TAX_JuneFC2010 tf" xfId="8322"/>
    <cellStyle name="_MOR - Gurgaon - 3+9(R)_Revised MOR Package_Restructuring_Separation_TAX_JuneFC2010 tf_BS_Separation_TaxResIndem_Q12412 tf" xfId="8323"/>
    <cellStyle name="_MOR - Gurgaon - 3+9(R)_Revised MOR Package_Restructuring_Separation_TAX_JuneFC2010 tf_BS_Separation_TaxResIndem_Q12412 tf_Restructuring &amp; Separation" xfId="8324"/>
    <cellStyle name="_MOR - Gurgaon - 3+9(R)_Revised MOR Package_Restructuring_Separation_TAX_JuneFC2010 tf_II.8. Sep&amp;Discrete" xfId="8325"/>
    <cellStyle name="_MOR - Gurgaon - 3+9(R)_Revised MOR Package_Restructuring_Separation_TAX_JuneFC2010 tf_Restructuring &amp; Separation" xfId="8326"/>
    <cellStyle name="_MOR - Gurgaon - 3+9(R)_Revised MOR Package_Revised MOR Package - Latest" xfId="8327"/>
    <cellStyle name="_MOR - Gurgaon - 3+9(R)_Revised MOR Package_Revised MOR Package - Latest_BS_Separation_TaxResIndem_Q12412 tf" xfId="8328"/>
    <cellStyle name="_MOR - Gurgaon - 3+9(R)_Revised MOR Package_Revised MOR Package - Latest_BS_Separation_TaxResIndem_Q12412 tf_Restructuring &amp; Separation" xfId="8329"/>
    <cellStyle name="_MOR - Gurgaon - 3+9(R)_Revised MOR Package_Revised MOR Package - Latest_By Country Detail 1Q10 041410pm FIN 18 revised per disc w Mary" xfId="8330"/>
    <cellStyle name="_MOR - Gurgaon - 3+9(R)_Revised MOR Package_Revised MOR Package - Latest_By Country Detail 1Q10 041410pm FIN 18 revised per disc w Mary_BS_Separation_TaxResIndem_Q12412 tf" xfId="8331"/>
    <cellStyle name="_MOR - Gurgaon - 3+9(R)_Revised MOR Package_Revised MOR Package - Latest_By Country Detail 1Q10 041410pm FIN 18 revised per disc w Mary_BS_Separation_TaxResIndem_Q12412 tf_Restructuring &amp; Separation" xfId="8332"/>
    <cellStyle name="_MOR - Gurgaon - 3+9(R)_Revised MOR Package_Revised MOR Package - Latest_By Country Detail 1Q10 041410pm FIN 18 revised per disc w Mary_II.8. Sep&amp;Discrete" xfId="8333"/>
    <cellStyle name="_MOR - Gurgaon - 3+9(R)_Revised MOR Package_Revised MOR Package - Latest_By Country Detail 1Q10 041410pm FIN 18 revised per disc w Mary_Restructuring &amp; Separation" xfId="8334"/>
    <cellStyle name="_MOR - Gurgaon - 3+9(R)_Revised MOR Package_Revised MOR Package - Latest_II.4. RawMaterials" xfId="8335"/>
    <cellStyle name="_MOR - Gurgaon - 3+9(R)_Revised MOR Package_Revised MOR Package - Latest_II.4. RawMaterials 2" xfId="8336"/>
    <cellStyle name="_MOR - Gurgaon - 3+9(R)_Revised MOR Package_Revised MOR Package - Latest_II.4. RawMaterials_BS retrieve" xfId="8337"/>
    <cellStyle name="_MOR - Gurgaon - 3+9(R)_Revised MOR Package_Revised MOR Package - Latest_II.4. RawMaterials_Free CF" xfId="8338"/>
    <cellStyle name="_MOR - Gurgaon - 3+9(R)_Revised MOR Package_Revised MOR Package - Latest_II.4. RawMaterials_P&amp;L Rec Qtr" xfId="8339"/>
    <cellStyle name="_MOR - Gurgaon - 3+9(R)_Revised MOR Package_Revised MOR Package - Latest_II.4. RawMaterials_Sheet1" xfId="8340"/>
    <cellStyle name="_MOR - Gurgaon - 3+9(R)_Revised MOR Package_Revised MOR Package - Latest_II.4. RawMaterials_Sheet2" xfId="8341"/>
    <cellStyle name="_MOR - Gurgaon - 3+9(R)_Revised MOR Package_Revised MOR Package - Latest_II.4. RawMaterials_Sheet3" xfId="8342"/>
    <cellStyle name="_MOR - Gurgaon - 3+9(R)_Revised MOR Package_Revised MOR Package - Latest_II.4. RawMaterials_Sheet4" xfId="8343"/>
    <cellStyle name="_MOR - Gurgaon - 3+9(R)_Revised MOR Package_Revised MOR Package - Latest_II.5. RawMaterials" xfId="8344"/>
    <cellStyle name="_MOR - Gurgaon - 3+9(R)_Revised MOR Package_Revised MOR Package - Latest_II.5. RawMaterials 2" xfId="8345"/>
    <cellStyle name="_MOR - Gurgaon - 3+9(R)_Revised MOR Package_Revised MOR Package - Latest_II.5. RawMaterials_BS retrieve" xfId="8346"/>
    <cellStyle name="_MOR - Gurgaon - 3+9(R)_Revised MOR Package_Revised MOR Package - Latest_II.5. RawMaterials_Free CF" xfId="8347"/>
    <cellStyle name="_MOR - Gurgaon - 3+9(R)_Revised MOR Package_Revised MOR Package - Latest_II.5. RawMaterials_P&amp;L Rec Qtr" xfId="8348"/>
    <cellStyle name="_MOR - Gurgaon - 3+9(R)_Revised MOR Package_Revised MOR Package - Latest_II.5. RawMaterials_Sheet1" xfId="8349"/>
    <cellStyle name="_MOR - Gurgaon - 3+9(R)_Revised MOR Package_Revised MOR Package - Latest_II.5. RawMaterials_Sheet2" xfId="8350"/>
    <cellStyle name="_MOR - Gurgaon - 3+9(R)_Revised MOR Package_Revised MOR Package - Latest_II.5. RawMaterials_Sheet3" xfId="8351"/>
    <cellStyle name="_MOR - Gurgaon - 3+9(R)_Revised MOR Package_Revised MOR Package - Latest_II.5. RawMaterials_Sheet4" xfId="8352"/>
    <cellStyle name="_MOR - Gurgaon - 3+9(R)_Revised MOR Package_Revised MOR Package - Latest_II.5. RM Volume Sensitivities" xfId="8353"/>
    <cellStyle name="_MOR - Gurgaon - 3+9(R)_Revised MOR Package_Revised MOR Package - Latest_II.5. RM Volume Sensitivities 2" xfId="8354"/>
    <cellStyle name="_MOR - Gurgaon - 3+9(R)_Revised MOR Package_Revised MOR Package - Latest_II.5. RM Volume Sensitivities_BS retrieve" xfId="8355"/>
    <cellStyle name="_MOR - Gurgaon - 3+9(R)_Revised MOR Package_Revised MOR Package - Latest_II.5. RM Volume Sensitivities_Free CF" xfId="8356"/>
    <cellStyle name="_MOR - Gurgaon - 3+9(R)_Revised MOR Package_Revised MOR Package - Latest_II.5. RM Volume Sensitivities_P&amp;L Rec Qtr" xfId="8357"/>
    <cellStyle name="_MOR - Gurgaon - 3+9(R)_Revised MOR Package_Revised MOR Package - Latest_II.5. RM Volume Sensitivities_Sheet1" xfId="8358"/>
    <cellStyle name="_MOR - Gurgaon - 3+9(R)_Revised MOR Package_Revised MOR Package - Latest_II.5. RM Volume Sensitivities_Sheet2" xfId="8359"/>
    <cellStyle name="_MOR - Gurgaon - 3+9(R)_Revised MOR Package_Revised MOR Package - Latest_II.5. RM Volume Sensitivities_Sheet3" xfId="8360"/>
    <cellStyle name="_MOR - Gurgaon - 3+9(R)_Revised MOR Package_Revised MOR Package - Latest_II.5. RM Volume Sensitivities_Sheet4" xfId="8361"/>
    <cellStyle name="_MOR - Gurgaon - 3+9(R)_Revised MOR Package_Revised MOR Package - Latest_II.8. Sep&amp;Discrete" xfId="8362"/>
    <cellStyle name="_MOR - Gurgaon - 3+9(R)_Revised MOR Package_Revised MOR Package - Latest_Restructuring &amp; Separation" xfId="8363"/>
    <cellStyle name="_MOR - Gurgaon - 3+9(R)_Revised MOR Package_Revised MOR Package - Latest_Restructuring_Separation_TAX_JuneFC2010 tf" xfId="8364"/>
    <cellStyle name="_MOR - Gurgaon - 3+9(R)_Revised MOR Package_Revised MOR Package - Latest_Restructuring_Separation_TAX_JuneFC2010 tf_BS_Separation_TaxResIndem_Q12412 tf" xfId="8365"/>
    <cellStyle name="_MOR - Gurgaon - 3+9(R)_Revised MOR Package_Revised MOR Package - Latest_Restructuring_Separation_TAX_JuneFC2010 tf_BS_Separation_TaxResIndem_Q12412 tf_Restructuring &amp; Separation" xfId="8366"/>
    <cellStyle name="_MOR - Gurgaon - 3+9(R)_Revised MOR Package_Revised MOR Package - Latest_Restructuring_Separation_TAX_JuneFC2010 tf_II.8. Sep&amp;Discrete" xfId="8367"/>
    <cellStyle name="_MOR - Gurgaon - 3+9(R)_Revised MOR Package_Revised MOR Package - Latest_Restructuring_Separation_TAX_JuneFC2010 tf_Restructuring &amp; Separation" xfId="8368"/>
    <cellStyle name="_MOR - Gurgaon - 3+9(R)-1" xfId="8369"/>
    <cellStyle name="_MOR - Gurgaon - 3+9(R)-1_BS_Separation_TaxResIndem_Q12412 tf" xfId="8370"/>
    <cellStyle name="_MOR - Gurgaon - 3+9(R)-1_BS_Separation_TaxResIndem_Q12412 tf_Restructuring &amp; Separation" xfId="8371"/>
    <cellStyle name="_MOR - Gurgaon - 3+9(R)-1_By Country Detail 1Q10 041410pm FIN 18 revised per disc w Mary" xfId="8372"/>
    <cellStyle name="_MOR - Gurgaon - 3+9(R)-1_By Country Detail 1Q10 041410pm FIN 18 revised per disc w Mary_BS_Separation_TaxResIndem_Q12412 tf" xfId="8373"/>
    <cellStyle name="_MOR - Gurgaon - 3+9(R)-1_By Country Detail 1Q10 041410pm FIN 18 revised per disc w Mary_BS_Separation_TaxResIndem_Q12412 tf_Restructuring &amp; Separation" xfId="8374"/>
    <cellStyle name="_MOR - Gurgaon - 3+9(R)-1_By Country Detail 1Q10 041410pm FIN 18 revised per disc w Mary_II.8. Sep&amp;Discrete" xfId="8375"/>
    <cellStyle name="_MOR - Gurgaon - 3+9(R)-1_By Country Detail 1Q10 041410pm FIN 18 revised per disc w Mary_Restructuring &amp; Separation" xfId="8376"/>
    <cellStyle name="_MOR - Gurgaon - 3+9(R)-1_II.4. RawMaterials" xfId="8377"/>
    <cellStyle name="_MOR - Gurgaon - 3+9(R)-1_II.4. RawMaterials 2" xfId="8378"/>
    <cellStyle name="_MOR - Gurgaon - 3+9(R)-1_II.4. RawMaterials_BS retrieve" xfId="8379"/>
    <cellStyle name="_MOR - Gurgaon - 3+9(R)-1_II.4. RawMaterials_Free CF" xfId="8380"/>
    <cellStyle name="_MOR - Gurgaon - 3+9(R)-1_II.4. RawMaterials_P&amp;L Rec Qtr" xfId="8381"/>
    <cellStyle name="_MOR - Gurgaon - 3+9(R)-1_II.4. RawMaterials_Sheet1" xfId="8382"/>
    <cellStyle name="_MOR - Gurgaon - 3+9(R)-1_II.4. RawMaterials_Sheet2" xfId="8383"/>
    <cellStyle name="_MOR - Gurgaon - 3+9(R)-1_II.4. RawMaterials_Sheet3" xfId="8384"/>
    <cellStyle name="_MOR - Gurgaon - 3+9(R)-1_II.4. RawMaterials_Sheet4" xfId="8385"/>
    <cellStyle name="_MOR - Gurgaon - 3+9(R)-1_II.5. RawMaterials" xfId="8386"/>
    <cellStyle name="_MOR - Gurgaon - 3+9(R)-1_II.5. RawMaterials 2" xfId="8387"/>
    <cellStyle name="_MOR - Gurgaon - 3+9(R)-1_II.5. RawMaterials_BS retrieve" xfId="8388"/>
    <cellStyle name="_MOR - Gurgaon - 3+9(R)-1_II.5. RawMaterials_Free CF" xfId="8389"/>
    <cellStyle name="_MOR - Gurgaon - 3+9(R)-1_II.5. RawMaterials_P&amp;L Rec Qtr" xfId="8390"/>
    <cellStyle name="_MOR - Gurgaon - 3+9(R)-1_II.5. RawMaterials_Sheet1" xfId="8391"/>
    <cellStyle name="_MOR - Gurgaon - 3+9(R)-1_II.5. RawMaterials_Sheet2" xfId="8392"/>
    <cellStyle name="_MOR - Gurgaon - 3+9(R)-1_II.5. RawMaterials_Sheet3" xfId="8393"/>
    <cellStyle name="_MOR - Gurgaon - 3+9(R)-1_II.5. RawMaterials_Sheet4" xfId="8394"/>
    <cellStyle name="_MOR - Gurgaon - 3+9(R)-1_II.5. RM Volume Sensitivities" xfId="8395"/>
    <cellStyle name="_MOR - Gurgaon - 3+9(R)-1_II.5. RM Volume Sensitivities 2" xfId="8396"/>
    <cellStyle name="_MOR - Gurgaon - 3+9(R)-1_II.5. RM Volume Sensitivities_BS retrieve" xfId="8397"/>
    <cellStyle name="_MOR - Gurgaon - 3+9(R)-1_II.5. RM Volume Sensitivities_Free CF" xfId="8398"/>
    <cellStyle name="_MOR - Gurgaon - 3+9(R)-1_II.5. RM Volume Sensitivities_P&amp;L Rec Qtr" xfId="8399"/>
    <cellStyle name="_MOR - Gurgaon - 3+9(R)-1_II.5. RM Volume Sensitivities_Sheet1" xfId="8400"/>
    <cellStyle name="_MOR - Gurgaon - 3+9(R)-1_II.5. RM Volume Sensitivities_Sheet2" xfId="8401"/>
    <cellStyle name="_MOR - Gurgaon - 3+9(R)-1_II.5. RM Volume Sensitivities_Sheet3" xfId="8402"/>
    <cellStyle name="_MOR - Gurgaon - 3+9(R)-1_II.5. RM Volume Sensitivities_Sheet4" xfId="8403"/>
    <cellStyle name="_MOR - Gurgaon - 3+9(R)-1_II.8. Sep&amp;Discrete" xfId="8404"/>
    <cellStyle name="_MOR - Gurgaon - 3+9(R)-1_Restructuring &amp; Separation" xfId="8405"/>
    <cellStyle name="_MOR - Gurgaon - 3+9(R)-1_Restructuring_Separation_TAX_JuneFC2010 tf" xfId="8406"/>
    <cellStyle name="_MOR - Gurgaon - 3+9(R)-1_Restructuring_Separation_TAX_JuneFC2010 tf_BS_Separation_TaxResIndem_Q12412 tf" xfId="8407"/>
    <cellStyle name="_MOR - Gurgaon - 3+9(R)-1_Restructuring_Separation_TAX_JuneFC2010 tf_BS_Separation_TaxResIndem_Q12412 tf_Restructuring &amp; Separation" xfId="8408"/>
    <cellStyle name="_MOR - Gurgaon - 3+9(R)-1_Restructuring_Separation_TAX_JuneFC2010 tf_II.8. Sep&amp;Discrete" xfId="8409"/>
    <cellStyle name="_MOR - Gurgaon - 3+9(R)-1_Restructuring_Separation_TAX_JuneFC2010 tf_Restructuring &amp; Separation" xfId="8410"/>
    <cellStyle name="_MOR - Gurgaon - 3+9(R)-1_Revised MOR Package" xfId="8411"/>
    <cellStyle name="_MOR - Gurgaon - 3+9(R)-1_Revised MOR Package_~0039877" xfId="8412"/>
    <cellStyle name="_MOR - Gurgaon - 3+9(R)-1_Revised MOR Package_~0039877_BS_Separation_TaxResIndem_Q12412 tf" xfId="8413"/>
    <cellStyle name="_MOR - Gurgaon - 3+9(R)-1_Revised MOR Package_~0039877_BS_Separation_TaxResIndem_Q12412 tf_Restructuring &amp; Separation" xfId="8414"/>
    <cellStyle name="_MOR - Gurgaon - 3+9(R)-1_Revised MOR Package_~0039877_By Country Detail 1Q10 041410pm FIN 18 revised per disc w Mary" xfId="8415"/>
    <cellStyle name="_MOR - Gurgaon - 3+9(R)-1_Revised MOR Package_~0039877_By Country Detail 1Q10 041410pm FIN 18 revised per disc w Mary_BS_Separation_TaxResIndem_Q12412 tf" xfId="8416"/>
    <cellStyle name="_MOR - Gurgaon - 3+9(R)-1_Revised MOR Package_~0039877_By Country Detail 1Q10 041410pm FIN 18 revised per disc w Mary_BS_Separation_TaxResIndem_Q12412 tf_Restructuring &amp; Separation" xfId="8417"/>
    <cellStyle name="_MOR - Gurgaon - 3+9(R)-1_Revised MOR Package_~0039877_By Country Detail 1Q10 041410pm FIN 18 revised per disc w Mary_II.8. Sep&amp;Discrete" xfId="8418"/>
    <cellStyle name="_MOR - Gurgaon - 3+9(R)-1_Revised MOR Package_~0039877_By Country Detail 1Q10 041410pm FIN 18 revised per disc w Mary_Restructuring &amp; Separation" xfId="8419"/>
    <cellStyle name="_MOR - Gurgaon - 3+9(R)-1_Revised MOR Package_~0039877_II.4. RawMaterials" xfId="8420"/>
    <cellStyle name="_MOR - Gurgaon - 3+9(R)-1_Revised MOR Package_~0039877_II.4. RawMaterials 2" xfId="8421"/>
    <cellStyle name="_MOR - Gurgaon - 3+9(R)-1_Revised MOR Package_~0039877_II.4. RawMaterials_BS retrieve" xfId="8422"/>
    <cellStyle name="_MOR - Gurgaon - 3+9(R)-1_Revised MOR Package_~0039877_II.4. RawMaterials_Free CF" xfId="8423"/>
    <cellStyle name="_MOR - Gurgaon - 3+9(R)-1_Revised MOR Package_~0039877_II.4. RawMaterials_P&amp;L Rec Qtr" xfId="8424"/>
    <cellStyle name="_MOR - Gurgaon - 3+9(R)-1_Revised MOR Package_~0039877_II.4. RawMaterials_Sheet1" xfId="8425"/>
    <cellStyle name="_MOR - Gurgaon - 3+9(R)-1_Revised MOR Package_~0039877_II.4. RawMaterials_Sheet2" xfId="8426"/>
    <cellStyle name="_MOR - Gurgaon - 3+9(R)-1_Revised MOR Package_~0039877_II.4. RawMaterials_Sheet3" xfId="8427"/>
    <cellStyle name="_MOR - Gurgaon - 3+9(R)-1_Revised MOR Package_~0039877_II.4. RawMaterials_Sheet4" xfId="8428"/>
    <cellStyle name="_MOR - Gurgaon - 3+9(R)-1_Revised MOR Package_~0039877_II.5. RawMaterials" xfId="8429"/>
    <cellStyle name="_MOR - Gurgaon - 3+9(R)-1_Revised MOR Package_~0039877_II.5. RawMaterials 2" xfId="8430"/>
    <cellStyle name="_MOR - Gurgaon - 3+9(R)-1_Revised MOR Package_~0039877_II.5. RawMaterials_BS retrieve" xfId="8431"/>
    <cellStyle name="_MOR - Gurgaon - 3+9(R)-1_Revised MOR Package_~0039877_II.5. RawMaterials_Free CF" xfId="8432"/>
    <cellStyle name="_MOR - Gurgaon - 3+9(R)-1_Revised MOR Package_~0039877_II.5. RawMaterials_P&amp;L Rec Qtr" xfId="8433"/>
    <cellStyle name="_MOR - Gurgaon - 3+9(R)-1_Revised MOR Package_~0039877_II.5. RawMaterials_Sheet1" xfId="8434"/>
    <cellStyle name="_MOR - Gurgaon - 3+9(R)-1_Revised MOR Package_~0039877_II.5. RawMaterials_Sheet2" xfId="8435"/>
    <cellStyle name="_MOR - Gurgaon - 3+9(R)-1_Revised MOR Package_~0039877_II.5. RawMaterials_Sheet3" xfId="8436"/>
    <cellStyle name="_MOR - Gurgaon - 3+9(R)-1_Revised MOR Package_~0039877_II.5. RawMaterials_Sheet4" xfId="8437"/>
    <cellStyle name="_MOR - Gurgaon - 3+9(R)-1_Revised MOR Package_~0039877_II.5. RM Volume Sensitivities" xfId="8438"/>
    <cellStyle name="_MOR - Gurgaon - 3+9(R)-1_Revised MOR Package_~0039877_II.5. RM Volume Sensitivities 2" xfId="8439"/>
    <cellStyle name="_MOR - Gurgaon - 3+9(R)-1_Revised MOR Package_~0039877_II.5. RM Volume Sensitivities_BS retrieve" xfId="8440"/>
    <cellStyle name="_MOR - Gurgaon - 3+9(R)-1_Revised MOR Package_~0039877_II.5. RM Volume Sensitivities_Free CF" xfId="8441"/>
    <cellStyle name="_MOR - Gurgaon - 3+9(R)-1_Revised MOR Package_~0039877_II.5. RM Volume Sensitivities_P&amp;L Rec Qtr" xfId="8442"/>
    <cellStyle name="_MOR - Gurgaon - 3+9(R)-1_Revised MOR Package_~0039877_II.5. RM Volume Sensitivities_Sheet1" xfId="8443"/>
    <cellStyle name="_MOR - Gurgaon - 3+9(R)-1_Revised MOR Package_~0039877_II.5. RM Volume Sensitivities_Sheet2" xfId="8444"/>
    <cellStyle name="_MOR - Gurgaon - 3+9(R)-1_Revised MOR Package_~0039877_II.5. RM Volume Sensitivities_Sheet3" xfId="8445"/>
    <cellStyle name="_MOR - Gurgaon - 3+9(R)-1_Revised MOR Package_~0039877_II.5. RM Volume Sensitivities_Sheet4" xfId="8446"/>
    <cellStyle name="_MOR - Gurgaon - 3+9(R)-1_Revised MOR Package_~0039877_II.8. Sep&amp;Discrete" xfId="8447"/>
    <cellStyle name="_MOR - Gurgaon - 3+9(R)-1_Revised MOR Package_~0039877_Restructuring &amp; Separation" xfId="8448"/>
    <cellStyle name="_MOR - Gurgaon - 3+9(R)-1_Revised MOR Package_~0039877_Restructuring_Separation_TAX_JuneFC2010 tf" xfId="8449"/>
    <cellStyle name="_MOR - Gurgaon - 3+9(R)-1_Revised MOR Package_~0039877_Restructuring_Separation_TAX_JuneFC2010 tf_BS_Separation_TaxResIndem_Q12412 tf" xfId="8450"/>
    <cellStyle name="_MOR - Gurgaon - 3+9(R)-1_Revised MOR Package_~0039877_Restructuring_Separation_TAX_JuneFC2010 tf_BS_Separation_TaxResIndem_Q12412 tf_Restructuring &amp; Separation" xfId="8451"/>
    <cellStyle name="_MOR - Gurgaon - 3+9(R)-1_Revised MOR Package_~0039877_Restructuring_Separation_TAX_JuneFC2010 tf_II.8. Sep&amp;Discrete" xfId="8452"/>
    <cellStyle name="_MOR - Gurgaon - 3+9(R)-1_Revised MOR Package_~0039877_Restructuring_Separation_TAX_JuneFC2010 tf_Restructuring &amp; Separation" xfId="8453"/>
    <cellStyle name="_MOR - Gurgaon - 3+9(R)-1_Revised MOR Package_BS_Separation_TaxResIndem_Q12412 tf" xfId="8454"/>
    <cellStyle name="_MOR - Gurgaon - 3+9(R)-1_Revised MOR Package_BS_Separation_TaxResIndem_Q12412 tf_Restructuring &amp; Separation" xfId="8455"/>
    <cellStyle name="_MOR - Gurgaon - 3+9(R)-1_Revised MOR Package_By Country Detail 1Q10 041410pm FIN 18 revised per disc w Mary" xfId="8456"/>
    <cellStyle name="_MOR - Gurgaon - 3+9(R)-1_Revised MOR Package_By Country Detail 1Q10 041410pm FIN 18 revised per disc w Mary_BS_Separation_TaxResIndem_Q12412 tf" xfId="8457"/>
    <cellStyle name="_MOR - Gurgaon - 3+9(R)-1_Revised MOR Package_By Country Detail 1Q10 041410pm FIN 18 revised per disc w Mary_BS_Separation_TaxResIndem_Q12412 tf_Restructuring &amp; Separation" xfId="8458"/>
    <cellStyle name="_MOR - Gurgaon - 3+9(R)-1_Revised MOR Package_By Country Detail 1Q10 041410pm FIN 18 revised per disc w Mary_II.8. Sep&amp;Discrete" xfId="8459"/>
    <cellStyle name="_MOR - Gurgaon - 3+9(R)-1_Revised MOR Package_By Country Detail 1Q10 041410pm FIN 18 revised per disc w Mary_Restructuring &amp; Separation" xfId="8460"/>
    <cellStyle name="_MOR - Gurgaon - 3+9(R)-1_Revised MOR Package_II.4. RawMaterials" xfId="8461"/>
    <cellStyle name="_MOR - Gurgaon - 3+9(R)-1_Revised MOR Package_II.4. RawMaterials 2" xfId="8462"/>
    <cellStyle name="_MOR - Gurgaon - 3+9(R)-1_Revised MOR Package_II.4. RawMaterials_BS retrieve" xfId="8463"/>
    <cellStyle name="_MOR - Gurgaon - 3+9(R)-1_Revised MOR Package_II.4. RawMaterials_Free CF" xfId="8464"/>
    <cellStyle name="_MOR - Gurgaon - 3+9(R)-1_Revised MOR Package_II.4. RawMaterials_P&amp;L Rec Qtr" xfId="8465"/>
    <cellStyle name="_MOR - Gurgaon - 3+9(R)-1_Revised MOR Package_II.4. RawMaterials_Sheet1" xfId="8466"/>
    <cellStyle name="_MOR - Gurgaon - 3+9(R)-1_Revised MOR Package_II.4. RawMaterials_Sheet2" xfId="8467"/>
    <cellStyle name="_MOR - Gurgaon - 3+9(R)-1_Revised MOR Package_II.4. RawMaterials_Sheet3" xfId="8468"/>
    <cellStyle name="_MOR - Gurgaon - 3+9(R)-1_Revised MOR Package_II.4. RawMaterials_Sheet4" xfId="8469"/>
    <cellStyle name="_MOR - Gurgaon - 3+9(R)-1_Revised MOR Package_II.5. RawMaterials" xfId="8470"/>
    <cellStyle name="_MOR - Gurgaon - 3+9(R)-1_Revised MOR Package_II.5. RawMaterials 2" xfId="8471"/>
    <cellStyle name="_MOR - Gurgaon - 3+9(R)-1_Revised MOR Package_II.5. RawMaterials_BS retrieve" xfId="8472"/>
    <cellStyle name="_MOR - Gurgaon - 3+9(R)-1_Revised MOR Package_II.5. RawMaterials_Free CF" xfId="8473"/>
    <cellStyle name="_MOR - Gurgaon - 3+9(R)-1_Revised MOR Package_II.5. RawMaterials_P&amp;L Rec Qtr" xfId="8474"/>
    <cellStyle name="_MOR - Gurgaon - 3+9(R)-1_Revised MOR Package_II.5. RawMaterials_Sheet1" xfId="8475"/>
    <cellStyle name="_MOR - Gurgaon - 3+9(R)-1_Revised MOR Package_II.5. RawMaterials_Sheet2" xfId="8476"/>
    <cellStyle name="_MOR - Gurgaon - 3+9(R)-1_Revised MOR Package_II.5. RawMaterials_Sheet3" xfId="8477"/>
    <cellStyle name="_MOR - Gurgaon - 3+9(R)-1_Revised MOR Package_II.5. RawMaterials_Sheet4" xfId="8478"/>
    <cellStyle name="_MOR - Gurgaon - 3+9(R)-1_Revised MOR Package_II.5. RM Volume Sensitivities" xfId="8479"/>
    <cellStyle name="_MOR - Gurgaon - 3+9(R)-1_Revised MOR Package_II.5. RM Volume Sensitivities 2" xfId="8480"/>
    <cellStyle name="_MOR - Gurgaon - 3+9(R)-1_Revised MOR Package_II.5. RM Volume Sensitivities_BS retrieve" xfId="8481"/>
    <cellStyle name="_MOR - Gurgaon - 3+9(R)-1_Revised MOR Package_II.5. RM Volume Sensitivities_Free CF" xfId="8482"/>
    <cellStyle name="_MOR - Gurgaon - 3+9(R)-1_Revised MOR Package_II.5. RM Volume Sensitivities_P&amp;L Rec Qtr" xfId="8483"/>
    <cellStyle name="_MOR - Gurgaon - 3+9(R)-1_Revised MOR Package_II.5. RM Volume Sensitivities_Sheet1" xfId="8484"/>
    <cellStyle name="_MOR - Gurgaon - 3+9(R)-1_Revised MOR Package_II.5. RM Volume Sensitivities_Sheet2" xfId="8485"/>
    <cellStyle name="_MOR - Gurgaon - 3+9(R)-1_Revised MOR Package_II.5. RM Volume Sensitivities_Sheet3" xfId="8486"/>
    <cellStyle name="_MOR - Gurgaon - 3+9(R)-1_Revised MOR Package_II.5. RM Volume Sensitivities_Sheet4" xfId="8487"/>
    <cellStyle name="_MOR - Gurgaon - 3+9(R)-1_Revised MOR Package_II.8. Sep&amp;Discrete" xfId="8488"/>
    <cellStyle name="_MOR - Gurgaon - 3+9(R)-1_Revised MOR Package_Restructuring &amp; Separation" xfId="8489"/>
    <cellStyle name="_MOR - Gurgaon - 3+9(R)-1_Revised MOR Package_Restructuring_Separation_TAX_JuneFC2010 tf" xfId="8490"/>
    <cellStyle name="_MOR - Gurgaon - 3+9(R)-1_Revised MOR Package_Restructuring_Separation_TAX_JuneFC2010 tf_BS_Separation_TaxResIndem_Q12412 tf" xfId="8491"/>
    <cellStyle name="_MOR - Gurgaon - 3+9(R)-1_Revised MOR Package_Restructuring_Separation_TAX_JuneFC2010 tf_BS_Separation_TaxResIndem_Q12412 tf_Restructuring &amp; Separation" xfId="8492"/>
    <cellStyle name="_MOR - Gurgaon - 3+9(R)-1_Revised MOR Package_Restructuring_Separation_TAX_JuneFC2010 tf_II.8. Sep&amp;Discrete" xfId="8493"/>
    <cellStyle name="_MOR - Gurgaon - 3+9(R)-1_Revised MOR Package_Restructuring_Separation_TAX_JuneFC2010 tf_Restructuring &amp; Separation" xfId="8494"/>
    <cellStyle name="_MOR - Gurgaon - 3+9(R)-1_Revised MOR Package_Revised MOR Package - Latest" xfId="8495"/>
    <cellStyle name="_MOR - Gurgaon - 3+9(R)-1_Revised MOR Package_Revised MOR Package - Latest_BS_Separation_TaxResIndem_Q12412 tf" xfId="8496"/>
    <cellStyle name="_MOR - Gurgaon - 3+9(R)-1_Revised MOR Package_Revised MOR Package - Latest_BS_Separation_TaxResIndem_Q12412 tf_Restructuring &amp; Separation" xfId="8497"/>
    <cellStyle name="_MOR - Gurgaon - 3+9(R)-1_Revised MOR Package_Revised MOR Package - Latest_By Country Detail 1Q10 041410pm FIN 18 revised per disc w Mary" xfId="8498"/>
    <cellStyle name="_MOR - Gurgaon - 3+9(R)-1_Revised MOR Package_Revised MOR Package - Latest_By Country Detail 1Q10 041410pm FIN 18 revised per disc w Mary_BS_Separation_TaxResIndem_Q12412 tf" xfId="8499"/>
    <cellStyle name="_MOR - Gurgaon - 3+9(R)-1_Revised MOR Package_Revised MOR Package - Latest_By Country Detail 1Q10 041410pm FIN 18 revised per disc w Mary_BS_Separation_TaxResIndem_Q12412 tf_Restructuring &amp; Separation" xfId="8500"/>
    <cellStyle name="_MOR - Gurgaon - 3+9(R)-1_Revised MOR Package_Revised MOR Package - Latest_By Country Detail 1Q10 041410pm FIN 18 revised per disc w Mary_II.8. Sep&amp;Discrete" xfId="8501"/>
    <cellStyle name="_MOR - Gurgaon - 3+9(R)-1_Revised MOR Package_Revised MOR Package - Latest_By Country Detail 1Q10 041410pm FIN 18 revised per disc w Mary_Restructuring &amp; Separation" xfId="8502"/>
    <cellStyle name="_MOR - Gurgaon - 3+9(R)-1_Revised MOR Package_Revised MOR Package - Latest_II.4. RawMaterials" xfId="8503"/>
    <cellStyle name="_MOR - Gurgaon - 3+9(R)-1_Revised MOR Package_Revised MOR Package - Latest_II.4. RawMaterials 2" xfId="8504"/>
    <cellStyle name="_MOR - Gurgaon - 3+9(R)-1_Revised MOR Package_Revised MOR Package - Latest_II.4. RawMaterials_BS retrieve" xfId="8505"/>
    <cellStyle name="_MOR - Gurgaon - 3+9(R)-1_Revised MOR Package_Revised MOR Package - Latest_II.4. RawMaterials_Free CF" xfId="8506"/>
    <cellStyle name="_MOR - Gurgaon - 3+9(R)-1_Revised MOR Package_Revised MOR Package - Latest_II.4. RawMaterials_P&amp;L Rec Qtr" xfId="8507"/>
    <cellStyle name="_MOR - Gurgaon - 3+9(R)-1_Revised MOR Package_Revised MOR Package - Latest_II.4. RawMaterials_Sheet1" xfId="8508"/>
    <cellStyle name="_MOR - Gurgaon - 3+9(R)-1_Revised MOR Package_Revised MOR Package - Latest_II.4. RawMaterials_Sheet2" xfId="8509"/>
    <cellStyle name="_MOR - Gurgaon - 3+9(R)-1_Revised MOR Package_Revised MOR Package - Latest_II.4. RawMaterials_Sheet3" xfId="8510"/>
    <cellStyle name="_MOR - Gurgaon - 3+9(R)-1_Revised MOR Package_Revised MOR Package - Latest_II.4. RawMaterials_Sheet4" xfId="8511"/>
    <cellStyle name="_MOR - Gurgaon - 3+9(R)-1_Revised MOR Package_Revised MOR Package - Latest_II.5. RawMaterials" xfId="8512"/>
    <cellStyle name="_MOR - Gurgaon - 3+9(R)-1_Revised MOR Package_Revised MOR Package - Latest_II.5. RawMaterials 2" xfId="8513"/>
    <cellStyle name="_MOR - Gurgaon - 3+9(R)-1_Revised MOR Package_Revised MOR Package - Latest_II.5. RawMaterials_BS retrieve" xfId="8514"/>
    <cellStyle name="_MOR - Gurgaon - 3+9(R)-1_Revised MOR Package_Revised MOR Package - Latest_II.5. RawMaterials_Free CF" xfId="8515"/>
    <cellStyle name="_MOR - Gurgaon - 3+9(R)-1_Revised MOR Package_Revised MOR Package - Latest_II.5. RawMaterials_P&amp;L Rec Qtr" xfId="8516"/>
    <cellStyle name="_MOR - Gurgaon - 3+9(R)-1_Revised MOR Package_Revised MOR Package - Latest_II.5. RawMaterials_Sheet1" xfId="8517"/>
    <cellStyle name="_MOR - Gurgaon - 3+9(R)-1_Revised MOR Package_Revised MOR Package - Latest_II.5. RawMaterials_Sheet2" xfId="8518"/>
    <cellStyle name="_MOR - Gurgaon - 3+9(R)-1_Revised MOR Package_Revised MOR Package - Latest_II.5. RawMaterials_Sheet3" xfId="8519"/>
    <cellStyle name="_MOR - Gurgaon - 3+9(R)-1_Revised MOR Package_Revised MOR Package - Latest_II.5. RawMaterials_Sheet4" xfId="8520"/>
    <cellStyle name="_MOR - Gurgaon - 3+9(R)-1_Revised MOR Package_Revised MOR Package - Latest_II.5. RM Volume Sensitivities" xfId="8521"/>
    <cellStyle name="_MOR - Gurgaon - 3+9(R)-1_Revised MOR Package_Revised MOR Package - Latest_II.5. RM Volume Sensitivities 2" xfId="8522"/>
    <cellStyle name="_MOR - Gurgaon - 3+9(R)-1_Revised MOR Package_Revised MOR Package - Latest_II.5. RM Volume Sensitivities_BS retrieve" xfId="8523"/>
    <cellStyle name="_MOR - Gurgaon - 3+9(R)-1_Revised MOR Package_Revised MOR Package - Latest_II.5. RM Volume Sensitivities_Free CF" xfId="8524"/>
    <cellStyle name="_MOR - Gurgaon - 3+9(R)-1_Revised MOR Package_Revised MOR Package - Latest_II.5. RM Volume Sensitivities_P&amp;L Rec Qtr" xfId="8525"/>
    <cellStyle name="_MOR - Gurgaon - 3+9(R)-1_Revised MOR Package_Revised MOR Package - Latest_II.5. RM Volume Sensitivities_Sheet1" xfId="8526"/>
    <cellStyle name="_MOR - Gurgaon - 3+9(R)-1_Revised MOR Package_Revised MOR Package - Latest_II.5. RM Volume Sensitivities_Sheet2" xfId="8527"/>
    <cellStyle name="_MOR - Gurgaon - 3+9(R)-1_Revised MOR Package_Revised MOR Package - Latest_II.5. RM Volume Sensitivities_Sheet3" xfId="8528"/>
    <cellStyle name="_MOR - Gurgaon - 3+9(R)-1_Revised MOR Package_Revised MOR Package - Latest_II.5. RM Volume Sensitivities_Sheet4" xfId="8529"/>
    <cellStyle name="_MOR - Gurgaon - 3+9(R)-1_Revised MOR Package_Revised MOR Package - Latest_II.8. Sep&amp;Discrete" xfId="8530"/>
    <cellStyle name="_MOR - Gurgaon - 3+9(R)-1_Revised MOR Package_Revised MOR Package - Latest_Restructuring &amp; Separation" xfId="8531"/>
    <cellStyle name="_MOR - Gurgaon - 3+9(R)-1_Revised MOR Package_Revised MOR Package - Latest_Restructuring_Separation_TAX_JuneFC2010 tf" xfId="8532"/>
    <cellStyle name="_MOR - Gurgaon - 3+9(R)-1_Revised MOR Package_Revised MOR Package - Latest_Restructuring_Separation_TAX_JuneFC2010 tf_BS_Separation_TaxResIndem_Q12412 tf" xfId="8533"/>
    <cellStyle name="_MOR - Gurgaon - 3+9(R)-1_Revised MOR Package_Revised MOR Package - Latest_Restructuring_Separation_TAX_JuneFC2010 tf_BS_Separation_TaxResIndem_Q12412 tf_Restructuring &amp; Separation" xfId="8534"/>
    <cellStyle name="_MOR - Gurgaon - 3+9(R)-1_Revised MOR Package_Revised MOR Package - Latest_Restructuring_Separation_TAX_JuneFC2010 tf_II.8. Sep&amp;Discrete" xfId="8535"/>
    <cellStyle name="_MOR - Gurgaon - 3+9(R)-1_Revised MOR Package_Revised MOR Package - Latest_Restructuring_Separation_TAX_JuneFC2010 tf_Restructuring &amp; Separation" xfId="8536"/>
    <cellStyle name="_MOR - Gurgaon - 4+8" xfId="8537"/>
    <cellStyle name="_MOR - Gurgaon - 4+8 (2)" xfId="8538"/>
    <cellStyle name="_MOR - Gurgaon - 4+8 (2)_BS_Separation_TaxResIndem_Q12412 tf" xfId="8539"/>
    <cellStyle name="_MOR - Gurgaon - 4+8 (2)_BS_Separation_TaxResIndem_Q12412 tf_Restructuring &amp; Separation" xfId="8540"/>
    <cellStyle name="_MOR - Gurgaon - 4+8 (2)_By Country Detail 1Q10 041410pm FIN 18 revised per disc w Mary" xfId="8541"/>
    <cellStyle name="_MOR - Gurgaon - 4+8 (2)_By Country Detail 1Q10 041410pm FIN 18 revised per disc w Mary_BS_Separation_TaxResIndem_Q12412 tf" xfId="8542"/>
    <cellStyle name="_MOR - Gurgaon - 4+8 (2)_By Country Detail 1Q10 041410pm FIN 18 revised per disc w Mary_BS_Separation_TaxResIndem_Q12412 tf_Restructuring &amp; Separation" xfId="8543"/>
    <cellStyle name="_MOR - Gurgaon - 4+8 (2)_By Country Detail 1Q10 041410pm FIN 18 revised per disc w Mary_II.8. Sep&amp;Discrete" xfId="8544"/>
    <cellStyle name="_MOR - Gurgaon - 4+8 (2)_By Country Detail 1Q10 041410pm FIN 18 revised per disc w Mary_Restructuring &amp; Separation" xfId="8545"/>
    <cellStyle name="_MOR - Gurgaon - 4+8 (2)_II.4. RawMaterials" xfId="8546"/>
    <cellStyle name="_MOR - Gurgaon - 4+8 (2)_II.4. RawMaterials 2" xfId="8547"/>
    <cellStyle name="_MOR - Gurgaon - 4+8 (2)_II.4. RawMaterials_BS retrieve" xfId="8548"/>
    <cellStyle name="_MOR - Gurgaon - 4+8 (2)_II.4. RawMaterials_Free CF" xfId="8549"/>
    <cellStyle name="_MOR - Gurgaon - 4+8 (2)_II.4. RawMaterials_P&amp;L Rec Qtr" xfId="8550"/>
    <cellStyle name="_MOR - Gurgaon - 4+8 (2)_II.4. RawMaterials_Sheet1" xfId="8551"/>
    <cellStyle name="_MOR - Gurgaon - 4+8 (2)_II.4. RawMaterials_Sheet2" xfId="8552"/>
    <cellStyle name="_MOR - Gurgaon - 4+8 (2)_II.4. RawMaterials_Sheet3" xfId="8553"/>
    <cellStyle name="_MOR - Gurgaon - 4+8 (2)_II.4. RawMaterials_Sheet4" xfId="8554"/>
    <cellStyle name="_MOR - Gurgaon - 4+8 (2)_II.5. RawMaterials" xfId="8555"/>
    <cellStyle name="_MOR - Gurgaon - 4+8 (2)_II.5. RawMaterials 2" xfId="8556"/>
    <cellStyle name="_MOR - Gurgaon - 4+8 (2)_II.5. RawMaterials_BS retrieve" xfId="8557"/>
    <cellStyle name="_MOR - Gurgaon - 4+8 (2)_II.5. RawMaterials_Free CF" xfId="8558"/>
    <cellStyle name="_MOR - Gurgaon - 4+8 (2)_II.5. RawMaterials_P&amp;L Rec Qtr" xfId="8559"/>
    <cellStyle name="_MOR - Gurgaon - 4+8 (2)_II.5. RawMaterials_Sheet1" xfId="8560"/>
    <cellStyle name="_MOR - Gurgaon - 4+8 (2)_II.5. RawMaterials_Sheet2" xfId="8561"/>
    <cellStyle name="_MOR - Gurgaon - 4+8 (2)_II.5. RawMaterials_Sheet3" xfId="8562"/>
    <cellStyle name="_MOR - Gurgaon - 4+8 (2)_II.5. RawMaterials_Sheet4" xfId="8563"/>
    <cellStyle name="_MOR - Gurgaon - 4+8 (2)_II.5. RM Volume Sensitivities" xfId="8564"/>
    <cellStyle name="_MOR - Gurgaon - 4+8 (2)_II.5. RM Volume Sensitivities 2" xfId="8565"/>
    <cellStyle name="_MOR - Gurgaon - 4+8 (2)_II.5. RM Volume Sensitivities_BS retrieve" xfId="8566"/>
    <cellStyle name="_MOR - Gurgaon - 4+8 (2)_II.5. RM Volume Sensitivities_Free CF" xfId="8567"/>
    <cellStyle name="_MOR - Gurgaon - 4+8 (2)_II.5. RM Volume Sensitivities_P&amp;L Rec Qtr" xfId="8568"/>
    <cellStyle name="_MOR - Gurgaon - 4+8 (2)_II.5. RM Volume Sensitivities_Sheet1" xfId="8569"/>
    <cellStyle name="_MOR - Gurgaon - 4+8 (2)_II.5. RM Volume Sensitivities_Sheet2" xfId="8570"/>
    <cellStyle name="_MOR - Gurgaon - 4+8 (2)_II.5. RM Volume Sensitivities_Sheet3" xfId="8571"/>
    <cellStyle name="_MOR - Gurgaon - 4+8 (2)_II.5. RM Volume Sensitivities_Sheet4" xfId="8572"/>
    <cellStyle name="_MOR - Gurgaon - 4+8 (2)_II.8. Sep&amp;Discrete" xfId="8573"/>
    <cellStyle name="_MOR - Gurgaon - 4+8 (2)_Restructuring &amp; Separation" xfId="8574"/>
    <cellStyle name="_MOR - Gurgaon - 4+8 (2)_Restructuring_Separation_TAX_JuneFC2010 tf" xfId="8575"/>
    <cellStyle name="_MOR - Gurgaon - 4+8 (2)_Restructuring_Separation_TAX_JuneFC2010 tf_BS_Separation_TaxResIndem_Q12412 tf" xfId="8576"/>
    <cellStyle name="_MOR - Gurgaon - 4+8 (2)_Restructuring_Separation_TAX_JuneFC2010 tf_BS_Separation_TaxResIndem_Q12412 tf_Restructuring &amp; Separation" xfId="8577"/>
    <cellStyle name="_MOR - Gurgaon - 4+8 (2)_Restructuring_Separation_TAX_JuneFC2010 tf_II.8. Sep&amp;Discrete" xfId="8578"/>
    <cellStyle name="_MOR - Gurgaon - 4+8 (2)_Restructuring_Separation_TAX_JuneFC2010 tf_Restructuring &amp; Separation" xfId="8579"/>
    <cellStyle name="_MOR - Gurgaon - 4+8_BS_Separation_TaxResIndem_Q12412 tf" xfId="8580"/>
    <cellStyle name="_MOR - Gurgaon - 4+8_BS_Separation_TaxResIndem_Q12412 tf_Restructuring &amp; Separation" xfId="8581"/>
    <cellStyle name="_MOR - Gurgaon - 4+8_By Country Detail 1Q10 041410pm FIN 18 revised per disc w Mary" xfId="8582"/>
    <cellStyle name="_MOR - Gurgaon - 4+8_By Country Detail 1Q10 041410pm FIN 18 revised per disc w Mary_BS_Separation_TaxResIndem_Q12412 tf" xfId="8583"/>
    <cellStyle name="_MOR - Gurgaon - 4+8_By Country Detail 1Q10 041410pm FIN 18 revised per disc w Mary_BS_Separation_TaxResIndem_Q12412 tf_Restructuring &amp; Separation" xfId="8584"/>
    <cellStyle name="_MOR - Gurgaon - 4+8_By Country Detail 1Q10 041410pm FIN 18 revised per disc w Mary_II.8. Sep&amp;Discrete" xfId="8585"/>
    <cellStyle name="_MOR - Gurgaon - 4+8_By Country Detail 1Q10 041410pm FIN 18 revised per disc w Mary_Restructuring &amp; Separation" xfId="8586"/>
    <cellStyle name="_MOR - Gurgaon - 4+8_II.4. RawMaterials" xfId="8587"/>
    <cellStyle name="_MOR - Gurgaon - 4+8_II.4. RawMaterials 2" xfId="8588"/>
    <cellStyle name="_MOR - Gurgaon - 4+8_II.4. RawMaterials_BS retrieve" xfId="8589"/>
    <cellStyle name="_MOR - Gurgaon - 4+8_II.4. RawMaterials_Free CF" xfId="8590"/>
    <cellStyle name="_MOR - Gurgaon - 4+8_II.4. RawMaterials_P&amp;L Rec Qtr" xfId="8591"/>
    <cellStyle name="_MOR - Gurgaon - 4+8_II.4. RawMaterials_Sheet1" xfId="8592"/>
    <cellStyle name="_MOR - Gurgaon - 4+8_II.4. RawMaterials_Sheet2" xfId="8593"/>
    <cellStyle name="_MOR - Gurgaon - 4+8_II.4. RawMaterials_Sheet3" xfId="8594"/>
    <cellStyle name="_MOR - Gurgaon - 4+8_II.4. RawMaterials_Sheet4" xfId="8595"/>
    <cellStyle name="_MOR - Gurgaon - 4+8_II.5. RawMaterials" xfId="8596"/>
    <cellStyle name="_MOR - Gurgaon - 4+8_II.5. RawMaterials 2" xfId="8597"/>
    <cellStyle name="_MOR - Gurgaon - 4+8_II.5. RawMaterials_BS retrieve" xfId="8598"/>
    <cellStyle name="_MOR - Gurgaon - 4+8_II.5. RawMaterials_Free CF" xfId="8599"/>
    <cellStyle name="_MOR - Gurgaon - 4+8_II.5. RawMaterials_P&amp;L Rec Qtr" xfId="8600"/>
    <cellStyle name="_MOR - Gurgaon - 4+8_II.5. RawMaterials_Sheet1" xfId="8601"/>
    <cellStyle name="_MOR - Gurgaon - 4+8_II.5. RawMaterials_Sheet2" xfId="8602"/>
    <cellStyle name="_MOR - Gurgaon - 4+8_II.5. RawMaterials_Sheet3" xfId="8603"/>
    <cellStyle name="_MOR - Gurgaon - 4+8_II.5. RawMaterials_Sheet4" xfId="8604"/>
    <cellStyle name="_MOR - Gurgaon - 4+8_II.5. RM Volume Sensitivities" xfId="8605"/>
    <cellStyle name="_MOR - Gurgaon - 4+8_II.5. RM Volume Sensitivities 2" xfId="8606"/>
    <cellStyle name="_MOR - Gurgaon - 4+8_II.5. RM Volume Sensitivities_BS retrieve" xfId="8607"/>
    <cellStyle name="_MOR - Gurgaon - 4+8_II.5. RM Volume Sensitivities_Free CF" xfId="8608"/>
    <cellStyle name="_MOR - Gurgaon - 4+8_II.5. RM Volume Sensitivities_P&amp;L Rec Qtr" xfId="8609"/>
    <cellStyle name="_MOR - Gurgaon - 4+8_II.5. RM Volume Sensitivities_Sheet1" xfId="8610"/>
    <cellStyle name="_MOR - Gurgaon - 4+8_II.5. RM Volume Sensitivities_Sheet2" xfId="8611"/>
    <cellStyle name="_MOR - Gurgaon - 4+8_II.5. RM Volume Sensitivities_Sheet3" xfId="8612"/>
    <cellStyle name="_MOR - Gurgaon - 4+8_II.5. RM Volume Sensitivities_Sheet4" xfId="8613"/>
    <cellStyle name="_MOR - Gurgaon - 4+8_II.8. Sep&amp;Discrete" xfId="8614"/>
    <cellStyle name="_MOR - Gurgaon - 4+8_Restructuring &amp; Separation" xfId="8615"/>
    <cellStyle name="_MOR - Gurgaon - 4+8_Restructuring_Separation_TAX_JuneFC2010 tf" xfId="8616"/>
    <cellStyle name="_MOR - Gurgaon - 4+8_Restructuring_Separation_TAX_JuneFC2010 tf_BS_Separation_TaxResIndem_Q12412 tf" xfId="8617"/>
    <cellStyle name="_MOR - Gurgaon - 4+8_Restructuring_Separation_TAX_JuneFC2010 tf_BS_Separation_TaxResIndem_Q12412 tf_Restructuring &amp; Separation" xfId="8618"/>
    <cellStyle name="_MOR - Gurgaon - 4+8_Restructuring_Separation_TAX_JuneFC2010 tf_II.8. Sep&amp;Discrete" xfId="8619"/>
    <cellStyle name="_MOR - Gurgaon - 4+8_Restructuring_Separation_TAX_JuneFC2010 tf_Restructuring &amp; Separation" xfId="8620"/>
    <cellStyle name="_MOR - Gurgaon -12+0" xfId="8621"/>
    <cellStyle name="_MOR - Gurgaon -12+0_~0039877" xfId="8622"/>
    <cellStyle name="_MOR - Gurgaon -12+0_~0039877_BS_Separation_TaxResIndem_Q12412 tf" xfId="8623"/>
    <cellStyle name="_MOR - Gurgaon -12+0_~0039877_BS_Separation_TaxResIndem_Q12412 tf_Restructuring &amp; Separation" xfId="8624"/>
    <cellStyle name="_MOR - Gurgaon -12+0_~0039877_By Country Detail 1Q10 041410pm FIN 18 revised per disc w Mary" xfId="8625"/>
    <cellStyle name="_MOR - Gurgaon -12+0_~0039877_By Country Detail 1Q10 041410pm FIN 18 revised per disc w Mary_BS_Separation_TaxResIndem_Q12412 tf" xfId="8626"/>
    <cellStyle name="_MOR - Gurgaon -12+0_~0039877_By Country Detail 1Q10 041410pm FIN 18 revised per disc w Mary_BS_Separation_TaxResIndem_Q12412 tf_Restructuring &amp; Separation" xfId="8627"/>
    <cellStyle name="_MOR - Gurgaon -12+0_~0039877_By Country Detail 1Q10 041410pm FIN 18 revised per disc w Mary_II.8. Sep&amp;Discrete" xfId="8628"/>
    <cellStyle name="_MOR - Gurgaon -12+0_~0039877_By Country Detail 1Q10 041410pm FIN 18 revised per disc w Mary_Restructuring &amp; Separation" xfId="8629"/>
    <cellStyle name="_MOR - Gurgaon -12+0_~0039877_II.4. RawMaterials" xfId="8630"/>
    <cellStyle name="_MOR - Gurgaon -12+0_~0039877_II.4. RawMaterials 2" xfId="8631"/>
    <cellStyle name="_MOR - Gurgaon -12+0_~0039877_II.4. RawMaterials_BS retrieve" xfId="8632"/>
    <cellStyle name="_MOR - Gurgaon -12+0_~0039877_II.4. RawMaterials_Free CF" xfId="8633"/>
    <cellStyle name="_MOR - Gurgaon -12+0_~0039877_II.4. RawMaterials_P&amp;L Rec Qtr" xfId="8634"/>
    <cellStyle name="_MOR - Gurgaon -12+0_~0039877_II.4. RawMaterials_Sheet1" xfId="8635"/>
    <cellStyle name="_MOR - Gurgaon -12+0_~0039877_II.4. RawMaterials_Sheet2" xfId="8636"/>
    <cellStyle name="_MOR - Gurgaon -12+0_~0039877_II.4. RawMaterials_Sheet3" xfId="8637"/>
    <cellStyle name="_MOR - Gurgaon -12+0_~0039877_II.4. RawMaterials_Sheet4" xfId="8638"/>
    <cellStyle name="_MOR - Gurgaon -12+0_~0039877_II.5. RawMaterials" xfId="8639"/>
    <cellStyle name="_MOR - Gurgaon -12+0_~0039877_II.5. RawMaterials 2" xfId="8640"/>
    <cellStyle name="_MOR - Gurgaon -12+0_~0039877_II.5. RawMaterials_BS retrieve" xfId="8641"/>
    <cellStyle name="_MOR - Gurgaon -12+0_~0039877_II.5. RawMaterials_Free CF" xfId="8642"/>
    <cellStyle name="_MOR - Gurgaon -12+0_~0039877_II.5. RawMaterials_P&amp;L Rec Qtr" xfId="8643"/>
    <cellStyle name="_MOR - Gurgaon -12+0_~0039877_II.5. RawMaterials_Sheet1" xfId="8644"/>
    <cellStyle name="_MOR - Gurgaon -12+0_~0039877_II.5. RawMaterials_Sheet2" xfId="8645"/>
    <cellStyle name="_MOR - Gurgaon -12+0_~0039877_II.5. RawMaterials_Sheet3" xfId="8646"/>
    <cellStyle name="_MOR - Gurgaon -12+0_~0039877_II.5. RawMaterials_Sheet4" xfId="8647"/>
    <cellStyle name="_MOR - Gurgaon -12+0_~0039877_II.5. RM Volume Sensitivities" xfId="8648"/>
    <cellStyle name="_MOR - Gurgaon -12+0_~0039877_II.5. RM Volume Sensitivities 2" xfId="8649"/>
    <cellStyle name="_MOR - Gurgaon -12+0_~0039877_II.5. RM Volume Sensitivities_BS retrieve" xfId="8650"/>
    <cellStyle name="_MOR - Gurgaon -12+0_~0039877_II.5. RM Volume Sensitivities_Free CF" xfId="8651"/>
    <cellStyle name="_MOR - Gurgaon -12+0_~0039877_II.5. RM Volume Sensitivities_P&amp;L Rec Qtr" xfId="8652"/>
    <cellStyle name="_MOR - Gurgaon -12+0_~0039877_II.5. RM Volume Sensitivities_Sheet1" xfId="8653"/>
    <cellStyle name="_MOR - Gurgaon -12+0_~0039877_II.5. RM Volume Sensitivities_Sheet2" xfId="8654"/>
    <cellStyle name="_MOR - Gurgaon -12+0_~0039877_II.5. RM Volume Sensitivities_Sheet3" xfId="8655"/>
    <cellStyle name="_MOR - Gurgaon -12+0_~0039877_II.5. RM Volume Sensitivities_Sheet4" xfId="8656"/>
    <cellStyle name="_MOR - Gurgaon -12+0_~0039877_II.8. Sep&amp;Discrete" xfId="8657"/>
    <cellStyle name="_MOR - Gurgaon -12+0_~0039877_Restructuring &amp; Separation" xfId="8658"/>
    <cellStyle name="_MOR - Gurgaon -12+0_~0039877_Restructuring_Separation_TAX_JuneFC2010 tf" xfId="8659"/>
    <cellStyle name="_MOR - Gurgaon -12+0_~0039877_Restructuring_Separation_TAX_JuneFC2010 tf_BS_Separation_TaxResIndem_Q12412 tf" xfId="8660"/>
    <cellStyle name="_MOR - Gurgaon -12+0_~0039877_Restructuring_Separation_TAX_JuneFC2010 tf_BS_Separation_TaxResIndem_Q12412 tf_Restructuring &amp; Separation" xfId="8661"/>
    <cellStyle name="_MOR - Gurgaon -12+0_~0039877_Restructuring_Separation_TAX_JuneFC2010 tf_II.8. Sep&amp;Discrete" xfId="8662"/>
    <cellStyle name="_MOR - Gurgaon -12+0_~0039877_Restructuring_Separation_TAX_JuneFC2010 tf_Restructuring &amp; Separation" xfId="8663"/>
    <cellStyle name="_MOR - Gurgaon -12+0_BS_Separation_TaxResIndem_Q12412 tf" xfId="8664"/>
    <cellStyle name="_MOR - Gurgaon -12+0_BS_Separation_TaxResIndem_Q12412 tf_Restructuring &amp; Separation" xfId="8665"/>
    <cellStyle name="_MOR - Gurgaon -12+0_By Country Detail 1Q10 041410pm FIN 18 revised per disc w Mary" xfId="8666"/>
    <cellStyle name="_MOR - Gurgaon -12+0_By Country Detail 1Q10 041410pm FIN 18 revised per disc w Mary_BS_Separation_TaxResIndem_Q12412 tf" xfId="8667"/>
    <cellStyle name="_MOR - Gurgaon -12+0_By Country Detail 1Q10 041410pm FIN 18 revised per disc w Mary_BS_Separation_TaxResIndem_Q12412 tf_Restructuring &amp; Separation" xfId="8668"/>
    <cellStyle name="_MOR - Gurgaon -12+0_By Country Detail 1Q10 041410pm FIN 18 revised per disc w Mary_II.8. Sep&amp;Discrete" xfId="8669"/>
    <cellStyle name="_MOR - Gurgaon -12+0_By Country Detail 1Q10 041410pm FIN 18 revised per disc w Mary_Restructuring &amp; Separation" xfId="8670"/>
    <cellStyle name="_MOR - Gurgaon -12+0_II.4. RawMaterials" xfId="8671"/>
    <cellStyle name="_MOR - Gurgaon -12+0_II.4. RawMaterials 2" xfId="8672"/>
    <cellStyle name="_MOR - Gurgaon -12+0_II.4. RawMaterials_BS retrieve" xfId="8673"/>
    <cellStyle name="_MOR - Gurgaon -12+0_II.4. RawMaterials_Free CF" xfId="8674"/>
    <cellStyle name="_MOR - Gurgaon -12+0_II.4. RawMaterials_P&amp;L Rec Qtr" xfId="8675"/>
    <cellStyle name="_MOR - Gurgaon -12+0_II.4. RawMaterials_Sheet1" xfId="8676"/>
    <cellStyle name="_MOR - Gurgaon -12+0_II.4. RawMaterials_Sheet2" xfId="8677"/>
    <cellStyle name="_MOR - Gurgaon -12+0_II.4. RawMaterials_Sheet3" xfId="8678"/>
    <cellStyle name="_MOR - Gurgaon -12+0_II.4. RawMaterials_Sheet4" xfId="8679"/>
    <cellStyle name="_MOR - Gurgaon -12+0_II.5. RawMaterials" xfId="8680"/>
    <cellStyle name="_MOR - Gurgaon -12+0_II.5. RawMaterials 2" xfId="8681"/>
    <cellStyle name="_MOR - Gurgaon -12+0_II.5. RawMaterials_BS retrieve" xfId="8682"/>
    <cellStyle name="_MOR - Gurgaon -12+0_II.5. RawMaterials_Free CF" xfId="8683"/>
    <cellStyle name="_MOR - Gurgaon -12+0_II.5. RawMaterials_P&amp;L Rec Qtr" xfId="8684"/>
    <cellStyle name="_MOR - Gurgaon -12+0_II.5. RawMaterials_Sheet1" xfId="8685"/>
    <cellStyle name="_MOR - Gurgaon -12+0_II.5. RawMaterials_Sheet2" xfId="8686"/>
    <cellStyle name="_MOR - Gurgaon -12+0_II.5. RawMaterials_Sheet3" xfId="8687"/>
    <cellStyle name="_MOR - Gurgaon -12+0_II.5. RawMaterials_Sheet4" xfId="8688"/>
    <cellStyle name="_MOR - Gurgaon -12+0_II.5. RM Volume Sensitivities" xfId="8689"/>
    <cellStyle name="_MOR - Gurgaon -12+0_II.5. RM Volume Sensitivities 2" xfId="8690"/>
    <cellStyle name="_MOR - Gurgaon -12+0_II.5. RM Volume Sensitivities_BS retrieve" xfId="8691"/>
    <cellStyle name="_MOR - Gurgaon -12+0_II.5. RM Volume Sensitivities_Free CF" xfId="8692"/>
    <cellStyle name="_MOR - Gurgaon -12+0_II.5. RM Volume Sensitivities_P&amp;L Rec Qtr" xfId="8693"/>
    <cellStyle name="_MOR - Gurgaon -12+0_II.5. RM Volume Sensitivities_Sheet1" xfId="8694"/>
    <cellStyle name="_MOR - Gurgaon -12+0_II.5. RM Volume Sensitivities_Sheet2" xfId="8695"/>
    <cellStyle name="_MOR - Gurgaon -12+0_II.5. RM Volume Sensitivities_Sheet3" xfId="8696"/>
    <cellStyle name="_MOR - Gurgaon -12+0_II.5. RM Volume Sensitivities_Sheet4" xfId="8697"/>
    <cellStyle name="_MOR - Gurgaon -12+0_II.8. Sep&amp;Discrete" xfId="8698"/>
    <cellStyle name="_MOR - Gurgaon -12+0_MOR - Gurgaon - 3+9(R)-1" xfId="8699"/>
    <cellStyle name="_MOR - Gurgaon -12+0_MOR - Gurgaon - 3+9(R)-1_~0039877" xfId="8700"/>
    <cellStyle name="_MOR - Gurgaon -12+0_MOR - Gurgaon - 3+9(R)-1_~0039877_BS_Separation_TaxResIndem_Q12412 tf" xfId="8701"/>
    <cellStyle name="_MOR - Gurgaon -12+0_MOR - Gurgaon - 3+9(R)-1_~0039877_BS_Separation_TaxResIndem_Q12412 tf_Restructuring &amp; Separation" xfId="8702"/>
    <cellStyle name="_MOR - Gurgaon -12+0_MOR - Gurgaon - 3+9(R)-1_~0039877_By Country Detail 1Q10 041410pm FIN 18 revised per disc w Mary" xfId="8703"/>
    <cellStyle name="_MOR - Gurgaon -12+0_MOR - Gurgaon - 3+9(R)-1_~0039877_By Country Detail 1Q10 041410pm FIN 18 revised per disc w Mary_BS_Separation_TaxResIndem_Q12412 tf" xfId="8704"/>
    <cellStyle name="_MOR - Gurgaon -12+0_MOR - Gurgaon - 3+9(R)-1_~0039877_By Country Detail 1Q10 041410pm FIN 18 revised per disc w Mary_BS_Separation_TaxResIndem_Q12412 tf_Restructuring &amp; Separation" xfId="8705"/>
    <cellStyle name="_MOR - Gurgaon -12+0_MOR - Gurgaon - 3+9(R)-1_~0039877_By Country Detail 1Q10 041410pm FIN 18 revised per disc w Mary_II.8. Sep&amp;Discrete" xfId="8706"/>
    <cellStyle name="_MOR - Gurgaon -12+0_MOR - Gurgaon - 3+9(R)-1_~0039877_By Country Detail 1Q10 041410pm FIN 18 revised per disc w Mary_Restructuring &amp; Separation" xfId="8707"/>
    <cellStyle name="_MOR - Gurgaon -12+0_MOR - Gurgaon - 3+9(R)-1_~0039877_II.4. RawMaterials" xfId="8708"/>
    <cellStyle name="_MOR - Gurgaon -12+0_MOR - Gurgaon - 3+9(R)-1_~0039877_II.4. RawMaterials 2" xfId="8709"/>
    <cellStyle name="_MOR - Gurgaon -12+0_MOR - Gurgaon - 3+9(R)-1_~0039877_II.4. RawMaterials_BS retrieve" xfId="8710"/>
    <cellStyle name="_MOR - Gurgaon -12+0_MOR - Gurgaon - 3+9(R)-1_~0039877_II.4. RawMaterials_Free CF" xfId="8711"/>
    <cellStyle name="_MOR - Gurgaon -12+0_MOR - Gurgaon - 3+9(R)-1_~0039877_II.4. RawMaterials_P&amp;L Rec Qtr" xfId="8712"/>
    <cellStyle name="_MOR - Gurgaon -12+0_MOR - Gurgaon - 3+9(R)-1_~0039877_II.4. RawMaterials_Sheet1" xfId="8713"/>
    <cellStyle name="_MOR - Gurgaon -12+0_MOR - Gurgaon - 3+9(R)-1_~0039877_II.4. RawMaterials_Sheet2" xfId="8714"/>
    <cellStyle name="_MOR - Gurgaon -12+0_MOR - Gurgaon - 3+9(R)-1_~0039877_II.4. RawMaterials_Sheet3" xfId="8715"/>
    <cellStyle name="_MOR - Gurgaon -12+0_MOR - Gurgaon - 3+9(R)-1_~0039877_II.4. RawMaterials_Sheet4" xfId="8716"/>
    <cellStyle name="_MOR - Gurgaon -12+0_MOR - Gurgaon - 3+9(R)-1_~0039877_II.5. RawMaterials" xfId="8717"/>
    <cellStyle name="_MOR - Gurgaon -12+0_MOR - Gurgaon - 3+9(R)-1_~0039877_II.5. RawMaterials 2" xfId="8718"/>
    <cellStyle name="_MOR - Gurgaon -12+0_MOR - Gurgaon - 3+9(R)-1_~0039877_II.5. RawMaterials_BS retrieve" xfId="8719"/>
    <cellStyle name="_MOR - Gurgaon -12+0_MOR - Gurgaon - 3+9(R)-1_~0039877_II.5. RawMaterials_Free CF" xfId="8720"/>
    <cellStyle name="_MOR - Gurgaon -12+0_MOR - Gurgaon - 3+9(R)-1_~0039877_II.5. RawMaterials_P&amp;L Rec Qtr" xfId="8721"/>
    <cellStyle name="_MOR - Gurgaon -12+0_MOR - Gurgaon - 3+9(R)-1_~0039877_II.5. RawMaterials_Sheet1" xfId="8722"/>
    <cellStyle name="_MOR - Gurgaon -12+0_MOR - Gurgaon - 3+9(R)-1_~0039877_II.5. RawMaterials_Sheet2" xfId="8723"/>
    <cellStyle name="_MOR - Gurgaon -12+0_MOR - Gurgaon - 3+9(R)-1_~0039877_II.5. RawMaterials_Sheet3" xfId="8724"/>
    <cellStyle name="_MOR - Gurgaon -12+0_MOR - Gurgaon - 3+9(R)-1_~0039877_II.5. RawMaterials_Sheet4" xfId="8725"/>
    <cellStyle name="_MOR - Gurgaon -12+0_MOR - Gurgaon - 3+9(R)-1_~0039877_II.5. RM Volume Sensitivities" xfId="8726"/>
    <cellStyle name="_MOR - Gurgaon -12+0_MOR - Gurgaon - 3+9(R)-1_~0039877_II.5. RM Volume Sensitivities 2" xfId="8727"/>
    <cellStyle name="_MOR - Gurgaon -12+0_MOR - Gurgaon - 3+9(R)-1_~0039877_II.5. RM Volume Sensitivities_BS retrieve" xfId="8728"/>
    <cellStyle name="_MOR - Gurgaon -12+0_MOR - Gurgaon - 3+9(R)-1_~0039877_II.5. RM Volume Sensitivities_Free CF" xfId="8729"/>
    <cellStyle name="_MOR - Gurgaon -12+0_MOR - Gurgaon - 3+9(R)-1_~0039877_II.5. RM Volume Sensitivities_P&amp;L Rec Qtr" xfId="8730"/>
    <cellStyle name="_MOR - Gurgaon -12+0_MOR - Gurgaon - 3+9(R)-1_~0039877_II.5. RM Volume Sensitivities_Sheet1" xfId="8731"/>
    <cellStyle name="_MOR - Gurgaon -12+0_MOR - Gurgaon - 3+9(R)-1_~0039877_II.5. RM Volume Sensitivities_Sheet2" xfId="8732"/>
    <cellStyle name="_MOR - Gurgaon -12+0_MOR - Gurgaon - 3+9(R)-1_~0039877_II.5. RM Volume Sensitivities_Sheet3" xfId="8733"/>
    <cellStyle name="_MOR - Gurgaon -12+0_MOR - Gurgaon - 3+9(R)-1_~0039877_II.5. RM Volume Sensitivities_Sheet4" xfId="8734"/>
    <cellStyle name="_MOR - Gurgaon -12+0_MOR - Gurgaon - 3+9(R)-1_~0039877_II.8. Sep&amp;Discrete" xfId="8735"/>
    <cellStyle name="_MOR - Gurgaon -12+0_MOR - Gurgaon - 3+9(R)-1_~0039877_Restructuring &amp; Separation" xfId="8736"/>
    <cellStyle name="_MOR - Gurgaon -12+0_MOR - Gurgaon - 3+9(R)-1_~0039877_Restructuring_Separation_TAX_JuneFC2010 tf" xfId="8737"/>
    <cellStyle name="_MOR - Gurgaon -12+0_MOR - Gurgaon - 3+9(R)-1_~0039877_Restructuring_Separation_TAX_JuneFC2010 tf_BS_Separation_TaxResIndem_Q12412 tf" xfId="8738"/>
    <cellStyle name="_MOR - Gurgaon -12+0_MOR - Gurgaon - 3+9(R)-1_~0039877_Restructuring_Separation_TAX_JuneFC2010 tf_BS_Separation_TaxResIndem_Q12412 tf_Restructuring &amp; Separation" xfId="8739"/>
    <cellStyle name="_MOR - Gurgaon -12+0_MOR - Gurgaon - 3+9(R)-1_~0039877_Restructuring_Separation_TAX_JuneFC2010 tf_II.8. Sep&amp;Discrete" xfId="8740"/>
    <cellStyle name="_MOR - Gurgaon -12+0_MOR - Gurgaon - 3+9(R)-1_~0039877_Restructuring_Separation_TAX_JuneFC2010 tf_Restructuring &amp; Separation" xfId="8741"/>
    <cellStyle name="_MOR - Gurgaon -12+0_MOR - Gurgaon - 3+9(R)-1_BS_Separation_TaxResIndem_Q12412 tf" xfId="8742"/>
    <cellStyle name="_MOR - Gurgaon -12+0_MOR - Gurgaon - 3+9(R)-1_BS_Separation_TaxResIndem_Q12412 tf_Restructuring &amp; Separation" xfId="8743"/>
    <cellStyle name="_MOR - Gurgaon -12+0_MOR - Gurgaon - 3+9(R)-1_By Country Detail 1Q10 041410pm FIN 18 revised per disc w Mary" xfId="8744"/>
    <cellStyle name="_MOR - Gurgaon -12+0_MOR - Gurgaon - 3+9(R)-1_By Country Detail 1Q10 041410pm FIN 18 revised per disc w Mary_BS_Separation_TaxResIndem_Q12412 tf" xfId="8745"/>
    <cellStyle name="_MOR - Gurgaon -12+0_MOR - Gurgaon - 3+9(R)-1_By Country Detail 1Q10 041410pm FIN 18 revised per disc w Mary_BS_Separation_TaxResIndem_Q12412 tf_Restructuring &amp; Separation" xfId="8746"/>
    <cellStyle name="_MOR - Gurgaon -12+0_MOR - Gurgaon - 3+9(R)-1_By Country Detail 1Q10 041410pm FIN 18 revised per disc w Mary_II.8. Sep&amp;Discrete" xfId="8747"/>
    <cellStyle name="_MOR - Gurgaon -12+0_MOR - Gurgaon - 3+9(R)-1_By Country Detail 1Q10 041410pm FIN 18 revised per disc w Mary_Restructuring &amp; Separation" xfId="8748"/>
    <cellStyle name="_MOR - Gurgaon -12+0_MOR - Gurgaon - 3+9(R)-1_II.4. RawMaterials" xfId="8749"/>
    <cellStyle name="_MOR - Gurgaon -12+0_MOR - Gurgaon - 3+9(R)-1_II.4. RawMaterials 2" xfId="8750"/>
    <cellStyle name="_MOR - Gurgaon -12+0_MOR - Gurgaon - 3+9(R)-1_II.4. RawMaterials_BS retrieve" xfId="8751"/>
    <cellStyle name="_MOR - Gurgaon -12+0_MOR - Gurgaon - 3+9(R)-1_II.4. RawMaterials_Free CF" xfId="8752"/>
    <cellStyle name="_MOR - Gurgaon -12+0_MOR - Gurgaon - 3+9(R)-1_II.4. RawMaterials_P&amp;L Rec Qtr" xfId="8753"/>
    <cellStyle name="_MOR - Gurgaon -12+0_MOR - Gurgaon - 3+9(R)-1_II.4. RawMaterials_Sheet1" xfId="8754"/>
    <cellStyle name="_MOR - Gurgaon -12+0_MOR - Gurgaon - 3+9(R)-1_II.4. RawMaterials_Sheet2" xfId="8755"/>
    <cellStyle name="_MOR - Gurgaon -12+0_MOR - Gurgaon - 3+9(R)-1_II.4. RawMaterials_Sheet3" xfId="8756"/>
    <cellStyle name="_MOR - Gurgaon -12+0_MOR - Gurgaon - 3+9(R)-1_II.4. RawMaterials_Sheet4" xfId="8757"/>
    <cellStyle name="_MOR - Gurgaon -12+0_MOR - Gurgaon - 3+9(R)-1_II.5. RawMaterials" xfId="8758"/>
    <cellStyle name="_MOR - Gurgaon -12+0_MOR - Gurgaon - 3+9(R)-1_II.5. RawMaterials 2" xfId="8759"/>
    <cellStyle name="_MOR - Gurgaon -12+0_MOR - Gurgaon - 3+9(R)-1_II.5. RawMaterials_BS retrieve" xfId="8760"/>
    <cellStyle name="_MOR - Gurgaon -12+0_MOR - Gurgaon - 3+9(R)-1_II.5. RawMaterials_Free CF" xfId="8761"/>
    <cellStyle name="_MOR - Gurgaon -12+0_MOR - Gurgaon - 3+9(R)-1_II.5. RawMaterials_P&amp;L Rec Qtr" xfId="8762"/>
    <cellStyle name="_MOR - Gurgaon -12+0_MOR - Gurgaon - 3+9(R)-1_II.5. RawMaterials_Sheet1" xfId="8763"/>
    <cellStyle name="_MOR - Gurgaon -12+0_MOR - Gurgaon - 3+9(R)-1_II.5. RawMaterials_Sheet2" xfId="8764"/>
    <cellStyle name="_MOR - Gurgaon -12+0_MOR - Gurgaon - 3+9(R)-1_II.5. RawMaterials_Sheet3" xfId="8765"/>
    <cellStyle name="_MOR - Gurgaon -12+0_MOR - Gurgaon - 3+9(R)-1_II.5. RawMaterials_Sheet4" xfId="8766"/>
    <cellStyle name="_MOR - Gurgaon -12+0_MOR - Gurgaon - 3+9(R)-1_II.5. RM Volume Sensitivities" xfId="8767"/>
    <cellStyle name="_MOR - Gurgaon -12+0_MOR - Gurgaon - 3+9(R)-1_II.5. RM Volume Sensitivities 2" xfId="8768"/>
    <cellStyle name="_MOR - Gurgaon -12+0_MOR - Gurgaon - 3+9(R)-1_II.5. RM Volume Sensitivities_BS retrieve" xfId="8769"/>
    <cellStyle name="_MOR - Gurgaon -12+0_MOR - Gurgaon - 3+9(R)-1_II.5. RM Volume Sensitivities_Free CF" xfId="8770"/>
    <cellStyle name="_MOR - Gurgaon -12+0_MOR - Gurgaon - 3+9(R)-1_II.5. RM Volume Sensitivities_P&amp;L Rec Qtr" xfId="8771"/>
    <cellStyle name="_MOR - Gurgaon -12+0_MOR - Gurgaon - 3+9(R)-1_II.5. RM Volume Sensitivities_Sheet1" xfId="8772"/>
    <cellStyle name="_MOR - Gurgaon -12+0_MOR - Gurgaon - 3+9(R)-1_II.5. RM Volume Sensitivities_Sheet2" xfId="8773"/>
    <cellStyle name="_MOR - Gurgaon -12+0_MOR - Gurgaon - 3+9(R)-1_II.5. RM Volume Sensitivities_Sheet3" xfId="8774"/>
    <cellStyle name="_MOR - Gurgaon -12+0_MOR - Gurgaon - 3+9(R)-1_II.5. RM Volume Sensitivities_Sheet4" xfId="8775"/>
    <cellStyle name="_MOR - Gurgaon -12+0_MOR - Gurgaon - 3+9(R)-1_II.8. Sep&amp;Discrete" xfId="8776"/>
    <cellStyle name="_MOR - Gurgaon -12+0_MOR - Gurgaon - 3+9(R)-1_Restructuring &amp; Separation" xfId="8777"/>
    <cellStyle name="_MOR - Gurgaon -12+0_MOR - Gurgaon - 3+9(R)-1_Restructuring_Separation_TAX_JuneFC2010 tf" xfId="8778"/>
    <cellStyle name="_MOR - Gurgaon -12+0_MOR - Gurgaon - 3+9(R)-1_Restructuring_Separation_TAX_JuneFC2010 tf_BS_Separation_TaxResIndem_Q12412 tf" xfId="8779"/>
    <cellStyle name="_MOR - Gurgaon -12+0_MOR - Gurgaon - 3+9(R)-1_Restructuring_Separation_TAX_JuneFC2010 tf_BS_Separation_TaxResIndem_Q12412 tf_Restructuring &amp; Separation" xfId="8780"/>
    <cellStyle name="_MOR - Gurgaon -12+0_MOR - Gurgaon - 3+9(R)-1_Restructuring_Separation_TAX_JuneFC2010 tf_II.8. Sep&amp;Discrete" xfId="8781"/>
    <cellStyle name="_MOR - Gurgaon -12+0_MOR - Gurgaon - 3+9(R)-1_Restructuring_Separation_TAX_JuneFC2010 tf_Restructuring &amp; Separation" xfId="8782"/>
    <cellStyle name="_MOR - Gurgaon -12+0_MOR - Gurgaon - 3+9(R)-1_Revised MOR Package - Latest" xfId="8783"/>
    <cellStyle name="_MOR - Gurgaon -12+0_MOR - Gurgaon - 3+9(R)-1_Revised MOR Package - Latest_BS_Separation_TaxResIndem_Q12412 tf" xfId="8784"/>
    <cellStyle name="_MOR - Gurgaon -12+0_MOR - Gurgaon - 3+9(R)-1_Revised MOR Package - Latest_BS_Separation_TaxResIndem_Q12412 tf_Restructuring &amp; Separation" xfId="8785"/>
    <cellStyle name="_MOR - Gurgaon -12+0_MOR - Gurgaon - 3+9(R)-1_Revised MOR Package - Latest_By Country Detail 1Q10 041410pm FIN 18 revised per disc w Mary" xfId="8786"/>
    <cellStyle name="_MOR - Gurgaon -12+0_MOR - Gurgaon - 3+9(R)-1_Revised MOR Package - Latest_By Country Detail 1Q10 041410pm FIN 18 revised per disc w Mary_BS_Separation_TaxResIndem_Q12412 tf" xfId="8787"/>
    <cellStyle name="_MOR - Gurgaon -12+0_MOR - Gurgaon - 3+9(R)-1_Revised MOR Package - Latest_By Country Detail 1Q10 041410pm FIN 18 revised per disc w Mary_BS_Separation_TaxResIndem_Q12412 tf_Restructuring &amp; Separation" xfId="8788"/>
    <cellStyle name="_MOR - Gurgaon -12+0_MOR - Gurgaon - 3+9(R)-1_Revised MOR Package - Latest_By Country Detail 1Q10 041410pm FIN 18 revised per disc w Mary_II.8. Sep&amp;Discrete" xfId="8789"/>
    <cellStyle name="_MOR - Gurgaon -12+0_MOR - Gurgaon - 3+9(R)-1_Revised MOR Package - Latest_By Country Detail 1Q10 041410pm FIN 18 revised per disc w Mary_Restructuring &amp; Separation" xfId="8790"/>
    <cellStyle name="_MOR - Gurgaon -12+0_MOR - Gurgaon - 3+9(R)-1_Revised MOR Package - Latest_II.4. RawMaterials" xfId="8791"/>
    <cellStyle name="_MOR - Gurgaon -12+0_MOR - Gurgaon - 3+9(R)-1_Revised MOR Package - Latest_II.4. RawMaterials 2" xfId="8792"/>
    <cellStyle name="_MOR - Gurgaon -12+0_MOR - Gurgaon - 3+9(R)-1_Revised MOR Package - Latest_II.4. RawMaterials_BS retrieve" xfId="8793"/>
    <cellStyle name="_MOR - Gurgaon -12+0_MOR - Gurgaon - 3+9(R)-1_Revised MOR Package - Latest_II.4. RawMaterials_Free CF" xfId="8794"/>
    <cellStyle name="_MOR - Gurgaon -12+0_MOR - Gurgaon - 3+9(R)-1_Revised MOR Package - Latest_II.4. RawMaterials_P&amp;L Rec Qtr" xfId="8795"/>
    <cellStyle name="_MOR - Gurgaon -12+0_MOR - Gurgaon - 3+9(R)-1_Revised MOR Package - Latest_II.4. RawMaterials_Sheet1" xfId="8796"/>
    <cellStyle name="_MOR - Gurgaon -12+0_MOR - Gurgaon - 3+9(R)-1_Revised MOR Package - Latest_II.4. RawMaterials_Sheet2" xfId="8797"/>
    <cellStyle name="_MOR - Gurgaon -12+0_MOR - Gurgaon - 3+9(R)-1_Revised MOR Package - Latest_II.4. RawMaterials_Sheet3" xfId="8798"/>
    <cellStyle name="_MOR - Gurgaon -12+0_MOR - Gurgaon - 3+9(R)-1_Revised MOR Package - Latest_II.4. RawMaterials_Sheet4" xfId="8799"/>
    <cellStyle name="_MOR - Gurgaon -12+0_MOR - Gurgaon - 3+9(R)-1_Revised MOR Package - Latest_II.5. RawMaterials" xfId="8800"/>
    <cellStyle name="_MOR - Gurgaon -12+0_MOR - Gurgaon - 3+9(R)-1_Revised MOR Package - Latest_II.5. RawMaterials 2" xfId="8801"/>
    <cellStyle name="_MOR - Gurgaon -12+0_MOR - Gurgaon - 3+9(R)-1_Revised MOR Package - Latest_II.5. RawMaterials_BS retrieve" xfId="8802"/>
    <cellStyle name="_MOR - Gurgaon -12+0_MOR - Gurgaon - 3+9(R)-1_Revised MOR Package - Latest_II.5. RawMaterials_Free CF" xfId="8803"/>
    <cellStyle name="_MOR - Gurgaon -12+0_MOR - Gurgaon - 3+9(R)-1_Revised MOR Package - Latest_II.5. RawMaterials_P&amp;L Rec Qtr" xfId="8804"/>
    <cellStyle name="_MOR - Gurgaon -12+0_MOR - Gurgaon - 3+9(R)-1_Revised MOR Package - Latest_II.5. RawMaterials_Sheet1" xfId="8805"/>
    <cellStyle name="_MOR - Gurgaon -12+0_MOR - Gurgaon - 3+9(R)-1_Revised MOR Package - Latest_II.5. RawMaterials_Sheet2" xfId="8806"/>
    <cellStyle name="_MOR - Gurgaon -12+0_MOR - Gurgaon - 3+9(R)-1_Revised MOR Package - Latest_II.5. RawMaterials_Sheet3" xfId="8807"/>
    <cellStyle name="_MOR - Gurgaon -12+0_MOR - Gurgaon - 3+9(R)-1_Revised MOR Package - Latest_II.5. RawMaterials_Sheet4" xfId="8808"/>
    <cellStyle name="_MOR - Gurgaon -12+0_MOR - Gurgaon - 3+9(R)-1_Revised MOR Package - Latest_II.5. RM Volume Sensitivities" xfId="8809"/>
    <cellStyle name="_MOR - Gurgaon -12+0_MOR - Gurgaon - 3+9(R)-1_Revised MOR Package - Latest_II.5. RM Volume Sensitivities 2" xfId="8810"/>
    <cellStyle name="_MOR - Gurgaon -12+0_MOR - Gurgaon - 3+9(R)-1_Revised MOR Package - Latest_II.5. RM Volume Sensitivities_BS retrieve" xfId="8811"/>
    <cellStyle name="_MOR - Gurgaon -12+0_MOR - Gurgaon - 3+9(R)-1_Revised MOR Package - Latest_II.5. RM Volume Sensitivities_Free CF" xfId="8812"/>
    <cellStyle name="_MOR - Gurgaon -12+0_MOR - Gurgaon - 3+9(R)-1_Revised MOR Package - Latest_II.5. RM Volume Sensitivities_P&amp;L Rec Qtr" xfId="8813"/>
    <cellStyle name="_MOR - Gurgaon -12+0_MOR - Gurgaon - 3+9(R)-1_Revised MOR Package - Latest_II.5. RM Volume Sensitivities_Sheet1" xfId="8814"/>
    <cellStyle name="_MOR - Gurgaon -12+0_MOR - Gurgaon - 3+9(R)-1_Revised MOR Package - Latest_II.5. RM Volume Sensitivities_Sheet2" xfId="8815"/>
    <cellStyle name="_MOR - Gurgaon -12+0_MOR - Gurgaon - 3+9(R)-1_Revised MOR Package - Latest_II.5. RM Volume Sensitivities_Sheet3" xfId="8816"/>
    <cellStyle name="_MOR - Gurgaon -12+0_MOR - Gurgaon - 3+9(R)-1_Revised MOR Package - Latest_II.5. RM Volume Sensitivities_Sheet4" xfId="8817"/>
    <cellStyle name="_MOR - Gurgaon -12+0_MOR - Gurgaon - 3+9(R)-1_Revised MOR Package - Latest_II.8. Sep&amp;Discrete" xfId="8818"/>
    <cellStyle name="_MOR - Gurgaon -12+0_MOR - Gurgaon - 3+9(R)-1_Revised MOR Package - Latest_Restructuring &amp; Separation" xfId="8819"/>
    <cellStyle name="_MOR - Gurgaon -12+0_MOR - Gurgaon - 3+9(R)-1_Revised MOR Package - Latest_Restructuring_Separation_TAX_JuneFC2010 tf" xfId="8820"/>
    <cellStyle name="_MOR - Gurgaon -12+0_MOR - Gurgaon - 3+9(R)-1_Revised MOR Package - Latest_Restructuring_Separation_TAX_JuneFC2010 tf_BS_Separation_TaxResIndem_Q12412 tf" xfId="8821"/>
    <cellStyle name="_MOR - Gurgaon -12+0_MOR - Gurgaon - 3+9(R)-1_Revised MOR Package - Latest_Restructuring_Separation_TAX_JuneFC2010 tf_BS_Separation_TaxResIndem_Q12412 tf_Restructuring &amp; Separation" xfId="8822"/>
    <cellStyle name="_MOR - Gurgaon -12+0_MOR - Gurgaon - 3+9(R)-1_Revised MOR Package - Latest_Restructuring_Separation_TAX_JuneFC2010 tf_II.8. Sep&amp;Discrete" xfId="8823"/>
    <cellStyle name="_MOR - Gurgaon -12+0_MOR - Gurgaon - 3+9(R)-1_Revised MOR Package - Latest_Restructuring_Separation_TAX_JuneFC2010 tf_Restructuring &amp; Separation" xfId="8824"/>
    <cellStyle name="_MOR - Gurgaon -12+0_MOR - Revised Package" xfId="8825"/>
    <cellStyle name="_MOR - Gurgaon -12+0_MOR - Revised Package_~0039877" xfId="8826"/>
    <cellStyle name="_MOR - Gurgaon -12+0_MOR - Revised Package_~0039877_BS_Separation_TaxResIndem_Q12412 tf" xfId="8827"/>
    <cellStyle name="_MOR - Gurgaon -12+0_MOR - Revised Package_~0039877_BS_Separation_TaxResIndem_Q12412 tf_Restructuring &amp; Separation" xfId="8828"/>
    <cellStyle name="_MOR - Gurgaon -12+0_MOR - Revised Package_~0039877_By Country Detail 1Q10 041410pm FIN 18 revised per disc w Mary" xfId="8829"/>
    <cellStyle name="_MOR - Gurgaon -12+0_MOR - Revised Package_~0039877_By Country Detail 1Q10 041410pm FIN 18 revised per disc w Mary_BS_Separation_TaxResIndem_Q12412 tf" xfId="8830"/>
    <cellStyle name="_MOR - Gurgaon -12+0_MOR - Revised Package_~0039877_By Country Detail 1Q10 041410pm FIN 18 revised per disc w Mary_BS_Separation_TaxResIndem_Q12412 tf_Restructuring &amp; Separation" xfId="8831"/>
    <cellStyle name="_MOR - Gurgaon -12+0_MOR - Revised Package_~0039877_By Country Detail 1Q10 041410pm FIN 18 revised per disc w Mary_II.8. Sep&amp;Discrete" xfId="8832"/>
    <cellStyle name="_MOR - Gurgaon -12+0_MOR - Revised Package_~0039877_By Country Detail 1Q10 041410pm FIN 18 revised per disc w Mary_Restructuring &amp; Separation" xfId="8833"/>
    <cellStyle name="_MOR - Gurgaon -12+0_MOR - Revised Package_~0039877_II.4. RawMaterials" xfId="8834"/>
    <cellStyle name="_MOR - Gurgaon -12+0_MOR - Revised Package_~0039877_II.4. RawMaterials 2" xfId="8835"/>
    <cellStyle name="_MOR - Gurgaon -12+0_MOR - Revised Package_~0039877_II.4. RawMaterials_BS retrieve" xfId="8836"/>
    <cellStyle name="_MOR - Gurgaon -12+0_MOR - Revised Package_~0039877_II.4. RawMaterials_Free CF" xfId="8837"/>
    <cellStyle name="_MOR - Gurgaon -12+0_MOR - Revised Package_~0039877_II.4. RawMaterials_P&amp;L Rec Qtr" xfId="8838"/>
    <cellStyle name="_MOR - Gurgaon -12+0_MOR - Revised Package_~0039877_II.4. RawMaterials_Sheet1" xfId="8839"/>
    <cellStyle name="_MOR - Gurgaon -12+0_MOR - Revised Package_~0039877_II.4. RawMaterials_Sheet2" xfId="8840"/>
    <cellStyle name="_MOR - Gurgaon -12+0_MOR - Revised Package_~0039877_II.4. RawMaterials_Sheet3" xfId="8841"/>
    <cellStyle name="_MOR - Gurgaon -12+0_MOR - Revised Package_~0039877_II.4. RawMaterials_Sheet4" xfId="8842"/>
    <cellStyle name="_MOR - Gurgaon -12+0_MOR - Revised Package_~0039877_II.5. RawMaterials" xfId="8843"/>
    <cellStyle name="_MOR - Gurgaon -12+0_MOR - Revised Package_~0039877_II.5. RawMaterials 2" xfId="8844"/>
    <cellStyle name="_MOR - Gurgaon -12+0_MOR - Revised Package_~0039877_II.5. RawMaterials_BS retrieve" xfId="8845"/>
    <cellStyle name="_MOR - Gurgaon -12+0_MOR - Revised Package_~0039877_II.5. RawMaterials_Free CF" xfId="8846"/>
    <cellStyle name="_MOR - Gurgaon -12+0_MOR - Revised Package_~0039877_II.5. RawMaterials_P&amp;L Rec Qtr" xfId="8847"/>
    <cellStyle name="_MOR - Gurgaon -12+0_MOR - Revised Package_~0039877_II.5. RawMaterials_Sheet1" xfId="8848"/>
    <cellStyle name="_MOR - Gurgaon -12+0_MOR - Revised Package_~0039877_II.5. RawMaterials_Sheet2" xfId="8849"/>
    <cellStyle name="_MOR - Gurgaon -12+0_MOR - Revised Package_~0039877_II.5. RawMaterials_Sheet3" xfId="8850"/>
    <cellStyle name="_MOR - Gurgaon -12+0_MOR - Revised Package_~0039877_II.5. RawMaterials_Sheet4" xfId="8851"/>
    <cellStyle name="_MOR - Gurgaon -12+0_MOR - Revised Package_~0039877_II.5. RM Volume Sensitivities" xfId="8852"/>
    <cellStyle name="_MOR - Gurgaon -12+0_MOR - Revised Package_~0039877_II.5. RM Volume Sensitivities 2" xfId="8853"/>
    <cellStyle name="_MOR - Gurgaon -12+0_MOR - Revised Package_~0039877_II.5. RM Volume Sensitivities_BS retrieve" xfId="8854"/>
    <cellStyle name="_MOR - Gurgaon -12+0_MOR - Revised Package_~0039877_II.5. RM Volume Sensitivities_Free CF" xfId="8855"/>
    <cellStyle name="_MOR - Gurgaon -12+0_MOR - Revised Package_~0039877_II.5. RM Volume Sensitivities_P&amp;L Rec Qtr" xfId="8856"/>
    <cellStyle name="_MOR - Gurgaon -12+0_MOR - Revised Package_~0039877_II.5. RM Volume Sensitivities_Sheet1" xfId="8857"/>
    <cellStyle name="_MOR - Gurgaon -12+0_MOR - Revised Package_~0039877_II.5. RM Volume Sensitivities_Sheet2" xfId="8858"/>
    <cellStyle name="_MOR - Gurgaon -12+0_MOR - Revised Package_~0039877_II.5. RM Volume Sensitivities_Sheet3" xfId="8859"/>
    <cellStyle name="_MOR - Gurgaon -12+0_MOR - Revised Package_~0039877_II.5. RM Volume Sensitivities_Sheet4" xfId="8860"/>
    <cellStyle name="_MOR - Gurgaon -12+0_MOR - Revised Package_~0039877_II.8. Sep&amp;Discrete" xfId="8861"/>
    <cellStyle name="_MOR - Gurgaon -12+0_MOR - Revised Package_~0039877_Restructuring &amp; Separation" xfId="8862"/>
    <cellStyle name="_MOR - Gurgaon -12+0_MOR - Revised Package_~0039877_Restructuring_Separation_TAX_JuneFC2010 tf" xfId="8863"/>
    <cellStyle name="_MOR - Gurgaon -12+0_MOR - Revised Package_~0039877_Restructuring_Separation_TAX_JuneFC2010 tf_BS_Separation_TaxResIndem_Q12412 tf" xfId="8864"/>
    <cellStyle name="_MOR - Gurgaon -12+0_MOR - Revised Package_~0039877_Restructuring_Separation_TAX_JuneFC2010 tf_BS_Separation_TaxResIndem_Q12412 tf_Restructuring &amp; Separation" xfId="8865"/>
    <cellStyle name="_MOR - Gurgaon -12+0_MOR - Revised Package_~0039877_Restructuring_Separation_TAX_JuneFC2010 tf_II.8. Sep&amp;Discrete" xfId="8866"/>
    <cellStyle name="_MOR - Gurgaon -12+0_MOR - Revised Package_~0039877_Restructuring_Separation_TAX_JuneFC2010 tf_Restructuring &amp; Separation" xfId="8867"/>
    <cellStyle name="_MOR - Gurgaon -12+0_MOR - Revised Package_BS_Separation_TaxResIndem_Q12412 tf" xfId="8868"/>
    <cellStyle name="_MOR - Gurgaon -12+0_MOR - Revised Package_BS_Separation_TaxResIndem_Q12412 tf_Restructuring &amp; Separation" xfId="8869"/>
    <cellStyle name="_MOR - Gurgaon -12+0_MOR - Revised Package_By Country Detail 1Q10 041410pm FIN 18 revised per disc w Mary" xfId="8870"/>
    <cellStyle name="_MOR - Gurgaon -12+0_MOR - Revised Package_By Country Detail 1Q10 041410pm FIN 18 revised per disc w Mary_BS_Separation_TaxResIndem_Q12412 tf" xfId="8871"/>
    <cellStyle name="_MOR - Gurgaon -12+0_MOR - Revised Package_By Country Detail 1Q10 041410pm FIN 18 revised per disc w Mary_BS_Separation_TaxResIndem_Q12412 tf_Restructuring &amp; Separation" xfId="8872"/>
    <cellStyle name="_MOR - Gurgaon -12+0_MOR - Revised Package_By Country Detail 1Q10 041410pm FIN 18 revised per disc w Mary_II.8. Sep&amp;Discrete" xfId="8873"/>
    <cellStyle name="_MOR - Gurgaon -12+0_MOR - Revised Package_By Country Detail 1Q10 041410pm FIN 18 revised per disc w Mary_Restructuring &amp; Separation" xfId="8874"/>
    <cellStyle name="_MOR - Gurgaon -12+0_MOR - Revised Package_II.4. RawMaterials" xfId="8875"/>
    <cellStyle name="_MOR - Gurgaon -12+0_MOR - Revised Package_II.4. RawMaterials 2" xfId="8876"/>
    <cellStyle name="_MOR - Gurgaon -12+0_MOR - Revised Package_II.4. RawMaterials_BS retrieve" xfId="8877"/>
    <cellStyle name="_MOR - Gurgaon -12+0_MOR - Revised Package_II.4. RawMaterials_Free CF" xfId="8878"/>
    <cellStyle name="_MOR - Gurgaon -12+0_MOR - Revised Package_II.4. RawMaterials_P&amp;L Rec Qtr" xfId="8879"/>
    <cellStyle name="_MOR - Gurgaon -12+0_MOR - Revised Package_II.4. RawMaterials_Sheet1" xfId="8880"/>
    <cellStyle name="_MOR - Gurgaon -12+0_MOR - Revised Package_II.4. RawMaterials_Sheet2" xfId="8881"/>
    <cellStyle name="_MOR - Gurgaon -12+0_MOR - Revised Package_II.4. RawMaterials_Sheet3" xfId="8882"/>
    <cellStyle name="_MOR - Gurgaon -12+0_MOR - Revised Package_II.4. RawMaterials_Sheet4" xfId="8883"/>
    <cellStyle name="_MOR - Gurgaon -12+0_MOR - Revised Package_II.5. RawMaterials" xfId="8884"/>
    <cellStyle name="_MOR - Gurgaon -12+0_MOR - Revised Package_II.5. RawMaterials 2" xfId="8885"/>
    <cellStyle name="_MOR - Gurgaon -12+0_MOR - Revised Package_II.5. RawMaterials_BS retrieve" xfId="8886"/>
    <cellStyle name="_MOR - Gurgaon -12+0_MOR - Revised Package_II.5. RawMaterials_Free CF" xfId="8887"/>
    <cellStyle name="_MOR - Gurgaon -12+0_MOR - Revised Package_II.5. RawMaterials_P&amp;L Rec Qtr" xfId="8888"/>
    <cellStyle name="_MOR - Gurgaon -12+0_MOR - Revised Package_II.5. RawMaterials_Sheet1" xfId="8889"/>
    <cellStyle name="_MOR - Gurgaon -12+0_MOR - Revised Package_II.5. RawMaterials_Sheet2" xfId="8890"/>
    <cellStyle name="_MOR - Gurgaon -12+0_MOR - Revised Package_II.5. RawMaterials_Sheet3" xfId="8891"/>
    <cellStyle name="_MOR - Gurgaon -12+0_MOR - Revised Package_II.5. RawMaterials_Sheet4" xfId="8892"/>
    <cellStyle name="_MOR - Gurgaon -12+0_MOR - Revised Package_II.5. RM Volume Sensitivities" xfId="8893"/>
    <cellStyle name="_MOR - Gurgaon -12+0_MOR - Revised Package_II.5. RM Volume Sensitivities 2" xfId="8894"/>
    <cellStyle name="_MOR - Gurgaon -12+0_MOR - Revised Package_II.5. RM Volume Sensitivities_BS retrieve" xfId="8895"/>
    <cellStyle name="_MOR - Gurgaon -12+0_MOR - Revised Package_II.5. RM Volume Sensitivities_Free CF" xfId="8896"/>
    <cellStyle name="_MOR - Gurgaon -12+0_MOR - Revised Package_II.5. RM Volume Sensitivities_P&amp;L Rec Qtr" xfId="8897"/>
    <cellStyle name="_MOR - Gurgaon -12+0_MOR - Revised Package_II.5. RM Volume Sensitivities_Sheet1" xfId="8898"/>
    <cellStyle name="_MOR - Gurgaon -12+0_MOR - Revised Package_II.5. RM Volume Sensitivities_Sheet2" xfId="8899"/>
    <cellStyle name="_MOR - Gurgaon -12+0_MOR - Revised Package_II.5. RM Volume Sensitivities_Sheet3" xfId="8900"/>
    <cellStyle name="_MOR - Gurgaon -12+0_MOR - Revised Package_II.5. RM Volume Sensitivities_Sheet4" xfId="8901"/>
    <cellStyle name="_MOR - Gurgaon -12+0_MOR - Revised Package_II.8. Sep&amp;Discrete" xfId="8902"/>
    <cellStyle name="_MOR - Gurgaon -12+0_MOR - Revised Package_Restructuring &amp; Separation" xfId="8903"/>
    <cellStyle name="_MOR - Gurgaon -12+0_MOR - Revised Package_Restructuring_Separation_TAX_JuneFC2010 tf" xfId="8904"/>
    <cellStyle name="_MOR - Gurgaon -12+0_MOR - Revised Package_Restructuring_Separation_TAX_JuneFC2010 tf_BS_Separation_TaxResIndem_Q12412 tf" xfId="8905"/>
    <cellStyle name="_MOR - Gurgaon -12+0_MOR - Revised Package_Restructuring_Separation_TAX_JuneFC2010 tf_BS_Separation_TaxResIndem_Q12412 tf_Restructuring &amp; Separation" xfId="8906"/>
    <cellStyle name="_MOR - Gurgaon -12+0_MOR - Revised Package_Restructuring_Separation_TAX_JuneFC2010 tf_II.8. Sep&amp;Discrete" xfId="8907"/>
    <cellStyle name="_MOR - Gurgaon -12+0_MOR - Revised Package_Restructuring_Separation_TAX_JuneFC2010 tf_Restructuring &amp; Separation" xfId="8908"/>
    <cellStyle name="_MOR - Gurgaon -12+0_MOR - Revised Package_Revised MOR Package - Latest" xfId="8909"/>
    <cellStyle name="_MOR - Gurgaon -12+0_MOR - Revised Package_Revised MOR Package - Latest_BS_Separation_TaxResIndem_Q12412 tf" xfId="8910"/>
    <cellStyle name="_MOR - Gurgaon -12+0_MOR - Revised Package_Revised MOR Package - Latest_BS_Separation_TaxResIndem_Q12412 tf_Restructuring &amp; Separation" xfId="8911"/>
    <cellStyle name="_MOR - Gurgaon -12+0_MOR - Revised Package_Revised MOR Package - Latest_By Country Detail 1Q10 041410pm FIN 18 revised per disc w Mary" xfId="8912"/>
    <cellStyle name="_MOR - Gurgaon -12+0_MOR - Revised Package_Revised MOR Package - Latest_By Country Detail 1Q10 041410pm FIN 18 revised per disc w Mary_BS_Separation_TaxResIndem_Q12412 tf" xfId="8913"/>
    <cellStyle name="_MOR - Gurgaon -12+0_MOR - Revised Package_Revised MOR Package - Latest_By Country Detail 1Q10 041410pm FIN 18 revised per disc w Mary_BS_Separation_TaxResIndem_Q12412 tf_Restructuring &amp; Separation" xfId="8914"/>
    <cellStyle name="_MOR - Gurgaon -12+0_MOR - Revised Package_Revised MOR Package - Latest_By Country Detail 1Q10 041410pm FIN 18 revised per disc w Mary_II.8. Sep&amp;Discrete" xfId="8915"/>
    <cellStyle name="_MOR - Gurgaon -12+0_MOR - Revised Package_Revised MOR Package - Latest_By Country Detail 1Q10 041410pm FIN 18 revised per disc w Mary_Restructuring &amp; Separation" xfId="8916"/>
    <cellStyle name="_MOR - Gurgaon -12+0_MOR - Revised Package_Revised MOR Package - Latest_II.4. RawMaterials" xfId="8917"/>
    <cellStyle name="_MOR - Gurgaon -12+0_MOR - Revised Package_Revised MOR Package - Latest_II.4. RawMaterials 2" xfId="8918"/>
    <cellStyle name="_MOR - Gurgaon -12+0_MOR - Revised Package_Revised MOR Package - Latest_II.4. RawMaterials_BS retrieve" xfId="8919"/>
    <cellStyle name="_MOR - Gurgaon -12+0_MOR - Revised Package_Revised MOR Package - Latest_II.4. RawMaterials_Free CF" xfId="8920"/>
    <cellStyle name="_MOR - Gurgaon -12+0_MOR - Revised Package_Revised MOR Package - Latest_II.4. RawMaterials_P&amp;L Rec Qtr" xfId="8921"/>
    <cellStyle name="_MOR - Gurgaon -12+0_MOR - Revised Package_Revised MOR Package - Latest_II.4. RawMaterials_Sheet1" xfId="8922"/>
    <cellStyle name="_MOR - Gurgaon -12+0_MOR - Revised Package_Revised MOR Package - Latest_II.4. RawMaterials_Sheet2" xfId="8923"/>
    <cellStyle name="_MOR - Gurgaon -12+0_MOR - Revised Package_Revised MOR Package - Latest_II.4. RawMaterials_Sheet3" xfId="8924"/>
    <cellStyle name="_MOR - Gurgaon -12+0_MOR - Revised Package_Revised MOR Package - Latest_II.4. RawMaterials_Sheet4" xfId="8925"/>
    <cellStyle name="_MOR - Gurgaon -12+0_MOR - Revised Package_Revised MOR Package - Latest_II.5. RawMaterials" xfId="8926"/>
    <cellStyle name="_MOR - Gurgaon -12+0_MOR - Revised Package_Revised MOR Package - Latest_II.5. RawMaterials 2" xfId="8927"/>
    <cellStyle name="_MOR - Gurgaon -12+0_MOR - Revised Package_Revised MOR Package - Latest_II.5. RawMaterials_BS retrieve" xfId="8928"/>
    <cellStyle name="_MOR - Gurgaon -12+0_MOR - Revised Package_Revised MOR Package - Latest_II.5. RawMaterials_Free CF" xfId="8929"/>
    <cellStyle name="_MOR - Gurgaon -12+0_MOR - Revised Package_Revised MOR Package - Latest_II.5. RawMaterials_P&amp;L Rec Qtr" xfId="8930"/>
    <cellStyle name="_MOR - Gurgaon -12+0_MOR - Revised Package_Revised MOR Package - Latest_II.5. RawMaterials_Sheet1" xfId="8931"/>
    <cellStyle name="_MOR - Gurgaon -12+0_MOR - Revised Package_Revised MOR Package - Latest_II.5. RawMaterials_Sheet2" xfId="8932"/>
    <cellStyle name="_MOR - Gurgaon -12+0_MOR - Revised Package_Revised MOR Package - Latest_II.5. RawMaterials_Sheet3" xfId="8933"/>
    <cellStyle name="_MOR - Gurgaon -12+0_MOR - Revised Package_Revised MOR Package - Latest_II.5. RawMaterials_Sheet4" xfId="8934"/>
    <cellStyle name="_MOR - Gurgaon -12+0_MOR - Revised Package_Revised MOR Package - Latest_II.5. RM Volume Sensitivities" xfId="8935"/>
    <cellStyle name="_MOR - Gurgaon -12+0_MOR - Revised Package_Revised MOR Package - Latest_II.5. RM Volume Sensitivities 2" xfId="8936"/>
    <cellStyle name="_MOR - Gurgaon -12+0_MOR - Revised Package_Revised MOR Package - Latest_II.5. RM Volume Sensitivities_BS retrieve" xfId="8937"/>
    <cellStyle name="_MOR - Gurgaon -12+0_MOR - Revised Package_Revised MOR Package - Latest_II.5. RM Volume Sensitivities_Free CF" xfId="8938"/>
    <cellStyle name="_MOR - Gurgaon -12+0_MOR - Revised Package_Revised MOR Package - Latest_II.5. RM Volume Sensitivities_P&amp;L Rec Qtr" xfId="8939"/>
    <cellStyle name="_MOR - Gurgaon -12+0_MOR - Revised Package_Revised MOR Package - Latest_II.5. RM Volume Sensitivities_Sheet1" xfId="8940"/>
    <cellStyle name="_MOR - Gurgaon -12+0_MOR - Revised Package_Revised MOR Package - Latest_II.5. RM Volume Sensitivities_Sheet2" xfId="8941"/>
    <cellStyle name="_MOR - Gurgaon -12+0_MOR - Revised Package_Revised MOR Package - Latest_II.5. RM Volume Sensitivities_Sheet3" xfId="8942"/>
    <cellStyle name="_MOR - Gurgaon -12+0_MOR - Revised Package_Revised MOR Package - Latest_II.5. RM Volume Sensitivities_Sheet4" xfId="8943"/>
    <cellStyle name="_MOR - Gurgaon -12+0_MOR - Revised Package_Revised MOR Package - Latest_II.8. Sep&amp;Discrete" xfId="8944"/>
    <cellStyle name="_MOR - Gurgaon -12+0_MOR - Revised Package_Revised MOR Package - Latest_Restructuring &amp; Separation" xfId="8945"/>
    <cellStyle name="_MOR - Gurgaon -12+0_MOR - Revised Package_Revised MOR Package - Latest_Restructuring_Separation_TAX_JuneFC2010 tf" xfId="8946"/>
    <cellStyle name="_MOR - Gurgaon -12+0_MOR - Revised Package_Revised MOR Package - Latest_Restructuring_Separation_TAX_JuneFC2010 tf_BS_Separation_TaxResIndem_Q12412 tf" xfId="8947"/>
    <cellStyle name="_MOR - Gurgaon -12+0_MOR - Revised Package_Revised MOR Package - Latest_Restructuring_Separation_TAX_JuneFC2010 tf_BS_Separation_TaxResIndem_Q12412 tf_Restructuring &amp; Separation" xfId="8948"/>
    <cellStyle name="_MOR - Gurgaon -12+0_MOR - Revised Package_Revised MOR Package - Latest_Restructuring_Separation_TAX_JuneFC2010 tf_II.8. Sep&amp;Discrete" xfId="8949"/>
    <cellStyle name="_MOR - Gurgaon -12+0_MOR - Revised Package_Revised MOR Package - Latest_Restructuring_Separation_TAX_JuneFC2010 tf_Restructuring &amp; Separation" xfId="8950"/>
    <cellStyle name="_MOR - Gurgaon -12+0_Restructuring &amp; Separation" xfId="8951"/>
    <cellStyle name="_MOR - Gurgaon -12+0_Restructuring_Separation_TAX_JuneFC2010 tf" xfId="8952"/>
    <cellStyle name="_MOR - Gurgaon -12+0_Restructuring_Separation_TAX_JuneFC2010 tf_BS_Separation_TaxResIndem_Q12412 tf" xfId="8953"/>
    <cellStyle name="_MOR - Gurgaon -12+0_Restructuring_Separation_TAX_JuneFC2010 tf_BS_Separation_TaxResIndem_Q12412 tf_Restructuring &amp; Separation" xfId="8954"/>
    <cellStyle name="_MOR - Gurgaon -12+0_Restructuring_Separation_TAX_JuneFC2010 tf_II.8. Sep&amp;Discrete" xfId="8955"/>
    <cellStyle name="_MOR - Gurgaon -12+0_Restructuring_Separation_TAX_JuneFC2010 tf_Restructuring &amp; Separation" xfId="8956"/>
    <cellStyle name="_MOR - Gurgaon -12+0_Revised MOR Package" xfId="8957"/>
    <cellStyle name="_MOR - Gurgaon -12+0_Revised MOR Package - Latest" xfId="8958"/>
    <cellStyle name="_MOR - Gurgaon -12+0_Revised MOR Package - Latest_BS_Separation_TaxResIndem_Q12412 tf" xfId="8959"/>
    <cellStyle name="_MOR - Gurgaon -12+0_Revised MOR Package - Latest_BS_Separation_TaxResIndem_Q12412 tf_Restructuring &amp; Separation" xfId="8960"/>
    <cellStyle name="_MOR - Gurgaon -12+0_Revised MOR Package - Latest_By Country Detail 1Q10 041410pm FIN 18 revised per disc w Mary" xfId="8961"/>
    <cellStyle name="_MOR - Gurgaon -12+0_Revised MOR Package - Latest_By Country Detail 1Q10 041410pm FIN 18 revised per disc w Mary_BS_Separation_TaxResIndem_Q12412 tf" xfId="8962"/>
    <cellStyle name="_MOR - Gurgaon -12+0_Revised MOR Package - Latest_By Country Detail 1Q10 041410pm FIN 18 revised per disc w Mary_BS_Separation_TaxResIndem_Q12412 tf_Restructuring &amp; Separation" xfId="8963"/>
    <cellStyle name="_MOR - Gurgaon -12+0_Revised MOR Package - Latest_By Country Detail 1Q10 041410pm FIN 18 revised per disc w Mary_II.8. Sep&amp;Discrete" xfId="8964"/>
    <cellStyle name="_MOR - Gurgaon -12+0_Revised MOR Package - Latest_By Country Detail 1Q10 041410pm FIN 18 revised per disc w Mary_Restructuring &amp; Separation" xfId="8965"/>
    <cellStyle name="_MOR - Gurgaon -12+0_Revised MOR Package - Latest_II.4. RawMaterials" xfId="8966"/>
    <cellStyle name="_MOR - Gurgaon -12+0_Revised MOR Package - Latest_II.4. RawMaterials 2" xfId="8967"/>
    <cellStyle name="_MOR - Gurgaon -12+0_Revised MOR Package - Latest_II.4. RawMaterials_BS retrieve" xfId="8968"/>
    <cellStyle name="_MOR - Gurgaon -12+0_Revised MOR Package - Latest_II.4. RawMaterials_Free CF" xfId="8969"/>
    <cellStyle name="_MOR - Gurgaon -12+0_Revised MOR Package - Latest_II.4. RawMaterials_P&amp;L Rec Qtr" xfId="8970"/>
    <cellStyle name="_MOR - Gurgaon -12+0_Revised MOR Package - Latest_II.4. RawMaterials_Sheet1" xfId="8971"/>
    <cellStyle name="_MOR - Gurgaon -12+0_Revised MOR Package - Latest_II.4. RawMaterials_Sheet2" xfId="8972"/>
    <cellStyle name="_MOR - Gurgaon -12+0_Revised MOR Package - Latest_II.4. RawMaterials_Sheet3" xfId="8973"/>
    <cellStyle name="_MOR - Gurgaon -12+0_Revised MOR Package - Latest_II.4. RawMaterials_Sheet4" xfId="8974"/>
    <cellStyle name="_MOR - Gurgaon -12+0_Revised MOR Package - Latest_II.5. RawMaterials" xfId="8975"/>
    <cellStyle name="_MOR - Gurgaon -12+0_Revised MOR Package - Latest_II.5. RawMaterials 2" xfId="8976"/>
    <cellStyle name="_MOR - Gurgaon -12+0_Revised MOR Package - Latest_II.5. RawMaterials_BS retrieve" xfId="8977"/>
    <cellStyle name="_MOR - Gurgaon -12+0_Revised MOR Package - Latest_II.5. RawMaterials_Free CF" xfId="8978"/>
    <cellStyle name="_MOR - Gurgaon -12+0_Revised MOR Package - Latest_II.5. RawMaterials_P&amp;L Rec Qtr" xfId="8979"/>
    <cellStyle name="_MOR - Gurgaon -12+0_Revised MOR Package - Latest_II.5. RawMaterials_Sheet1" xfId="8980"/>
    <cellStyle name="_MOR - Gurgaon -12+0_Revised MOR Package - Latest_II.5. RawMaterials_Sheet2" xfId="8981"/>
    <cellStyle name="_MOR - Gurgaon -12+0_Revised MOR Package - Latest_II.5. RawMaterials_Sheet3" xfId="8982"/>
    <cellStyle name="_MOR - Gurgaon -12+0_Revised MOR Package - Latest_II.5. RawMaterials_Sheet4" xfId="8983"/>
    <cellStyle name="_MOR - Gurgaon -12+0_Revised MOR Package - Latest_II.5. RM Volume Sensitivities" xfId="8984"/>
    <cellStyle name="_MOR - Gurgaon -12+0_Revised MOR Package - Latest_II.5. RM Volume Sensitivities 2" xfId="8985"/>
    <cellStyle name="_MOR - Gurgaon -12+0_Revised MOR Package - Latest_II.5. RM Volume Sensitivities_BS retrieve" xfId="8986"/>
    <cellStyle name="_MOR - Gurgaon -12+0_Revised MOR Package - Latest_II.5. RM Volume Sensitivities_Free CF" xfId="8987"/>
    <cellStyle name="_MOR - Gurgaon -12+0_Revised MOR Package - Latest_II.5. RM Volume Sensitivities_P&amp;L Rec Qtr" xfId="8988"/>
    <cellStyle name="_MOR - Gurgaon -12+0_Revised MOR Package - Latest_II.5. RM Volume Sensitivities_Sheet1" xfId="8989"/>
    <cellStyle name="_MOR - Gurgaon -12+0_Revised MOR Package - Latest_II.5. RM Volume Sensitivities_Sheet2" xfId="8990"/>
    <cellStyle name="_MOR - Gurgaon -12+0_Revised MOR Package - Latest_II.5. RM Volume Sensitivities_Sheet3" xfId="8991"/>
    <cellStyle name="_MOR - Gurgaon -12+0_Revised MOR Package - Latest_II.5. RM Volume Sensitivities_Sheet4" xfId="8992"/>
    <cellStyle name="_MOR - Gurgaon -12+0_Revised MOR Package - Latest_II.8. Sep&amp;Discrete" xfId="8993"/>
    <cellStyle name="_MOR - Gurgaon -12+0_Revised MOR Package - Latest_Restructuring &amp; Separation" xfId="8994"/>
    <cellStyle name="_MOR - Gurgaon -12+0_Revised MOR Package - Latest_Restructuring_Separation_TAX_JuneFC2010 tf" xfId="8995"/>
    <cellStyle name="_MOR - Gurgaon -12+0_Revised MOR Package - Latest_Restructuring_Separation_TAX_JuneFC2010 tf_BS_Separation_TaxResIndem_Q12412 tf" xfId="8996"/>
    <cellStyle name="_MOR - Gurgaon -12+0_Revised MOR Package - Latest_Restructuring_Separation_TAX_JuneFC2010 tf_BS_Separation_TaxResIndem_Q12412 tf_Restructuring &amp; Separation" xfId="8997"/>
    <cellStyle name="_MOR - Gurgaon -12+0_Revised MOR Package - Latest_Restructuring_Separation_TAX_JuneFC2010 tf_II.8. Sep&amp;Discrete" xfId="8998"/>
    <cellStyle name="_MOR - Gurgaon -12+0_Revised MOR Package - Latest_Restructuring_Separation_TAX_JuneFC2010 tf_Restructuring &amp; Separation" xfId="8999"/>
    <cellStyle name="_MOR - Gurgaon -12+0_Revised MOR Package_~0039877" xfId="9000"/>
    <cellStyle name="_MOR - Gurgaon -12+0_Revised MOR Package_~0039877_BS_Separation_TaxResIndem_Q12412 tf" xfId="9001"/>
    <cellStyle name="_MOR - Gurgaon -12+0_Revised MOR Package_~0039877_BS_Separation_TaxResIndem_Q12412 tf_Restructuring &amp; Separation" xfId="9002"/>
    <cellStyle name="_MOR - Gurgaon -12+0_Revised MOR Package_~0039877_By Country Detail 1Q10 041410pm FIN 18 revised per disc w Mary" xfId="9003"/>
    <cellStyle name="_MOR - Gurgaon -12+0_Revised MOR Package_~0039877_By Country Detail 1Q10 041410pm FIN 18 revised per disc w Mary_BS_Separation_TaxResIndem_Q12412 tf" xfId="9004"/>
    <cellStyle name="_MOR - Gurgaon -12+0_Revised MOR Package_~0039877_By Country Detail 1Q10 041410pm FIN 18 revised per disc w Mary_BS_Separation_TaxResIndem_Q12412 tf_Restructuring &amp; Separation" xfId="9005"/>
    <cellStyle name="_MOR - Gurgaon -12+0_Revised MOR Package_~0039877_By Country Detail 1Q10 041410pm FIN 18 revised per disc w Mary_II.8. Sep&amp;Discrete" xfId="9006"/>
    <cellStyle name="_MOR - Gurgaon -12+0_Revised MOR Package_~0039877_By Country Detail 1Q10 041410pm FIN 18 revised per disc w Mary_Restructuring &amp; Separation" xfId="9007"/>
    <cellStyle name="_MOR - Gurgaon -12+0_Revised MOR Package_~0039877_II.4. RawMaterials" xfId="9008"/>
    <cellStyle name="_MOR - Gurgaon -12+0_Revised MOR Package_~0039877_II.4. RawMaterials 2" xfId="9009"/>
    <cellStyle name="_MOR - Gurgaon -12+0_Revised MOR Package_~0039877_II.4. RawMaterials_BS retrieve" xfId="9010"/>
    <cellStyle name="_MOR - Gurgaon -12+0_Revised MOR Package_~0039877_II.4. RawMaterials_Free CF" xfId="9011"/>
    <cellStyle name="_MOR - Gurgaon -12+0_Revised MOR Package_~0039877_II.4. RawMaterials_P&amp;L Rec Qtr" xfId="9012"/>
    <cellStyle name="_MOR - Gurgaon -12+0_Revised MOR Package_~0039877_II.4. RawMaterials_Sheet1" xfId="9013"/>
    <cellStyle name="_MOR - Gurgaon -12+0_Revised MOR Package_~0039877_II.4. RawMaterials_Sheet2" xfId="9014"/>
    <cellStyle name="_MOR - Gurgaon -12+0_Revised MOR Package_~0039877_II.4. RawMaterials_Sheet3" xfId="9015"/>
    <cellStyle name="_MOR - Gurgaon -12+0_Revised MOR Package_~0039877_II.4. RawMaterials_Sheet4" xfId="9016"/>
    <cellStyle name="_MOR - Gurgaon -12+0_Revised MOR Package_~0039877_II.5. RawMaterials" xfId="9017"/>
    <cellStyle name="_MOR - Gurgaon -12+0_Revised MOR Package_~0039877_II.5. RawMaterials 2" xfId="9018"/>
    <cellStyle name="_MOR - Gurgaon -12+0_Revised MOR Package_~0039877_II.5. RawMaterials_BS retrieve" xfId="9019"/>
    <cellStyle name="_MOR - Gurgaon -12+0_Revised MOR Package_~0039877_II.5. RawMaterials_Free CF" xfId="9020"/>
    <cellStyle name="_MOR - Gurgaon -12+0_Revised MOR Package_~0039877_II.5. RawMaterials_P&amp;L Rec Qtr" xfId="9021"/>
    <cellStyle name="_MOR - Gurgaon -12+0_Revised MOR Package_~0039877_II.5. RawMaterials_Sheet1" xfId="9022"/>
    <cellStyle name="_MOR - Gurgaon -12+0_Revised MOR Package_~0039877_II.5. RawMaterials_Sheet2" xfId="9023"/>
    <cellStyle name="_MOR - Gurgaon -12+0_Revised MOR Package_~0039877_II.5. RawMaterials_Sheet3" xfId="9024"/>
    <cellStyle name="_MOR - Gurgaon -12+0_Revised MOR Package_~0039877_II.5. RawMaterials_Sheet4" xfId="9025"/>
    <cellStyle name="_MOR - Gurgaon -12+0_Revised MOR Package_~0039877_II.5. RM Volume Sensitivities" xfId="9026"/>
    <cellStyle name="_MOR - Gurgaon -12+0_Revised MOR Package_~0039877_II.5. RM Volume Sensitivities 2" xfId="9027"/>
    <cellStyle name="_MOR - Gurgaon -12+0_Revised MOR Package_~0039877_II.5. RM Volume Sensitivities_BS retrieve" xfId="9028"/>
    <cellStyle name="_MOR - Gurgaon -12+0_Revised MOR Package_~0039877_II.5. RM Volume Sensitivities_Free CF" xfId="9029"/>
    <cellStyle name="_MOR - Gurgaon -12+0_Revised MOR Package_~0039877_II.5. RM Volume Sensitivities_P&amp;L Rec Qtr" xfId="9030"/>
    <cellStyle name="_MOR - Gurgaon -12+0_Revised MOR Package_~0039877_II.5. RM Volume Sensitivities_Sheet1" xfId="9031"/>
    <cellStyle name="_MOR - Gurgaon -12+0_Revised MOR Package_~0039877_II.5. RM Volume Sensitivities_Sheet2" xfId="9032"/>
    <cellStyle name="_MOR - Gurgaon -12+0_Revised MOR Package_~0039877_II.5. RM Volume Sensitivities_Sheet3" xfId="9033"/>
    <cellStyle name="_MOR - Gurgaon -12+0_Revised MOR Package_~0039877_II.5. RM Volume Sensitivities_Sheet4" xfId="9034"/>
    <cellStyle name="_MOR - Gurgaon -12+0_Revised MOR Package_~0039877_II.8. Sep&amp;Discrete" xfId="9035"/>
    <cellStyle name="_MOR - Gurgaon -12+0_Revised MOR Package_~0039877_Restructuring &amp; Separation" xfId="9036"/>
    <cellStyle name="_MOR - Gurgaon -12+0_Revised MOR Package_~0039877_Restructuring_Separation_TAX_JuneFC2010 tf" xfId="9037"/>
    <cellStyle name="_MOR - Gurgaon -12+0_Revised MOR Package_~0039877_Restructuring_Separation_TAX_JuneFC2010 tf_BS_Separation_TaxResIndem_Q12412 tf" xfId="9038"/>
    <cellStyle name="_MOR - Gurgaon -12+0_Revised MOR Package_~0039877_Restructuring_Separation_TAX_JuneFC2010 tf_BS_Separation_TaxResIndem_Q12412 tf_Restructuring &amp; Separation" xfId="9039"/>
    <cellStyle name="_MOR - Gurgaon -12+0_Revised MOR Package_~0039877_Restructuring_Separation_TAX_JuneFC2010 tf_II.8. Sep&amp;Discrete" xfId="9040"/>
    <cellStyle name="_MOR - Gurgaon -12+0_Revised MOR Package_~0039877_Restructuring_Separation_TAX_JuneFC2010 tf_Restructuring &amp; Separation" xfId="9041"/>
    <cellStyle name="_MOR - Gurgaon -12+0_Revised MOR Package_BS_Separation_TaxResIndem_Q12412 tf" xfId="9042"/>
    <cellStyle name="_MOR - Gurgaon -12+0_Revised MOR Package_BS_Separation_TaxResIndem_Q12412 tf_Restructuring &amp; Separation" xfId="9043"/>
    <cellStyle name="_MOR - Gurgaon -12+0_Revised MOR Package_By Country Detail 1Q10 041410pm FIN 18 revised per disc w Mary" xfId="9044"/>
    <cellStyle name="_MOR - Gurgaon -12+0_Revised MOR Package_By Country Detail 1Q10 041410pm FIN 18 revised per disc w Mary_BS_Separation_TaxResIndem_Q12412 tf" xfId="9045"/>
    <cellStyle name="_MOR - Gurgaon -12+0_Revised MOR Package_By Country Detail 1Q10 041410pm FIN 18 revised per disc w Mary_BS_Separation_TaxResIndem_Q12412 tf_Restructuring &amp; Separation" xfId="9046"/>
    <cellStyle name="_MOR - Gurgaon -12+0_Revised MOR Package_By Country Detail 1Q10 041410pm FIN 18 revised per disc w Mary_II.8. Sep&amp;Discrete" xfId="9047"/>
    <cellStyle name="_MOR - Gurgaon -12+0_Revised MOR Package_By Country Detail 1Q10 041410pm FIN 18 revised per disc w Mary_Restructuring &amp; Separation" xfId="9048"/>
    <cellStyle name="_MOR - Gurgaon -12+0_Revised MOR Package_II.4. RawMaterials" xfId="9049"/>
    <cellStyle name="_MOR - Gurgaon -12+0_Revised MOR Package_II.4. RawMaterials 2" xfId="9050"/>
    <cellStyle name="_MOR - Gurgaon -12+0_Revised MOR Package_II.4. RawMaterials_BS retrieve" xfId="9051"/>
    <cellStyle name="_MOR - Gurgaon -12+0_Revised MOR Package_II.4. RawMaterials_Free CF" xfId="9052"/>
    <cellStyle name="_MOR - Gurgaon -12+0_Revised MOR Package_II.4. RawMaterials_P&amp;L Rec Qtr" xfId="9053"/>
    <cellStyle name="_MOR - Gurgaon -12+0_Revised MOR Package_II.4. RawMaterials_Sheet1" xfId="9054"/>
    <cellStyle name="_MOR - Gurgaon -12+0_Revised MOR Package_II.4. RawMaterials_Sheet2" xfId="9055"/>
    <cellStyle name="_MOR - Gurgaon -12+0_Revised MOR Package_II.4. RawMaterials_Sheet3" xfId="9056"/>
    <cellStyle name="_MOR - Gurgaon -12+0_Revised MOR Package_II.4. RawMaterials_Sheet4" xfId="9057"/>
    <cellStyle name="_MOR - Gurgaon -12+0_Revised MOR Package_II.5. RawMaterials" xfId="9058"/>
    <cellStyle name="_MOR - Gurgaon -12+0_Revised MOR Package_II.5. RawMaterials 2" xfId="9059"/>
    <cellStyle name="_MOR - Gurgaon -12+0_Revised MOR Package_II.5. RawMaterials_BS retrieve" xfId="9060"/>
    <cellStyle name="_MOR - Gurgaon -12+0_Revised MOR Package_II.5. RawMaterials_Free CF" xfId="9061"/>
    <cellStyle name="_MOR - Gurgaon -12+0_Revised MOR Package_II.5. RawMaterials_P&amp;L Rec Qtr" xfId="9062"/>
    <cellStyle name="_MOR - Gurgaon -12+0_Revised MOR Package_II.5. RawMaterials_Sheet1" xfId="9063"/>
    <cellStyle name="_MOR - Gurgaon -12+0_Revised MOR Package_II.5. RawMaterials_Sheet2" xfId="9064"/>
    <cellStyle name="_MOR - Gurgaon -12+0_Revised MOR Package_II.5. RawMaterials_Sheet3" xfId="9065"/>
    <cellStyle name="_MOR - Gurgaon -12+0_Revised MOR Package_II.5. RawMaterials_Sheet4" xfId="9066"/>
    <cellStyle name="_MOR - Gurgaon -12+0_Revised MOR Package_II.5. RM Volume Sensitivities" xfId="9067"/>
    <cellStyle name="_MOR - Gurgaon -12+0_Revised MOR Package_II.5. RM Volume Sensitivities 2" xfId="9068"/>
    <cellStyle name="_MOR - Gurgaon -12+0_Revised MOR Package_II.5. RM Volume Sensitivities_BS retrieve" xfId="9069"/>
    <cellStyle name="_MOR - Gurgaon -12+0_Revised MOR Package_II.5. RM Volume Sensitivities_Free CF" xfId="9070"/>
    <cellStyle name="_MOR - Gurgaon -12+0_Revised MOR Package_II.5. RM Volume Sensitivities_P&amp;L Rec Qtr" xfId="9071"/>
    <cellStyle name="_MOR - Gurgaon -12+0_Revised MOR Package_II.5. RM Volume Sensitivities_Sheet1" xfId="9072"/>
    <cellStyle name="_MOR - Gurgaon -12+0_Revised MOR Package_II.5. RM Volume Sensitivities_Sheet2" xfId="9073"/>
    <cellStyle name="_MOR - Gurgaon -12+0_Revised MOR Package_II.5. RM Volume Sensitivities_Sheet3" xfId="9074"/>
    <cellStyle name="_MOR - Gurgaon -12+0_Revised MOR Package_II.5. RM Volume Sensitivities_Sheet4" xfId="9075"/>
    <cellStyle name="_MOR - Gurgaon -12+0_Revised MOR Package_II.8. Sep&amp;Discrete" xfId="9076"/>
    <cellStyle name="_MOR - Gurgaon -12+0_Revised MOR Package_Restructuring &amp; Separation" xfId="9077"/>
    <cellStyle name="_MOR - Gurgaon -12+0_Revised MOR Package_Restructuring_Separation_TAX_JuneFC2010 tf" xfId="9078"/>
    <cellStyle name="_MOR - Gurgaon -12+0_Revised MOR Package_Restructuring_Separation_TAX_JuneFC2010 tf_BS_Separation_TaxResIndem_Q12412 tf" xfId="9079"/>
    <cellStyle name="_MOR - Gurgaon -12+0_Revised MOR Package_Restructuring_Separation_TAX_JuneFC2010 tf_BS_Separation_TaxResIndem_Q12412 tf_Restructuring &amp; Separation" xfId="9080"/>
    <cellStyle name="_MOR - Gurgaon -12+0_Revised MOR Package_Restructuring_Separation_TAX_JuneFC2010 tf_II.8. Sep&amp;Discrete" xfId="9081"/>
    <cellStyle name="_MOR - Gurgaon -12+0_Revised MOR Package_Restructuring_Separation_TAX_JuneFC2010 tf_Restructuring &amp; Separation" xfId="9082"/>
    <cellStyle name="_MOR - Gurgaon -12+0_Revised MOR Package_Revised MOR Package - Latest" xfId="9083"/>
    <cellStyle name="_MOR - Gurgaon -12+0_Revised MOR Package_Revised MOR Package - Latest_BS_Separation_TaxResIndem_Q12412 tf" xfId="9084"/>
    <cellStyle name="_MOR - Gurgaon -12+0_Revised MOR Package_Revised MOR Package - Latest_BS_Separation_TaxResIndem_Q12412 tf_Restructuring &amp; Separation" xfId="9085"/>
    <cellStyle name="_MOR - Gurgaon -12+0_Revised MOR Package_Revised MOR Package - Latest_By Country Detail 1Q10 041410pm FIN 18 revised per disc w Mary" xfId="9086"/>
    <cellStyle name="_MOR - Gurgaon -12+0_Revised MOR Package_Revised MOR Package - Latest_By Country Detail 1Q10 041410pm FIN 18 revised per disc w Mary_BS_Separation_TaxResIndem_Q12412 tf" xfId="9087"/>
    <cellStyle name="_MOR - Gurgaon -12+0_Revised MOR Package_Revised MOR Package - Latest_By Country Detail 1Q10 041410pm FIN 18 revised per disc w Mary_BS_Separation_TaxResIndem_Q12412 tf_Restructuring &amp; Separation" xfId="9088"/>
    <cellStyle name="_MOR - Gurgaon -12+0_Revised MOR Package_Revised MOR Package - Latest_By Country Detail 1Q10 041410pm FIN 18 revised per disc w Mary_II.8. Sep&amp;Discrete" xfId="9089"/>
    <cellStyle name="_MOR - Gurgaon -12+0_Revised MOR Package_Revised MOR Package - Latest_By Country Detail 1Q10 041410pm FIN 18 revised per disc w Mary_Restructuring &amp; Separation" xfId="9090"/>
    <cellStyle name="_MOR - Gurgaon -12+0_Revised MOR Package_Revised MOR Package - Latest_II.4. RawMaterials" xfId="9091"/>
    <cellStyle name="_MOR - Gurgaon -12+0_Revised MOR Package_Revised MOR Package - Latest_II.4. RawMaterials 2" xfId="9092"/>
    <cellStyle name="_MOR - Gurgaon -12+0_Revised MOR Package_Revised MOR Package - Latest_II.4. RawMaterials_BS retrieve" xfId="9093"/>
    <cellStyle name="_MOR - Gurgaon -12+0_Revised MOR Package_Revised MOR Package - Latest_II.4. RawMaterials_Free CF" xfId="9094"/>
    <cellStyle name="_MOR - Gurgaon -12+0_Revised MOR Package_Revised MOR Package - Latest_II.4. RawMaterials_P&amp;L Rec Qtr" xfId="9095"/>
    <cellStyle name="_MOR - Gurgaon -12+0_Revised MOR Package_Revised MOR Package - Latest_II.4. RawMaterials_Sheet1" xfId="9096"/>
    <cellStyle name="_MOR - Gurgaon -12+0_Revised MOR Package_Revised MOR Package - Latest_II.4. RawMaterials_Sheet2" xfId="9097"/>
    <cellStyle name="_MOR - Gurgaon -12+0_Revised MOR Package_Revised MOR Package - Latest_II.4. RawMaterials_Sheet3" xfId="9098"/>
    <cellStyle name="_MOR - Gurgaon -12+0_Revised MOR Package_Revised MOR Package - Latest_II.4. RawMaterials_Sheet4" xfId="9099"/>
    <cellStyle name="_MOR - Gurgaon -12+0_Revised MOR Package_Revised MOR Package - Latest_II.5. RawMaterials" xfId="9100"/>
    <cellStyle name="_MOR - Gurgaon -12+0_Revised MOR Package_Revised MOR Package - Latest_II.5. RawMaterials 2" xfId="9101"/>
    <cellStyle name="_MOR - Gurgaon -12+0_Revised MOR Package_Revised MOR Package - Latest_II.5. RawMaterials_BS retrieve" xfId="9102"/>
    <cellStyle name="_MOR - Gurgaon -12+0_Revised MOR Package_Revised MOR Package - Latest_II.5. RawMaterials_Free CF" xfId="9103"/>
    <cellStyle name="_MOR - Gurgaon -12+0_Revised MOR Package_Revised MOR Package - Latest_II.5. RawMaterials_P&amp;L Rec Qtr" xfId="9104"/>
    <cellStyle name="_MOR - Gurgaon -12+0_Revised MOR Package_Revised MOR Package - Latest_II.5. RawMaterials_Sheet1" xfId="9105"/>
    <cellStyle name="_MOR - Gurgaon -12+0_Revised MOR Package_Revised MOR Package - Latest_II.5. RawMaterials_Sheet2" xfId="9106"/>
    <cellStyle name="_MOR - Gurgaon -12+0_Revised MOR Package_Revised MOR Package - Latest_II.5. RawMaterials_Sheet3" xfId="9107"/>
    <cellStyle name="_MOR - Gurgaon -12+0_Revised MOR Package_Revised MOR Package - Latest_II.5. RawMaterials_Sheet4" xfId="9108"/>
    <cellStyle name="_MOR - Gurgaon -12+0_Revised MOR Package_Revised MOR Package - Latest_II.5. RM Volume Sensitivities" xfId="9109"/>
    <cellStyle name="_MOR - Gurgaon -12+0_Revised MOR Package_Revised MOR Package - Latest_II.5. RM Volume Sensitivities 2" xfId="9110"/>
    <cellStyle name="_MOR - Gurgaon -12+0_Revised MOR Package_Revised MOR Package - Latest_II.5. RM Volume Sensitivities_BS retrieve" xfId="9111"/>
    <cellStyle name="_MOR - Gurgaon -12+0_Revised MOR Package_Revised MOR Package - Latest_II.5. RM Volume Sensitivities_Free CF" xfId="9112"/>
    <cellStyle name="_MOR - Gurgaon -12+0_Revised MOR Package_Revised MOR Package - Latest_II.5. RM Volume Sensitivities_P&amp;L Rec Qtr" xfId="9113"/>
    <cellStyle name="_MOR - Gurgaon -12+0_Revised MOR Package_Revised MOR Package - Latest_II.5. RM Volume Sensitivities_Sheet1" xfId="9114"/>
    <cellStyle name="_MOR - Gurgaon -12+0_Revised MOR Package_Revised MOR Package - Latest_II.5. RM Volume Sensitivities_Sheet2" xfId="9115"/>
    <cellStyle name="_MOR - Gurgaon -12+0_Revised MOR Package_Revised MOR Package - Latest_II.5. RM Volume Sensitivities_Sheet3" xfId="9116"/>
    <cellStyle name="_MOR - Gurgaon -12+0_Revised MOR Package_Revised MOR Package - Latest_II.5. RM Volume Sensitivities_Sheet4" xfId="9117"/>
    <cellStyle name="_MOR - Gurgaon -12+0_Revised MOR Package_Revised MOR Package - Latest_II.8. Sep&amp;Discrete" xfId="9118"/>
    <cellStyle name="_MOR - Gurgaon -12+0_Revised MOR Package_Revised MOR Package - Latest_Restructuring &amp; Separation" xfId="9119"/>
    <cellStyle name="_MOR - Gurgaon -12+0_Revised MOR Package_Revised MOR Package - Latest_Restructuring_Separation_TAX_JuneFC2010 tf" xfId="9120"/>
    <cellStyle name="_MOR - Gurgaon -12+0_Revised MOR Package_Revised MOR Package - Latest_Restructuring_Separation_TAX_JuneFC2010 tf_BS_Separation_TaxResIndem_Q12412 tf" xfId="9121"/>
    <cellStyle name="_MOR - Gurgaon -12+0_Revised MOR Package_Revised MOR Package - Latest_Restructuring_Separation_TAX_JuneFC2010 tf_BS_Separation_TaxResIndem_Q12412 tf_Restructuring &amp; Separation" xfId="9122"/>
    <cellStyle name="_MOR - Gurgaon -12+0_Revised MOR Package_Revised MOR Package - Latest_Restructuring_Separation_TAX_JuneFC2010 tf_II.8. Sep&amp;Discrete" xfId="9123"/>
    <cellStyle name="_MOR - Gurgaon -12+0_Revised MOR Package_Revised MOR Package - Latest_Restructuring_Separation_TAX_JuneFC2010 tf_Restructuring &amp; Separation" xfId="9124"/>
    <cellStyle name="_MOR - Revised Package" xfId="9125"/>
    <cellStyle name="_MOR - Revised Package_~0039877" xfId="9126"/>
    <cellStyle name="_MOR - Revised Package_~0039877_BS_Separation_TaxResIndem_Q12412 tf" xfId="9127"/>
    <cellStyle name="_MOR - Revised Package_~0039877_BS_Separation_TaxResIndem_Q12412 tf_Restructuring &amp; Separation" xfId="9128"/>
    <cellStyle name="_MOR - Revised Package_~0039877_By Country Detail 1Q10 041410pm FIN 18 revised per disc w Mary" xfId="9129"/>
    <cellStyle name="_MOR - Revised Package_~0039877_By Country Detail 1Q10 041410pm FIN 18 revised per disc w Mary_BS_Separation_TaxResIndem_Q12412 tf" xfId="9130"/>
    <cellStyle name="_MOR - Revised Package_~0039877_By Country Detail 1Q10 041410pm FIN 18 revised per disc w Mary_BS_Separation_TaxResIndem_Q12412 tf_Restructuring &amp; Separation" xfId="9131"/>
    <cellStyle name="_MOR - Revised Package_~0039877_By Country Detail 1Q10 041410pm FIN 18 revised per disc w Mary_II.8. Sep&amp;Discrete" xfId="9132"/>
    <cellStyle name="_MOR - Revised Package_~0039877_By Country Detail 1Q10 041410pm FIN 18 revised per disc w Mary_Restructuring &amp; Separation" xfId="9133"/>
    <cellStyle name="_MOR - Revised Package_~0039877_II.4. RawMaterials" xfId="9134"/>
    <cellStyle name="_MOR - Revised Package_~0039877_II.4. RawMaterials 2" xfId="9135"/>
    <cellStyle name="_MOR - Revised Package_~0039877_II.4. RawMaterials_BS retrieve" xfId="9136"/>
    <cellStyle name="_MOR - Revised Package_~0039877_II.4. RawMaterials_Free CF" xfId="9137"/>
    <cellStyle name="_MOR - Revised Package_~0039877_II.4. RawMaterials_P&amp;L Rec Qtr" xfId="9138"/>
    <cellStyle name="_MOR - Revised Package_~0039877_II.4. RawMaterials_Sheet1" xfId="9139"/>
    <cellStyle name="_MOR - Revised Package_~0039877_II.4. RawMaterials_Sheet2" xfId="9140"/>
    <cellStyle name="_MOR - Revised Package_~0039877_II.4. RawMaterials_Sheet3" xfId="9141"/>
    <cellStyle name="_MOR - Revised Package_~0039877_II.4. RawMaterials_Sheet4" xfId="9142"/>
    <cellStyle name="_MOR - Revised Package_~0039877_II.5. RawMaterials" xfId="9143"/>
    <cellStyle name="_MOR - Revised Package_~0039877_II.5. RawMaterials 2" xfId="9144"/>
    <cellStyle name="_MOR - Revised Package_~0039877_II.5. RawMaterials_BS retrieve" xfId="9145"/>
    <cellStyle name="_MOR - Revised Package_~0039877_II.5. RawMaterials_Free CF" xfId="9146"/>
    <cellStyle name="_MOR - Revised Package_~0039877_II.5. RawMaterials_P&amp;L Rec Qtr" xfId="9147"/>
    <cellStyle name="_MOR - Revised Package_~0039877_II.5. RawMaterials_Sheet1" xfId="9148"/>
    <cellStyle name="_MOR - Revised Package_~0039877_II.5. RawMaterials_Sheet2" xfId="9149"/>
    <cellStyle name="_MOR - Revised Package_~0039877_II.5. RawMaterials_Sheet3" xfId="9150"/>
    <cellStyle name="_MOR - Revised Package_~0039877_II.5. RawMaterials_Sheet4" xfId="9151"/>
    <cellStyle name="_MOR - Revised Package_~0039877_II.5. RM Volume Sensitivities" xfId="9152"/>
    <cellStyle name="_MOR - Revised Package_~0039877_II.5. RM Volume Sensitivities 2" xfId="9153"/>
    <cellStyle name="_MOR - Revised Package_~0039877_II.5. RM Volume Sensitivities_BS retrieve" xfId="9154"/>
    <cellStyle name="_MOR - Revised Package_~0039877_II.5. RM Volume Sensitivities_Free CF" xfId="9155"/>
    <cellStyle name="_MOR - Revised Package_~0039877_II.5. RM Volume Sensitivities_P&amp;L Rec Qtr" xfId="9156"/>
    <cellStyle name="_MOR - Revised Package_~0039877_II.5. RM Volume Sensitivities_Sheet1" xfId="9157"/>
    <cellStyle name="_MOR - Revised Package_~0039877_II.5. RM Volume Sensitivities_Sheet2" xfId="9158"/>
    <cellStyle name="_MOR - Revised Package_~0039877_II.5. RM Volume Sensitivities_Sheet3" xfId="9159"/>
    <cellStyle name="_MOR - Revised Package_~0039877_II.5. RM Volume Sensitivities_Sheet4" xfId="9160"/>
    <cellStyle name="_MOR - Revised Package_~0039877_II.8. Sep&amp;Discrete" xfId="9161"/>
    <cellStyle name="_MOR - Revised Package_~0039877_Restructuring &amp; Separation" xfId="9162"/>
    <cellStyle name="_MOR - Revised Package_~0039877_Restructuring_Separation_TAX_JuneFC2010 tf" xfId="9163"/>
    <cellStyle name="_MOR - Revised Package_~0039877_Restructuring_Separation_TAX_JuneFC2010 tf_BS_Separation_TaxResIndem_Q12412 tf" xfId="9164"/>
    <cellStyle name="_MOR - Revised Package_~0039877_Restructuring_Separation_TAX_JuneFC2010 tf_BS_Separation_TaxResIndem_Q12412 tf_Restructuring &amp; Separation" xfId="9165"/>
    <cellStyle name="_MOR - Revised Package_~0039877_Restructuring_Separation_TAX_JuneFC2010 tf_II.8. Sep&amp;Discrete" xfId="9166"/>
    <cellStyle name="_MOR - Revised Package_~0039877_Restructuring_Separation_TAX_JuneFC2010 tf_Restructuring &amp; Separation" xfId="9167"/>
    <cellStyle name="_MOR - Revised Package_BS_Separation_TaxResIndem_Q12412 tf" xfId="9168"/>
    <cellStyle name="_MOR - Revised Package_BS_Separation_TaxResIndem_Q12412 tf_Restructuring &amp; Separation" xfId="9169"/>
    <cellStyle name="_MOR - Revised Package_By Country Detail 1Q10 041410pm FIN 18 revised per disc w Mary" xfId="9170"/>
    <cellStyle name="_MOR - Revised Package_By Country Detail 1Q10 041410pm FIN 18 revised per disc w Mary_BS_Separation_TaxResIndem_Q12412 tf" xfId="9171"/>
    <cellStyle name="_MOR - Revised Package_By Country Detail 1Q10 041410pm FIN 18 revised per disc w Mary_BS_Separation_TaxResIndem_Q12412 tf_Restructuring &amp; Separation" xfId="9172"/>
    <cellStyle name="_MOR - Revised Package_By Country Detail 1Q10 041410pm FIN 18 revised per disc w Mary_II.8. Sep&amp;Discrete" xfId="9173"/>
    <cellStyle name="_MOR - Revised Package_By Country Detail 1Q10 041410pm FIN 18 revised per disc w Mary_Restructuring &amp; Separation" xfId="9174"/>
    <cellStyle name="_MOR - Revised Package_II.4. RawMaterials" xfId="9175"/>
    <cellStyle name="_MOR - Revised Package_II.4. RawMaterials 2" xfId="9176"/>
    <cellStyle name="_MOR - Revised Package_II.4. RawMaterials_BS retrieve" xfId="9177"/>
    <cellStyle name="_MOR - Revised Package_II.4. RawMaterials_Free CF" xfId="9178"/>
    <cellStyle name="_MOR - Revised Package_II.4. RawMaterials_P&amp;L Rec Qtr" xfId="9179"/>
    <cellStyle name="_MOR - Revised Package_II.4. RawMaterials_Sheet1" xfId="9180"/>
    <cellStyle name="_MOR - Revised Package_II.4. RawMaterials_Sheet2" xfId="9181"/>
    <cellStyle name="_MOR - Revised Package_II.4. RawMaterials_Sheet3" xfId="9182"/>
    <cellStyle name="_MOR - Revised Package_II.4. RawMaterials_Sheet4" xfId="9183"/>
    <cellStyle name="_MOR - Revised Package_II.5. RawMaterials" xfId="9184"/>
    <cellStyle name="_MOR - Revised Package_II.5. RawMaterials 2" xfId="9185"/>
    <cellStyle name="_MOR - Revised Package_II.5. RawMaterials_BS retrieve" xfId="9186"/>
    <cellStyle name="_MOR - Revised Package_II.5. RawMaterials_Free CF" xfId="9187"/>
    <cellStyle name="_MOR - Revised Package_II.5. RawMaterials_P&amp;L Rec Qtr" xfId="9188"/>
    <cellStyle name="_MOR - Revised Package_II.5. RawMaterials_Sheet1" xfId="9189"/>
    <cellStyle name="_MOR - Revised Package_II.5. RawMaterials_Sheet2" xfId="9190"/>
    <cellStyle name="_MOR - Revised Package_II.5. RawMaterials_Sheet3" xfId="9191"/>
    <cellStyle name="_MOR - Revised Package_II.5. RawMaterials_Sheet4" xfId="9192"/>
    <cellStyle name="_MOR - Revised Package_II.5. RM Volume Sensitivities" xfId="9193"/>
    <cellStyle name="_MOR - Revised Package_II.5. RM Volume Sensitivities 2" xfId="9194"/>
    <cellStyle name="_MOR - Revised Package_II.5. RM Volume Sensitivities_BS retrieve" xfId="9195"/>
    <cellStyle name="_MOR - Revised Package_II.5. RM Volume Sensitivities_Free CF" xfId="9196"/>
    <cellStyle name="_MOR - Revised Package_II.5. RM Volume Sensitivities_P&amp;L Rec Qtr" xfId="9197"/>
    <cellStyle name="_MOR - Revised Package_II.5. RM Volume Sensitivities_Sheet1" xfId="9198"/>
    <cellStyle name="_MOR - Revised Package_II.5. RM Volume Sensitivities_Sheet2" xfId="9199"/>
    <cellStyle name="_MOR - Revised Package_II.5. RM Volume Sensitivities_Sheet3" xfId="9200"/>
    <cellStyle name="_MOR - Revised Package_II.5. RM Volume Sensitivities_Sheet4" xfId="9201"/>
    <cellStyle name="_MOR - Revised Package_II.8. Sep&amp;Discrete" xfId="9202"/>
    <cellStyle name="_MOR - Revised Package_Restructuring &amp; Separation" xfId="9203"/>
    <cellStyle name="_MOR - Revised Package_Restructuring_Separation_TAX_JuneFC2010 tf" xfId="9204"/>
    <cellStyle name="_MOR - Revised Package_Restructuring_Separation_TAX_JuneFC2010 tf_BS_Separation_TaxResIndem_Q12412 tf" xfId="9205"/>
    <cellStyle name="_MOR - Revised Package_Restructuring_Separation_TAX_JuneFC2010 tf_BS_Separation_TaxResIndem_Q12412 tf_Restructuring &amp; Separation" xfId="9206"/>
    <cellStyle name="_MOR - Revised Package_Restructuring_Separation_TAX_JuneFC2010 tf_II.8. Sep&amp;Discrete" xfId="9207"/>
    <cellStyle name="_MOR - Revised Package_Restructuring_Separation_TAX_JuneFC2010 tf_Restructuring &amp; Separation" xfId="9208"/>
    <cellStyle name="_MOR - Revised Package_Revised MOR Package - Latest" xfId="9209"/>
    <cellStyle name="_MOR - Revised Package_Revised MOR Package - Latest_BS_Separation_TaxResIndem_Q12412 tf" xfId="9210"/>
    <cellStyle name="_MOR - Revised Package_Revised MOR Package - Latest_BS_Separation_TaxResIndem_Q12412 tf_Restructuring &amp; Separation" xfId="9211"/>
    <cellStyle name="_MOR - Revised Package_Revised MOR Package - Latest_By Country Detail 1Q10 041410pm FIN 18 revised per disc w Mary" xfId="9212"/>
    <cellStyle name="_MOR - Revised Package_Revised MOR Package - Latest_By Country Detail 1Q10 041410pm FIN 18 revised per disc w Mary_BS_Separation_TaxResIndem_Q12412 tf" xfId="9213"/>
    <cellStyle name="_MOR - Revised Package_Revised MOR Package - Latest_By Country Detail 1Q10 041410pm FIN 18 revised per disc w Mary_BS_Separation_TaxResIndem_Q12412 tf_Restructuring &amp; Separation" xfId="9214"/>
    <cellStyle name="_MOR - Revised Package_Revised MOR Package - Latest_By Country Detail 1Q10 041410pm FIN 18 revised per disc w Mary_II.8. Sep&amp;Discrete" xfId="9215"/>
    <cellStyle name="_MOR - Revised Package_Revised MOR Package - Latest_By Country Detail 1Q10 041410pm FIN 18 revised per disc w Mary_Restructuring &amp; Separation" xfId="9216"/>
    <cellStyle name="_MOR - Revised Package_Revised MOR Package - Latest_II.4. RawMaterials" xfId="9217"/>
    <cellStyle name="_MOR - Revised Package_Revised MOR Package - Latest_II.4. RawMaterials 2" xfId="9218"/>
    <cellStyle name="_MOR - Revised Package_Revised MOR Package - Latest_II.4. RawMaterials_BS retrieve" xfId="9219"/>
    <cellStyle name="_MOR - Revised Package_Revised MOR Package - Latest_II.4. RawMaterials_Free CF" xfId="9220"/>
    <cellStyle name="_MOR - Revised Package_Revised MOR Package - Latest_II.4. RawMaterials_P&amp;L Rec Qtr" xfId="9221"/>
    <cellStyle name="_MOR - Revised Package_Revised MOR Package - Latest_II.4. RawMaterials_Sheet1" xfId="9222"/>
    <cellStyle name="_MOR - Revised Package_Revised MOR Package - Latest_II.4. RawMaterials_Sheet2" xfId="9223"/>
    <cellStyle name="_MOR - Revised Package_Revised MOR Package - Latest_II.4. RawMaterials_Sheet3" xfId="9224"/>
    <cellStyle name="_MOR - Revised Package_Revised MOR Package - Latest_II.4. RawMaterials_Sheet4" xfId="9225"/>
    <cellStyle name="_MOR - Revised Package_Revised MOR Package - Latest_II.5. RawMaterials" xfId="9226"/>
    <cellStyle name="_MOR - Revised Package_Revised MOR Package - Latest_II.5. RawMaterials 2" xfId="9227"/>
    <cellStyle name="_MOR - Revised Package_Revised MOR Package - Latest_II.5. RawMaterials_BS retrieve" xfId="9228"/>
    <cellStyle name="_MOR - Revised Package_Revised MOR Package - Latest_II.5. RawMaterials_Free CF" xfId="9229"/>
    <cellStyle name="_MOR - Revised Package_Revised MOR Package - Latest_II.5. RawMaterials_P&amp;L Rec Qtr" xfId="9230"/>
    <cellStyle name="_MOR - Revised Package_Revised MOR Package - Latest_II.5. RawMaterials_Sheet1" xfId="9231"/>
    <cellStyle name="_MOR - Revised Package_Revised MOR Package - Latest_II.5. RawMaterials_Sheet2" xfId="9232"/>
    <cellStyle name="_MOR - Revised Package_Revised MOR Package - Latest_II.5. RawMaterials_Sheet3" xfId="9233"/>
    <cellStyle name="_MOR - Revised Package_Revised MOR Package - Latest_II.5. RawMaterials_Sheet4" xfId="9234"/>
    <cellStyle name="_MOR - Revised Package_Revised MOR Package - Latest_II.5. RM Volume Sensitivities" xfId="9235"/>
    <cellStyle name="_MOR - Revised Package_Revised MOR Package - Latest_II.5. RM Volume Sensitivities 2" xfId="9236"/>
    <cellStyle name="_MOR - Revised Package_Revised MOR Package - Latest_II.5. RM Volume Sensitivities_BS retrieve" xfId="9237"/>
    <cellStyle name="_MOR - Revised Package_Revised MOR Package - Latest_II.5. RM Volume Sensitivities_Free CF" xfId="9238"/>
    <cellStyle name="_MOR - Revised Package_Revised MOR Package - Latest_II.5. RM Volume Sensitivities_P&amp;L Rec Qtr" xfId="9239"/>
    <cellStyle name="_MOR - Revised Package_Revised MOR Package - Latest_II.5. RM Volume Sensitivities_Sheet1" xfId="9240"/>
    <cellStyle name="_MOR - Revised Package_Revised MOR Package - Latest_II.5. RM Volume Sensitivities_Sheet2" xfId="9241"/>
    <cellStyle name="_MOR - Revised Package_Revised MOR Package - Latest_II.5. RM Volume Sensitivities_Sheet3" xfId="9242"/>
    <cellStyle name="_MOR - Revised Package_Revised MOR Package - Latest_II.5. RM Volume Sensitivities_Sheet4" xfId="9243"/>
    <cellStyle name="_MOR - Revised Package_Revised MOR Package - Latest_II.8. Sep&amp;Discrete" xfId="9244"/>
    <cellStyle name="_MOR - Revised Package_Revised MOR Package - Latest_Restructuring &amp; Separation" xfId="9245"/>
    <cellStyle name="_MOR - Revised Package_Revised MOR Package - Latest_Restructuring_Separation_TAX_JuneFC2010 tf" xfId="9246"/>
    <cellStyle name="_MOR - Revised Package_Revised MOR Package - Latest_Restructuring_Separation_TAX_JuneFC2010 tf_BS_Separation_TaxResIndem_Q12412 tf" xfId="9247"/>
    <cellStyle name="_MOR - Revised Package_Revised MOR Package - Latest_Restructuring_Separation_TAX_JuneFC2010 tf_BS_Separation_TaxResIndem_Q12412 tf_Restructuring &amp; Separation" xfId="9248"/>
    <cellStyle name="_MOR - Revised Package_Revised MOR Package - Latest_Restructuring_Separation_TAX_JuneFC2010 tf_II.8. Sep&amp;Discrete" xfId="9249"/>
    <cellStyle name="_MOR - Revised Package_Revised MOR Package - Latest_Restructuring_Separation_TAX_JuneFC2010 tf_Restructuring &amp; Separation" xfId="9250"/>
    <cellStyle name="_MOR-BDW" xfId="9251"/>
    <cellStyle name="_MOR-BDW_BS_Separation_TaxResIndem_Q12412 tf" xfId="9252"/>
    <cellStyle name="_MOR-BDW_BS_Separation_TaxResIndem_Q12412 tf_Restructuring &amp; Separation" xfId="9253"/>
    <cellStyle name="_MOR-BDW_By Country Detail 1Q10 041410pm FIN 18 revised per disc w Mary" xfId="9254"/>
    <cellStyle name="_MOR-BDW_By Country Detail 1Q10 041410pm FIN 18 revised per disc w Mary_BS_Separation_TaxResIndem_Q12412 tf" xfId="9255"/>
    <cellStyle name="_MOR-BDW_By Country Detail 1Q10 041410pm FIN 18 revised per disc w Mary_BS_Separation_TaxResIndem_Q12412 tf_Restructuring &amp; Separation" xfId="9256"/>
    <cellStyle name="_MOR-BDW_By Country Detail 1Q10 041410pm FIN 18 revised per disc w Mary_II.8. Sep&amp;Discrete" xfId="9257"/>
    <cellStyle name="_MOR-BDW_By Country Detail 1Q10 041410pm FIN 18 revised per disc w Mary_Restructuring &amp; Separation" xfId="9258"/>
    <cellStyle name="_MOR-BDW_II.4. RawMaterials" xfId="9259"/>
    <cellStyle name="_MOR-BDW_II.4. RawMaterials 2" xfId="9260"/>
    <cellStyle name="_MOR-BDW_II.4. RawMaterials_BS retrieve" xfId="9261"/>
    <cellStyle name="_MOR-BDW_II.4. RawMaterials_Free CF" xfId="9262"/>
    <cellStyle name="_MOR-BDW_II.4. RawMaterials_P&amp;L Rec Qtr" xfId="9263"/>
    <cellStyle name="_MOR-BDW_II.4. RawMaterials_Sheet1" xfId="9264"/>
    <cellStyle name="_MOR-BDW_II.4. RawMaterials_Sheet2" xfId="9265"/>
    <cellStyle name="_MOR-BDW_II.4. RawMaterials_Sheet3" xfId="9266"/>
    <cellStyle name="_MOR-BDW_II.4. RawMaterials_Sheet4" xfId="9267"/>
    <cellStyle name="_MOR-BDW_II.5. RawMaterials" xfId="9268"/>
    <cellStyle name="_MOR-BDW_II.5. RawMaterials 2" xfId="9269"/>
    <cellStyle name="_MOR-BDW_II.5. RawMaterials_BS retrieve" xfId="9270"/>
    <cellStyle name="_MOR-BDW_II.5. RawMaterials_Free CF" xfId="9271"/>
    <cellStyle name="_MOR-BDW_II.5. RawMaterials_P&amp;L Rec Qtr" xfId="9272"/>
    <cellStyle name="_MOR-BDW_II.5. RawMaterials_Sheet1" xfId="9273"/>
    <cellStyle name="_MOR-BDW_II.5. RawMaterials_Sheet2" xfId="9274"/>
    <cellStyle name="_MOR-BDW_II.5. RawMaterials_Sheet3" xfId="9275"/>
    <cellStyle name="_MOR-BDW_II.5. RawMaterials_Sheet4" xfId="9276"/>
    <cellStyle name="_MOR-BDW_II.5. RM Volume Sensitivities" xfId="9277"/>
    <cellStyle name="_MOR-BDW_II.5. RM Volume Sensitivities 2" xfId="9278"/>
    <cellStyle name="_MOR-BDW_II.5. RM Volume Sensitivities_BS retrieve" xfId="9279"/>
    <cellStyle name="_MOR-BDW_II.5. RM Volume Sensitivities_Free CF" xfId="9280"/>
    <cellStyle name="_MOR-BDW_II.5. RM Volume Sensitivities_P&amp;L Rec Qtr" xfId="9281"/>
    <cellStyle name="_MOR-BDW_II.5. RM Volume Sensitivities_Sheet1" xfId="9282"/>
    <cellStyle name="_MOR-BDW_II.5. RM Volume Sensitivities_Sheet2" xfId="9283"/>
    <cellStyle name="_MOR-BDW_II.5. RM Volume Sensitivities_Sheet3" xfId="9284"/>
    <cellStyle name="_MOR-BDW_II.5. RM Volume Sensitivities_Sheet4" xfId="9285"/>
    <cellStyle name="_MOR-BDW_II.8. Sep&amp;Discrete" xfId="9286"/>
    <cellStyle name="_MOR-BDW_MOR - BDWY - 1+11" xfId="9287"/>
    <cellStyle name="_MOR-BDW_MOR - BDWY - 1+11_~0039877" xfId="9288"/>
    <cellStyle name="_MOR-BDW_MOR - BDWY - 1+11_~0039877_BS_Separation_TaxResIndem_Q12412 tf" xfId="9289"/>
    <cellStyle name="_MOR-BDW_MOR - BDWY - 1+11_~0039877_BS_Separation_TaxResIndem_Q12412 tf_Restructuring &amp; Separation" xfId="9290"/>
    <cellStyle name="_MOR-BDW_MOR - BDWY - 1+11_~0039877_By Country Detail 1Q10 041410pm FIN 18 revised per disc w Mary" xfId="9291"/>
    <cellStyle name="_MOR-BDW_MOR - BDWY - 1+11_~0039877_By Country Detail 1Q10 041410pm FIN 18 revised per disc w Mary_BS_Separation_TaxResIndem_Q12412 tf" xfId="9292"/>
    <cellStyle name="_MOR-BDW_MOR - BDWY - 1+11_~0039877_By Country Detail 1Q10 041410pm FIN 18 revised per disc w Mary_BS_Separation_TaxResIndem_Q12412 tf_Restructuring &amp; Separation" xfId="9293"/>
    <cellStyle name="_MOR-BDW_MOR - BDWY - 1+11_~0039877_By Country Detail 1Q10 041410pm FIN 18 revised per disc w Mary_II.8. Sep&amp;Discrete" xfId="9294"/>
    <cellStyle name="_MOR-BDW_MOR - BDWY - 1+11_~0039877_By Country Detail 1Q10 041410pm FIN 18 revised per disc w Mary_Restructuring &amp; Separation" xfId="9295"/>
    <cellStyle name="_MOR-BDW_MOR - BDWY - 1+11_~0039877_II.4. RawMaterials" xfId="9296"/>
    <cellStyle name="_MOR-BDW_MOR - BDWY - 1+11_~0039877_II.4. RawMaterials 2" xfId="9297"/>
    <cellStyle name="_MOR-BDW_MOR - BDWY - 1+11_~0039877_II.4. RawMaterials_BS retrieve" xfId="9298"/>
    <cellStyle name="_MOR-BDW_MOR - BDWY - 1+11_~0039877_II.4. RawMaterials_Free CF" xfId="9299"/>
    <cellStyle name="_MOR-BDW_MOR - BDWY - 1+11_~0039877_II.4. RawMaterials_P&amp;L Rec Qtr" xfId="9300"/>
    <cellStyle name="_MOR-BDW_MOR - BDWY - 1+11_~0039877_II.4. RawMaterials_Sheet1" xfId="9301"/>
    <cellStyle name="_MOR-BDW_MOR - BDWY - 1+11_~0039877_II.4. RawMaterials_Sheet2" xfId="9302"/>
    <cellStyle name="_MOR-BDW_MOR - BDWY - 1+11_~0039877_II.4. RawMaterials_Sheet3" xfId="9303"/>
    <cellStyle name="_MOR-BDW_MOR - BDWY - 1+11_~0039877_II.4. RawMaterials_Sheet4" xfId="9304"/>
    <cellStyle name="_MOR-BDW_MOR - BDWY - 1+11_~0039877_II.5. RawMaterials" xfId="9305"/>
    <cellStyle name="_MOR-BDW_MOR - BDWY - 1+11_~0039877_II.5. RawMaterials 2" xfId="9306"/>
    <cellStyle name="_MOR-BDW_MOR - BDWY - 1+11_~0039877_II.5. RawMaterials_BS retrieve" xfId="9307"/>
    <cellStyle name="_MOR-BDW_MOR - BDWY - 1+11_~0039877_II.5. RawMaterials_Free CF" xfId="9308"/>
    <cellStyle name="_MOR-BDW_MOR - BDWY - 1+11_~0039877_II.5. RawMaterials_P&amp;L Rec Qtr" xfId="9309"/>
    <cellStyle name="_MOR-BDW_MOR - BDWY - 1+11_~0039877_II.5. RawMaterials_Sheet1" xfId="9310"/>
    <cellStyle name="_MOR-BDW_MOR - BDWY - 1+11_~0039877_II.5. RawMaterials_Sheet2" xfId="9311"/>
    <cellStyle name="_MOR-BDW_MOR - BDWY - 1+11_~0039877_II.5. RawMaterials_Sheet3" xfId="9312"/>
    <cellStyle name="_MOR-BDW_MOR - BDWY - 1+11_~0039877_II.5. RawMaterials_Sheet4" xfId="9313"/>
    <cellStyle name="_MOR-BDW_MOR - BDWY - 1+11_~0039877_II.5. RM Volume Sensitivities" xfId="9314"/>
    <cellStyle name="_MOR-BDW_MOR - BDWY - 1+11_~0039877_II.5. RM Volume Sensitivities 2" xfId="9315"/>
    <cellStyle name="_MOR-BDW_MOR - BDWY - 1+11_~0039877_II.5. RM Volume Sensitivities_BS retrieve" xfId="9316"/>
    <cellStyle name="_MOR-BDW_MOR - BDWY - 1+11_~0039877_II.5. RM Volume Sensitivities_Free CF" xfId="9317"/>
    <cellStyle name="_MOR-BDW_MOR - BDWY - 1+11_~0039877_II.5. RM Volume Sensitivities_P&amp;L Rec Qtr" xfId="9318"/>
    <cellStyle name="_MOR-BDW_MOR - BDWY - 1+11_~0039877_II.5. RM Volume Sensitivities_Sheet1" xfId="9319"/>
    <cellStyle name="_MOR-BDW_MOR - BDWY - 1+11_~0039877_II.5. RM Volume Sensitivities_Sheet2" xfId="9320"/>
    <cellStyle name="_MOR-BDW_MOR - BDWY - 1+11_~0039877_II.5. RM Volume Sensitivities_Sheet3" xfId="9321"/>
    <cellStyle name="_MOR-BDW_MOR - BDWY - 1+11_~0039877_II.5. RM Volume Sensitivities_Sheet4" xfId="9322"/>
    <cellStyle name="_MOR-BDW_MOR - BDWY - 1+11_~0039877_II.8. Sep&amp;Discrete" xfId="9323"/>
    <cellStyle name="_MOR-BDW_MOR - BDWY - 1+11_~0039877_Restructuring &amp; Separation" xfId="9324"/>
    <cellStyle name="_MOR-BDW_MOR - BDWY - 1+11_~0039877_Restructuring_Separation_TAX_JuneFC2010 tf" xfId="9325"/>
    <cellStyle name="_MOR-BDW_MOR - BDWY - 1+11_~0039877_Restructuring_Separation_TAX_JuneFC2010 tf_BS_Separation_TaxResIndem_Q12412 tf" xfId="9326"/>
    <cellStyle name="_MOR-BDW_MOR - BDWY - 1+11_~0039877_Restructuring_Separation_TAX_JuneFC2010 tf_BS_Separation_TaxResIndem_Q12412 tf_Restructuring &amp; Separation" xfId="9327"/>
    <cellStyle name="_MOR-BDW_MOR - BDWY - 1+11_~0039877_Restructuring_Separation_TAX_JuneFC2010 tf_II.8. Sep&amp;Discrete" xfId="9328"/>
    <cellStyle name="_MOR-BDW_MOR - BDWY - 1+11_~0039877_Restructuring_Separation_TAX_JuneFC2010 tf_Restructuring &amp; Separation" xfId="9329"/>
    <cellStyle name="_MOR-BDW_MOR - BDWY - 1+11_BS_Separation_TaxResIndem_Q12412 tf" xfId="9330"/>
    <cellStyle name="_MOR-BDW_MOR - BDWY - 1+11_BS_Separation_TaxResIndem_Q12412 tf_Restructuring &amp; Separation" xfId="9331"/>
    <cellStyle name="_MOR-BDW_MOR - BDWY - 1+11_By Country Detail 1Q10 041410pm FIN 18 revised per disc w Mary" xfId="9332"/>
    <cellStyle name="_MOR-BDW_MOR - BDWY - 1+11_By Country Detail 1Q10 041410pm FIN 18 revised per disc w Mary_BS_Separation_TaxResIndem_Q12412 tf" xfId="9333"/>
    <cellStyle name="_MOR-BDW_MOR - BDWY - 1+11_By Country Detail 1Q10 041410pm FIN 18 revised per disc w Mary_BS_Separation_TaxResIndem_Q12412 tf_Restructuring &amp; Separation" xfId="9334"/>
    <cellStyle name="_MOR-BDW_MOR - BDWY - 1+11_By Country Detail 1Q10 041410pm FIN 18 revised per disc w Mary_II.8. Sep&amp;Discrete" xfId="9335"/>
    <cellStyle name="_MOR-BDW_MOR - BDWY - 1+11_By Country Detail 1Q10 041410pm FIN 18 revised per disc w Mary_Restructuring &amp; Separation" xfId="9336"/>
    <cellStyle name="_MOR-BDW_MOR - BDWY - 1+11_II.4. RawMaterials" xfId="9337"/>
    <cellStyle name="_MOR-BDW_MOR - BDWY - 1+11_II.4. RawMaterials 2" xfId="9338"/>
    <cellStyle name="_MOR-BDW_MOR - BDWY - 1+11_II.4. RawMaterials_BS retrieve" xfId="9339"/>
    <cellStyle name="_MOR-BDW_MOR - BDWY - 1+11_II.4. RawMaterials_Free CF" xfId="9340"/>
    <cellStyle name="_MOR-BDW_MOR - BDWY - 1+11_II.4. RawMaterials_P&amp;L Rec Qtr" xfId="9341"/>
    <cellStyle name="_MOR-BDW_MOR - BDWY - 1+11_II.4. RawMaterials_Sheet1" xfId="9342"/>
    <cellStyle name="_MOR-BDW_MOR - BDWY - 1+11_II.4. RawMaterials_Sheet2" xfId="9343"/>
    <cellStyle name="_MOR-BDW_MOR - BDWY - 1+11_II.4. RawMaterials_Sheet3" xfId="9344"/>
    <cellStyle name="_MOR-BDW_MOR - BDWY - 1+11_II.4. RawMaterials_Sheet4" xfId="9345"/>
    <cellStyle name="_MOR-BDW_MOR - BDWY - 1+11_II.5. RawMaterials" xfId="9346"/>
    <cellStyle name="_MOR-BDW_MOR - BDWY - 1+11_II.5. RawMaterials 2" xfId="9347"/>
    <cellStyle name="_MOR-BDW_MOR - BDWY - 1+11_II.5. RawMaterials_BS retrieve" xfId="9348"/>
    <cellStyle name="_MOR-BDW_MOR - BDWY - 1+11_II.5. RawMaterials_Free CF" xfId="9349"/>
    <cellStyle name="_MOR-BDW_MOR - BDWY - 1+11_II.5. RawMaterials_P&amp;L Rec Qtr" xfId="9350"/>
    <cellStyle name="_MOR-BDW_MOR - BDWY - 1+11_II.5. RawMaterials_Sheet1" xfId="9351"/>
    <cellStyle name="_MOR-BDW_MOR - BDWY - 1+11_II.5. RawMaterials_Sheet2" xfId="9352"/>
    <cellStyle name="_MOR-BDW_MOR - BDWY - 1+11_II.5. RawMaterials_Sheet3" xfId="9353"/>
    <cellStyle name="_MOR-BDW_MOR - BDWY - 1+11_II.5. RawMaterials_Sheet4" xfId="9354"/>
    <cellStyle name="_MOR-BDW_MOR - BDWY - 1+11_II.5. RM Volume Sensitivities" xfId="9355"/>
    <cellStyle name="_MOR-BDW_MOR - BDWY - 1+11_II.5. RM Volume Sensitivities 2" xfId="9356"/>
    <cellStyle name="_MOR-BDW_MOR - BDWY - 1+11_II.5. RM Volume Sensitivities_BS retrieve" xfId="9357"/>
    <cellStyle name="_MOR-BDW_MOR - BDWY - 1+11_II.5. RM Volume Sensitivities_Free CF" xfId="9358"/>
    <cellStyle name="_MOR-BDW_MOR - BDWY - 1+11_II.5. RM Volume Sensitivities_P&amp;L Rec Qtr" xfId="9359"/>
    <cellStyle name="_MOR-BDW_MOR - BDWY - 1+11_II.5. RM Volume Sensitivities_Sheet1" xfId="9360"/>
    <cellStyle name="_MOR-BDW_MOR - BDWY - 1+11_II.5. RM Volume Sensitivities_Sheet2" xfId="9361"/>
    <cellStyle name="_MOR-BDW_MOR - BDWY - 1+11_II.5. RM Volume Sensitivities_Sheet3" xfId="9362"/>
    <cellStyle name="_MOR-BDW_MOR - BDWY - 1+11_II.5. RM Volume Sensitivities_Sheet4" xfId="9363"/>
    <cellStyle name="_MOR-BDW_MOR - BDWY - 1+11_II.8. Sep&amp;Discrete" xfId="9364"/>
    <cellStyle name="_MOR-BDW_MOR - BDWY - 1+11_MOR - Australia -  EC - 1+11" xfId="9365"/>
    <cellStyle name="_MOR-BDW_MOR - BDWY - 1+11_MOR - Australia -  EC - 1+11_BS_Separation_TaxResIndem_Q12412 tf" xfId="9366"/>
    <cellStyle name="_MOR-BDW_MOR - BDWY - 1+11_MOR - Australia -  EC - 1+11_BS_Separation_TaxResIndem_Q12412 tf_Restructuring &amp; Separation" xfId="9367"/>
    <cellStyle name="_MOR-BDW_MOR - BDWY - 1+11_MOR - Australia -  EC - 1+11_By Country Detail 1Q10 041410pm FIN 18 revised per disc w Mary" xfId="9368"/>
    <cellStyle name="_MOR-BDW_MOR - BDWY - 1+11_MOR - Australia -  EC - 1+11_By Country Detail 1Q10 041410pm FIN 18 revised per disc w Mary_BS_Separation_TaxResIndem_Q12412 tf" xfId="9369"/>
    <cellStyle name="_MOR-BDW_MOR - BDWY - 1+11_MOR - Australia -  EC - 1+11_By Country Detail 1Q10 041410pm FIN 18 revised per disc w Mary_BS_Separation_TaxResIndem_Q12412 tf_Restructuring &amp; Separation" xfId="9370"/>
    <cellStyle name="_MOR-BDW_MOR - BDWY - 1+11_MOR - Australia -  EC - 1+11_By Country Detail 1Q10 041410pm FIN 18 revised per disc w Mary_II.8. Sep&amp;Discrete" xfId="9371"/>
    <cellStyle name="_MOR-BDW_MOR - BDWY - 1+11_MOR - Australia -  EC - 1+11_By Country Detail 1Q10 041410pm FIN 18 revised per disc w Mary_Restructuring &amp; Separation" xfId="9372"/>
    <cellStyle name="_MOR-BDW_MOR - BDWY - 1+11_MOR - Australia -  EC - 1+11_II.4. RawMaterials" xfId="9373"/>
    <cellStyle name="_MOR-BDW_MOR - BDWY - 1+11_MOR - Australia -  EC - 1+11_II.4. RawMaterials 2" xfId="9374"/>
    <cellStyle name="_MOR-BDW_MOR - BDWY - 1+11_MOR - Australia -  EC - 1+11_II.4. RawMaterials_BS retrieve" xfId="9375"/>
    <cellStyle name="_MOR-BDW_MOR - BDWY - 1+11_MOR - Australia -  EC - 1+11_II.4. RawMaterials_Free CF" xfId="9376"/>
    <cellStyle name="_MOR-BDW_MOR - BDWY - 1+11_MOR - Australia -  EC - 1+11_II.4. RawMaterials_P&amp;L Rec Qtr" xfId="9377"/>
    <cellStyle name="_MOR-BDW_MOR - BDWY - 1+11_MOR - Australia -  EC - 1+11_II.4. RawMaterials_Sheet1" xfId="9378"/>
    <cellStyle name="_MOR-BDW_MOR - BDWY - 1+11_MOR - Australia -  EC - 1+11_II.4. RawMaterials_Sheet2" xfId="9379"/>
    <cellStyle name="_MOR-BDW_MOR - BDWY - 1+11_MOR - Australia -  EC - 1+11_II.4. RawMaterials_Sheet3" xfId="9380"/>
    <cellStyle name="_MOR-BDW_MOR - BDWY - 1+11_MOR - Australia -  EC - 1+11_II.4. RawMaterials_Sheet4" xfId="9381"/>
    <cellStyle name="_MOR-BDW_MOR - BDWY - 1+11_MOR - Australia -  EC - 1+11_II.5. RawMaterials" xfId="9382"/>
    <cellStyle name="_MOR-BDW_MOR - BDWY - 1+11_MOR - Australia -  EC - 1+11_II.5. RawMaterials 2" xfId="9383"/>
    <cellStyle name="_MOR-BDW_MOR - BDWY - 1+11_MOR - Australia -  EC - 1+11_II.5. RawMaterials_BS retrieve" xfId="9384"/>
    <cellStyle name="_MOR-BDW_MOR - BDWY - 1+11_MOR - Australia -  EC - 1+11_II.5. RawMaterials_Free CF" xfId="9385"/>
    <cellStyle name="_MOR-BDW_MOR - BDWY - 1+11_MOR - Australia -  EC - 1+11_II.5. RawMaterials_P&amp;L Rec Qtr" xfId="9386"/>
    <cellStyle name="_MOR-BDW_MOR - BDWY - 1+11_MOR - Australia -  EC - 1+11_II.5. RawMaterials_Sheet1" xfId="9387"/>
    <cellStyle name="_MOR-BDW_MOR - BDWY - 1+11_MOR - Australia -  EC - 1+11_II.5. RawMaterials_Sheet2" xfId="9388"/>
    <cellStyle name="_MOR-BDW_MOR - BDWY - 1+11_MOR - Australia -  EC - 1+11_II.5. RawMaterials_Sheet3" xfId="9389"/>
    <cellStyle name="_MOR-BDW_MOR - BDWY - 1+11_MOR - Australia -  EC - 1+11_II.5. RawMaterials_Sheet4" xfId="9390"/>
    <cellStyle name="_MOR-BDW_MOR - BDWY - 1+11_MOR - Australia -  EC - 1+11_II.5. RM Volume Sensitivities" xfId="9391"/>
    <cellStyle name="_MOR-BDW_MOR - BDWY - 1+11_MOR - Australia -  EC - 1+11_II.5. RM Volume Sensitivities 2" xfId="9392"/>
    <cellStyle name="_MOR-BDW_MOR - BDWY - 1+11_MOR - Australia -  EC - 1+11_II.5. RM Volume Sensitivities_BS retrieve" xfId="9393"/>
    <cellStyle name="_MOR-BDW_MOR - BDWY - 1+11_MOR - Australia -  EC - 1+11_II.5. RM Volume Sensitivities_Free CF" xfId="9394"/>
    <cellStyle name="_MOR-BDW_MOR - BDWY - 1+11_MOR - Australia -  EC - 1+11_II.5. RM Volume Sensitivities_P&amp;L Rec Qtr" xfId="9395"/>
    <cellStyle name="_MOR-BDW_MOR - BDWY - 1+11_MOR - Australia -  EC - 1+11_II.5. RM Volume Sensitivities_Sheet1" xfId="9396"/>
    <cellStyle name="_MOR-BDW_MOR - BDWY - 1+11_MOR - Australia -  EC - 1+11_II.5. RM Volume Sensitivities_Sheet2" xfId="9397"/>
    <cellStyle name="_MOR-BDW_MOR - BDWY - 1+11_MOR - Australia -  EC - 1+11_II.5. RM Volume Sensitivities_Sheet3" xfId="9398"/>
    <cellStyle name="_MOR-BDW_MOR - BDWY - 1+11_MOR - Australia -  EC - 1+11_II.5. RM Volume Sensitivities_Sheet4" xfId="9399"/>
    <cellStyle name="_MOR-BDW_MOR - BDWY - 1+11_MOR - Australia -  EC - 1+11_II.8. Sep&amp;Discrete" xfId="9400"/>
    <cellStyle name="_MOR-BDW_MOR - BDWY - 1+11_MOR - Australia -  EC - 1+11_Restructuring &amp; Separation" xfId="9401"/>
    <cellStyle name="_MOR-BDW_MOR - BDWY - 1+11_MOR - Australia -  EC - 1+11_Restructuring_Separation_TAX_JuneFC2010 tf" xfId="9402"/>
    <cellStyle name="_MOR-BDW_MOR - BDWY - 1+11_MOR - Australia -  EC - 1+11_Restructuring_Separation_TAX_JuneFC2010 tf_BS_Separation_TaxResIndem_Q12412 tf" xfId="9403"/>
    <cellStyle name="_MOR-BDW_MOR - BDWY - 1+11_MOR - Australia -  EC - 1+11_Restructuring_Separation_TAX_JuneFC2010 tf_BS_Separation_TaxResIndem_Q12412 tf_Restructuring &amp; Separation" xfId="9404"/>
    <cellStyle name="_MOR-BDW_MOR - BDWY - 1+11_MOR - Australia -  EC - 1+11_Restructuring_Separation_TAX_JuneFC2010 tf_II.8. Sep&amp;Discrete" xfId="9405"/>
    <cellStyle name="_MOR-BDW_MOR - BDWY - 1+11_MOR - Australia -  EC - 1+11_Restructuring_Separation_TAX_JuneFC2010 tf_Restructuring &amp; Separation" xfId="9406"/>
    <cellStyle name="_MOR-BDW_MOR - BDWY - 1+11_MOR - Australia -  EC - 2+10" xfId="9407"/>
    <cellStyle name="_MOR-BDW_MOR - BDWY - 1+11_MOR - Australia -  EC - 2+10_BS_Separation_TaxResIndem_Q12412 tf" xfId="9408"/>
    <cellStyle name="_MOR-BDW_MOR - BDWY - 1+11_MOR - Australia -  EC - 2+10_BS_Separation_TaxResIndem_Q12412 tf_Restructuring &amp; Separation" xfId="9409"/>
    <cellStyle name="_MOR-BDW_MOR - BDWY - 1+11_MOR - Australia -  EC - 2+10_By Country Detail 1Q10 041410pm FIN 18 revised per disc w Mary" xfId="9410"/>
    <cellStyle name="_MOR-BDW_MOR - BDWY - 1+11_MOR - Australia -  EC - 2+10_By Country Detail 1Q10 041410pm FIN 18 revised per disc w Mary_BS_Separation_TaxResIndem_Q12412 tf" xfId="9411"/>
    <cellStyle name="_MOR-BDW_MOR - BDWY - 1+11_MOR - Australia -  EC - 2+10_By Country Detail 1Q10 041410pm FIN 18 revised per disc w Mary_BS_Separation_TaxResIndem_Q12412 tf_Restructuring &amp; Separation" xfId="9412"/>
    <cellStyle name="_MOR-BDW_MOR - BDWY - 1+11_MOR - Australia -  EC - 2+10_By Country Detail 1Q10 041410pm FIN 18 revised per disc w Mary_II.8. Sep&amp;Discrete" xfId="9413"/>
    <cellStyle name="_MOR-BDW_MOR - BDWY - 1+11_MOR - Australia -  EC - 2+10_By Country Detail 1Q10 041410pm FIN 18 revised per disc w Mary_Restructuring &amp; Separation" xfId="9414"/>
    <cellStyle name="_MOR-BDW_MOR - BDWY - 1+11_MOR - Australia -  EC - 2+10_II.4. RawMaterials" xfId="9415"/>
    <cellStyle name="_MOR-BDW_MOR - BDWY - 1+11_MOR - Australia -  EC - 2+10_II.4. RawMaterials 2" xfId="9416"/>
    <cellStyle name="_MOR-BDW_MOR - BDWY - 1+11_MOR - Australia -  EC - 2+10_II.4. RawMaterials_BS retrieve" xfId="9417"/>
    <cellStyle name="_MOR-BDW_MOR - BDWY - 1+11_MOR - Australia -  EC - 2+10_II.4. RawMaterials_Free CF" xfId="9418"/>
    <cellStyle name="_MOR-BDW_MOR - BDWY - 1+11_MOR - Australia -  EC - 2+10_II.4. RawMaterials_P&amp;L Rec Qtr" xfId="9419"/>
    <cellStyle name="_MOR-BDW_MOR - BDWY - 1+11_MOR - Australia -  EC - 2+10_II.4. RawMaterials_Sheet1" xfId="9420"/>
    <cellStyle name="_MOR-BDW_MOR - BDWY - 1+11_MOR - Australia -  EC - 2+10_II.4. RawMaterials_Sheet2" xfId="9421"/>
    <cellStyle name="_MOR-BDW_MOR - BDWY - 1+11_MOR - Australia -  EC - 2+10_II.4. RawMaterials_Sheet3" xfId="9422"/>
    <cellStyle name="_MOR-BDW_MOR - BDWY - 1+11_MOR - Australia -  EC - 2+10_II.4. RawMaterials_Sheet4" xfId="9423"/>
    <cellStyle name="_MOR-BDW_MOR - BDWY - 1+11_MOR - Australia -  EC - 2+10_II.5. RawMaterials" xfId="9424"/>
    <cellStyle name="_MOR-BDW_MOR - BDWY - 1+11_MOR - Australia -  EC - 2+10_II.5. RawMaterials 2" xfId="9425"/>
    <cellStyle name="_MOR-BDW_MOR - BDWY - 1+11_MOR - Australia -  EC - 2+10_II.5. RawMaterials_BS retrieve" xfId="9426"/>
    <cellStyle name="_MOR-BDW_MOR - BDWY - 1+11_MOR - Australia -  EC - 2+10_II.5. RawMaterials_Free CF" xfId="9427"/>
    <cellStyle name="_MOR-BDW_MOR - BDWY - 1+11_MOR - Australia -  EC - 2+10_II.5. RawMaterials_P&amp;L Rec Qtr" xfId="9428"/>
    <cellStyle name="_MOR-BDW_MOR - BDWY - 1+11_MOR - Australia -  EC - 2+10_II.5. RawMaterials_Sheet1" xfId="9429"/>
    <cellStyle name="_MOR-BDW_MOR - BDWY - 1+11_MOR - Australia -  EC - 2+10_II.5. RawMaterials_Sheet2" xfId="9430"/>
    <cellStyle name="_MOR-BDW_MOR - BDWY - 1+11_MOR - Australia -  EC - 2+10_II.5. RawMaterials_Sheet3" xfId="9431"/>
    <cellStyle name="_MOR-BDW_MOR - BDWY - 1+11_MOR - Australia -  EC - 2+10_II.5. RawMaterials_Sheet4" xfId="9432"/>
    <cellStyle name="_MOR-BDW_MOR - BDWY - 1+11_MOR - Australia -  EC - 2+10_II.5. RM Volume Sensitivities" xfId="9433"/>
    <cellStyle name="_MOR-BDW_MOR - BDWY - 1+11_MOR - Australia -  EC - 2+10_II.5. RM Volume Sensitivities 2" xfId="9434"/>
    <cellStyle name="_MOR-BDW_MOR - BDWY - 1+11_MOR - Australia -  EC - 2+10_II.5. RM Volume Sensitivities_BS retrieve" xfId="9435"/>
    <cellStyle name="_MOR-BDW_MOR - BDWY - 1+11_MOR - Australia -  EC - 2+10_II.5. RM Volume Sensitivities_Free CF" xfId="9436"/>
    <cellStyle name="_MOR-BDW_MOR - BDWY - 1+11_MOR - Australia -  EC - 2+10_II.5. RM Volume Sensitivities_P&amp;L Rec Qtr" xfId="9437"/>
    <cellStyle name="_MOR-BDW_MOR - BDWY - 1+11_MOR - Australia -  EC - 2+10_II.5. RM Volume Sensitivities_Sheet1" xfId="9438"/>
    <cellStyle name="_MOR-BDW_MOR - BDWY - 1+11_MOR - Australia -  EC - 2+10_II.5. RM Volume Sensitivities_Sheet2" xfId="9439"/>
    <cellStyle name="_MOR-BDW_MOR - BDWY - 1+11_MOR - Australia -  EC - 2+10_II.5. RM Volume Sensitivities_Sheet3" xfId="9440"/>
    <cellStyle name="_MOR-BDW_MOR - BDWY - 1+11_MOR - Australia -  EC - 2+10_II.5. RM Volume Sensitivities_Sheet4" xfId="9441"/>
    <cellStyle name="_MOR-BDW_MOR - BDWY - 1+11_MOR - Australia -  EC - 2+10_II.8. Sep&amp;Discrete" xfId="9442"/>
    <cellStyle name="_MOR-BDW_MOR - BDWY - 1+11_MOR - Australia -  EC - 2+10_Restructuring &amp; Separation" xfId="9443"/>
    <cellStyle name="_MOR-BDW_MOR - BDWY - 1+11_MOR - Australia -  EC - 2+10_Restructuring_Separation_TAX_JuneFC2010 tf" xfId="9444"/>
    <cellStyle name="_MOR-BDW_MOR - BDWY - 1+11_MOR - Australia -  EC - 2+10_Restructuring_Separation_TAX_JuneFC2010 tf_BS_Separation_TaxResIndem_Q12412 tf" xfId="9445"/>
    <cellStyle name="_MOR-BDW_MOR - BDWY - 1+11_MOR - Australia -  EC - 2+10_Restructuring_Separation_TAX_JuneFC2010 tf_BS_Separation_TaxResIndem_Q12412 tf_Restructuring &amp; Separation" xfId="9446"/>
    <cellStyle name="_MOR-BDW_MOR - BDWY - 1+11_MOR - Australia -  EC - 2+10_Restructuring_Separation_TAX_JuneFC2010 tf_II.8. Sep&amp;Discrete" xfId="9447"/>
    <cellStyle name="_MOR-BDW_MOR - BDWY - 1+11_MOR - Australia -  EC - 2+10_Restructuring_Separation_TAX_JuneFC2010 tf_Restructuring &amp; Separation" xfId="9448"/>
    <cellStyle name="_MOR-BDW_MOR - BDWY - 1+11_MOR - Australia -  EC - 3+9" xfId="9449"/>
    <cellStyle name="_MOR-BDW_MOR - BDWY - 1+11_MOR - Australia -  EC - 3+9_BS_Separation_TaxResIndem_Q12412 tf" xfId="9450"/>
    <cellStyle name="_MOR-BDW_MOR - BDWY - 1+11_MOR - Australia -  EC - 3+9_BS_Separation_TaxResIndem_Q12412 tf_Restructuring &amp; Separation" xfId="9451"/>
    <cellStyle name="_MOR-BDW_MOR - BDWY - 1+11_MOR - Australia -  EC - 3+9_By Country Detail 1Q10 041410pm FIN 18 revised per disc w Mary" xfId="9452"/>
    <cellStyle name="_MOR-BDW_MOR - BDWY - 1+11_MOR - Australia -  EC - 3+9_By Country Detail 1Q10 041410pm FIN 18 revised per disc w Mary_BS_Separation_TaxResIndem_Q12412 tf" xfId="9453"/>
    <cellStyle name="_MOR-BDW_MOR - BDWY - 1+11_MOR - Australia -  EC - 3+9_By Country Detail 1Q10 041410pm FIN 18 revised per disc w Mary_BS_Separation_TaxResIndem_Q12412 tf_Restructuring &amp; Separation" xfId="9454"/>
    <cellStyle name="_MOR-BDW_MOR - BDWY - 1+11_MOR - Australia -  EC - 3+9_By Country Detail 1Q10 041410pm FIN 18 revised per disc w Mary_II.8. Sep&amp;Discrete" xfId="9455"/>
    <cellStyle name="_MOR-BDW_MOR - BDWY - 1+11_MOR - Australia -  EC - 3+9_By Country Detail 1Q10 041410pm FIN 18 revised per disc w Mary_Restructuring &amp; Separation" xfId="9456"/>
    <cellStyle name="_MOR-BDW_MOR - BDWY - 1+11_MOR - Australia -  EC - 3+9_II.4. RawMaterials" xfId="9457"/>
    <cellStyle name="_MOR-BDW_MOR - BDWY - 1+11_MOR - Australia -  EC - 3+9_II.4. RawMaterials 2" xfId="9458"/>
    <cellStyle name="_MOR-BDW_MOR - BDWY - 1+11_MOR - Australia -  EC - 3+9_II.4. RawMaterials_BS retrieve" xfId="9459"/>
    <cellStyle name="_MOR-BDW_MOR - BDWY - 1+11_MOR - Australia -  EC - 3+9_II.4. RawMaterials_Free CF" xfId="9460"/>
    <cellStyle name="_MOR-BDW_MOR - BDWY - 1+11_MOR - Australia -  EC - 3+9_II.4. RawMaterials_P&amp;L Rec Qtr" xfId="9461"/>
    <cellStyle name="_MOR-BDW_MOR - BDWY - 1+11_MOR - Australia -  EC - 3+9_II.4. RawMaterials_Sheet1" xfId="9462"/>
    <cellStyle name="_MOR-BDW_MOR - BDWY - 1+11_MOR - Australia -  EC - 3+9_II.4. RawMaterials_Sheet2" xfId="9463"/>
    <cellStyle name="_MOR-BDW_MOR - BDWY - 1+11_MOR - Australia -  EC - 3+9_II.4. RawMaterials_Sheet3" xfId="9464"/>
    <cellStyle name="_MOR-BDW_MOR - BDWY - 1+11_MOR - Australia -  EC - 3+9_II.4. RawMaterials_Sheet4" xfId="9465"/>
    <cellStyle name="_MOR-BDW_MOR - BDWY - 1+11_MOR - Australia -  EC - 3+9_II.5. RawMaterials" xfId="9466"/>
    <cellStyle name="_MOR-BDW_MOR - BDWY - 1+11_MOR - Australia -  EC - 3+9_II.5. RawMaterials 2" xfId="9467"/>
    <cellStyle name="_MOR-BDW_MOR - BDWY - 1+11_MOR - Australia -  EC - 3+9_II.5. RawMaterials_BS retrieve" xfId="9468"/>
    <cellStyle name="_MOR-BDW_MOR - BDWY - 1+11_MOR - Australia -  EC - 3+9_II.5. RawMaterials_Free CF" xfId="9469"/>
    <cellStyle name="_MOR-BDW_MOR - BDWY - 1+11_MOR - Australia -  EC - 3+9_II.5. RawMaterials_P&amp;L Rec Qtr" xfId="9470"/>
    <cellStyle name="_MOR-BDW_MOR - BDWY - 1+11_MOR - Australia -  EC - 3+9_II.5. RawMaterials_Sheet1" xfId="9471"/>
    <cellStyle name="_MOR-BDW_MOR - BDWY - 1+11_MOR - Australia -  EC - 3+9_II.5. RawMaterials_Sheet2" xfId="9472"/>
    <cellStyle name="_MOR-BDW_MOR - BDWY - 1+11_MOR - Australia -  EC - 3+9_II.5. RawMaterials_Sheet3" xfId="9473"/>
    <cellStyle name="_MOR-BDW_MOR - BDWY - 1+11_MOR - Australia -  EC - 3+9_II.5. RawMaterials_Sheet4" xfId="9474"/>
    <cellStyle name="_MOR-BDW_MOR - BDWY - 1+11_MOR - Australia -  EC - 3+9_II.5. RM Volume Sensitivities" xfId="9475"/>
    <cellStyle name="_MOR-BDW_MOR - BDWY - 1+11_MOR - Australia -  EC - 3+9_II.5. RM Volume Sensitivities 2" xfId="9476"/>
    <cellStyle name="_MOR-BDW_MOR - BDWY - 1+11_MOR - Australia -  EC - 3+9_II.5. RM Volume Sensitivities_BS retrieve" xfId="9477"/>
    <cellStyle name="_MOR-BDW_MOR - BDWY - 1+11_MOR - Australia -  EC - 3+9_II.5. RM Volume Sensitivities_Free CF" xfId="9478"/>
    <cellStyle name="_MOR-BDW_MOR - BDWY - 1+11_MOR - Australia -  EC - 3+9_II.5. RM Volume Sensitivities_P&amp;L Rec Qtr" xfId="9479"/>
    <cellStyle name="_MOR-BDW_MOR - BDWY - 1+11_MOR - Australia -  EC - 3+9_II.5. RM Volume Sensitivities_Sheet1" xfId="9480"/>
    <cellStyle name="_MOR-BDW_MOR - BDWY - 1+11_MOR - Australia -  EC - 3+9_II.5. RM Volume Sensitivities_Sheet2" xfId="9481"/>
    <cellStyle name="_MOR-BDW_MOR - BDWY - 1+11_MOR - Australia -  EC - 3+9_II.5. RM Volume Sensitivities_Sheet3" xfId="9482"/>
    <cellStyle name="_MOR-BDW_MOR - BDWY - 1+11_MOR - Australia -  EC - 3+9_II.5. RM Volume Sensitivities_Sheet4" xfId="9483"/>
    <cellStyle name="_MOR-BDW_MOR - BDWY - 1+11_MOR - Australia -  EC - 3+9_II.8. Sep&amp;Discrete" xfId="9484"/>
    <cellStyle name="_MOR-BDW_MOR - BDWY - 1+11_MOR - Australia -  EC - 3+9_Restructuring &amp; Separation" xfId="9485"/>
    <cellStyle name="_MOR-BDW_MOR - BDWY - 1+11_MOR - Australia -  EC - 3+9_Restructuring_Separation_TAX_JuneFC2010 tf" xfId="9486"/>
    <cellStyle name="_MOR-BDW_MOR - BDWY - 1+11_MOR - Australia -  EC - 3+9_Restructuring_Separation_TAX_JuneFC2010 tf_BS_Separation_TaxResIndem_Q12412 tf" xfId="9487"/>
    <cellStyle name="_MOR-BDW_MOR - BDWY - 1+11_MOR - Australia -  EC - 3+9_Restructuring_Separation_TAX_JuneFC2010 tf_BS_Separation_TaxResIndem_Q12412 tf_Restructuring &amp; Separation" xfId="9488"/>
    <cellStyle name="_MOR-BDW_MOR - BDWY - 1+11_MOR - Australia -  EC - 3+9_Restructuring_Separation_TAX_JuneFC2010 tf_II.8. Sep&amp;Discrete" xfId="9489"/>
    <cellStyle name="_MOR-BDW_MOR - BDWY - 1+11_MOR - Australia -  EC - 3+9_Restructuring_Separation_TAX_JuneFC2010 tf_Restructuring &amp; Separation" xfId="9490"/>
    <cellStyle name="_MOR-BDW_MOR - BDWY - 1+11_MOR - Australia -  EC - 4+8" xfId="9491"/>
    <cellStyle name="_MOR-BDW_MOR - BDWY - 1+11_MOR - Australia -  EC - 4+8_BS_Separation_TaxResIndem_Q12412 tf" xfId="9492"/>
    <cellStyle name="_MOR-BDW_MOR - BDWY - 1+11_MOR - Australia -  EC - 4+8_BS_Separation_TaxResIndem_Q12412 tf_Restructuring &amp; Separation" xfId="9493"/>
    <cellStyle name="_MOR-BDW_MOR - BDWY - 1+11_MOR - Australia -  EC - 4+8_By Country Detail 1Q10 041410pm FIN 18 revised per disc w Mary" xfId="9494"/>
    <cellStyle name="_MOR-BDW_MOR - BDWY - 1+11_MOR - Australia -  EC - 4+8_By Country Detail 1Q10 041410pm FIN 18 revised per disc w Mary_BS_Separation_TaxResIndem_Q12412 tf" xfId="9495"/>
    <cellStyle name="_MOR-BDW_MOR - BDWY - 1+11_MOR - Australia -  EC - 4+8_By Country Detail 1Q10 041410pm FIN 18 revised per disc w Mary_BS_Separation_TaxResIndem_Q12412 tf_Restructuring &amp; Separation" xfId="9496"/>
    <cellStyle name="_MOR-BDW_MOR - BDWY - 1+11_MOR - Australia -  EC - 4+8_By Country Detail 1Q10 041410pm FIN 18 revised per disc w Mary_II.8. Sep&amp;Discrete" xfId="9497"/>
    <cellStyle name="_MOR-BDW_MOR - BDWY - 1+11_MOR - Australia -  EC - 4+8_By Country Detail 1Q10 041410pm FIN 18 revised per disc w Mary_Restructuring &amp; Separation" xfId="9498"/>
    <cellStyle name="_MOR-BDW_MOR - BDWY - 1+11_MOR - Australia -  EC - 4+8_II.4. RawMaterials" xfId="9499"/>
    <cellStyle name="_MOR-BDW_MOR - BDWY - 1+11_MOR - Australia -  EC - 4+8_II.4. RawMaterials 2" xfId="9500"/>
    <cellStyle name="_MOR-BDW_MOR - BDWY - 1+11_MOR - Australia -  EC - 4+8_II.4. RawMaterials_BS retrieve" xfId="9501"/>
    <cellStyle name="_MOR-BDW_MOR - BDWY - 1+11_MOR - Australia -  EC - 4+8_II.4. RawMaterials_Free CF" xfId="9502"/>
    <cellStyle name="_MOR-BDW_MOR - BDWY - 1+11_MOR - Australia -  EC - 4+8_II.4. RawMaterials_P&amp;L Rec Qtr" xfId="9503"/>
    <cellStyle name="_MOR-BDW_MOR - BDWY - 1+11_MOR - Australia -  EC - 4+8_II.4. RawMaterials_Sheet1" xfId="9504"/>
    <cellStyle name="_MOR-BDW_MOR - BDWY - 1+11_MOR - Australia -  EC - 4+8_II.4. RawMaterials_Sheet2" xfId="9505"/>
    <cellStyle name="_MOR-BDW_MOR - BDWY - 1+11_MOR - Australia -  EC - 4+8_II.4. RawMaterials_Sheet3" xfId="9506"/>
    <cellStyle name="_MOR-BDW_MOR - BDWY - 1+11_MOR - Australia -  EC - 4+8_II.4. RawMaterials_Sheet4" xfId="9507"/>
    <cellStyle name="_MOR-BDW_MOR - BDWY - 1+11_MOR - Australia -  EC - 4+8_II.5. RawMaterials" xfId="9508"/>
    <cellStyle name="_MOR-BDW_MOR - BDWY - 1+11_MOR - Australia -  EC - 4+8_II.5. RawMaterials 2" xfId="9509"/>
    <cellStyle name="_MOR-BDW_MOR - BDWY - 1+11_MOR - Australia -  EC - 4+8_II.5. RawMaterials_BS retrieve" xfId="9510"/>
    <cellStyle name="_MOR-BDW_MOR - BDWY - 1+11_MOR - Australia -  EC - 4+8_II.5. RawMaterials_Free CF" xfId="9511"/>
    <cellStyle name="_MOR-BDW_MOR - BDWY - 1+11_MOR - Australia -  EC - 4+8_II.5. RawMaterials_P&amp;L Rec Qtr" xfId="9512"/>
    <cellStyle name="_MOR-BDW_MOR - BDWY - 1+11_MOR - Australia -  EC - 4+8_II.5. RawMaterials_Sheet1" xfId="9513"/>
    <cellStyle name="_MOR-BDW_MOR - BDWY - 1+11_MOR - Australia -  EC - 4+8_II.5. RawMaterials_Sheet2" xfId="9514"/>
    <cellStyle name="_MOR-BDW_MOR - BDWY - 1+11_MOR - Australia -  EC - 4+8_II.5. RawMaterials_Sheet3" xfId="9515"/>
    <cellStyle name="_MOR-BDW_MOR - BDWY - 1+11_MOR - Australia -  EC - 4+8_II.5. RawMaterials_Sheet4" xfId="9516"/>
    <cellStyle name="_MOR-BDW_MOR - BDWY - 1+11_MOR - Australia -  EC - 4+8_II.5. RM Volume Sensitivities" xfId="9517"/>
    <cellStyle name="_MOR-BDW_MOR - BDWY - 1+11_MOR - Australia -  EC - 4+8_II.5. RM Volume Sensitivities 2" xfId="9518"/>
    <cellStyle name="_MOR-BDW_MOR - BDWY - 1+11_MOR - Australia -  EC - 4+8_II.5. RM Volume Sensitivities_BS retrieve" xfId="9519"/>
    <cellStyle name="_MOR-BDW_MOR - BDWY - 1+11_MOR - Australia -  EC - 4+8_II.5. RM Volume Sensitivities_Free CF" xfId="9520"/>
    <cellStyle name="_MOR-BDW_MOR - BDWY - 1+11_MOR - Australia -  EC - 4+8_II.5. RM Volume Sensitivities_P&amp;L Rec Qtr" xfId="9521"/>
    <cellStyle name="_MOR-BDW_MOR - BDWY - 1+11_MOR - Australia -  EC - 4+8_II.5. RM Volume Sensitivities_Sheet1" xfId="9522"/>
    <cellStyle name="_MOR-BDW_MOR - BDWY - 1+11_MOR - Australia -  EC - 4+8_II.5. RM Volume Sensitivities_Sheet2" xfId="9523"/>
    <cellStyle name="_MOR-BDW_MOR - BDWY - 1+11_MOR - Australia -  EC - 4+8_II.5. RM Volume Sensitivities_Sheet3" xfId="9524"/>
    <cellStyle name="_MOR-BDW_MOR - BDWY - 1+11_MOR - Australia -  EC - 4+8_II.5. RM Volume Sensitivities_Sheet4" xfId="9525"/>
    <cellStyle name="_MOR-BDW_MOR - BDWY - 1+11_MOR - Australia -  EC - 4+8_II.8. Sep&amp;Discrete" xfId="9526"/>
    <cellStyle name="_MOR-BDW_MOR - BDWY - 1+11_MOR - Australia -  EC - 4+8_Restructuring &amp; Separation" xfId="9527"/>
    <cellStyle name="_MOR-BDW_MOR - BDWY - 1+11_MOR - Australia -  EC - 4+8_Restructuring_Separation_TAX_JuneFC2010 tf" xfId="9528"/>
    <cellStyle name="_MOR-BDW_MOR - BDWY - 1+11_MOR - Australia -  EC - 4+8_Restructuring_Separation_TAX_JuneFC2010 tf_BS_Separation_TaxResIndem_Q12412 tf" xfId="9529"/>
    <cellStyle name="_MOR-BDW_MOR - BDWY - 1+11_MOR - Australia -  EC - 4+8_Restructuring_Separation_TAX_JuneFC2010 tf_BS_Separation_TaxResIndem_Q12412 tf_Restructuring &amp; Separation" xfId="9530"/>
    <cellStyle name="_MOR-BDW_MOR - BDWY - 1+11_MOR - Australia -  EC - 4+8_Restructuring_Separation_TAX_JuneFC2010 tf_II.8. Sep&amp;Discrete" xfId="9531"/>
    <cellStyle name="_MOR-BDW_MOR - BDWY - 1+11_MOR - Australia -  EC - 4+8_Restructuring_Separation_TAX_JuneFC2010 tf_Restructuring &amp; Separation" xfId="9532"/>
    <cellStyle name="_MOR-BDW_MOR - BDWY - 1+11_MOR - Gurgaon - 3+9(R)" xfId="9533"/>
    <cellStyle name="_MOR-BDW_MOR - BDWY - 1+11_MOR - Gurgaon - 3+9(R)_BS_Separation_TaxResIndem_Q12412 tf" xfId="9534"/>
    <cellStyle name="_MOR-BDW_MOR - BDWY - 1+11_MOR - Gurgaon - 3+9(R)_BS_Separation_TaxResIndem_Q12412 tf_Restructuring &amp; Separation" xfId="9535"/>
    <cellStyle name="_MOR-BDW_MOR - BDWY - 1+11_MOR - Gurgaon - 3+9(R)_By Country Detail 1Q10 041410pm FIN 18 revised per disc w Mary" xfId="9536"/>
    <cellStyle name="_MOR-BDW_MOR - BDWY - 1+11_MOR - Gurgaon - 3+9(R)_By Country Detail 1Q10 041410pm FIN 18 revised per disc w Mary_BS_Separation_TaxResIndem_Q12412 tf" xfId="9537"/>
    <cellStyle name="_MOR-BDW_MOR - BDWY - 1+11_MOR - Gurgaon - 3+9(R)_By Country Detail 1Q10 041410pm FIN 18 revised per disc w Mary_BS_Separation_TaxResIndem_Q12412 tf_Restructuring &amp; Separation" xfId="9538"/>
    <cellStyle name="_MOR-BDW_MOR - BDWY - 1+11_MOR - Gurgaon - 3+9(R)_By Country Detail 1Q10 041410pm FIN 18 revised per disc w Mary_II.8. Sep&amp;Discrete" xfId="9539"/>
    <cellStyle name="_MOR-BDW_MOR - BDWY - 1+11_MOR - Gurgaon - 3+9(R)_By Country Detail 1Q10 041410pm FIN 18 revised per disc w Mary_Restructuring &amp; Separation" xfId="9540"/>
    <cellStyle name="_MOR-BDW_MOR - BDWY - 1+11_MOR - Gurgaon - 3+9(R)_II.4. RawMaterials" xfId="9541"/>
    <cellStyle name="_MOR-BDW_MOR - BDWY - 1+11_MOR - Gurgaon - 3+9(R)_II.4. RawMaterials 2" xfId="9542"/>
    <cellStyle name="_MOR-BDW_MOR - BDWY - 1+11_MOR - Gurgaon - 3+9(R)_II.4. RawMaterials_BS retrieve" xfId="9543"/>
    <cellStyle name="_MOR-BDW_MOR - BDWY - 1+11_MOR - Gurgaon - 3+9(R)_II.4. RawMaterials_Free CF" xfId="9544"/>
    <cellStyle name="_MOR-BDW_MOR - BDWY - 1+11_MOR - Gurgaon - 3+9(R)_II.4. RawMaterials_P&amp;L Rec Qtr" xfId="9545"/>
    <cellStyle name="_MOR-BDW_MOR - BDWY - 1+11_MOR - Gurgaon - 3+9(R)_II.4. RawMaterials_Sheet1" xfId="9546"/>
    <cellStyle name="_MOR-BDW_MOR - BDWY - 1+11_MOR - Gurgaon - 3+9(R)_II.4. RawMaterials_Sheet2" xfId="9547"/>
    <cellStyle name="_MOR-BDW_MOR - BDWY - 1+11_MOR - Gurgaon - 3+9(R)_II.4. RawMaterials_Sheet3" xfId="9548"/>
    <cellStyle name="_MOR-BDW_MOR - BDWY - 1+11_MOR - Gurgaon - 3+9(R)_II.4. RawMaterials_Sheet4" xfId="9549"/>
    <cellStyle name="_MOR-BDW_MOR - BDWY - 1+11_MOR - Gurgaon - 3+9(R)_II.5. RawMaterials" xfId="9550"/>
    <cellStyle name="_MOR-BDW_MOR - BDWY - 1+11_MOR - Gurgaon - 3+9(R)_II.5. RawMaterials 2" xfId="9551"/>
    <cellStyle name="_MOR-BDW_MOR - BDWY - 1+11_MOR - Gurgaon - 3+9(R)_II.5. RawMaterials_BS retrieve" xfId="9552"/>
    <cellStyle name="_MOR-BDW_MOR - BDWY - 1+11_MOR - Gurgaon - 3+9(R)_II.5. RawMaterials_Free CF" xfId="9553"/>
    <cellStyle name="_MOR-BDW_MOR - BDWY - 1+11_MOR - Gurgaon - 3+9(R)_II.5. RawMaterials_P&amp;L Rec Qtr" xfId="9554"/>
    <cellStyle name="_MOR-BDW_MOR - BDWY - 1+11_MOR - Gurgaon - 3+9(R)_II.5. RawMaterials_Sheet1" xfId="9555"/>
    <cellStyle name="_MOR-BDW_MOR - BDWY - 1+11_MOR - Gurgaon - 3+9(R)_II.5. RawMaterials_Sheet2" xfId="9556"/>
    <cellStyle name="_MOR-BDW_MOR - BDWY - 1+11_MOR - Gurgaon - 3+9(R)_II.5. RawMaterials_Sheet3" xfId="9557"/>
    <cellStyle name="_MOR-BDW_MOR - BDWY - 1+11_MOR - Gurgaon - 3+9(R)_II.5. RawMaterials_Sheet4" xfId="9558"/>
    <cellStyle name="_MOR-BDW_MOR - BDWY - 1+11_MOR - Gurgaon - 3+9(R)_II.5. RM Volume Sensitivities" xfId="9559"/>
    <cellStyle name="_MOR-BDW_MOR - BDWY - 1+11_MOR - Gurgaon - 3+9(R)_II.5. RM Volume Sensitivities 2" xfId="9560"/>
    <cellStyle name="_MOR-BDW_MOR - BDWY - 1+11_MOR - Gurgaon - 3+9(R)_II.5. RM Volume Sensitivities_BS retrieve" xfId="9561"/>
    <cellStyle name="_MOR-BDW_MOR - BDWY - 1+11_MOR - Gurgaon - 3+9(R)_II.5. RM Volume Sensitivities_Free CF" xfId="9562"/>
    <cellStyle name="_MOR-BDW_MOR - BDWY - 1+11_MOR - Gurgaon - 3+9(R)_II.5. RM Volume Sensitivities_P&amp;L Rec Qtr" xfId="9563"/>
    <cellStyle name="_MOR-BDW_MOR - BDWY - 1+11_MOR - Gurgaon - 3+9(R)_II.5. RM Volume Sensitivities_Sheet1" xfId="9564"/>
    <cellStyle name="_MOR-BDW_MOR - BDWY - 1+11_MOR - Gurgaon - 3+9(R)_II.5. RM Volume Sensitivities_Sheet2" xfId="9565"/>
    <cellStyle name="_MOR-BDW_MOR - BDWY - 1+11_MOR - Gurgaon - 3+9(R)_II.5. RM Volume Sensitivities_Sheet3" xfId="9566"/>
    <cellStyle name="_MOR-BDW_MOR - BDWY - 1+11_MOR - Gurgaon - 3+9(R)_II.5. RM Volume Sensitivities_Sheet4" xfId="9567"/>
    <cellStyle name="_MOR-BDW_MOR - BDWY - 1+11_MOR - Gurgaon - 3+9(R)_II.8. Sep&amp;Discrete" xfId="9568"/>
    <cellStyle name="_MOR-BDW_MOR - BDWY - 1+11_MOR - Gurgaon - 3+9(R)_MOR - Revised Package" xfId="9569"/>
    <cellStyle name="_MOR-BDW_MOR - BDWY - 1+11_MOR - Gurgaon - 3+9(R)_MOR - Revised Package_~0039877" xfId="9570"/>
    <cellStyle name="_MOR-BDW_MOR - BDWY - 1+11_MOR - Gurgaon - 3+9(R)_MOR - Revised Package_~0039877_BS_Separation_TaxResIndem_Q12412 tf" xfId="9571"/>
    <cellStyle name="_MOR-BDW_MOR - BDWY - 1+11_MOR - Gurgaon - 3+9(R)_MOR - Revised Package_~0039877_BS_Separation_TaxResIndem_Q12412 tf_Restructuring &amp; Separation" xfId="9572"/>
    <cellStyle name="_MOR-BDW_MOR - BDWY - 1+11_MOR - Gurgaon - 3+9(R)_MOR - Revised Package_~0039877_By Country Detail 1Q10 041410pm FIN 18 revised per disc w Mary" xfId="9573"/>
    <cellStyle name="_MOR-BDW_MOR - BDWY - 1+11_MOR - Gurgaon - 3+9(R)_MOR - Revised Package_~0039877_By Country Detail 1Q10 041410pm FIN 18 revised per disc w Mary_BS_Separation_TaxResIndem_Q12412 tf" xfId="9574"/>
    <cellStyle name="_MOR-BDW_MOR - BDWY - 1+11_MOR - Gurgaon - 3+9(R)_MOR - Revised Package_~0039877_By Country Detail 1Q10 041410pm FIN 18 revised per disc w Mary_BS_Separation_TaxResIndem_Q12412 tf_Restructuring &amp; Separation" xfId="9575"/>
    <cellStyle name="_MOR-BDW_MOR - BDWY - 1+11_MOR - Gurgaon - 3+9(R)_MOR - Revised Package_~0039877_By Country Detail 1Q10 041410pm FIN 18 revised per disc w Mary_II.8. Sep&amp;Discrete" xfId="9576"/>
    <cellStyle name="_MOR-BDW_MOR - BDWY - 1+11_MOR - Gurgaon - 3+9(R)_MOR - Revised Package_~0039877_By Country Detail 1Q10 041410pm FIN 18 revised per disc w Mary_Restructuring &amp; Separation" xfId="9577"/>
    <cellStyle name="_MOR-BDW_MOR - BDWY - 1+11_MOR - Gurgaon - 3+9(R)_MOR - Revised Package_~0039877_II.4. RawMaterials" xfId="9578"/>
    <cellStyle name="_MOR-BDW_MOR - BDWY - 1+11_MOR - Gurgaon - 3+9(R)_MOR - Revised Package_~0039877_II.4. RawMaterials 2" xfId="9579"/>
    <cellStyle name="_MOR-BDW_MOR - BDWY - 1+11_MOR - Gurgaon - 3+9(R)_MOR - Revised Package_~0039877_II.4. RawMaterials_BS retrieve" xfId="9580"/>
    <cellStyle name="_MOR-BDW_MOR - BDWY - 1+11_MOR - Gurgaon - 3+9(R)_MOR - Revised Package_~0039877_II.4. RawMaterials_Free CF" xfId="9581"/>
    <cellStyle name="_MOR-BDW_MOR - BDWY - 1+11_MOR - Gurgaon - 3+9(R)_MOR - Revised Package_~0039877_II.4. RawMaterials_P&amp;L Rec Qtr" xfId="9582"/>
    <cellStyle name="_MOR-BDW_MOR - BDWY - 1+11_MOR - Gurgaon - 3+9(R)_MOR - Revised Package_~0039877_II.4. RawMaterials_Sheet1" xfId="9583"/>
    <cellStyle name="_MOR-BDW_MOR - BDWY - 1+11_MOR - Gurgaon - 3+9(R)_MOR - Revised Package_~0039877_II.4. RawMaterials_Sheet2" xfId="9584"/>
    <cellStyle name="_MOR-BDW_MOR - BDWY - 1+11_MOR - Gurgaon - 3+9(R)_MOR - Revised Package_~0039877_II.4. RawMaterials_Sheet3" xfId="9585"/>
    <cellStyle name="_MOR-BDW_MOR - BDWY - 1+11_MOR - Gurgaon - 3+9(R)_MOR - Revised Package_~0039877_II.4. RawMaterials_Sheet4" xfId="9586"/>
    <cellStyle name="_MOR-BDW_MOR - BDWY - 1+11_MOR - Gurgaon - 3+9(R)_MOR - Revised Package_~0039877_II.5. RawMaterials" xfId="9587"/>
    <cellStyle name="_MOR-BDW_MOR - BDWY - 1+11_MOR - Gurgaon - 3+9(R)_MOR - Revised Package_~0039877_II.5. RawMaterials 2" xfId="9588"/>
    <cellStyle name="_MOR-BDW_MOR - BDWY - 1+11_MOR - Gurgaon - 3+9(R)_MOR - Revised Package_~0039877_II.5. RawMaterials_BS retrieve" xfId="9589"/>
    <cellStyle name="_MOR-BDW_MOR - BDWY - 1+11_MOR - Gurgaon - 3+9(R)_MOR - Revised Package_~0039877_II.5. RawMaterials_Free CF" xfId="9590"/>
    <cellStyle name="_MOR-BDW_MOR - BDWY - 1+11_MOR - Gurgaon - 3+9(R)_MOR - Revised Package_~0039877_II.5. RawMaterials_P&amp;L Rec Qtr" xfId="9591"/>
    <cellStyle name="_MOR-BDW_MOR - BDWY - 1+11_MOR - Gurgaon - 3+9(R)_MOR - Revised Package_~0039877_II.5. RawMaterials_Sheet1" xfId="9592"/>
    <cellStyle name="_MOR-BDW_MOR - BDWY - 1+11_MOR - Gurgaon - 3+9(R)_MOR - Revised Package_~0039877_II.5. RawMaterials_Sheet2" xfId="9593"/>
    <cellStyle name="_MOR-BDW_MOR - BDWY - 1+11_MOR - Gurgaon - 3+9(R)_MOR - Revised Package_~0039877_II.5. RawMaterials_Sheet3" xfId="9594"/>
    <cellStyle name="_MOR-BDW_MOR - BDWY - 1+11_MOR - Gurgaon - 3+9(R)_MOR - Revised Package_~0039877_II.5. RawMaterials_Sheet4" xfId="9595"/>
    <cellStyle name="_MOR-BDW_MOR - BDWY - 1+11_MOR - Gurgaon - 3+9(R)_MOR - Revised Package_~0039877_II.5. RM Volume Sensitivities" xfId="9596"/>
    <cellStyle name="_MOR-BDW_MOR - BDWY - 1+11_MOR - Gurgaon - 3+9(R)_MOR - Revised Package_~0039877_II.5. RM Volume Sensitivities 2" xfId="9597"/>
    <cellStyle name="_MOR-BDW_MOR - BDWY - 1+11_MOR - Gurgaon - 3+9(R)_MOR - Revised Package_~0039877_II.5. RM Volume Sensitivities_BS retrieve" xfId="9598"/>
    <cellStyle name="_MOR-BDW_MOR - BDWY - 1+11_MOR - Gurgaon - 3+9(R)_MOR - Revised Package_~0039877_II.5. RM Volume Sensitivities_Free CF" xfId="9599"/>
    <cellStyle name="_MOR-BDW_MOR - BDWY - 1+11_MOR - Gurgaon - 3+9(R)_MOR - Revised Package_~0039877_II.5. RM Volume Sensitivities_P&amp;L Rec Qtr" xfId="9600"/>
    <cellStyle name="_MOR-BDW_MOR - BDWY - 1+11_MOR - Gurgaon - 3+9(R)_MOR - Revised Package_~0039877_II.5. RM Volume Sensitivities_Sheet1" xfId="9601"/>
    <cellStyle name="_MOR-BDW_MOR - BDWY - 1+11_MOR - Gurgaon - 3+9(R)_MOR - Revised Package_~0039877_II.5. RM Volume Sensitivities_Sheet2" xfId="9602"/>
    <cellStyle name="_MOR-BDW_MOR - BDWY - 1+11_MOR - Gurgaon - 3+9(R)_MOR - Revised Package_~0039877_II.5. RM Volume Sensitivities_Sheet3" xfId="9603"/>
    <cellStyle name="_MOR-BDW_MOR - BDWY - 1+11_MOR - Gurgaon - 3+9(R)_MOR - Revised Package_~0039877_II.5. RM Volume Sensitivities_Sheet4" xfId="9604"/>
    <cellStyle name="_MOR-BDW_MOR - BDWY - 1+11_MOR - Gurgaon - 3+9(R)_MOR - Revised Package_~0039877_II.8. Sep&amp;Discrete" xfId="9605"/>
    <cellStyle name="_MOR-BDW_MOR - BDWY - 1+11_MOR - Gurgaon - 3+9(R)_MOR - Revised Package_~0039877_Restructuring &amp; Separation" xfId="9606"/>
    <cellStyle name="_MOR-BDW_MOR - BDWY - 1+11_MOR - Gurgaon - 3+9(R)_MOR - Revised Package_~0039877_Restructuring_Separation_TAX_JuneFC2010 tf" xfId="9607"/>
    <cellStyle name="_MOR-BDW_MOR - BDWY - 1+11_MOR - Gurgaon - 3+9(R)_MOR - Revised Package_~0039877_Restructuring_Separation_TAX_JuneFC2010 tf_BS_Separation_TaxResIndem_Q12412 tf" xfId="9608"/>
    <cellStyle name="_MOR-BDW_MOR - BDWY - 1+11_MOR - Gurgaon - 3+9(R)_MOR - Revised Package_~0039877_Restructuring_Separation_TAX_JuneFC2010 tf_BS_Separation_TaxResIndem_Q12412 tf_Restructuring &amp; Separation" xfId="9609"/>
    <cellStyle name="_MOR-BDW_MOR - BDWY - 1+11_MOR - Gurgaon - 3+9(R)_MOR - Revised Package_~0039877_Restructuring_Separation_TAX_JuneFC2010 tf_II.8. Sep&amp;Discrete" xfId="9610"/>
    <cellStyle name="_MOR-BDW_MOR - BDWY - 1+11_MOR - Gurgaon - 3+9(R)_MOR - Revised Package_~0039877_Restructuring_Separation_TAX_JuneFC2010 tf_Restructuring &amp; Separation" xfId="9611"/>
    <cellStyle name="_MOR-BDW_MOR - BDWY - 1+11_MOR - Gurgaon - 3+9(R)_MOR - Revised Package_BS_Separation_TaxResIndem_Q12412 tf" xfId="9612"/>
    <cellStyle name="_MOR-BDW_MOR - BDWY - 1+11_MOR - Gurgaon - 3+9(R)_MOR - Revised Package_BS_Separation_TaxResIndem_Q12412 tf_Restructuring &amp; Separation" xfId="9613"/>
    <cellStyle name="_MOR-BDW_MOR - BDWY - 1+11_MOR - Gurgaon - 3+9(R)_MOR - Revised Package_By Country Detail 1Q10 041410pm FIN 18 revised per disc w Mary" xfId="9614"/>
    <cellStyle name="_MOR-BDW_MOR - BDWY - 1+11_MOR - Gurgaon - 3+9(R)_MOR - Revised Package_By Country Detail 1Q10 041410pm FIN 18 revised per disc w Mary_BS_Separation_TaxResIndem_Q12412 tf" xfId="9615"/>
    <cellStyle name="_MOR-BDW_MOR - BDWY - 1+11_MOR - Gurgaon - 3+9(R)_MOR - Revised Package_By Country Detail 1Q10 041410pm FIN 18 revised per disc w Mary_BS_Separation_TaxResIndem_Q12412 tf_Restructuring &amp; Separation" xfId="9616"/>
    <cellStyle name="_MOR-BDW_MOR - BDWY - 1+11_MOR - Gurgaon - 3+9(R)_MOR - Revised Package_By Country Detail 1Q10 041410pm FIN 18 revised per disc w Mary_II.8. Sep&amp;Discrete" xfId="9617"/>
    <cellStyle name="_MOR-BDW_MOR - BDWY - 1+11_MOR - Gurgaon - 3+9(R)_MOR - Revised Package_By Country Detail 1Q10 041410pm FIN 18 revised per disc w Mary_Restructuring &amp; Separation" xfId="9618"/>
    <cellStyle name="_MOR-BDW_MOR - BDWY - 1+11_MOR - Gurgaon - 3+9(R)_MOR - Revised Package_II.4. RawMaterials" xfId="9619"/>
    <cellStyle name="_MOR-BDW_MOR - BDWY - 1+11_MOR - Gurgaon - 3+9(R)_MOR - Revised Package_II.4. RawMaterials 2" xfId="9620"/>
    <cellStyle name="_MOR-BDW_MOR - BDWY - 1+11_MOR - Gurgaon - 3+9(R)_MOR - Revised Package_II.4. RawMaterials_BS retrieve" xfId="9621"/>
    <cellStyle name="_MOR-BDW_MOR - BDWY - 1+11_MOR - Gurgaon - 3+9(R)_MOR - Revised Package_II.4. RawMaterials_Free CF" xfId="9622"/>
    <cellStyle name="_MOR-BDW_MOR - BDWY - 1+11_MOR - Gurgaon - 3+9(R)_MOR - Revised Package_II.4. RawMaterials_P&amp;L Rec Qtr" xfId="9623"/>
    <cellStyle name="_MOR-BDW_MOR - BDWY - 1+11_MOR - Gurgaon - 3+9(R)_MOR - Revised Package_II.4. RawMaterials_Sheet1" xfId="9624"/>
    <cellStyle name="_MOR-BDW_MOR - BDWY - 1+11_MOR - Gurgaon - 3+9(R)_MOR - Revised Package_II.4. RawMaterials_Sheet2" xfId="9625"/>
    <cellStyle name="_MOR-BDW_MOR - BDWY - 1+11_MOR - Gurgaon - 3+9(R)_MOR - Revised Package_II.4. RawMaterials_Sheet3" xfId="9626"/>
    <cellStyle name="_MOR-BDW_MOR - BDWY - 1+11_MOR - Gurgaon - 3+9(R)_MOR - Revised Package_II.4. RawMaterials_Sheet4" xfId="9627"/>
    <cellStyle name="_MOR-BDW_MOR - BDWY - 1+11_MOR - Gurgaon - 3+9(R)_MOR - Revised Package_II.5. RawMaterials" xfId="9628"/>
    <cellStyle name="_MOR-BDW_MOR - BDWY - 1+11_MOR - Gurgaon - 3+9(R)_MOR - Revised Package_II.5. RawMaterials 2" xfId="9629"/>
    <cellStyle name="_MOR-BDW_MOR - BDWY - 1+11_MOR - Gurgaon - 3+9(R)_MOR - Revised Package_II.5. RawMaterials_BS retrieve" xfId="9630"/>
    <cellStyle name="_MOR-BDW_MOR - BDWY - 1+11_MOR - Gurgaon - 3+9(R)_MOR - Revised Package_II.5. RawMaterials_Free CF" xfId="9631"/>
    <cellStyle name="_MOR-BDW_MOR - BDWY - 1+11_MOR - Gurgaon - 3+9(R)_MOR - Revised Package_II.5. RawMaterials_P&amp;L Rec Qtr" xfId="9632"/>
    <cellStyle name="_MOR-BDW_MOR - BDWY - 1+11_MOR - Gurgaon - 3+9(R)_MOR - Revised Package_II.5. RawMaterials_Sheet1" xfId="9633"/>
    <cellStyle name="_MOR-BDW_MOR - BDWY - 1+11_MOR - Gurgaon - 3+9(R)_MOR - Revised Package_II.5. RawMaterials_Sheet2" xfId="9634"/>
    <cellStyle name="_MOR-BDW_MOR - BDWY - 1+11_MOR - Gurgaon - 3+9(R)_MOR - Revised Package_II.5. RawMaterials_Sheet3" xfId="9635"/>
    <cellStyle name="_MOR-BDW_MOR - BDWY - 1+11_MOR - Gurgaon - 3+9(R)_MOR - Revised Package_II.5. RawMaterials_Sheet4" xfId="9636"/>
    <cellStyle name="_MOR-BDW_MOR - BDWY - 1+11_MOR - Gurgaon - 3+9(R)_MOR - Revised Package_II.5. RM Volume Sensitivities" xfId="9637"/>
    <cellStyle name="_MOR-BDW_MOR - BDWY - 1+11_MOR - Gurgaon - 3+9(R)_MOR - Revised Package_II.5. RM Volume Sensitivities 2" xfId="9638"/>
    <cellStyle name="_MOR-BDW_MOR - BDWY - 1+11_MOR - Gurgaon - 3+9(R)_MOR - Revised Package_II.5. RM Volume Sensitivities_BS retrieve" xfId="9639"/>
    <cellStyle name="_MOR-BDW_MOR - BDWY - 1+11_MOR - Gurgaon - 3+9(R)_MOR - Revised Package_II.5. RM Volume Sensitivities_Free CF" xfId="9640"/>
    <cellStyle name="_MOR-BDW_MOR - BDWY - 1+11_MOR - Gurgaon - 3+9(R)_MOR - Revised Package_II.5. RM Volume Sensitivities_P&amp;L Rec Qtr" xfId="9641"/>
    <cellStyle name="_MOR-BDW_MOR - BDWY - 1+11_MOR - Gurgaon - 3+9(R)_MOR - Revised Package_II.5. RM Volume Sensitivities_Sheet1" xfId="9642"/>
    <cellStyle name="_MOR-BDW_MOR - BDWY - 1+11_MOR - Gurgaon - 3+9(R)_MOR - Revised Package_II.5. RM Volume Sensitivities_Sheet2" xfId="9643"/>
    <cellStyle name="_MOR-BDW_MOR - BDWY - 1+11_MOR - Gurgaon - 3+9(R)_MOR - Revised Package_II.5. RM Volume Sensitivities_Sheet3" xfId="9644"/>
    <cellStyle name="_MOR-BDW_MOR - BDWY - 1+11_MOR - Gurgaon - 3+9(R)_MOR - Revised Package_II.5. RM Volume Sensitivities_Sheet4" xfId="9645"/>
    <cellStyle name="_MOR-BDW_MOR - BDWY - 1+11_MOR - Gurgaon - 3+9(R)_MOR - Revised Package_II.8. Sep&amp;Discrete" xfId="9646"/>
    <cellStyle name="_MOR-BDW_MOR - BDWY - 1+11_MOR - Gurgaon - 3+9(R)_MOR - Revised Package_Restructuring &amp; Separation" xfId="9647"/>
    <cellStyle name="_MOR-BDW_MOR - BDWY - 1+11_MOR - Gurgaon - 3+9(R)_MOR - Revised Package_Restructuring_Separation_TAX_JuneFC2010 tf" xfId="9648"/>
    <cellStyle name="_MOR-BDW_MOR - BDWY - 1+11_MOR - Gurgaon - 3+9(R)_MOR - Revised Package_Restructuring_Separation_TAX_JuneFC2010 tf_BS_Separation_TaxResIndem_Q12412 tf" xfId="9649"/>
    <cellStyle name="_MOR-BDW_MOR - BDWY - 1+11_MOR - Gurgaon - 3+9(R)_MOR - Revised Package_Restructuring_Separation_TAX_JuneFC2010 tf_BS_Separation_TaxResIndem_Q12412 tf_Restructuring &amp; Separation" xfId="9650"/>
    <cellStyle name="_MOR-BDW_MOR - BDWY - 1+11_MOR - Gurgaon - 3+9(R)_MOR - Revised Package_Restructuring_Separation_TAX_JuneFC2010 tf_II.8. Sep&amp;Discrete" xfId="9651"/>
    <cellStyle name="_MOR-BDW_MOR - BDWY - 1+11_MOR - Gurgaon - 3+9(R)_MOR - Revised Package_Restructuring_Separation_TAX_JuneFC2010 tf_Restructuring &amp; Separation" xfId="9652"/>
    <cellStyle name="_MOR-BDW_MOR - BDWY - 1+11_MOR - Gurgaon - 3+9(R)_MOR - Revised Package_Revised MOR Package - Latest" xfId="9653"/>
    <cellStyle name="_MOR-BDW_MOR - BDWY - 1+11_MOR - Gurgaon - 3+9(R)_MOR - Revised Package_Revised MOR Package - Latest_BS_Separation_TaxResIndem_Q12412 tf" xfId="9654"/>
    <cellStyle name="_MOR-BDW_MOR - BDWY - 1+11_MOR - Gurgaon - 3+9(R)_MOR - Revised Package_Revised MOR Package - Latest_BS_Separation_TaxResIndem_Q12412 tf_Restructuring &amp; Separation" xfId="9655"/>
    <cellStyle name="_MOR-BDW_MOR - BDWY - 1+11_MOR - Gurgaon - 3+9(R)_MOR - Revised Package_Revised MOR Package - Latest_By Country Detail 1Q10 041410pm FIN 18 revised per disc w Mary" xfId="9656"/>
    <cellStyle name="_MOR-BDW_MOR - BDWY - 1+11_MOR - Gurgaon - 3+9(R)_MOR - Revised Package_Revised MOR Package - Latest_By Country Detail 1Q10 041410pm FIN 18 revised per disc w Mary_BS_Separation_TaxResIndem_Q12412 tf" xfId="9657"/>
    <cellStyle name="_MOR-BDW_MOR - BDWY - 1+11_MOR - Gurgaon - 3+9(R)_MOR - Revised Package_Revised MOR Package - Latest_By Country Detail 1Q10 041410pm FIN 18 revised per disc w Mary_BS_Separation_TaxResIndem_Q12412 tf_Restructuring &amp; Separation" xfId="9658"/>
    <cellStyle name="_MOR-BDW_MOR - BDWY - 1+11_MOR - Gurgaon - 3+9(R)_MOR - Revised Package_Revised MOR Package - Latest_By Country Detail 1Q10 041410pm FIN 18 revised per disc w Mary_II.8. Sep&amp;Discrete" xfId="9659"/>
    <cellStyle name="_MOR-BDW_MOR - BDWY - 1+11_MOR - Gurgaon - 3+9(R)_MOR - Revised Package_Revised MOR Package - Latest_By Country Detail 1Q10 041410pm FIN 18 revised per disc w Mary_Restructuring &amp; Separation" xfId="9660"/>
    <cellStyle name="_MOR-BDW_MOR - BDWY - 1+11_MOR - Gurgaon - 3+9(R)_MOR - Revised Package_Revised MOR Package - Latest_II.4. RawMaterials" xfId="9661"/>
    <cellStyle name="_MOR-BDW_MOR - BDWY - 1+11_MOR - Gurgaon - 3+9(R)_MOR - Revised Package_Revised MOR Package - Latest_II.4. RawMaterials 2" xfId="9662"/>
    <cellStyle name="_MOR-BDW_MOR - BDWY - 1+11_MOR - Gurgaon - 3+9(R)_MOR - Revised Package_Revised MOR Package - Latest_II.4. RawMaterials_BS retrieve" xfId="9663"/>
    <cellStyle name="_MOR-BDW_MOR - BDWY - 1+11_MOR - Gurgaon - 3+9(R)_MOR - Revised Package_Revised MOR Package - Latest_II.4. RawMaterials_Free CF" xfId="9664"/>
    <cellStyle name="_MOR-BDW_MOR - BDWY - 1+11_MOR - Gurgaon - 3+9(R)_MOR - Revised Package_Revised MOR Package - Latest_II.4. RawMaterials_P&amp;L Rec Qtr" xfId="9665"/>
    <cellStyle name="_MOR-BDW_MOR - BDWY - 1+11_MOR - Gurgaon - 3+9(R)_MOR - Revised Package_Revised MOR Package - Latest_II.4. RawMaterials_Sheet1" xfId="9666"/>
    <cellStyle name="_MOR-BDW_MOR - BDWY - 1+11_MOR - Gurgaon - 3+9(R)_MOR - Revised Package_Revised MOR Package - Latest_II.4. RawMaterials_Sheet2" xfId="9667"/>
    <cellStyle name="_MOR-BDW_MOR - BDWY - 1+11_MOR - Gurgaon - 3+9(R)_MOR - Revised Package_Revised MOR Package - Latest_II.4. RawMaterials_Sheet3" xfId="9668"/>
    <cellStyle name="_MOR-BDW_MOR - BDWY - 1+11_MOR - Gurgaon - 3+9(R)_MOR - Revised Package_Revised MOR Package - Latest_II.4. RawMaterials_Sheet4" xfId="9669"/>
    <cellStyle name="_MOR-BDW_MOR - BDWY - 1+11_MOR - Gurgaon - 3+9(R)_MOR - Revised Package_Revised MOR Package - Latest_II.5. RawMaterials" xfId="9670"/>
    <cellStyle name="_MOR-BDW_MOR - BDWY - 1+11_MOR - Gurgaon - 3+9(R)_MOR - Revised Package_Revised MOR Package - Latest_II.5. RawMaterials 2" xfId="9671"/>
    <cellStyle name="_MOR-BDW_MOR - BDWY - 1+11_MOR - Gurgaon - 3+9(R)_MOR - Revised Package_Revised MOR Package - Latest_II.5. RawMaterials_BS retrieve" xfId="9672"/>
    <cellStyle name="_MOR-BDW_MOR - BDWY - 1+11_MOR - Gurgaon - 3+9(R)_MOR - Revised Package_Revised MOR Package - Latest_II.5. RawMaterials_Free CF" xfId="9673"/>
    <cellStyle name="_MOR-BDW_MOR - BDWY - 1+11_MOR - Gurgaon - 3+9(R)_MOR - Revised Package_Revised MOR Package - Latest_II.5. RawMaterials_P&amp;L Rec Qtr" xfId="9674"/>
    <cellStyle name="_MOR-BDW_MOR - BDWY - 1+11_MOR - Gurgaon - 3+9(R)_MOR - Revised Package_Revised MOR Package - Latest_II.5. RawMaterials_Sheet1" xfId="9675"/>
    <cellStyle name="_MOR-BDW_MOR - BDWY - 1+11_MOR - Gurgaon - 3+9(R)_MOR - Revised Package_Revised MOR Package - Latest_II.5. RawMaterials_Sheet2" xfId="9676"/>
    <cellStyle name="_MOR-BDW_MOR - BDWY - 1+11_MOR - Gurgaon - 3+9(R)_MOR - Revised Package_Revised MOR Package - Latest_II.5. RawMaterials_Sheet3" xfId="9677"/>
    <cellStyle name="_MOR-BDW_MOR - BDWY - 1+11_MOR - Gurgaon - 3+9(R)_MOR - Revised Package_Revised MOR Package - Latest_II.5. RawMaterials_Sheet4" xfId="9678"/>
    <cellStyle name="_MOR-BDW_MOR - BDWY - 1+11_MOR - Gurgaon - 3+9(R)_MOR - Revised Package_Revised MOR Package - Latest_II.5. RM Volume Sensitivities" xfId="9679"/>
    <cellStyle name="_MOR-BDW_MOR - BDWY - 1+11_MOR - Gurgaon - 3+9(R)_MOR - Revised Package_Revised MOR Package - Latest_II.5. RM Volume Sensitivities 2" xfId="9680"/>
    <cellStyle name="_MOR-BDW_MOR - BDWY - 1+11_MOR - Gurgaon - 3+9(R)_MOR - Revised Package_Revised MOR Package - Latest_II.5. RM Volume Sensitivities_BS retrieve" xfId="9681"/>
    <cellStyle name="_MOR-BDW_MOR - BDWY - 1+11_MOR - Gurgaon - 3+9(R)_MOR - Revised Package_Revised MOR Package - Latest_II.5. RM Volume Sensitivities_Free CF" xfId="9682"/>
    <cellStyle name="_MOR-BDW_MOR - BDWY - 1+11_MOR - Gurgaon - 3+9(R)_MOR - Revised Package_Revised MOR Package - Latest_II.5. RM Volume Sensitivities_P&amp;L Rec Qtr" xfId="9683"/>
    <cellStyle name="_MOR-BDW_MOR - BDWY - 1+11_MOR - Gurgaon - 3+9(R)_MOR - Revised Package_Revised MOR Package - Latest_II.5. RM Volume Sensitivities_Sheet1" xfId="9684"/>
    <cellStyle name="_MOR-BDW_MOR - BDWY - 1+11_MOR - Gurgaon - 3+9(R)_MOR - Revised Package_Revised MOR Package - Latest_II.5. RM Volume Sensitivities_Sheet2" xfId="9685"/>
    <cellStyle name="_MOR-BDW_MOR - BDWY - 1+11_MOR - Gurgaon - 3+9(R)_MOR - Revised Package_Revised MOR Package - Latest_II.5. RM Volume Sensitivities_Sheet3" xfId="9686"/>
    <cellStyle name="_MOR-BDW_MOR - BDWY - 1+11_MOR - Gurgaon - 3+9(R)_MOR - Revised Package_Revised MOR Package - Latest_II.5. RM Volume Sensitivities_Sheet4" xfId="9687"/>
    <cellStyle name="_MOR-BDW_MOR - BDWY - 1+11_MOR - Gurgaon - 3+9(R)_MOR - Revised Package_Revised MOR Package - Latest_II.8. Sep&amp;Discrete" xfId="9688"/>
    <cellStyle name="_MOR-BDW_MOR - BDWY - 1+11_MOR - Gurgaon - 3+9(R)_MOR - Revised Package_Revised MOR Package - Latest_Restructuring &amp; Separation" xfId="9689"/>
    <cellStyle name="_MOR-BDW_MOR - BDWY - 1+11_MOR - Gurgaon - 3+9(R)_MOR - Revised Package_Revised MOR Package - Latest_Restructuring_Separation_TAX_JuneFC2010 tf" xfId="9690"/>
    <cellStyle name="_MOR-BDW_MOR - BDWY - 1+11_MOR - Gurgaon - 3+9(R)_MOR - Revised Package_Revised MOR Package - Latest_Restructuring_Separation_TAX_JuneFC2010 tf_BS_Separation_TaxResIndem_Q12412 tf" xfId="9691"/>
    <cellStyle name="_MOR-BDW_MOR - BDWY - 1+11_MOR - Gurgaon - 3+9(R)_MOR - Revised Package_Revised MOR Package - Latest_Restructuring_Separation_TAX_JuneFC2010 tf_BS_Separation_TaxResIndem_Q12412 tf_Restructuring &amp; Separation" xfId="9692"/>
    <cellStyle name="_MOR-BDW_MOR - BDWY - 1+11_MOR - Gurgaon - 3+9(R)_MOR - Revised Package_Revised MOR Package - Latest_Restructuring_Separation_TAX_JuneFC2010 tf_II.8. Sep&amp;Discrete" xfId="9693"/>
    <cellStyle name="_MOR-BDW_MOR - BDWY - 1+11_MOR - Gurgaon - 3+9(R)_MOR - Revised Package_Revised MOR Package - Latest_Restructuring_Separation_TAX_JuneFC2010 tf_Restructuring &amp; Separation" xfId="9694"/>
    <cellStyle name="_MOR-BDW_MOR - BDWY - 1+11_MOR - Gurgaon - 3+9(R)_Restructuring &amp; Separation" xfId="9695"/>
    <cellStyle name="_MOR-BDW_MOR - BDWY - 1+11_MOR - Gurgaon - 3+9(R)_Restructuring_Separation_TAX_JuneFC2010 tf" xfId="9696"/>
    <cellStyle name="_MOR-BDW_MOR - BDWY - 1+11_MOR - Gurgaon - 3+9(R)_Restructuring_Separation_TAX_JuneFC2010 tf_BS_Separation_TaxResIndem_Q12412 tf" xfId="9697"/>
    <cellStyle name="_MOR-BDW_MOR - BDWY - 1+11_MOR - Gurgaon - 3+9(R)_Restructuring_Separation_TAX_JuneFC2010 tf_BS_Separation_TaxResIndem_Q12412 tf_Restructuring &amp; Separation" xfId="9698"/>
    <cellStyle name="_MOR-BDW_MOR - BDWY - 1+11_MOR - Gurgaon - 3+9(R)_Restructuring_Separation_TAX_JuneFC2010 tf_II.8. Sep&amp;Discrete" xfId="9699"/>
    <cellStyle name="_MOR-BDW_MOR - BDWY - 1+11_MOR - Gurgaon - 3+9(R)_Restructuring_Separation_TAX_JuneFC2010 tf_Restructuring &amp; Separation" xfId="9700"/>
    <cellStyle name="_MOR-BDW_MOR - BDWY - 1+11_MOR - Gurgaon - 3+9(R)_Revised MOR Package" xfId="9701"/>
    <cellStyle name="_MOR-BDW_MOR - BDWY - 1+11_MOR - Gurgaon - 3+9(R)_Revised MOR Package_~0039877" xfId="9702"/>
    <cellStyle name="_MOR-BDW_MOR - BDWY - 1+11_MOR - Gurgaon - 3+9(R)_Revised MOR Package_~0039877_BS_Separation_TaxResIndem_Q12412 tf" xfId="9703"/>
    <cellStyle name="_MOR-BDW_MOR - BDWY - 1+11_MOR - Gurgaon - 3+9(R)_Revised MOR Package_~0039877_BS_Separation_TaxResIndem_Q12412 tf_Restructuring &amp; Separation" xfId="9704"/>
    <cellStyle name="_MOR-BDW_MOR - BDWY - 1+11_MOR - Gurgaon - 3+9(R)_Revised MOR Package_~0039877_By Country Detail 1Q10 041410pm FIN 18 revised per disc w Mary" xfId="9705"/>
    <cellStyle name="_MOR-BDW_MOR - BDWY - 1+11_MOR - Gurgaon - 3+9(R)_Revised MOR Package_~0039877_By Country Detail 1Q10 041410pm FIN 18 revised per disc w Mary_BS_Separation_TaxResIndem_Q12412 tf" xfId="9706"/>
    <cellStyle name="_MOR-BDW_MOR - BDWY - 1+11_MOR - Gurgaon - 3+9(R)_Revised MOR Package_~0039877_By Country Detail 1Q10 041410pm FIN 18 revised per disc w Mary_BS_Separation_TaxResIndem_Q12412 tf_Restructuring &amp; Separation" xfId="9707"/>
    <cellStyle name="_MOR-BDW_MOR - BDWY - 1+11_MOR - Gurgaon - 3+9(R)_Revised MOR Package_~0039877_By Country Detail 1Q10 041410pm FIN 18 revised per disc w Mary_II.8. Sep&amp;Discrete" xfId="9708"/>
    <cellStyle name="_MOR-BDW_MOR - BDWY - 1+11_MOR - Gurgaon - 3+9(R)_Revised MOR Package_~0039877_By Country Detail 1Q10 041410pm FIN 18 revised per disc w Mary_Restructuring &amp; Separation" xfId="9709"/>
    <cellStyle name="_MOR-BDW_MOR - BDWY - 1+11_MOR - Gurgaon - 3+9(R)_Revised MOR Package_~0039877_II.4. RawMaterials" xfId="9710"/>
    <cellStyle name="_MOR-BDW_MOR - BDWY - 1+11_MOR - Gurgaon - 3+9(R)_Revised MOR Package_~0039877_II.4. RawMaterials 2" xfId="9711"/>
    <cellStyle name="_MOR-BDW_MOR - BDWY - 1+11_MOR - Gurgaon - 3+9(R)_Revised MOR Package_~0039877_II.4. RawMaterials_BS retrieve" xfId="9712"/>
    <cellStyle name="_MOR-BDW_MOR - BDWY - 1+11_MOR - Gurgaon - 3+9(R)_Revised MOR Package_~0039877_II.4. RawMaterials_Free CF" xfId="9713"/>
    <cellStyle name="_MOR-BDW_MOR - BDWY - 1+11_MOR - Gurgaon - 3+9(R)_Revised MOR Package_~0039877_II.4. RawMaterials_P&amp;L Rec Qtr" xfId="9714"/>
    <cellStyle name="_MOR-BDW_MOR - BDWY - 1+11_MOR - Gurgaon - 3+9(R)_Revised MOR Package_~0039877_II.4. RawMaterials_Sheet1" xfId="9715"/>
    <cellStyle name="_MOR-BDW_MOR - BDWY - 1+11_MOR - Gurgaon - 3+9(R)_Revised MOR Package_~0039877_II.4. RawMaterials_Sheet2" xfId="9716"/>
    <cellStyle name="_MOR-BDW_MOR - BDWY - 1+11_MOR - Gurgaon - 3+9(R)_Revised MOR Package_~0039877_II.4. RawMaterials_Sheet3" xfId="9717"/>
    <cellStyle name="_MOR-BDW_MOR - BDWY - 1+11_MOR - Gurgaon - 3+9(R)_Revised MOR Package_~0039877_II.4. RawMaterials_Sheet4" xfId="9718"/>
    <cellStyle name="_MOR-BDW_MOR - BDWY - 1+11_MOR - Gurgaon - 3+9(R)_Revised MOR Package_~0039877_II.5. RawMaterials" xfId="9719"/>
    <cellStyle name="_MOR-BDW_MOR - BDWY - 1+11_MOR - Gurgaon - 3+9(R)_Revised MOR Package_~0039877_II.5. RawMaterials 2" xfId="9720"/>
    <cellStyle name="_MOR-BDW_MOR - BDWY - 1+11_MOR - Gurgaon - 3+9(R)_Revised MOR Package_~0039877_II.5. RawMaterials_BS retrieve" xfId="9721"/>
    <cellStyle name="_MOR-BDW_MOR - BDWY - 1+11_MOR - Gurgaon - 3+9(R)_Revised MOR Package_~0039877_II.5. RawMaterials_Free CF" xfId="9722"/>
    <cellStyle name="_MOR-BDW_MOR - BDWY - 1+11_MOR - Gurgaon - 3+9(R)_Revised MOR Package_~0039877_II.5. RawMaterials_P&amp;L Rec Qtr" xfId="9723"/>
    <cellStyle name="_MOR-BDW_MOR - BDWY - 1+11_MOR - Gurgaon - 3+9(R)_Revised MOR Package_~0039877_II.5. RawMaterials_Sheet1" xfId="9724"/>
    <cellStyle name="_MOR-BDW_MOR - BDWY - 1+11_MOR - Gurgaon - 3+9(R)_Revised MOR Package_~0039877_II.5. RawMaterials_Sheet2" xfId="9725"/>
    <cellStyle name="_MOR-BDW_MOR - BDWY - 1+11_MOR - Gurgaon - 3+9(R)_Revised MOR Package_~0039877_II.5. RawMaterials_Sheet3" xfId="9726"/>
    <cellStyle name="_MOR-BDW_MOR - BDWY - 1+11_MOR - Gurgaon - 3+9(R)_Revised MOR Package_~0039877_II.5. RawMaterials_Sheet4" xfId="9727"/>
    <cellStyle name="_MOR-BDW_MOR - BDWY - 1+11_MOR - Gurgaon - 3+9(R)_Revised MOR Package_~0039877_II.5. RM Volume Sensitivities" xfId="9728"/>
    <cellStyle name="_MOR-BDW_MOR - BDWY - 1+11_MOR - Gurgaon - 3+9(R)_Revised MOR Package_~0039877_II.5. RM Volume Sensitivities 2" xfId="9729"/>
    <cellStyle name="_MOR-BDW_MOR - BDWY - 1+11_MOR - Gurgaon - 3+9(R)_Revised MOR Package_~0039877_II.5. RM Volume Sensitivities_BS retrieve" xfId="9730"/>
    <cellStyle name="_MOR-BDW_MOR - BDWY - 1+11_MOR - Gurgaon - 3+9(R)_Revised MOR Package_~0039877_II.5. RM Volume Sensitivities_Free CF" xfId="9731"/>
    <cellStyle name="_MOR-BDW_MOR - BDWY - 1+11_MOR - Gurgaon - 3+9(R)_Revised MOR Package_~0039877_II.5. RM Volume Sensitivities_P&amp;L Rec Qtr" xfId="9732"/>
    <cellStyle name="_MOR-BDW_MOR - BDWY - 1+11_MOR - Gurgaon - 3+9(R)_Revised MOR Package_~0039877_II.5. RM Volume Sensitivities_Sheet1" xfId="9733"/>
    <cellStyle name="_MOR-BDW_MOR - BDWY - 1+11_MOR - Gurgaon - 3+9(R)_Revised MOR Package_~0039877_II.5. RM Volume Sensitivities_Sheet2" xfId="9734"/>
    <cellStyle name="_MOR-BDW_MOR - BDWY - 1+11_MOR - Gurgaon - 3+9(R)_Revised MOR Package_~0039877_II.5. RM Volume Sensitivities_Sheet3" xfId="9735"/>
    <cellStyle name="_MOR-BDW_MOR - BDWY - 1+11_MOR - Gurgaon - 3+9(R)_Revised MOR Package_~0039877_II.5. RM Volume Sensitivities_Sheet4" xfId="9736"/>
    <cellStyle name="_MOR-BDW_MOR - BDWY - 1+11_MOR - Gurgaon - 3+9(R)_Revised MOR Package_~0039877_II.8. Sep&amp;Discrete" xfId="9737"/>
    <cellStyle name="_MOR-BDW_MOR - BDWY - 1+11_MOR - Gurgaon - 3+9(R)_Revised MOR Package_~0039877_Restructuring &amp; Separation" xfId="9738"/>
    <cellStyle name="_MOR-BDW_MOR - BDWY - 1+11_MOR - Gurgaon - 3+9(R)_Revised MOR Package_~0039877_Restructuring_Separation_TAX_JuneFC2010 tf" xfId="9739"/>
    <cellStyle name="_MOR-BDW_MOR - BDWY - 1+11_MOR - Gurgaon - 3+9(R)_Revised MOR Package_~0039877_Restructuring_Separation_TAX_JuneFC2010 tf_BS_Separation_TaxResIndem_Q12412 tf" xfId="9740"/>
    <cellStyle name="_MOR-BDW_MOR - BDWY - 1+11_MOR - Gurgaon - 3+9(R)_Revised MOR Package_~0039877_Restructuring_Separation_TAX_JuneFC2010 tf_BS_Separation_TaxResIndem_Q12412 tf_Restructuring &amp; Separation" xfId="9741"/>
    <cellStyle name="_MOR-BDW_MOR - BDWY - 1+11_MOR - Gurgaon - 3+9(R)_Revised MOR Package_~0039877_Restructuring_Separation_TAX_JuneFC2010 tf_II.8. Sep&amp;Discrete" xfId="9742"/>
    <cellStyle name="_MOR-BDW_MOR - BDWY - 1+11_MOR - Gurgaon - 3+9(R)_Revised MOR Package_~0039877_Restructuring_Separation_TAX_JuneFC2010 tf_Restructuring &amp; Separation" xfId="9743"/>
    <cellStyle name="_MOR-BDW_MOR - BDWY - 1+11_MOR - Gurgaon - 3+9(R)_Revised MOR Package_BS_Separation_TaxResIndem_Q12412 tf" xfId="9744"/>
    <cellStyle name="_MOR-BDW_MOR - BDWY - 1+11_MOR - Gurgaon - 3+9(R)_Revised MOR Package_BS_Separation_TaxResIndem_Q12412 tf_Restructuring &amp; Separation" xfId="9745"/>
    <cellStyle name="_MOR-BDW_MOR - BDWY - 1+11_MOR - Gurgaon - 3+9(R)_Revised MOR Package_By Country Detail 1Q10 041410pm FIN 18 revised per disc w Mary" xfId="9746"/>
    <cellStyle name="_MOR-BDW_MOR - BDWY - 1+11_MOR - Gurgaon - 3+9(R)_Revised MOR Package_By Country Detail 1Q10 041410pm FIN 18 revised per disc w Mary_BS_Separation_TaxResIndem_Q12412 tf" xfId="9747"/>
    <cellStyle name="_MOR-BDW_MOR - BDWY - 1+11_MOR - Gurgaon - 3+9(R)_Revised MOR Package_By Country Detail 1Q10 041410pm FIN 18 revised per disc w Mary_BS_Separation_TaxResIndem_Q12412 tf_Restructuring &amp; Separation" xfId="9748"/>
    <cellStyle name="_MOR-BDW_MOR - BDWY - 1+11_MOR - Gurgaon - 3+9(R)_Revised MOR Package_By Country Detail 1Q10 041410pm FIN 18 revised per disc w Mary_II.8. Sep&amp;Discrete" xfId="9749"/>
    <cellStyle name="_MOR-BDW_MOR - BDWY - 1+11_MOR - Gurgaon - 3+9(R)_Revised MOR Package_By Country Detail 1Q10 041410pm FIN 18 revised per disc w Mary_Restructuring &amp; Separation" xfId="9750"/>
    <cellStyle name="_MOR-BDW_MOR - BDWY - 1+11_MOR - Gurgaon - 3+9(R)_Revised MOR Package_II.4. RawMaterials" xfId="9751"/>
    <cellStyle name="_MOR-BDW_MOR - BDWY - 1+11_MOR - Gurgaon - 3+9(R)_Revised MOR Package_II.4. RawMaterials 2" xfId="9752"/>
    <cellStyle name="_MOR-BDW_MOR - BDWY - 1+11_MOR - Gurgaon - 3+9(R)_Revised MOR Package_II.4. RawMaterials_BS retrieve" xfId="9753"/>
    <cellStyle name="_MOR-BDW_MOR - BDWY - 1+11_MOR - Gurgaon - 3+9(R)_Revised MOR Package_II.4. RawMaterials_Free CF" xfId="9754"/>
    <cellStyle name="_MOR-BDW_MOR - BDWY - 1+11_MOR - Gurgaon - 3+9(R)_Revised MOR Package_II.4. RawMaterials_P&amp;L Rec Qtr" xfId="9755"/>
    <cellStyle name="_MOR-BDW_MOR - BDWY - 1+11_MOR - Gurgaon - 3+9(R)_Revised MOR Package_II.4. RawMaterials_Sheet1" xfId="9756"/>
    <cellStyle name="_MOR-BDW_MOR - BDWY - 1+11_MOR - Gurgaon - 3+9(R)_Revised MOR Package_II.4. RawMaterials_Sheet2" xfId="9757"/>
    <cellStyle name="_MOR-BDW_MOR - BDWY - 1+11_MOR - Gurgaon - 3+9(R)_Revised MOR Package_II.4. RawMaterials_Sheet3" xfId="9758"/>
    <cellStyle name="_MOR-BDW_MOR - BDWY - 1+11_MOR - Gurgaon - 3+9(R)_Revised MOR Package_II.4. RawMaterials_Sheet4" xfId="9759"/>
    <cellStyle name="_MOR-BDW_MOR - BDWY - 1+11_MOR - Gurgaon - 3+9(R)_Revised MOR Package_II.5. RawMaterials" xfId="9760"/>
    <cellStyle name="_MOR-BDW_MOR - BDWY - 1+11_MOR - Gurgaon - 3+9(R)_Revised MOR Package_II.5. RawMaterials 2" xfId="9761"/>
    <cellStyle name="_MOR-BDW_MOR - BDWY - 1+11_MOR - Gurgaon - 3+9(R)_Revised MOR Package_II.5. RawMaterials_BS retrieve" xfId="9762"/>
    <cellStyle name="_MOR-BDW_MOR - BDWY - 1+11_MOR - Gurgaon - 3+9(R)_Revised MOR Package_II.5. RawMaterials_Free CF" xfId="9763"/>
    <cellStyle name="_MOR-BDW_MOR - BDWY - 1+11_MOR - Gurgaon - 3+9(R)_Revised MOR Package_II.5. RawMaterials_P&amp;L Rec Qtr" xfId="9764"/>
    <cellStyle name="_MOR-BDW_MOR - BDWY - 1+11_MOR - Gurgaon - 3+9(R)_Revised MOR Package_II.5. RawMaterials_Sheet1" xfId="9765"/>
    <cellStyle name="_MOR-BDW_MOR - BDWY - 1+11_MOR - Gurgaon - 3+9(R)_Revised MOR Package_II.5. RawMaterials_Sheet2" xfId="9766"/>
    <cellStyle name="_MOR-BDW_MOR - BDWY - 1+11_MOR - Gurgaon - 3+9(R)_Revised MOR Package_II.5. RawMaterials_Sheet3" xfId="9767"/>
    <cellStyle name="_MOR-BDW_MOR - BDWY - 1+11_MOR - Gurgaon - 3+9(R)_Revised MOR Package_II.5. RawMaterials_Sheet4" xfId="9768"/>
    <cellStyle name="_MOR-BDW_MOR - BDWY - 1+11_MOR - Gurgaon - 3+9(R)_Revised MOR Package_II.5. RM Volume Sensitivities" xfId="9769"/>
    <cellStyle name="_MOR-BDW_MOR - BDWY - 1+11_MOR - Gurgaon - 3+9(R)_Revised MOR Package_II.5. RM Volume Sensitivities 2" xfId="9770"/>
    <cellStyle name="_MOR-BDW_MOR - BDWY - 1+11_MOR - Gurgaon - 3+9(R)_Revised MOR Package_II.5. RM Volume Sensitivities_BS retrieve" xfId="9771"/>
    <cellStyle name="_MOR-BDW_MOR - BDWY - 1+11_MOR - Gurgaon - 3+9(R)_Revised MOR Package_II.5. RM Volume Sensitivities_Free CF" xfId="9772"/>
    <cellStyle name="_MOR-BDW_MOR - BDWY - 1+11_MOR - Gurgaon - 3+9(R)_Revised MOR Package_II.5. RM Volume Sensitivities_P&amp;L Rec Qtr" xfId="9773"/>
    <cellStyle name="_MOR-BDW_MOR - BDWY - 1+11_MOR - Gurgaon - 3+9(R)_Revised MOR Package_II.5. RM Volume Sensitivities_Sheet1" xfId="9774"/>
    <cellStyle name="_MOR-BDW_MOR - BDWY - 1+11_MOR - Gurgaon - 3+9(R)_Revised MOR Package_II.5. RM Volume Sensitivities_Sheet2" xfId="9775"/>
    <cellStyle name="_MOR-BDW_MOR - BDWY - 1+11_MOR - Gurgaon - 3+9(R)_Revised MOR Package_II.5. RM Volume Sensitivities_Sheet3" xfId="9776"/>
    <cellStyle name="_MOR-BDW_MOR - BDWY - 1+11_MOR - Gurgaon - 3+9(R)_Revised MOR Package_II.5. RM Volume Sensitivities_Sheet4" xfId="9777"/>
    <cellStyle name="_MOR-BDW_MOR - BDWY - 1+11_MOR - Gurgaon - 3+9(R)_Revised MOR Package_II.8. Sep&amp;Discrete" xfId="9778"/>
    <cellStyle name="_MOR-BDW_MOR - BDWY - 1+11_MOR - Gurgaon - 3+9(R)_Revised MOR Package_Restructuring &amp; Separation" xfId="9779"/>
    <cellStyle name="_MOR-BDW_MOR - BDWY - 1+11_MOR - Gurgaon - 3+9(R)_Revised MOR Package_Restructuring_Separation_TAX_JuneFC2010 tf" xfId="9780"/>
    <cellStyle name="_MOR-BDW_MOR - BDWY - 1+11_MOR - Gurgaon - 3+9(R)_Revised MOR Package_Restructuring_Separation_TAX_JuneFC2010 tf_BS_Separation_TaxResIndem_Q12412 tf" xfId="9781"/>
    <cellStyle name="_MOR-BDW_MOR - BDWY - 1+11_MOR - Gurgaon - 3+9(R)_Revised MOR Package_Restructuring_Separation_TAX_JuneFC2010 tf_BS_Separation_TaxResIndem_Q12412 tf_Restructuring &amp; Separation" xfId="9782"/>
    <cellStyle name="_MOR-BDW_MOR - BDWY - 1+11_MOR - Gurgaon - 3+9(R)_Revised MOR Package_Restructuring_Separation_TAX_JuneFC2010 tf_II.8. Sep&amp;Discrete" xfId="9783"/>
    <cellStyle name="_MOR-BDW_MOR - BDWY - 1+11_MOR - Gurgaon - 3+9(R)_Revised MOR Package_Restructuring_Separation_TAX_JuneFC2010 tf_Restructuring &amp; Separation" xfId="9784"/>
    <cellStyle name="_MOR-BDW_MOR - BDWY - 1+11_MOR - Gurgaon - 3+9(R)_Revised MOR Package_Revised MOR Package - Latest" xfId="9785"/>
    <cellStyle name="_MOR-BDW_MOR - BDWY - 1+11_MOR - Gurgaon - 3+9(R)_Revised MOR Package_Revised MOR Package - Latest_BS_Separation_TaxResIndem_Q12412 tf" xfId="9786"/>
    <cellStyle name="_MOR-BDW_MOR - BDWY - 1+11_MOR - Gurgaon - 3+9(R)_Revised MOR Package_Revised MOR Package - Latest_BS_Separation_TaxResIndem_Q12412 tf_Restructuring &amp; Separation" xfId="9787"/>
    <cellStyle name="_MOR-BDW_MOR - BDWY - 1+11_MOR - Gurgaon - 3+9(R)_Revised MOR Package_Revised MOR Package - Latest_By Country Detail 1Q10 041410pm FIN 18 revised per disc w Mary" xfId="9788"/>
    <cellStyle name="_MOR-BDW_MOR - BDWY - 1+11_MOR - Gurgaon - 3+9(R)_Revised MOR Package_Revised MOR Package - Latest_By Country Detail 1Q10 041410pm FIN 18 revised per disc w Mary_BS_Separation_TaxResIndem_Q12412 tf" xfId="9789"/>
    <cellStyle name="_MOR-BDW_MOR - BDWY - 1+11_MOR - Gurgaon - 3+9(R)_Revised MOR Package_Revised MOR Package - Latest_By Country Detail 1Q10 041410pm FIN 18 revised per disc w Mary_BS_Separation_TaxResIndem_Q12412 tf_Restructuring &amp; Separation" xfId="9790"/>
    <cellStyle name="_MOR-BDW_MOR - BDWY - 1+11_MOR - Gurgaon - 3+9(R)_Revised MOR Package_Revised MOR Package - Latest_By Country Detail 1Q10 041410pm FIN 18 revised per disc w Mary_II.8. Sep&amp;Discrete" xfId="9791"/>
    <cellStyle name="_MOR-BDW_MOR - BDWY - 1+11_MOR - Gurgaon - 3+9(R)_Revised MOR Package_Revised MOR Package - Latest_By Country Detail 1Q10 041410pm FIN 18 revised per disc w Mary_Restructuring &amp; Separation" xfId="9792"/>
    <cellStyle name="_MOR-BDW_MOR - BDWY - 1+11_MOR - Gurgaon - 3+9(R)_Revised MOR Package_Revised MOR Package - Latest_II.4. RawMaterials" xfId="9793"/>
    <cellStyle name="_MOR-BDW_MOR - BDWY - 1+11_MOR - Gurgaon - 3+9(R)_Revised MOR Package_Revised MOR Package - Latest_II.4. RawMaterials 2" xfId="9794"/>
    <cellStyle name="_MOR-BDW_MOR - BDWY - 1+11_MOR - Gurgaon - 3+9(R)_Revised MOR Package_Revised MOR Package - Latest_II.4. RawMaterials_BS retrieve" xfId="9795"/>
    <cellStyle name="_MOR-BDW_MOR - BDWY - 1+11_MOR - Gurgaon - 3+9(R)_Revised MOR Package_Revised MOR Package - Latest_II.4. RawMaterials_Free CF" xfId="9796"/>
    <cellStyle name="_MOR-BDW_MOR - BDWY - 1+11_MOR - Gurgaon - 3+9(R)_Revised MOR Package_Revised MOR Package - Latest_II.4. RawMaterials_P&amp;L Rec Qtr" xfId="9797"/>
    <cellStyle name="_MOR-BDW_MOR - BDWY - 1+11_MOR - Gurgaon - 3+9(R)_Revised MOR Package_Revised MOR Package - Latest_II.4. RawMaterials_Sheet1" xfId="9798"/>
    <cellStyle name="_MOR-BDW_MOR - BDWY - 1+11_MOR - Gurgaon - 3+9(R)_Revised MOR Package_Revised MOR Package - Latest_II.4. RawMaterials_Sheet2" xfId="9799"/>
    <cellStyle name="_MOR-BDW_MOR - BDWY - 1+11_MOR - Gurgaon - 3+9(R)_Revised MOR Package_Revised MOR Package - Latest_II.4. RawMaterials_Sheet3" xfId="9800"/>
    <cellStyle name="_MOR-BDW_MOR - BDWY - 1+11_MOR - Gurgaon - 3+9(R)_Revised MOR Package_Revised MOR Package - Latest_II.4. RawMaterials_Sheet4" xfId="9801"/>
    <cellStyle name="_MOR-BDW_MOR - BDWY - 1+11_MOR - Gurgaon - 3+9(R)_Revised MOR Package_Revised MOR Package - Latest_II.5. RawMaterials" xfId="9802"/>
    <cellStyle name="_MOR-BDW_MOR - BDWY - 1+11_MOR - Gurgaon - 3+9(R)_Revised MOR Package_Revised MOR Package - Latest_II.5. RawMaterials 2" xfId="9803"/>
    <cellStyle name="_MOR-BDW_MOR - BDWY - 1+11_MOR - Gurgaon - 3+9(R)_Revised MOR Package_Revised MOR Package - Latest_II.5. RawMaterials_BS retrieve" xfId="9804"/>
    <cellStyle name="_MOR-BDW_MOR - BDWY - 1+11_MOR - Gurgaon - 3+9(R)_Revised MOR Package_Revised MOR Package - Latest_II.5. RawMaterials_Free CF" xfId="9805"/>
    <cellStyle name="_MOR-BDW_MOR - BDWY - 1+11_MOR - Gurgaon - 3+9(R)_Revised MOR Package_Revised MOR Package - Latest_II.5. RawMaterials_P&amp;L Rec Qtr" xfId="9806"/>
    <cellStyle name="_MOR-BDW_MOR - BDWY - 1+11_MOR - Gurgaon - 3+9(R)_Revised MOR Package_Revised MOR Package - Latest_II.5. RawMaterials_Sheet1" xfId="9807"/>
    <cellStyle name="_MOR-BDW_MOR - BDWY - 1+11_MOR - Gurgaon - 3+9(R)_Revised MOR Package_Revised MOR Package - Latest_II.5. RawMaterials_Sheet2" xfId="9808"/>
    <cellStyle name="_MOR-BDW_MOR - BDWY - 1+11_MOR - Gurgaon - 3+9(R)_Revised MOR Package_Revised MOR Package - Latest_II.5. RawMaterials_Sheet3" xfId="9809"/>
    <cellStyle name="_MOR-BDW_MOR - BDWY - 1+11_MOR - Gurgaon - 3+9(R)_Revised MOR Package_Revised MOR Package - Latest_II.5. RawMaterials_Sheet4" xfId="9810"/>
    <cellStyle name="_MOR-BDW_MOR - BDWY - 1+11_MOR - Gurgaon - 3+9(R)_Revised MOR Package_Revised MOR Package - Latest_II.5. RM Volume Sensitivities" xfId="9811"/>
    <cellStyle name="_MOR-BDW_MOR - BDWY - 1+11_MOR - Gurgaon - 3+9(R)_Revised MOR Package_Revised MOR Package - Latest_II.5. RM Volume Sensitivities 2" xfId="9812"/>
    <cellStyle name="_MOR-BDW_MOR - BDWY - 1+11_MOR - Gurgaon - 3+9(R)_Revised MOR Package_Revised MOR Package - Latest_II.5. RM Volume Sensitivities_BS retrieve" xfId="9813"/>
    <cellStyle name="_MOR-BDW_MOR - BDWY - 1+11_MOR - Gurgaon - 3+9(R)_Revised MOR Package_Revised MOR Package - Latest_II.5. RM Volume Sensitivities_Free CF" xfId="9814"/>
    <cellStyle name="_MOR-BDW_MOR - BDWY - 1+11_MOR - Gurgaon - 3+9(R)_Revised MOR Package_Revised MOR Package - Latest_II.5. RM Volume Sensitivities_P&amp;L Rec Qtr" xfId="9815"/>
    <cellStyle name="_MOR-BDW_MOR - BDWY - 1+11_MOR - Gurgaon - 3+9(R)_Revised MOR Package_Revised MOR Package - Latest_II.5. RM Volume Sensitivities_Sheet1" xfId="9816"/>
    <cellStyle name="_MOR-BDW_MOR - BDWY - 1+11_MOR - Gurgaon - 3+9(R)_Revised MOR Package_Revised MOR Package - Latest_II.5. RM Volume Sensitivities_Sheet2" xfId="9817"/>
    <cellStyle name="_MOR-BDW_MOR - BDWY - 1+11_MOR - Gurgaon - 3+9(R)_Revised MOR Package_Revised MOR Package - Latest_II.5. RM Volume Sensitivities_Sheet3" xfId="9818"/>
    <cellStyle name="_MOR-BDW_MOR - BDWY - 1+11_MOR - Gurgaon - 3+9(R)_Revised MOR Package_Revised MOR Package - Latest_II.5. RM Volume Sensitivities_Sheet4" xfId="9819"/>
    <cellStyle name="_MOR-BDW_MOR - BDWY - 1+11_MOR - Gurgaon - 3+9(R)_Revised MOR Package_Revised MOR Package - Latest_II.8. Sep&amp;Discrete" xfId="9820"/>
    <cellStyle name="_MOR-BDW_MOR - BDWY - 1+11_MOR - Gurgaon - 3+9(R)_Revised MOR Package_Revised MOR Package - Latest_Restructuring &amp; Separation" xfId="9821"/>
    <cellStyle name="_MOR-BDW_MOR - BDWY - 1+11_MOR - Gurgaon - 3+9(R)_Revised MOR Package_Revised MOR Package - Latest_Restructuring_Separation_TAX_JuneFC2010 tf" xfId="9822"/>
    <cellStyle name="_MOR-BDW_MOR - BDWY - 1+11_MOR - Gurgaon - 3+9(R)_Revised MOR Package_Revised MOR Package - Latest_Restructuring_Separation_TAX_JuneFC2010 tf_BS_Separation_TaxResIndem_Q12412 tf" xfId="9823"/>
    <cellStyle name="_MOR-BDW_MOR - BDWY - 1+11_MOR - Gurgaon - 3+9(R)_Revised MOR Package_Revised MOR Package - Latest_Restructuring_Separation_TAX_JuneFC2010 tf_BS_Separation_TaxResIndem_Q12412 tf_Restructuring &amp; Separation" xfId="9824"/>
    <cellStyle name="_MOR-BDW_MOR - BDWY - 1+11_MOR - Gurgaon - 3+9(R)_Revised MOR Package_Revised MOR Package - Latest_Restructuring_Separation_TAX_JuneFC2010 tf_II.8. Sep&amp;Discrete" xfId="9825"/>
    <cellStyle name="_MOR-BDW_MOR - BDWY - 1+11_MOR - Gurgaon - 3+9(R)_Revised MOR Package_Revised MOR Package - Latest_Restructuring_Separation_TAX_JuneFC2010 tf_Restructuring &amp; Separation" xfId="9826"/>
    <cellStyle name="_MOR-BDW_MOR - BDWY - 1+11_MOR - Gurgaon - 3+9(R)-1" xfId="9827"/>
    <cellStyle name="_MOR-BDW_MOR - BDWY - 1+11_MOR - Gurgaon - 3+9(R)-1_BS_Separation_TaxResIndem_Q12412 tf" xfId="9828"/>
    <cellStyle name="_MOR-BDW_MOR - BDWY - 1+11_MOR - Gurgaon - 3+9(R)-1_BS_Separation_TaxResIndem_Q12412 tf_Restructuring &amp; Separation" xfId="9829"/>
    <cellStyle name="_MOR-BDW_MOR - BDWY - 1+11_MOR - Gurgaon - 3+9(R)-1_By Country Detail 1Q10 041410pm FIN 18 revised per disc w Mary" xfId="9830"/>
    <cellStyle name="_MOR-BDW_MOR - BDWY - 1+11_MOR - Gurgaon - 3+9(R)-1_By Country Detail 1Q10 041410pm FIN 18 revised per disc w Mary_BS_Separation_TaxResIndem_Q12412 tf" xfId="9831"/>
    <cellStyle name="_MOR-BDW_MOR - BDWY - 1+11_MOR - Gurgaon - 3+9(R)-1_By Country Detail 1Q10 041410pm FIN 18 revised per disc w Mary_BS_Separation_TaxResIndem_Q12412 tf_Restructuring &amp; Separation" xfId="9832"/>
    <cellStyle name="_MOR-BDW_MOR - BDWY - 1+11_MOR - Gurgaon - 3+9(R)-1_By Country Detail 1Q10 041410pm FIN 18 revised per disc w Mary_II.8. Sep&amp;Discrete" xfId="9833"/>
    <cellStyle name="_MOR-BDW_MOR - BDWY - 1+11_MOR - Gurgaon - 3+9(R)-1_By Country Detail 1Q10 041410pm FIN 18 revised per disc w Mary_Restructuring &amp; Separation" xfId="9834"/>
    <cellStyle name="_MOR-BDW_MOR - BDWY - 1+11_MOR - Gurgaon - 3+9(R)-1_II.4. RawMaterials" xfId="9835"/>
    <cellStyle name="_MOR-BDW_MOR - BDWY - 1+11_MOR - Gurgaon - 3+9(R)-1_II.4. RawMaterials 2" xfId="9836"/>
    <cellStyle name="_MOR-BDW_MOR - BDWY - 1+11_MOR - Gurgaon - 3+9(R)-1_II.4. RawMaterials_BS retrieve" xfId="9837"/>
    <cellStyle name="_MOR-BDW_MOR - BDWY - 1+11_MOR - Gurgaon - 3+9(R)-1_II.4. RawMaterials_Free CF" xfId="9838"/>
    <cellStyle name="_MOR-BDW_MOR - BDWY - 1+11_MOR - Gurgaon - 3+9(R)-1_II.4. RawMaterials_P&amp;L Rec Qtr" xfId="9839"/>
    <cellStyle name="_MOR-BDW_MOR - BDWY - 1+11_MOR - Gurgaon - 3+9(R)-1_II.4. RawMaterials_Sheet1" xfId="9840"/>
    <cellStyle name="_MOR-BDW_MOR - BDWY - 1+11_MOR - Gurgaon - 3+9(R)-1_II.4. RawMaterials_Sheet2" xfId="9841"/>
    <cellStyle name="_MOR-BDW_MOR - BDWY - 1+11_MOR - Gurgaon - 3+9(R)-1_II.4. RawMaterials_Sheet3" xfId="9842"/>
    <cellStyle name="_MOR-BDW_MOR - BDWY - 1+11_MOR - Gurgaon - 3+9(R)-1_II.4. RawMaterials_Sheet4" xfId="9843"/>
    <cellStyle name="_MOR-BDW_MOR - BDWY - 1+11_MOR - Gurgaon - 3+9(R)-1_II.5. RawMaterials" xfId="9844"/>
    <cellStyle name="_MOR-BDW_MOR - BDWY - 1+11_MOR - Gurgaon - 3+9(R)-1_II.5. RawMaterials 2" xfId="9845"/>
    <cellStyle name="_MOR-BDW_MOR - BDWY - 1+11_MOR - Gurgaon - 3+9(R)-1_II.5. RawMaterials_BS retrieve" xfId="9846"/>
    <cellStyle name="_MOR-BDW_MOR - BDWY - 1+11_MOR - Gurgaon - 3+9(R)-1_II.5. RawMaterials_Free CF" xfId="9847"/>
    <cellStyle name="_MOR-BDW_MOR - BDWY - 1+11_MOR - Gurgaon - 3+9(R)-1_II.5. RawMaterials_P&amp;L Rec Qtr" xfId="9848"/>
    <cellStyle name="_MOR-BDW_MOR - BDWY - 1+11_MOR - Gurgaon - 3+9(R)-1_II.5. RawMaterials_Sheet1" xfId="9849"/>
    <cellStyle name="_MOR-BDW_MOR - BDWY - 1+11_MOR - Gurgaon - 3+9(R)-1_II.5. RawMaterials_Sheet2" xfId="9850"/>
    <cellStyle name="_MOR-BDW_MOR - BDWY - 1+11_MOR - Gurgaon - 3+9(R)-1_II.5. RawMaterials_Sheet3" xfId="9851"/>
    <cellStyle name="_MOR-BDW_MOR - BDWY - 1+11_MOR - Gurgaon - 3+9(R)-1_II.5. RawMaterials_Sheet4" xfId="9852"/>
    <cellStyle name="_MOR-BDW_MOR - BDWY - 1+11_MOR - Gurgaon - 3+9(R)-1_II.5. RM Volume Sensitivities" xfId="9853"/>
    <cellStyle name="_MOR-BDW_MOR - BDWY - 1+11_MOR - Gurgaon - 3+9(R)-1_II.5. RM Volume Sensitivities 2" xfId="9854"/>
    <cellStyle name="_MOR-BDW_MOR - BDWY - 1+11_MOR - Gurgaon - 3+9(R)-1_II.5. RM Volume Sensitivities_BS retrieve" xfId="9855"/>
    <cellStyle name="_MOR-BDW_MOR - BDWY - 1+11_MOR - Gurgaon - 3+9(R)-1_II.5. RM Volume Sensitivities_Free CF" xfId="9856"/>
    <cellStyle name="_MOR-BDW_MOR - BDWY - 1+11_MOR - Gurgaon - 3+9(R)-1_II.5. RM Volume Sensitivities_P&amp;L Rec Qtr" xfId="9857"/>
    <cellStyle name="_MOR-BDW_MOR - BDWY - 1+11_MOR - Gurgaon - 3+9(R)-1_II.5. RM Volume Sensitivities_Sheet1" xfId="9858"/>
    <cellStyle name="_MOR-BDW_MOR - BDWY - 1+11_MOR - Gurgaon - 3+9(R)-1_II.5. RM Volume Sensitivities_Sheet2" xfId="9859"/>
    <cellStyle name="_MOR-BDW_MOR - BDWY - 1+11_MOR - Gurgaon - 3+9(R)-1_II.5. RM Volume Sensitivities_Sheet3" xfId="9860"/>
    <cellStyle name="_MOR-BDW_MOR - BDWY - 1+11_MOR - Gurgaon - 3+9(R)-1_II.5. RM Volume Sensitivities_Sheet4" xfId="9861"/>
    <cellStyle name="_MOR-BDW_MOR - BDWY - 1+11_MOR - Gurgaon - 3+9(R)-1_II.8. Sep&amp;Discrete" xfId="9862"/>
    <cellStyle name="_MOR-BDW_MOR - BDWY - 1+11_MOR - Gurgaon - 3+9(R)-1_Restructuring &amp; Separation" xfId="9863"/>
    <cellStyle name="_MOR-BDW_MOR - BDWY - 1+11_MOR - Gurgaon - 3+9(R)-1_Restructuring_Separation_TAX_JuneFC2010 tf" xfId="9864"/>
    <cellStyle name="_MOR-BDW_MOR - BDWY - 1+11_MOR - Gurgaon - 3+9(R)-1_Restructuring_Separation_TAX_JuneFC2010 tf_BS_Separation_TaxResIndem_Q12412 tf" xfId="9865"/>
    <cellStyle name="_MOR-BDW_MOR - BDWY - 1+11_MOR - Gurgaon - 3+9(R)-1_Restructuring_Separation_TAX_JuneFC2010 tf_BS_Separation_TaxResIndem_Q12412 tf_Restructuring &amp; Separation" xfId="9866"/>
    <cellStyle name="_MOR-BDW_MOR - BDWY - 1+11_MOR - Gurgaon - 3+9(R)-1_Restructuring_Separation_TAX_JuneFC2010 tf_II.8. Sep&amp;Discrete" xfId="9867"/>
    <cellStyle name="_MOR-BDW_MOR - BDWY - 1+11_MOR - Gurgaon - 3+9(R)-1_Restructuring_Separation_TAX_JuneFC2010 tf_Restructuring &amp; Separation" xfId="9868"/>
    <cellStyle name="_MOR-BDW_MOR - BDWY - 1+11_MOR - Gurgaon - 3+9(R)-1_Revised MOR Package" xfId="9869"/>
    <cellStyle name="_MOR-BDW_MOR - BDWY - 1+11_MOR - Gurgaon - 3+9(R)-1_Revised MOR Package_~0039877" xfId="9870"/>
    <cellStyle name="_MOR-BDW_MOR - BDWY - 1+11_MOR - Gurgaon - 3+9(R)-1_Revised MOR Package_~0039877_BS_Separation_TaxResIndem_Q12412 tf" xfId="9871"/>
    <cellStyle name="_MOR-BDW_MOR - BDWY - 1+11_MOR - Gurgaon - 3+9(R)-1_Revised MOR Package_~0039877_BS_Separation_TaxResIndem_Q12412 tf_Restructuring &amp; Separation" xfId="9872"/>
    <cellStyle name="_MOR-BDW_MOR - BDWY - 1+11_MOR - Gurgaon - 3+9(R)-1_Revised MOR Package_~0039877_By Country Detail 1Q10 041410pm FIN 18 revised per disc w Mary" xfId="9873"/>
    <cellStyle name="_MOR-BDW_MOR - BDWY - 1+11_MOR - Gurgaon - 3+9(R)-1_Revised MOR Package_~0039877_By Country Detail 1Q10 041410pm FIN 18 revised per disc w Mary_BS_Separation_TaxResIndem_Q12412 tf" xfId="9874"/>
    <cellStyle name="_MOR-BDW_MOR - BDWY - 1+11_MOR - Gurgaon - 3+9(R)-1_Revised MOR Package_~0039877_By Country Detail 1Q10 041410pm FIN 18 revised per disc w Mary_BS_Separation_TaxResIndem_Q12412 tf_Restructuring &amp; Separation" xfId="9875"/>
    <cellStyle name="_MOR-BDW_MOR - BDWY - 1+11_MOR - Gurgaon - 3+9(R)-1_Revised MOR Package_~0039877_By Country Detail 1Q10 041410pm FIN 18 revised per disc w Mary_II.8. Sep&amp;Discrete" xfId="9876"/>
    <cellStyle name="_MOR-BDW_MOR - BDWY - 1+11_MOR - Gurgaon - 3+9(R)-1_Revised MOR Package_~0039877_By Country Detail 1Q10 041410pm FIN 18 revised per disc w Mary_Restructuring &amp; Separation" xfId="9877"/>
    <cellStyle name="_MOR-BDW_MOR - BDWY - 1+11_MOR - Gurgaon - 3+9(R)-1_Revised MOR Package_~0039877_II.4. RawMaterials" xfId="9878"/>
    <cellStyle name="_MOR-BDW_MOR - BDWY - 1+11_MOR - Gurgaon - 3+9(R)-1_Revised MOR Package_~0039877_II.4. RawMaterials 2" xfId="9879"/>
    <cellStyle name="_MOR-BDW_MOR - BDWY - 1+11_MOR - Gurgaon - 3+9(R)-1_Revised MOR Package_~0039877_II.4. RawMaterials_BS retrieve" xfId="9880"/>
    <cellStyle name="_MOR-BDW_MOR - BDWY - 1+11_MOR - Gurgaon - 3+9(R)-1_Revised MOR Package_~0039877_II.4. RawMaterials_Free CF" xfId="9881"/>
    <cellStyle name="_MOR-BDW_MOR - BDWY - 1+11_MOR - Gurgaon - 3+9(R)-1_Revised MOR Package_~0039877_II.4. RawMaterials_P&amp;L Rec Qtr" xfId="9882"/>
    <cellStyle name="_MOR-BDW_MOR - BDWY - 1+11_MOR - Gurgaon - 3+9(R)-1_Revised MOR Package_~0039877_II.4. RawMaterials_Sheet1" xfId="9883"/>
    <cellStyle name="_MOR-BDW_MOR - BDWY - 1+11_MOR - Gurgaon - 3+9(R)-1_Revised MOR Package_~0039877_II.4. RawMaterials_Sheet2" xfId="9884"/>
    <cellStyle name="_MOR-BDW_MOR - BDWY - 1+11_MOR - Gurgaon - 3+9(R)-1_Revised MOR Package_~0039877_II.4. RawMaterials_Sheet3" xfId="9885"/>
    <cellStyle name="_MOR-BDW_MOR - BDWY - 1+11_MOR - Gurgaon - 3+9(R)-1_Revised MOR Package_~0039877_II.4. RawMaterials_Sheet4" xfId="9886"/>
    <cellStyle name="_MOR-BDW_MOR - BDWY - 1+11_MOR - Gurgaon - 3+9(R)-1_Revised MOR Package_~0039877_II.5. RawMaterials" xfId="9887"/>
    <cellStyle name="_MOR-BDW_MOR - BDWY - 1+11_MOR - Gurgaon - 3+9(R)-1_Revised MOR Package_~0039877_II.5. RawMaterials 2" xfId="9888"/>
    <cellStyle name="_MOR-BDW_MOR - BDWY - 1+11_MOR - Gurgaon - 3+9(R)-1_Revised MOR Package_~0039877_II.5. RawMaterials_BS retrieve" xfId="9889"/>
    <cellStyle name="_MOR-BDW_MOR - BDWY - 1+11_MOR - Gurgaon - 3+9(R)-1_Revised MOR Package_~0039877_II.5. RawMaterials_Free CF" xfId="9890"/>
    <cellStyle name="_MOR-BDW_MOR - BDWY - 1+11_MOR - Gurgaon - 3+9(R)-1_Revised MOR Package_~0039877_II.5. RawMaterials_P&amp;L Rec Qtr" xfId="9891"/>
    <cellStyle name="_MOR-BDW_MOR - BDWY - 1+11_MOR - Gurgaon - 3+9(R)-1_Revised MOR Package_~0039877_II.5. RawMaterials_Sheet1" xfId="9892"/>
    <cellStyle name="_MOR-BDW_MOR - BDWY - 1+11_MOR - Gurgaon - 3+9(R)-1_Revised MOR Package_~0039877_II.5. RawMaterials_Sheet2" xfId="9893"/>
    <cellStyle name="_MOR-BDW_MOR - BDWY - 1+11_MOR - Gurgaon - 3+9(R)-1_Revised MOR Package_~0039877_II.5. RawMaterials_Sheet3" xfId="9894"/>
    <cellStyle name="_MOR-BDW_MOR - BDWY - 1+11_MOR - Gurgaon - 3+9(R)-1_Revised MOR Package_~0039877_II.5. RawMaterials_Sheet4" xfId="9895"/>
    <cellStyle name="_MOR-BDW_MOR - BDWY - 1+11_MOR - Gurgaon - 3+9(R)-1_Revised MOR Package_~0039877_II.5. RM Volume Sensitivities" xfId="9896"/>
    <cellStyle name="_MOR-BDW_MOR - BDWY - 1+11_MOR - Gurgaon - 3+9(R)-1_Revised MOR Package_~0039877_II.5. RM Volume Sensitivities 2" xfId="9897"/>
    <cellStyle name="_MOR-BDW_MOR - BDWY - 1+11_MOR - Gurgaon - 3+9(R)-1_Revised MOR Package_~0039877_II.5. RM Volume Sensitivities_BS retrieve" xfId="9898"/>
    <cellStyle name="_MOR-BDW_MOR - BDWY - 1+11_MOR - Gurgaon - 3+9(R)-1_Revised MOR Package_~0039877_II.5. RM Volume Sensitivities_Free CF" xfId="9899"/>
    <cellStyle name="_MOR-BDW_MOR - BDWY - 1+11_MOR - Gurgaon - 3+9(R)-1_Revised MOR Package_~0039877_II.5. RM Volume Sensitivities_P&amp;L Rec Qtr" xfId="9900"/>
    <cellStyle name="_MOR-BDW_MOR - BDWY - 1+11_MOR - Gurgaon - 3+9(R)-1_Revised MOR Package_~0039877_II.5. RM Volume Sensitivities_Sheet1" xfId="9901"/>
    <cellStyle name="_MOR-BDW_MOR - BDWY - 1+11_MOR - Gurgaon - 3+9(R)-1_Revised MOR Package_~0039877_II.5. RM Volume Sensitivities_Sheet2" xfId="9902"/>
    <cellStyle name="_MOR-BDW_MOR - BDWY - 1+11_MOR - Gurgaon - 3+9(R)-1_Revised MOR Package_~0039877_II.5. RM Volume Sensitivities_Sheet3" xfId="9903"/>
    <cellStyle name="_MOR-BDW_MOR - BDWY - 1+11_MOR - Gurgaon - 3+9(R)-1_Revised MOR Package_~0039877_II.5. RM Volume Sensitivities_Sheet4" xfId="9904"/>
    <cellStyle name="_MOR-BDW_MOR - BDWY - 1+11_MOR - Gurgaon - 3+9(R)-1_Revised MOR Package_~0039877_II.8. Sep&amp;Discrete" xfId="9905"/>
    <cellStyle name="_MOR-BDW_MOR - BDWY - 1+11_MOR - Gurgaon - 3+9(R)-1_Revised MOR Package_~0039877_Restructuring &amp; Separation" xfId="9906"/>
    <cellStyle name="_MOR-BDW_MOR - BDWY - 1+11_MOR - Gurgaon - 3+9(R)-1_Revised MOR Package_~0039877_Restructuring_Separation_TAX_JuneFC2010 tf" xfId="9907"/>
    <cellStyle name="_MOR-BDW_MOR - BDWY - 1+11_MOR - Gurgaon - 3+9(R)-1_Revised MOR Package_~0039877_Restructuring_Separation_TAX_JuneFC2010 tf_BS_Separation_TaxResIndem_Q12412 tf" xfId="9908"/>
    <cellStyle name="_MOR-BDW_MOR - BDWY - 1+11_MOR - Gurgaon - 3+9(R)-1_Revised MOR Package_~0039877_Restructuring_Separation_TAX_JuneFC2010 tf_BS_Separation_TaxResIndem_Q12412 tf_Restructuring &amp; Separation" xfId="9909"/>
    <cellStyle name="_MOR-BDW_MOR - BDWY - 1+11_MOR - Gurgaon - 3+9(R)-1_Revised MOR Package_~0039877_Restructuring_Separation_TAX_JuneFC2010 tf_II.8. Sep&amp;Discrete" xfId="9910"/>
    <cellStyle name="_MOR-BDW_MOR - BDWY - 1+11_MOR - Gurgaon - 3+9(R)-1_Revised MOR Package_~0039877_Restructuring_Separation_TAX_JuneFC2010 tf_Restructuring &amp; Separation" xfId="9911"/>
    <cellStyle name="_MOR-BDW_MOR - BDWY - 1+11_MOR - Gurgaon - 3+9(R)-1_Revised MOR Package_BS_Separation_TaxResIndem_Q12412 tf" xfId="9912"/>
    <cellStyle name="_MOR-BDW_MOR - BDWY - 1+11_MOR - Gurgaon - 3+9(R)-1_Revised MOR Package_BS_Separation_TaxResIndem_Q12412 tf_Restructuring &amp; Separation" xfId="9913"/>
    <cellStyle name="_MOR-BDW_MOR - BDWY - 1+11_MOR - Gurgaon - 3+9(R)-1_Revised MOR Package_By Country Detail 1Q10 041410pm FIN 18 revised per disc w Mary" xfId="9914"/>
    <cellStyle name="_MOR-BDW_MOR - BDWY - 1+11_MOR - Gurgaon - 3+9(R)-1_Revised MOR Package_By Country Detail 1Q10 041410pm FIN 18 revised per disc w Mary_BS_Separation_TaxResIndem_Q12412 tf" xfId="9915"/>
    <cellStyle name="_MOR-BDW_MOR - BDWY - 1+11_MOR - Gurgaon - 3+9(R)-1_Revised MOR Package_By Country Detail 1Q10 041410pm FIN 18 revised per disc w Mary_BS_Separation_TaxResIndem_Q12412 tf_Restructuring &amp; Separation" xfId="9916"/>
    <cellStyle name="_MOR-BDW_MOR - BDWY - 1+11_MOR - Gurgaon - 3+9(R)-1_Revised MOR Package_By Country Detail 1Q10 041410pm FIN 18 revised per disc w Mary_II.8. Sep&amp;Discrete" xfId="9917"/>
    <cellStyle name="_MOR-BDW_MOR - BDWY - 1+11_MOR - Gurgaon - 3+9(R)-1_Revised MOR Package_By Country Detail 1Q10 041410pm FIN 18 revised per disc w Mary_Restructuring &amp; Separation" xfId="9918"/>
    <cellStyle name="_MOR-BDW_MOR - BDWY - 1+11_MOR - Gurgaon - 3+9(R)-1_Revised MOR Package_II.4. RawMaterials" xfId="9919"/>
    <cellStyle name="_MOR-BDW_MOR - BDWY - 1+11_MOR - Gurgaon - 3+9(R)-1_Revised MOR Package_II.4. RawMaterials 2" xfId="9920"/>
    <cellStyle name="_MOR-BDW_MOR - BDWY - 1+11_MOR - Gurgaon - 3+9(R)-1_Revised MOR Package_II.4. RawMaterials_BS retrieve" xfId="9921"/>
    <cellStyle name="_MOR-BDW_MOR - BDWY - 1+11_MOR - Gurgaon - 3+9(R)-1_Revised MOR Package_II.4. RawMaterials_Free CF" xfId="9922"/>
    <cellStyle name="_MOR-BDW_MOR - BDWY - 1+11_MOR - Gurgaon - 3+9(R)-1_Revised MOR Package_II.4. RawMaterials_P&amp;L Rec Qtr" xfId="9923"/>
    <cellStyle name="_MOR-BDW_MOR - BDWY - 1+11_MOR - Gurgaon - 3+9(R)-1_Revised MOR Package_II.4. RawMaterials_Sheet1" xfId="9924"/>
    <cellStyle name="_MOR-BDW_MOR - BDWY - 1+11_MOR - Gurgaon - 3+9(R)-1_Revised MOR Package_II.4. RawMaterials_Sheet2" xfId="9925"/>
    <cellStyle name="_MOR-BDW_MOR - BDWY - 1+11_MOR - Gurgaon - 3+9(R)-1_Revised MOR Package_II.4. RawMaterials_Sheet3" xfId="9926"/>
    <cellStyle name="_MOR-BDW_MOR - BDWY - 1+11_MOR - Gurgaon - 3+9(R)-1_Revised MOR Package_II.4. RawMaterials_Sheet4" xfId="9927"/>
    <cellStyle name="_MOR-BDW_MOR - BDWY - 1+11_MOR - Gurgaon - 3+9(R)-1_Revised MOR Package_II.5. RawMaterials" xfId="9928"/>
    <cellStyle name="_MOR-BDW_MOR - BDWY - 1+11_MOR - Gurgaon - 3+9(R)-1_Revised MOR Package_II.5. RawMaterials 2" xfId="9929"/>
    <cellStyle name="_MOR-BDW_MOR - BDWY - 1+11_MOR - Gurgaon - 3+9(R)-1_Revised MOR Package_II.5. RawMaterials_BS retrieve" xfId="9930"/>
    <cellStyle name="_MOR-BDW_MOR - BDWY - 1+11_MOR - Gurgaon - 3+9(R)-1_Revised MOR Package_II.5. RawMaterials_Free CF" xfId="9931"/>
    <cellStyle name="_MOR-BDW_MOR - BDWY - 1+11_MOR - Gurgaon - 3+9(R)-1_Revised MOR Package_II.5. RawMaterials_P&amp;L Rec Qtr" xfId="9932"/>
    <cellStyle name="_MOR-BDW_MOR - BDWY - 1+11_MOR - Gurgaon - 3+9(R)-1_Revised MOR Package_II.5. RawMaterials_Sheet1" xfId="9933"/>
    <cellStyle name="_MOR-BDW_MOR - BDWY - 1+11_MOR - Gurgaon - 3+9(R)-1_Revised MOR Package_II.5. RawMaterials_Sheet2" xfId="9934"/>
    <cellStyle name="_MOR-BDW_MOR - BDWY - 1+11_MOR - Gurgaon - 3+9(R)-1_Revised MOR Package_II.5. RawMaterials_Sheet3" xfId="9935"/>
    <cellStyle name="_MOR-BDW_MOR - BDWY - 1+11_MOR - Gurgaon - 3+9(R)-1_Revised MOR Package_II.5. RawMaterials_Sheet4" xfId="9936"/>
    <cellStyle name="_MOR-BDW_MOR - BDWY - 1+11_MOR - Gurgaon - 3+9(R)-1_Revised MOR Package_II.5. RM Volume Sensitivities" xfId="9937"/>
    <cellStyle name="_MOR-BDW_MOR - BDWY - 1+11_MOR - Gurgaon - 3+9(R)-1_Revised MOR Package_II.5. RM Volume Sensitivities 2" xfId="9938"/>
    <cellStyle name="_MOR-BDW_MOR - BDWY - 1+11_MOR - Gurgaon - 3+9(R)-1_Revised MOR Package_II.5. RM Volume Sensitivities_BS retrieve" xfId="9939"/>
    <cellStyle name="_MOR-BDW_MOR - BDWY - 1+11_MOR - Gurgaon - 3+9(R)-1_Revised MOR Package_II.5. RM Volume Sensitivities_Free CF" xfId="9940"/>
    <cellStyle name="_MOR-BDW_MOR - BDWY - 1+11_MOR - Gurgaon - 3+9(R)-1_Revised MOR Package_II.5. RM Volume Sensitivities_P&amp;L Rec Qtr" xfId="9941"/>
    <cellStyle name="_MOR-BDW_MOR - BDWY - 1+11_MOR - Gurgaon - 3+9(R)-1_Revised MOR Package_II.5. RM Volume Sensitivities_Sheet1" xfId="9942"/>
    <cellStyle name="_MOR-BDW_MOR - BDWY - 1+11_MOR - Gurgaon - 3+9(R)-1_Revised MOR Package_II.5. RM Volume Sensitivities_Sheet2" xfId="9943"/>
    <cellStyle name="_MOR-BDW_MOR - BDWY - 1+11_MOR - Gurgaon - 3+9(R)-1_Revised MOR Package_II.5. RM Volume Sensitivities_Sheet3" xfId="9944"/>
    <cellStyle name="_MOR-BDW_MOR - BDWY - 1+11_MOR - Gurgaon - 3+9(R)-1_Revised MOR Package_II.5. RM Volume Sensitivities_Sheet4" xfId="9945"/>
    <cellStyle name="_MOR-BDW_MOR - BDWY - 1+11_MOR - Gurgaon - 3+9(R)-1_Revised MOR Package_II.8. Sep&amp;Discrete" xfId="9946"/>
    <cellStyle name="_MOR-BDW_MOR - BDWY - 1+11_MOR - Gurgaon - 3+9(R)-1_Revised MOR Package_Restructuring &amp; Separation" xfId="9947"/>
    <cellStyle name="_MOR-BDW_MOR - BDWY - 1+11_MOR - Gurgaon - 3+9(R)-1_Revised MOR Package_Restructuring_Separation_TAX_JuneFC2010 tf" xfId="9948"/>
    <cellStyle name="_MOR-BDW_MOR - BDWY - 1+11_MOR - Gurgaon - 3+9(R)-1_Revised MOR Package_Restructuring_Separation_TAX_JuneFC2010 tf_BS_Separation_TaxResIndem_Q12412 tf" xfId="9949"/>
    <cellStyle name="_MOR-BDW_MOR - BDWY - 1+11_MOR - Gurgaon - 3+9(R)-1_Revised MOR Package_Restructuring_Separation_TAX_JuneFC2010 tf_BS_Separation_TaxResIndem_Q12412 tf_Restructuring &amp; Separation" xfId="9950"/>
    <cellStyle name="_MOR-BDW_MOR - BDWY - 1+11_MOR - Gurgaon - 3+9(R)-1_Revised MOR Package_Restructuring_Separation_TAX_JuneFC2010 tf_II.8. Sep&amp;Discrete" xfId="9951"/>
    <cellStyle name="_MOR-BDW_MOR - BDWY - 1+11_MOR - Gurgaon - 3+9(R)-1_Revised MOR Package_Restructuring_Separation_TAX_JuneFC2010 tf_Restructuring &amp; Separation" xfId="9952"/>
    <cellStyle name="_MOR-BDW_MOR - BDWY - 1+11_MOR - Gurgaon - 3+9(R)-1_Revised MOR Package_Revised MOR Package - Latest" xfId="9953"/>
    <cellStyle name="_MOR-BDW_MOR - BDWY - 1+11_MOR - Gurgaon - 3+9(R)-1_Revised MOR Package_Revised MOR Package - Latest_BS_Separation_TaxResIndem_Q12412 tf" xfId="9954"/>
    <cellStyle name="_MOR-BDW_MOR - BDWY - 1+11_MOR - Gurgaon - 3+9(R)-1_Revised MOR Package_Revised MOR Package - Latest_BS_Separation_TaxResIndem_Q12412 tf_Restructuring &amp; Separation" xfId="9955"/>
    <cellStyle name="_MOR-BDW_MOR - BDWY - 1+11_MOR - Gurgaon - 3+9(R)-1_Revised MOR Package_Revised MOR Package - Latest_By Country Detail 1Q10 041410pm FIN 18 revised per disc w Mary" xfId="9956"/>
    <cellStyle name="_MOR-BDW_MOR - BDWY - 1+11_MOR - Gurgaon - 3+9(R)-1_Revised MOR Package_Revised MOR Package - Latest_By Country Detail 1Q10 041410pm FIN 18 revised per disc w Mary_BS_Separation_TaxResIndem_Q12412 tf" xfId="9957"/>
    <cellStyle name="_MOR-BDW_MOR - BDWY - 1+11_MOR - Gurgaon - 3+9(R)-1_Revised MOR Package_Revised MOR Package - Latest_By Country Detail 1Q10 041410pm FIN 18 revised per disc w Mary_BS_Separation_TaxResIndem_Q12412 tf_Restructuring &amp; Separation" xfId="9958"/>
    <cellStyle name="_MOR-BDW_MOR - BDWY - 1+11_MOR - Gurgaon - 3+9(R)-1_Revised MOR Package_Revised MOR Package - Latest_By Country Detail 1Q10 041410pm FIN 18 revised per disc w Mary_II.8. Sep&amp;Discrete" xfId="9959"/>
    <cellStyle name="_MOR-BDW_MOR - BDWY - 1+11_MOR - Gurgaon - 3+9(R)-1_Revised MOR Package_Revised MOR Package - Latest_By Country Detail 1Q10 041410pm FIN 18 revised per disc w Mary_Restructuring &amp; Separation" xfId="9960"/>
    <cellStyle name="_MOR-BDW_MOR - BDWY - 1+11_MOR - Gurgaon - 3+9(R)-1_Revised MOR Package_Revised MOR Package - Latest_II.4. RawMaterials" xfId="9961"/>
    <cellStyle name="_MOR-BDW_MOR - BDWY - 1+11_MOR - Gurgaon - 3+9(R)-1_Revised MOR Package_Revised MOR Package - Latest_II.4. RawMaterials 2" xfId="9962"/>
    <cellStyle name="_MOR-BDW_MOR - BDWY - 1+11_MOR - Gurgaon - 3+9(R)-1_Revised MOR Package_Revised MOR Package - Latest_II.4. RawMaterials_BS retrieve" xfId="9963"/>
    <cellStyle name="_MOR-BDW_MOR - BDWY - 1+11_MOR - Gurgaon - 3+9(R)-1_Revised MOR Package_Revised MOR Package - Latest_II.4. RawMaterials_Free CF" xfId="9964"/>
    <cellStyle name="_MOR-BDW_MOR - BDWY - 1+11_MOR - Gurgaon - 3+9(R)-1_Revised MOR Package_Revised MOR Package - Latest_II.4. RawMaterials_P&amp;L Rec Qtr" xfId="9965"/>
    <cellStyle name="_MOR-BDW_MOR - BDWY - 1+11_MOR - Gurgaon - 3+9(R)-1_Revised MOR Package_Revised MOR Package - Latest_II.4. RawMaterials_Sheet1" xfId="9966"/>
    <cellStyle name="_MOR-BDW_MOR - BDWY - 1+11_MOR - Gurgaon - 3+9(R)-1_Revised MOR Package_Revised MOR Package - Latest_II.4. RawMaterials_Sheet2" xfId="9967"/>
    <cellStyle name="_MOR-BDW_MOR - BDWY - 1+11_MOR - Gurgaon - 3+9(R)-1_Revised MOR Package_Revised MOR Package - Latest_II.4. RawMaterials_Sheet3" xfId="9968"/>
    <cellStyle name="_MOR-BDW_MOR - BDWY - 1+11_MOR - Gurgaon - 3+9(R)-1_Revised MOR Package_Revised MOR Package - Latest_II.4. RawMaterials_Sheet4" xfId="9969"/>
    <cellStyle name="_MOR-BDW_MOR - BDWY - 1+11_MOR - Gurgaon - 3+9(R)-1_Revised MOR Package_Revised MOR Package - Latest_II.5. RawMaterials" xfId="9970"/>
    <cellStyle name="_MOR-BDW_MOR - BDWY - 1+11_MOR - Gurgaon - 3+9(R)-1_Revised MOR Package_Revised MOR Package - Latest_II.5. RawMaterials 2" xfId="9971"/>
    <cellStyle name="_MOR-BDW_MOR - BDWY - 1+11_MOR - Gurgaon - 3+9(R)-1_Revised MOR Package_Revised MOR Package - Latest_II.5. RawMaterials_BS retrieve" xfId="9972"/>
    <cellStyle name="_MOR-BDW_MOR - BDWY - 1+11_MOR - Gurgaon - 3+9(R)-1_Revised MOR Package_Revised MOR Package - Latest_II.5. RawMaterials_Free CF" xfId="9973"/>
    <cellStyle name="_MOR-BDW_MOR - BDWY - 1+11_MOR - Gurgaon - 3+9(R)-1_Revised MOR Package_Revised MOR Package - Latest_II.5. RawMaterials_P&amp;L Rec Qtr" xfId="9974"/>
    <cellStyle name="_MOR-BDW_MOR - BDWY - 1+11_MOR - Gurgaon - 3+9(R)-1_Revised MOR Package_Revised MOR Package - Latest_II.5. RawMaterials_Sheet1" xfId="9975"/>
    <cellStyle name="_MOR-BDW_MOR - BDWY - 1+11_MOR - Gurgaon - 3+9(R)-1_Revised MOR Package_Revised MOR Package - Latest_II.5. RawMaterials_Sheet2" xfId="9976"/>
    <cellStyle name="_MOR-BDW_MOR - BDWY - 1+11_MOR - Gurgaon - 3+9(R)-1_Revised MOR Package_Revised MOR Package - Latest_II.5. RawMaterials_Sheet3" xfId="9977"/>
    <cellStyle name="_MOR-BDW_MOR - BDWY - 1+11_MOR - Gurgaon - 3+9(R)-1_Revised MOR Package_Revised MOR Package - Latest_II.5. RawMaterials_Sheet4" xfId="9978"/>
    <cellStyle name="_MOR-BDW_MOR - BDWY - 1+11_MOR - Gurgaon - 3+9(R)-1_Revised MOR Package_Revised MOR Package - Latest_II.5. RM Volume Sensitivities" xfId="9979"/>
    <cellStyle name="_MOR-BDW_MOR - BDWY - 1+11_MOR - Gurgaon - 3+9(R)-1_Revised MOR Package_Revised MOR Package - Latest_II.5. RM Volume Sensitivities 2" xfId="9980"/>
    <cellStyle name="_MOR-BDW_MOR - BDWY - 1+11_MOR - Gurgaon - 3+9(R)-1_Revised MOR Package_Revised MOR Package - Latest_II.5. RM Volume Sensitivities_BS retrieve" xfId="9981"/>
    <cellStyle name="_MOR-BDW_MOR - BDWY - 1+11_MOR - Gurgaon - 3+9(R)-1_Revised MOR Package_Revised MOR Package - Latest_II.5. RM Volume Sensitivities_Free CF" xfId="9982"/>
    <cellStyle name="_MOR-BDW_MOR - BDWY - 1+11_MOR - Gurgaon - 3+9(R)-1_Revised MOR Package_Revised MOR Package - Latest_II.5. RM Volume Sensitivities_P&amp;L Rec Qtr" xfId="9983"/>
    <cellStyle name="_MOR-BDW_MOR - BDWY - 1+11_MOR - Gurgaon - 3+9(R)-1_Revised MOR Package_Revised MOR Package - Latest_II.5. RM Volume Sensitivities_Sheet1" xfId="9984"/>
    <cellStyle name="_MOR-BDW_MOR - BDWY - 1+11_MOR - Gurgaon - 3+9(R)-1_Revised MOR Package_Revised MOR Package - Latest_II.5. RM Volume Sensitivities_Sheet2" xfId="9985"/>
    <cellStyle name="_MOR-BDW_MOR - BDWY - 1+11_MOR - Gurgaon - 3+9(R)-1_Revised MOR Package_Revised MOR Package - Latest_II.5. RM Volume Sensitivities_Sheet3" xfId="9986"/>
    <cellStyle name="_MOR-BDW_MOR - BDWY - 1+11_MOR - Gurgaon - 3+9(R)-1_Revised MOR Package_Revised MOR Package - Latest_II.5. RM Volume Sensitivities_Sheet4" xfId="9987"/>
    <cellStyle name="_MOR-BDW_MOR - BDWY - 1+11_MOR - Gurgaon - 3+9(R)-1_Revised MOR Package_Revised MOR Package - Latest_II.8. Sep&amp;Discrete" xfId="9988"/>
    <cellStyle name="_MOR-BDW_MOR - BDWY - 1+11_MOR - Gurgaon - 3+9(R)-1_Revised MOR Package_Revised MOR Package - Latest_Restructuring &amp; Separation" xfId="9989"/>
    <cellStyle name="_MOR-BDW_MOR - BDWY - 1+11_MOR - Gurgaon - 3+9(R)-1_Revised MOR Package_Revised MOR Package - Latest_Restructuring_Separation_TAX_JuneFC2010 tf" xfId="9990"/>
    <cellStyle name="_MOR-BDW_MOR - BDWY - 1+11_MOR - Gurgaon - 3+9(R)-1_Revised MOR Package_Revised MOR Package - Latest_Restructuring_Separation_TAX_JuneFC2010 tf_BS_Separation_TaxResIndem_Q12412 tf" xfId="9991"/>
    <cellStyle name="_MOR-BDW_MOR - BDWY - 1+11_MOR - Gurgaon - 3+9(R)-1_Revised MOR Package_Revised MOR Package - Latest_Restructuring_Separation_TAX_JuneFC2010 tf_BS_Separation_TaxResIndem_Q12412 tf_Restructuring &amp; Separation" xfId="9992"/>
    <cellStyle name="_MOR-BDW_MOR - BDWY - 1+11_MOR - Gurgaon - 3+9(R)-1_Revised MOR Package_Revised MOR Package - Latest_Restructuring_Separation_TAX_JuneFC2010 tf_II.8. Sep&amp;Discrete" xfId="9993"/>
    <cellStyle name="_MOR-BDW_MOR - BDWY - 1+11_MOR - Gurgaon - 3+9(R)-1_Revised MOR Package_Revised MOR Package - Latest_Restructuring_Separation_TAX_JuneFC2010 tf_Restructuring &amp; Separation" xfId="9994"/>
    <cellStyle name="_MOR-BDW_MOR - BDWY - 1+11_Restructuring &amp; Separation" xfId="9995"/>
    <cellStyle name="_MOR-BDW_MOR - BDWY - 1+11_Restructuring_Separation_TAX_JuneFC2010 tf" xfId="9996"/>
    <cellStyle name="_MOR-BDW_MOR - BDWY - 1+11_Restructuring_Separation_TAX_JuneFC2010 tf_BS_Separation_TaxResIndem_Q12412 tf" xfId="9997"/>
    <cellStyle name="_MOR-BDW_MOR - BDWY - 1+11_Restructuring_Separation_TAX_JuneFC2010 tf_BS_Separation_TaxResIndem_Q12412 tf_Restructuring &amp; Separation" xfId="9998"/>
    <cellStyle name="_MOR-BDW_MOR - BDWY - 1+11_Restructuring_Separation_TAX_JuneFC2010 tf_II.8. Sep&amp;Discrete" xfId="9999"/>
    <cellStyle name="_MOR-BDW_MOR - BDWY - 1+11_Restructuring_Separation_TAX_JuneFC2010 tf_Restructuring &amp; Separation" xfId="10000"/>
    <cellStyle name="_MOR-BDW_MOR - BDWY - 1+11_Revised MOR - Australia -  EC - 4+8" xfId="10001"/>
    <cellStyle name="_MOR-BDW_MOR - BDWY - 1+11_Revised MOR - Australia -  EC - 4+8_BS_Separation_TaxResIndem_Q12412 tf" xfId="10002"/>
    <cellStyle name="_MOR-BDW_MOR - BDWY - 1+11_Revised MOR - Australia -  EC - 4+8_BS_Separation_TaxResIndem_Q12412 tf_Restructuring &amp; Separation" xfId="10003"/>
    <cellStyle name="_MOR-BDW_MOR - BDWY - 1+11_Revised MOR - Australia -  EC - 4+8_By Country Detail 1Q10 041410pm FIN 18 revised per disc w Mary" xfId="10004"/>
    <cellStyle name="_MOR-BDW_MOR - BDWY - 1+11_Revised MOR - Australia -  EC - 4+8_By Country Detail 1Q10 041410pm FIN 18 revised per disc w Mary_BS_Separation_TaxResIndem_Q12412 tf" xfId="10005"/>
    <cellStyle name="_MOR-BDW_MOR - BDWY - 1+11_Revised MOR - Australia -  EC - 4+8_By Country Detail 1Q10 041410pm FIN 18 revised per disc w Mary_BS_Separation_TaxResIndem_Q12412 tf_Restructuring &amp; Separation" xfId="10006"/>
    <cellStyle name="_MOR-BDW_MOR - BDWY - 1+11_Revised MOR - Australia -  EC - 4+8_By Country Detail 1Q10 041410pm FIN 18 revised per disc w Mary_II.8. Sep&amp;Discrete" xfId="10007"/>
    <cellStyle name="_MOR-BDW_MOR - BDWY - 1+11_Revised MOR - Australia -  EC - 4+8_By Country Detail 1Q10 041410pm FIN 18 revised per disc w Mary_Restructuring &amp; Separation" xfId="10008"/>
    <cellStyle name="_MOR-BDW_MOR - BDWY - 1+11_Revised MOR - Australia -  EC - 4+8_II.4. RawMaterials" xfId="10009"/>
    <cellStyle name="_MOR-BDW_MOR - BDWY - 1+11_Revised MOR - Australia -  EC - 4+8_II.4. RawMaterials 2" xfId="10010"/>
    <cellStyle name="_MOR-BDW_MOR - BDWY - 1+11_Revised MOR - Australia -  EC - 4+8_II.4. RawMaterials_BS retrieve" xfId="10011"/>
    <cellStyle name="_MOR-BDW_MOR - BDWY - 1+11_Revised MOR - Australia -  EC - 4+8_II.4. RawMaterials_Free CF" xfId="10012"/>
    <cellStyle name="_MOR-BDW_MOR - BDWY - 1+11_Revised MOR - Australia -  EC - 4+8_II.4. RawMaterials_P&amp;L Rec Qtr" xfId="10013"/>
    <cellStyle name="_MOR-BDW_MOR - BDWY - 1+11_Revised MOR - Australia -  EC - 4+8_II.4. RawMaterials_Sheet1" xfId="10014"/>
    <cellStyle name="_MOR-BDW_MOR - BDWY - 1+11_Revised MOR - Australia -  EC - 4+8_II.4. RawMaterials_Sheet2" xfId="10015"/>
    <cellStyle name="_MOR-BDW_MOR - BDWY - 1+11_Revised MOR - Australia -  EC - 4+8_II.4. RawMaterials_Sheet3" xfId="10016"/>
    <cellStyle name="_MOR-BDW_MOR - BDWY - 1+11_Revised MOR - Australia -  EC - 4+8_II.4. RawMaterials_Sheet4" xfId="10017"/>
    <cellStyle name="_MOR-BDW_MOR - BDWY - 1+11_Revised MOR - Australia -  EC - 4+8_II.5. RawMaterials" xfId="10018"/>
    <cellStyle name="_MOR-BDW_MOR - BDWY - 1+11_Revised MOR - Australia -  EC - 4+8_II.5. RawMaterials 2" xfId="10019"/>
    <cellStyle name="_MOR-BDW_MOR - BDWY - 1+11_Revised MOR - Australia -  EC - 4+8_II.5. RawMaterials_BS retrieve" xfId="10020"/>
    <cellStyle name="_MOR-BDW_MOR - BDWY - 1+11_Revised MOR - Australia -  EC - 4+8_II.5. RawMaterials_Free CF" xfId="10021"/>
    <cellStyle name="_MOR-BDW_MOR - BDWY - 1+11_Revised MOR - Australia -  EC - 4+8_II.5. RawMaterials_P&amp;L Rec Qtr" xfId="10022"/>
    <cellStyle name="_MOR-BDW_MOR - BDWY - 1+11_Revised MOR - Australia -  EC - 4+8_II.5. RawMaterials_Sheet1" xfId="10023"/>
    <cellStyle name="_MOR-BDW_MOR - BDWY - 1+11_Revised MOR - Australia -  EC - 4+8_II.5. RawMaterials_Sheet2" xfId="10024"/>
    <cellStyle name="_MOR-BDW_MOR - BDWY - 1+11_Revised MOR - Australia -  EC - 4+8_II.5. RawMaterials_Sheet3" xfId="10025"/>
    <cellStyle name="_MOR-BDW_MOR - BDWY - 1+11_Revised MOR - Australia -  EC - 4+8_II.5. RawMaterials_Sheet4" xfId="10026"/>
    <cellStyle name="_MOR-BDW_MOR - BDWY - 1+11_Revised MOR - Australia -  EC - 4+8_II.5. RM Volume Sensitivities" xfId="10027"/>
    <cellStyle name="_MOR-BDW_MOR - BDWY - 1+11_Revised MOR - Australia -  EC - 4+8_II.5. RM Volume Sensitivities 2" xfId="10028"/>
    <cellStyle name="_MOR-BDW_MOR - BDWY - 1+11_Revised MOR - Australia -  EC - 4+8_II.5. RM Volume Sensitivities_BS retrieve" xfId="10029"/>
    <cellStyle name="_MOR-BDW_MOR - BDWY - 1+11_Revised MOR - Australia -  EC - 4+8_II.5. RM Volume Sensitivities_Free CF" xfId="10030"/>
    <cellStyle name="_MOR-BDW_MOR - BDWY - 1+11_Revised MOR - Australia -  EC - 4+8_II.5. RM Volume Sensitivities_P&amp;L Rec Qtr" xfId="10031"/>
    <cellStyle name="_MOR-BDW_MOR - BDWY - 1+11_Revised MOR - Australia -  EC - 4+8_II.5. RM Volume Sensitivities_Sheet1" xfId="10032"/>
    <cellStyle name="_MOR-BDW_MOR - BDWY - 1+11_Revised MOR - Australia -  EC - 4+8_II.5. RM Volume Sensitivities_Sheet2" xfId="10033"/>
    <cellStyle name="_MOR-BDW_MOR - BDWY - 1+11_Revised MOR - Australia -  EC - 4+8_II.5. RM Volume Sensitivities_Sheet3" xfId="10034"/>
    <cellStyle name="_MOR-BDW_MOR - BDWY - 1+11_Revised MOR - Australia -  EC - 4+8_II.5. RM Volume Sensitivities_Sheet4" xfId="10035"/>
    <cellStyle name="_MOR-BDW_MOR - BDWY - 1+11_Revised MOR - Australia -  EC - 4+8_II.8. Sep&amp;Discrete" xfId="10036"/>
    <cellStyle name="_MOR-BDW_MOR - BDWY - 1+11_Revised MOR - Australia -  EC - 4+8_Restructuring &amp; Separation" xfId="10037"/>
    <cellStyle name="_MOR-BDW_MOR - BDWY - 1+11_Revised MOR - Australia -  EC - 4+8_Restructuring_Separation_TAX_JuneFC2010 tf" xfId="10038"/>
    <cellStyle name="_MOR-BDW_MOR - BDWY - 1+11_Revised MOR - Australia -  EC - 4+8_Restructuring_Separation_TAX_JuneFC2010 tf_BS_Separation_TaxResIndem_Q12412 tf" xfId="10039"/>
    <cellStyle name="_MOR-BDW_MOR - BDWY - 1+11_Revised MOR - Australia -  EC - 4+8_Restructuring_Separation_TAX_JuneFC2010 tf_BS_Separation_TaxResIndem_Q12412 tf_Restructuring &amp; Separation" xfId="10040"/>
    <cellStyle name="_MOR-BDW_MOR - BDWY - 1+11_Revised MOR - Australia -  EC - 4+8_Restructuring_Separation_TAX_JuneFC2010 tf_II.8. Sep&amp;Discrete" xfId="10041"/>
    <cellStyle name="_MOR-BDW_MOR - BDWY - 1+11_Revised MOR - Australia -  EC - 4+8_Restructuring_Separation_TAX_JuneFC2010 tf_Restructuring &amp; Separation" xfId="10042"/>
    <cellStyle name="_MOR-BDW_MOR - BDWY - 1+11_Revised MOR Package - Latest" xfId="10043"/>
    <cellStyle name="_MOR-BDW_MOR - BDWY - 1+11_Revised MOR Package - Latest_BS_Separation_TaxResIndem_Q12412 tf" xfId="10044"/>
    <cellStyle name="_MOR-BDW_MOR - BDWY - 1+11_Revised MOR Package - Latest_BS_Separation_TaxResIndem_Q12412 tf_Restructuring &amp; Separation" xfId="10045"/>
    <cellStyle name="_MOR-BDW_MOR - BDWY - 1+11_Revised MOR Package - Latest_By Country Detail 1Q10 041410pm FIN 18 revised per disc w Mary" xfId="10046"/>
    <cellStyle name="_MOR-BDW_MOR - BDWY - 1+11_Revised MOR Package - Latest_By Country Detail 1Q10 041410pm FIN 18 revised per disc w Mary_BS_Separation_TaxResIndem_Q12412 tf" xfId="10047"/>
    <cellStyle name="_MOR-BDW_MOR - BDWY - 1+11_Revised MOR Package - Latest_By Country Detail 1Q10 041410pm FIN 18 revised per disc w Mary_BS_Separation_TaxResIndem_Q12412 tf_Restructuring &amp; Separation" xfId="10048"/>
    <cellStyle name="_MOR-BDW_MOR - BDWY - 1+11_Revised MOR Package - Latest_By Country Detail 1Q10 041410pm FIN 18 revised per disc w Mary_II.8. Sep&amp;Discrete" xfId="10049"/>
    <cellStyle name="_MOR-BDW_MOR - BDWY - 1+11_Revised MOR Package - Latest_By Country Detail 1Q10 041410pm FIN 18 revised per disc w Mary_Restructuring &amp; Separation" xfId="10050"/>
    <cellStyle name="_MOR-BDW_MOR - BDWY - 1+11_Revised MOR Package - Latest_II.4. RawMaterials" xfId="10051"/>
    <cellStyle name="_MOR-BDW_MOR - BDWY - 1+11_Revised MOR Package - Latest_II.4. RawMaterials 2" xfId="10052"/>
    <cellStyle name="_MOR-BDW_MOR - BDWY - 1+11_Revised MOR Package - Latest_II.4. RawMaterials_BS retrieve" xfId="10053"/>
    <cellStyle name="_MOR-BDW_MOR - BDWY - 1+11_Revised MOR Package - Latest_II.4. RawMaterials_Free CF" xfId="10054"/>
    <cellStyle name="_MOR-BDW_MOR - BDWY - 1+11_Revised MOR Package - Latest_II.4. RawMaterials_P&amp;L Rec Qtr" xfId="10055"/>
    <cellStyle name="_MOR-BDW_MOR - BDWY - 1+11_Revised MOR Package - Latest_II.4. RawMaterials_Sheet1" xfId="10056"/>
    <cellStyle name="_MOR-BDW_MOR - BDWY - 1+11_Revised MOR Package - Latest_II.4. RawMaterials_Sheet2" xfId="10057"/>
    <cellStyle name="_MOR-BDW_MOR - BDWY - 1+11_Revised MOR Package - Latest_II.4. RawMaterials_Sheet3" xfId="10058"/>
    <cellStyle name="_MOR-BDW_MOR - BDWY - 1+11_Revised MOR Package - Latest_II.4. RawMaterials_Sheet4" xfId="10059"/>
    <cellStyle name="_MOR-BDW_MOR - BDWY - 1+11_Revised MOR Package - Latest_II.5. RawMaterials" xfId="10060"/>
    <cellStyle name="_MOR-BDW_MOR - BDWY - 1+11_Revised MOR Package - Latest_II.5. RawMaterials 2" xfId="10061"/>
    <cellStyle name="_MOR-BDW_MOR - BDWY - 1+11_Revised MOR Package - Latest_II.5. RawMaterials_BS retrieve" xfId="10062"/>
    <cellStyle name="_MOR-BDW_MOR - BDWY - 1+11_Revised MOR Package - Latest_II.5. RawMaterials_Free CF" xfId="10063"/>
    <cellStyle name="_MOR-BDW_MOR - BDWY - 1+11_Revised MOR Package - Latest_II.5. RawMaterials_P&amp;L Rec Qtr" xfId="10064"/>
    <cellStyle name="_MOR-BDW_MOR - BDWY - 1+11_Revised MOR Package - Latest_II.5. RawMaterials_Sheet1" xfId="10065"/>
    <cellStyle name="_MOR-BDW_MOR - BDWY - 1+11_Revised MOR Package - Latest_II.5. RawMaterials_Sheet2" xfId="10066"/>
    <cellStyle name="_MOR-BDW_MOR - BDWY - 1+11_Revised MOR Package - Latest_II.5. RawMaterials_Sheet3" xfId="10067"/>
    <cellStyle name="_MOR-BDW_MOR - BDWY - 1+11_Revised MOR Package - Latest_II.5. RawMaterials_Sheet4" xfId="10068"/>
    <cellStyle name="_MOR-BDW_MOR - BDWY - 1+11_Revised MOR Package - Latest_II.5. RM Volume Sensitivities" xfId="10069"/>
    <cellStyle name="_MOR-BDW_MOR - BDWY - 1+11_Revised MOR Package - Latest_II.5. RM Volume Sensitivities 2" xfId="10070"/>
    <cellStyle name="_MOR-BDW_MOR - BDWY - 1+11_Revised MOR Package - Latest_II.5. RM Volume Sensitivities_BS retrieve" xfId="10071"/>
    <cellStyle name="_MOR-BDW_MOR - BDWY - 1+11_Revised MOR Package - Latest_II.5. RM Volume Sensitivities_Free CF" xfId="10072"/>
    <cellStyle name="_MOR-BDW_MOR - BDWY - 1+11_Revised MOR Package - Latest_II.5. RM Volume Sensitivities_P&amp;L Rec Qtr" xfId="10073"/>
    <cellStyle name="_MOR-BDW_MOR - BDWY - 1+11_Revised MOR Package - Latest_II.5. RM Volume Sensitivities_Sheet1" xfId="10074"/>
    <cellStyle name="_MOR-BDW_MOR - BDWY - 1+11_Revised MOR Package - Latest_II.5. RM Volume Sensitivities_Sheet2" xfId="10075"/>
    <cellStyle name="_MOR-BDW_MOR - BDWY - 1+11_Revised MOR Package - Latest_II.5. RM Volume Sensitivities_Sheet3" xfId="10076"/>
    <cellStyle name="_MOR-BDW_MOR - BDWY - 1+11_Revised MOR Package - Latest_II.5. RM Volume Sensitivities_Sheet4" xfId="10077"/>
    <cellStyle name="_MOR-BDW_MOR - BDWY - 1+11_Revised MOR Package - Latest_II.8. Sep&amp;Discrete" xfId="10078"/>
    <cellStyle name="_MOR-BDW_MOR - BDWY - 1+11_Revised MOR Package - Latest_Restructuring &amp; Separation" xfId="10079"/>
    <cellStyle name="_MOR-BDW_MOR - BDWY - 1+11_Revised MOR Package - Latest_Restructuring_Separation_TAX_JuneFC2010 tf" xfId="10080"/>
    <cellStyle name="_MOR-BDW_MOR - BDWY - 1+11_Revised MOR Package - Latest_Restructuring_Separation_TAX_JuneFC2010 tf_BS_Separation_TaxResIndem_Q12412 tf" xfId="10081"/>
    <cellStyle name="_MOR-BDW_MOR - BDWY - 1+11_Revised MOR Package - Latest_Restructuring_Separation_TAX_JuneFC2010 tf_BS_Separation_TaxResIndem_Q12412 tf_Restructuring &amp; Separation" xfId="10082"/>
    <cellStyle name="_MOR-BDW_MOR - BDWY - 1+11_Revised MOR Package - Latest_Restructuring_Separation_TAX_JuneFC2010 tf_II.8. Sep&amp;Discrete" xfId="10083"/>
    <cellStyle name="_MOR-BDW_MOR - BDWY - 1+11_Revised MOR Package - Latest_Restructuring_Separation_TAX_JuneFC2010 tf_Restructuring &amp; Separation" xfId="10084"/>
    <cellStyle name="_MOR-BDW_MOR - Revised Package" xfId="10085"/>
    <cellStyle name="_MOR-BDW_MOR - Revised Package_~0039877" xfId="10086"/>
    <cellStyle name="_MOR-BDW_MOR - Revised Package_~0039877_BS_Separation_TaxResIndem_Q12412 tf" xfId="10087"/>
    <cellStyle name="_MOR-BDW_MOR - Revised Package_~0039877_BS_Separation_TaxResIndem_Q12412 tf_Restructuring &amp; Separation" xfId="10088"/>
    <cellStyle name="_MOR-BDW_MOR - Revised Package_~0039877_By Country Detail 1Q10 041410pm FIN 18 revised per disc w Mary" xfId="10089"/>
    <cellStyle name="_MOR-BDW_MOR - Revised Package_~0039877_By Country Detail 1Q10 041410pm FIN 18 revised per disc w Mary_BS_Separation_TaxResIndem_Q12412 tf" xfId="10090"/>
    <cellStyle name="_MOR-BDW_MOR - Revised Package_~0039877_By Country Detail 1Q10 041410pm FIN 18 revised per disc w Mary_BS_Separation_TaxResIndem_Q12412 tf_Restructuring &amp; Separation" xfId="10091"/>
    <cellStyle name="_MOR-BDW_MOR - Revised Package_~0039877_By Country Detail 1Q10 041410pm FIN 18 revised per disc w Mary_II.8. Sep&amp;Discrete" xfId="10092"/>
    <cellStyle name="_MOR-BDW_MOR - Revised Package_~0039877_By Country Detail 1Q10 041410pm FIN 18 revised per disc w Mary_Restructuring &amp; Separation" xfId="10093"/>
    <cellStyle name="_MOR-BDW_MOR - Revised Package_~0039877_II.4. RawMaterials" xfId="10094"/>
    <cellStyle name="_MOR-BDW_MOR - Revised Package_~0039877_II.4. RawMaterials 2" xfId="10095"/>
    <cellStyle name="_MOR-BDW_MOR - Revised Package_~0039877_II.4. RawMaterials_BS retrieve" xfId="10096"/>
    <cellStyle name="_MOR-BDW_MOR - Revised Package_~0039877_II.4. RawMaterials_Free CF" xfId="10097"/>
    <cellStyle name="_MOR-BDW_MOR - Revised Package_~0039877_II.4. RawMaterials_P&amp;L Rec Qtr" xfId="10098"/>
    <cellStyle name="_MOR-BDW_MOR - Revised Package_~0039877_II.4. RawMaterials_Sheet1" xfId="10099"/>
    <cellStyle name="_MOR-BDW_MOR - Revised Package_~0039877_II.4. RawMaterials_Sheet2" xfId="10100"/>
    <cellStyle name="_MOR-BDW_MOR - Revised Package_~0039877_II.4. RawMaterials_Sheet3" xfId="10101"/>
    <cellStyle name="_MOR-BDW_MOR - Revised Package_~0039877_II.4. RawMaterials_Sheet4" xfId="10102"/>
    <cellStyle name="_MOR-BDW_MOR - Revised Package_~0039877_II.5. RawMaterials" xfId="10103"/>
    <cellStyle name="_MOR-BDW_MOR - Revised Package_~0039877_II.5. RawMaterials 2" xfId="10104"/>
    <cellStyle name="_MOR-BDW_MOR - Revised Package_~0039877_II.5. RawMaterials_BS retrieve" xfId="10105"/>
    <cellStyle name="_MOR-BDW_MOR - Revised Package_~0039877_II.5. RawMaterials_Free CF" xfId="10106"/>
    <cellStyle name="_MOR-BDW_MOR - Revised Package_~0039877_II.5. RawMaterials_P&amp;L Rec Qtr" xfId="10107"/>
    <cellStyle name="_MOR-BDW_MOR - Revised Package_~0039877_II.5. RawMaterials_Sheet1" xfId="10108"/>
    <cellStyle name="_MOR-BDW_MOR - Revised Package_~0039877_II.5. RawMaterials_Sheet2" xfId="10109"/>
    <cellStyle name="_MOR-BDW_MOR - Revised Package_~0039877_II.5. RawMaterials_Sheet3" xfId="10110"/>
    <cellStyle name="_MOR-BDW_MOR - Revised Package_~0039877_II.5. RawMaterials_Sheet4" xfId="10111"/>
    <cellStyle name="_MOR-BDW_MOR - Revised Package_~0039877_II.5. RM Volume Sensitivities" xfId="10112"/>
    <cellStyle name="_MOR-BDW_MOR - Revised Package_~0039877_II.5. RM Volume Sensitivities 2" xfId="10113"/>
    <cellStyle name="_MOR-BDW_MOR - Revised Package_~0039877_II.5. RM Volume Sensitivities_BS retrieve" xfId="10114"/>
    <cellStyle name="_MOR-BDW_MOR - Revised Package_~0039877_II.5. RM Volume Sensitivities_Free CF" xfId="10115"/>
    <cellStyle name="_MOR-BDW_MOR - Revised Package_~0039877_II.5. RM Volume Sensitivities_P&amp;L Rec Qtr" xfId="10116"/>
    <cellStyle name="_MOR-BDW_MOR - Revised Package_~0039877_II.5. RM Volume Sensitivities_Sheet1" xfId="10117"/>
    <cellStyle name="_MOR-BDW_MOR - Revised Package_~0039877_II.5. RM Volume Sensitivities_Sheet2" xfId="10118"/>
    <cellStyle name="_MOR-BDW_MOR - Revised Package_~0039877_II.5. RM Volume Sensitivities_Sheet3" xfId="10119"/>
    <cellStyle name="_MOR-BDW_MOR - Revised Package_~0039877_II.5. RM Volume Sensitivities_Sheet4" xfId="10120"/>
    <cellStyle name="_MOR-BDW_MOR - Revised Package_~0039877_II.8. Sep&amp;Discrete" xfId="10121"/>
    <cellStyle name="_MOR-BDW_MOR - Revised Package_~0039877_Restructuring &amp; Separation" xfId="10122"/>
    <cellStyle name="_MOR-BDW_MOR - Revised Package_~0039877_Restructuring_Separation_TAX_JuneFC2010 tf" xfId="10123"/>
    <cellStyle name="_MOR-BDW_MOR - Revised Package_~0039877_Restructuring_Separation_TAX_JuneFC2010 tf_BS_Separation_TaxResIndem_Q12412 tf" xfId="10124"/>
    <cellStyle name="_MOR-BDW_MOR - Revised Package_~0039877_Restructuring_Separation_TAX_JuneFC2010 tf_BS_Separation_TaxResIndem_Q12412 tf_Restructuring &amp; Separation" xfId="10125"/>
    <cellStyle name="_MOR-BDW_MOR - Revised Package_~0039877_Restructuring_Separation_TAX_JuneFC2010 tf_II.8. Sep&amp;Discrete" xfId="10126"/>
    <cellStyle name="_MOR-BDW_MOR - Revised Package_~0039877_Restructuring_Separation_TAX_JuneFC2010 tf_Restructuring &amp; Separation" xfId="10127"/>
    <cellStyle name="_MOR-BDW_MOR - Revised Package_BS_Separation_TaxResIndem_Q12412 tf" xfId="10128"/>
    <cellStyle name="_MOR-BDW_MOR - Revised Package_BS_Separation_TaxResIndem_Q12412 tf_Restructuring &amp; Separation" xfId="10129"/>
    <cellStyle name="_MOR-BDW_MOR - Revised Package_By Country Detail 1Q10 041410pm FIN 18 revised per disc w Mary" xfId="10130"/>
    <cellStyle name="_MOR-BDW_MOR - Revised Package_By Country Detail 1Q10 041410pm FIN 18 revised per disc w Mary_BS_Separation_TaxResIndem_Q12412 tf" xfId="10131"/>
    <cellStyle name="_MOR-BDW_MOR - Revised Package_By Country Detail 1Q10 041410pm FIN 18 revised per disc w Mary_BS_Separation_TaxResIndem_Q12412 tf_Restructuring &amp; Separation" xfId="10132"/>
    <cellStyle name="_MOR-BDW_MOR - Revised Package_By Country Detail 1Q10 041410pm FIN 18 revised per disc w Mary_II.8. Sep&amp;Discrete" xfId="10133"/>
    <cellStyle name="_MOR-BDW_MOR - Revised Package_By Country Detail 1Q10 041410pm FIN 18 revised per disc w Mary_Restructuring &amp; Separation" xfId="10134"/>
    <cellStyle name="_MOR-BDW_MOR - Revised Package_II.4. RawMaterials" xfId="10135"/>
    <cellStyle name="_MOR-BDW_MOR - Revised Package_II.4. RawMaterials 2" xfId="10136"/>
    <cellStyle name="_MOR-BDW_MOR - Revised Package_II.4. RawMaterials_BS retrieve" xfId="10137"/>
    <cellStyle name="_MOR-BDW_MOR - Revised Package_II.4. RawMaterials_Free CF" xfId="10138"/>
    <cellStyle name="_MOR-BDW_MOR - Revised Package_II.4. RawMaterials_P&amp;L Rec Qtr" xfId="10139"/>
    <cellStyle name="_MOR-BDW_MOR - Revised Package_II.4. RawMaterials_Sheet1" xfId="10140"/>
    <cellStyle name="_MOR-BDW_MOR - Revised Package_II.4. RawMaterials_Sheet2" xfId="10141"/>
    <cellStyle name="_MOR-BDW_MOR - Revised Package_II.4. RawMaterials_Sheet3" xfId="10142"/>
    <cellStyle name="_MOR-BDW_MOR - Revised Package_II.4. RawMaterials_Sheet4" xfId="10143"/>
    <cellStyle name="_MOR-BDW_MOR - Revised Package_II.5. RawMaterials" xfId="10144"/>
    <cellStyle name="_MOR-BDW_MOR - Revised Package_II.5. RawMaterials 2" xfId="10145"/>
    <cellStyle name="_MOR-BDW_MOR - Revised Package_II.5. RawMaterials_BS retrieve" xfId="10146"/>
    <cellStyle name="_MOR-BDW_MOR - Revised Package_II.5. RawMaterials_Free CF" xfId="10147"/>
    <cellStyle name="_MOR-BDW_MOR - Revised Package_II.5. RawMaterials_P&amp;L Rec Qtr" xfId="10148"/>
    <cellStyle name="_MOR-BDW_MOR - Revised Package_II.5. RawMaterials_Sheet1" xfId="10149"/>
    <cellStyle name="_MOR-BDW_MOR - Revised Package_II.5. RawMaterials_Sheet2" xfId="10150"/>
    <cellStyle name="_MOR-BDW_MOR - Revised Package_II.5. RawMaterials_Sheet3" xfId="10151"/>
    <cellStyle name="_MOR-BDW_MOR - Revised Package_II.5. RawMaterials_Sheet4" xfId="10152"/>
    <cellStyle name="_MOR-BDW_MOR - Revised Package_II.5. RM Volume Sensitivities" xfId="10153"/>
    <cellStyle name="_MOR-BDW_MOR - Revised Package_II.5. RM Volume Sensitivities 2" xfId="10154"/>
    <cellStyle name="_MOR-BDW_MOR - Revised Package_II.5. RM Volume Sensitivities_BS retrieve" xfId="10155"/>
    <cellStyle name="_MOR-BDW_MOR - Revised Package_II.5. RM Volume Sensitivities_Free CF" xfId="10156"/>
    <cellStyle name="_MOR-BDW_MOR - Revised Package_II.5. RM Volume Sensitivities_P&amp;L Rec Qtr" xfId="10157"/>
    <cellStyle name="_MOR-BDW_MOR - Revised Package_II.5. RM Volume Sensitivities_Sheet1" xfId="10158"/>
    <cellStyle name="_MOR-BDW_MOR - Revised Package_II.5. RM Volume Sensitivities_Sheet2" xfId="10159"/>
    <cellStyle name="_MOR-BDW_MOR - Revised Package_II.5. RM Volume Sensitivities_Sheet3" xfId="10160"/>
    <cellStyle name="_MOR-BDW_MOR - Revised Package_II.5. RM Volume Sensitivities_Sheet4" xfId="10161"/>
    <cellStyle name="_MOR-BDW_MOR - Revised Package_II.8. Sep&amp;Discrete" xfId="10162"/>
    <cellStyle name="_MOR-BDW_MOR - Revised Package_Restructuring &amp; Separation" xfId="10163"/>
    <cellStyle name="_MOR-BDW_MOR - Revised Package_Restructuring_Separation_TAX_JuneFC2010 tf" xfId="10164"/>
    <cellStyle name="_MOR-BDW_MOR - Revised Package_Restructuring_Separation_TAX_JuneFC2010 tf_BS_Separation_TaxResIndem_Q12412 tf" xfId="10165"/>
    <cellStyle name="_MOR-BDW_MOR - Revised Package_Restructuring_Separation_TAX_JuneFC2010 tf_BS_Separation_TaxResIndem_Q12412 tf_Restructuring &amp; Separation" xfId="10166"/>
    <cellStyle name="_MOR-BDW_MOR - Revised Package_Restructuring_Separation_TAX_JuneFC2010 tf_II.8. Sep&amp;Discrete" xfId="10167"/>
    <cellStyle name="_MOR-BDW_MOR - Revised Package_Restructuring_Separation_TAX_JuneFC2010 tf_Restructuring &amp; Separation" xfId="10168"/>
    <cellStyle name="_MOR-BDW_MOR - Revised Package_Revised MOR Package - Latest" xfId="10169"/>
    <cellStyle name="_MOR-BDW_MOR - Revised Package_Revised MOR Package - Latest_BS_Separation_TaxResIndem_Q12412 tf" xfId="10170"/>
    <cellStyle name="_MOR-BDW_MOR - Revised Package_Revised MOR Package - Latest_BS_Separation_TaxResIndem_Q12412 tf_Restructuring &amp; Separation" xfId="10171"/>
    <cellStyle name="_MOR-BDW_MOR - Revised Package_Revised MOR Package - Latest_By Country Detail 1Q10 041410pm FIN 18 revised per disc w Mary" xfId="10172"/>
    <cellStyle name="_MOR-BDW_MOR - Revised Package_Revised MOR Package - Latest_By Country Detail 1Q10 041410pm FIN 18 revised per disc w Mary_BS_Separation_TaxResIndem_Q12412 tf" xfId="10173"/>
    <cellStyle name="_MOR-BDW_MOR - Revised Package_Revised MOR Package - Latest_By Country Detail 1Q10 041410pm FIN 18 revised per disc w Mary_BS_Separation_TaxResIndem_Q12412 tf_Restructuring &amp; Separation" xfId="10174"/>
    <cellStyle name="_MOR-BDW_MOR - Revised Package_Revised MOR Package - Latest_By Country Detail 1Q10 041410pm FIN 18 revised per disc w Mary_II.8. Sep&amp;Discrete" xfId="10175"/>
    <cellStyle name="_MOR-BDW_MOR - Revised Package_Revised MOR Package - Latest_By Country Detail 1Q10 041410pm FIN 18 revised per disc w Mary_Restructuring &amp; Separation" xfId="10176"/>
    <cellStyle name="_MOR-BDW_MOR - Revised Package_Revised MOR Package - Latest_II.4. RawMaterials" xfId="10177"/>
    <cellStyle name="_MOR-BDW_MOR - Revised Package_Revised MOR Package - Latest_II.4. RawMaterials 2" xfId="10178"/>
    <cellStyle name="_MOR-BDW_MOR - Revised Package_Revised MOR Package - Latest_II.4. RawMaterials_BS retrieve" xfId="10179"/>
    <cellStyle name="_MOR-BDW_MOR - Revised Package_Revised MOR Package - Latest_II.4. RawMaterials_Free CF" xfId="10180"/>
    <cellStyle name="_MOR-BDW_MOR - Revised Package_Revised MOR Package - Latest_II.4. RawMaterials_P&amp;L Rec Qtr" xfId="10181"/>
    <cellStyle name="_MOR-BDW_MOR - Revised Package_Revised MOR Package - Latest_II.4. RawMaterials_Sheet1" xfId="10182"/>
    <cellStyle name="_MOR-BDW_MOR - Revised Package_Revised MOR Package - Latest_II.4. RawMaterials_Sheet2" xfId="10183"/>
    <cellStyle name="_MOR-BDW_MOR - Revised Package_Revised MOR Package - Latest_II.4. RawMaterials_Sheet3" xfId="10184"/>
    <cellStyle name="_MOR-BDW_MOR - Revised Package_Revised MOR Package - Latest_II.4. RawMaterials_Sheet4" xfId="10185"/>
    <cellStyle name="_MOR-BDW_MOR - Revised Package_Revised MOR Package - Latest_II.5. RawMaterials" xfId="10186"/>
    <cellStyle name="_MOR-BDW_MOR - Revised Package_Revised MOR Package - Latest_II.5. RawMaterials 2" xfId="10187"/>
    <cellStyle name="_MOR-BDW_MOR - Revised Package_Revised MOR Package - Latest_II.5. RawMaterials_BS retrieve" xfId="10188"/>
    <cellStyle name="_MOR-BDW_MOR - Revised Package_Revised MOR Package - Latest_II.5. RawMaterials_Free CF" xfId="10189"/>
    <cellStyle name="_MOR-BDW_MOR - Revised Package_Revised MOR Package - Latest_II.5. RawMaterials_P&amp;L Rec Qtr" xfId="10190"/>
    <cellStyle name="_MOR-BDW_MOR - Revised Package_Revised MOR Package - Latest_II.5. RawMaterials_Sheet1" xfId="10191"/>
    <cellStyle name="_MOR-BDW_MOR - Revised Package_Revised MOR Package - Latest_II.5. RawMaterials_Sheet2" xfId="10192"/>
    <cellStyle name="_MOR-BDW_MOR - Revised Package_Revised MOR Package - Latest_II.5. RawMaterials_Sheet3" xfId="10193"/>
    <cellStyle name="_MOR-BDW_MOR - Revised Package_Revised MOR Package - Latest_II.5. RawMaterials_Sheet4" xfId="10194"/>
    <cellStyle name="_MOR-BDW_MOR - Revised Package_Revised MOR Package - Latest_II.5. RM Volume Sensitivities" xfId="10195"/>
    <cellStyle name="_MOR-BDW_MOR - Revised Package_Revised MOR Package - Latest_II.5. RM Volume Sensitivities 2" xfId="10196"/>
    <cellStyle name="_MOR-BDW_MOR - Revised Package_Revised MOR Package - Latest_II.5. RM Volume Sensitivities_BS retrieve" xfId="10197"/>
    <cellStyle name="_MOR-BDW_MOR - Revised Package_Revised MOR Package - Latest_II.5. RM Volume Sensitivities_Free CF" xfId="10198"/>
    <cellStyle name="_MOR-BDW_MOR - Revised Package_Revised MOR Package - Latest_II.5. RM Volume Sensitivities_P&amp;L Rec Qtr" xfId="10199"/>
    <cellStyle name="_MOR-BDW_MOR - Revised Package_Revised MOR Package - Latest_II.5. RM Volume Sensitivities_Sheet1" xfId="10200"/>
    <cellStyle name="_MOR-BDW_MOR - Revised Package_Revised MOR Package - Latest_II.5. RM Volume Sensitivities_Sheet2" xfId="10201"/>
    <cellStyle name="_MOR-BDW_MOR - Revised Package_Revised MOR Package - Latest_II.5. RM Volume Sensitivities_Sheet3" xfId="10202"/>
    <cellStyle name="_MOR-BDW_MOR - Revised Package_Revised MOR Package - Latest_II.5. RM Volume Sensitivities_Sheet4" xfId="10203"/>
    <cellStyle name="_MOR-BDW_MOR - Revised Package_Revised MOR Package - Latest_II.8. Sep&amp;Discrete" xfId="10204"/>
    <cellStyle name="_MOR-BDW_MOR - Revised Package_Revised MOR Package - Latest_Restructuring &amp; Separation" xfId="10205"/>
    <cellStyle name="_MOR-BDW_MOR - Revised Package_Revised MOR Package - Latest_Restructuring_Separation_TAX_JuneFC2010 tf" xfId="10206"/>
    <cellStyle name="_MOR-BDW_MOR - Revised Package_Revised MOR Package - Latest_Restructuring_Separation_TAX_JuneFC2010 tf_BS_Separation_TaxResIndem_Q12412 tf" xfId="10207"/>
    <cellStyle name="_MOR-BDW_MOR - Revised Package_Revised MOR Package - Latest_Restructuring_Separation_TAX_JuneFC2010 tf_BS_Separation_TaxResIndem_Q12412 tf_Restructuring &amp; Separation" xfId="10208"/>
    <cellStyle name="_MOR-BDW_MOR - Revised Package_Revised MOR Package - Latest_Restructuring_Separation_TAX_JuneFC2010 tf_II.8. Sep&amp;Discrete" xfId="10209"/>
    <cellStyle name="_MOR-BDW_MOR - Revised Package_Revised MOR Package - Latest_Restructuring_Separation_TAX_JuneFC2010 tf_Restructuring &amp; Separation" xfId="10210"/>
    <cellStyle name="_MOR-BDW_Restructuring &amp; Separation" xfId="10211"/>
    <cellStyle name="_MOR-BDW_Restructuring_Separation_TAX_JuneFC2010 tf" xfId="10212"/>
    <cellStyle name="_MOR-BDW_Restructuring_Separation_TAX_JuneFC2010 tf_BS_Separation_TaxResIndem_Q12412 tf" xfId="10213"/>
    <cellStyle name="_MOR-BDW_Restructuring_Separation_TAX_JuneFC2010 tf_BS_Separation_TaxResIndem_Q12412 tf_Restructuring &amp; Separation" xfId="10214"/>
    <cellStyle name="_MOR-BDW_Restructuring_Separation_TAX_JuneFC2010 tf_II.8. Sep&amp;Discrete" xfId="10215"/>
    <cellStyle name="_MOR-BDW_Restructuring_Separation_TAX_JuneFC2010 tf_Restructuring &amp; Separation" xfId="10216"/>
    <cellStyle name="_MOR-BDW_Revised MOR Package" xfId="10217"/>
    <cellStyle name="_MOR-BDW_Revised MOR Package_~0039877" xfId="10218"/>
    <cellStyle name="_MOR-BDW_Revised MOR Package_~0039877_BS_Separation_TaxResIndem_Q12412 tf" xfId="10219"/>
    <cellStyle name="_MOR-BDW_Revised MOR Package_~0039877_BS_Separation_TaxResIndem_Q12412 tf_Restructuring &amp; Separation" xfId="10220"/>
    <cellStyle name="_MOR-BDW_Revised MOR Package_~0039877_By Country Detail 1Q10 041410pm FIN 18 revised per disc w Mary" xfId="10221"/>
    <cellStyle name="_MOR-BDW_Revised MOR Package_~0039877_By Country Detail 1Q10 041410pm FIN 18 revised per disc w Mary_BS_Separation_TaxResIndem_Q12412 tf" xfId="10222"/>
    <cellStyle name="_MOR-BDW_Revised MOR Package_~0039877_By Country Detail 1Q10 041410pm FIN 18 revised per disc w Mary_BS_Separation_TaxResIndem_Q12412 tf_Restructuring &amp; Separation" xfId="10223"/>
    <cellStyle name="_MOR-BDW_Revised MOR Package_~0039877_By Country Detail 1Q10 041410pm FIN 18 revised per disc w Mary_II.8. Sep&amp;Discrete" xfId="10224"/>
    <cellStyle name="_MOR-BDW_Revised MOR Package_~0039877_By Country Detail 1Q10 041410pm FIN 18 revised per disc w Mary_Restructuring &amp; Separation" xfId="10225"/>
    <cellStyle name="_MOR-BDW_Revised MOR Package_~0039877_II.4. RawMaterials" xfId="10226"/>
    <cellStyle name="_MOR-BDW_Revised MOR Package_~0039877_II.4. RawMaterials 2" xfId="10227"/>
    <cellStyle name="_MOR-BDW_Revised MOR Package_~0039877_II.4. RawMaterials_BS retrieve" xfId="10228"/>
    <cellStyle name="_MOR-BDW_Revised MOR Package_~0039877_II.4. RawMaterials_Free CF" xfId="10229"/>
    <cellStyle name="_MOR-BDW_Revised MOR Package_~0039877_II.4. RawMaterials_P&amp;L Rec Qtr" xfId="10230"/>
    <cellStyle name="_MOR-BDW_Revised MOR Package_~0039877_II.4. RawMaterials_Sheet1" xfId="10231"/>
    <cellStyle name="_MOR-BDW_Revised MOR Package_~0039877_II.4. RawMaterials_Sheet2" xfId="10232"/>
    <cellStyle name="_MOR-BDW_Revised MOR Package_~0039877_II.4. RawMaterials_Sheet3" xfId="10233"/>
    <cellStyle name="_MOR-BDW_Revised MOR Package_~0039877_II.4. RawMaterials_Sheet4" xfId="10234"/>
    <cellStyle name="_MOR-BDW_Revised MOR Package_~0039877_II.5. RawMaterials" xfId="10235"/>
    <cellStyle name="_MOR-BDW_Revised MOR Package_~0039877_II.5. RawMaterials 2" xfId="10236"/>
    <cellStyle name="_MOR-BDW_Revised MOR Package_~0039877_II.5. RawMaterials_BS retrieve" xfId="10237"/>
    <cellStyle name="_MOR-BDW_Revised MOR Package_~0039877_II.5. RawMaterials_Free CF" xfId="10238"/>
    <cellStyle name="_MOR-BDW_Revised MOR Package_~0039877_II.5. RawMaterials_P&amp;L Rec Qtr" xfId="10239"/>
    <cellStyle name="_MOR-BDW_Revised MOR Package_~0039877_II.5. RawMaterials_Sheet1" xfId="10240"/>
    <cellStyle name="_MOR-BDW_Revised MOR Package_~0039877_II.5. RawMaterials_Sheet2" xfId="10241"/>
    <cellStyle name="_MOR-BDW_Revised MOR Package_~0039877_II.5. RawMaterials_Sheet3" xfId="10242"/>
    <cellStyle name="_MOR-BDW_Revised MOR Package_~0039877_II.5. RawMaterials_Sheet4" xfId="10243"/>
    <cellStyle name="_MOR-BDW_Revised MOR Package_~0039877_II.5. RM Volume Sensitivities" xfId="10244"/>
    <cellStyle name="_MOR-BDW_Revised MOR Package_~0039877_II.5. RM Volume Sensitivities 2" xfId="10245"/>
    <cellStyle name="_MOR-BDW_Revised MOR Package_~0039877_II.5. RM Volume Sensitivities_BS retrieve" xfId="10246"/>
    <cellStyle name="_MOR-BDW_Revised MOR Package_~0039877_II.5. RM Volume Sensitivities_Free CF" xfId="10247"/>
    <cellStyle name="_MOR-BDW_Revised MOR Package_~0039877_II.5. RM Volume Sensitivities_P&amp;L Rec Qtr" xfId="10248"/>
    <cellStyle name="_MOR-BDW_Revised MOR Package_~0039877_II.5. RM Volume Sensitivities_Sheet1" xfId="10249"/>
    <cellStyle name="_MOR-BDW_Revised MOR Package_~0039877_II.5. RM Volume Sensitivities_Sheet2" xfId="10250"/>
    <cellStyle name="_MOR-BDW_Revised MOR Package_~0039877_II.5. RM Volume Sensitivities_Sheet3" xfId="10251"/>
    <cellStyle name="_MOR-BDW_Revised MOR Package_~0039877_II.5. RM Volume Sensitivities_Sheet4" xfId="10252"/>
    <cellStyle name="_MOR-BDW_Revised MOR Package_~0039877_II.8. Sep&amp;Discrete" xfId="10253"/>
    <cellStyle name="_MOR-BDW_Revised MOR Package_~0039877_Restructuring &amp; Separation" xfId="10254"/>
    <cellStyle name="_MOR-BDW_Revised MOR Package_~0039877_Restructuring_Separation_TAX_JuneFC2010 tf" xfId="10255"/>
    <cellStyle name="_MOR-BDW_Revised MOR Package_~0039877_Restructuring_Separation_TAX_JuneFC2010 tf_BS_Separation_TaxResIndem_Q12412 tf" xfId="10256"/>
    <cellStyle name="_MOR-BDW_Revised MOR Package_~0039877_Restructuring_Separation_TAX_JuneFC2010 tf_BS_Separation_TaxResIndem_Q12412 tf_Restructuring &amp; Separation" xfId="10257"/>
    <cellStyle name="_MOR-BDW_Revised MOR Package_~0039877_Restructuring_Separation_TAX_JuneFC2010 tf_II.8. Sep&amp;Discrete" xfId="10258"/>
    <cellStyle name="_MOR-BDW_Revised MOR Package_~0039877_Restructuring_Separation_TAX_JuneFC2010 tf_Restructuring &amp; Separation" xfId="10259"/>
    <cellStyle name="_MOR-BDW_Revised MOR Package_BS_Separation_TaxResIndem_Q12412 tf" xfId="10260"/>
    <cellStyle name="_MOR-BDW_Revised MOR Package_BS_Separation_TaxResIndem_Q12412 tf_Restructuring &amp; Separation" xfId="10261"/>
    <cellStyle name="_MOR-BDW_Revised MOR Package_By Country Detail 1Q10 041410pm FIN 18 revised per disc w Mary" xfId="10262"/>
    <cellStyle name="_MOR-BDW_Revised MOR Package_By Country Detail 1Q10 041410pm FIN 18 revised per disc w Mary_BS_Separation_TaxResIndem_Q12412 tf" xfId="10263"/>
    <cellStyle name="_MOR-BDW_Revised MOR Package_By Country Detail 1Q10 041410pm FIN 18 revised per disc w Mary_BS_Separation_TaxResIndem_Q12412 tf_Restructuring &amp; Separation" xfId="10264"/>
    <cellStyle name="_MOR-BDW_Revised MOR Package_By Country Detail 1Q10 041410pm FIN 18 revised per disc w Mary_II.8. Sep&amp;Discrete" xfId="10265"/>
    <cellStyle name="_MOR-BDW_Revised MOR Package_By Country Detail 1Q10 041410pm FIN 18 revised per disc w Mary_Restructuring &amp; Separation" xfId="10266"/>
    <cellStyle name="_MOR-BDW_Revised MOR Package_II.4. RawMaterials" xfId="10267"/>
    <cellStyle name="_MOR-BDW_Revised MOR Package_II.4. RawMaterials 2" xfId="10268"/>
    <cellStyle name="_MOR-BDW_Revised MOR Package_II.4. RawMaterials_BS retrieve" xfId="10269"/>
    <cellStyle name="_MOR-BDW_Revised MOR Package_II.4. RawMaterials_Free CF" xfId="10270"/>
    <cellStyle name="_MOR-BDW_Revised MOR Package_II.4. RawMaterials_P&amp;L Rec Qtr" xfId="10271"/>
    <cellStyle name="_MOR-BDW_Revised MOR Package_II.4. RawMaterials_Sheet1" xfId="10272"/>
    <cellStyle name="_MOR-BDW_Revised MOR Package_II.4. RawMaterials_Sheet2" xfId="10273"/>
    <cellStyle name="_MOR-BDW_Revised MOR Package_II.4. RawMaterials_Sheet3" xfId="10274"/>
    <cellStyle name="_MOR-BDW_Revised MOR Package_II.4. RawMaterials_Sheet4" xfId="10275"/>
    <cellStyle name="_MOR-BDW_Revised MOR Package_II.5. RawMaterials" xfId="10276"/>
    <cellStyle name="_MOR-BDW_Revised MOR Package_II.5. RawMaterials 2" xfId="10277"/>
    <cellStyle name="_MOR-BDW_Revised MOR Package_II.5. RawMaterials_BS retrieve" xfId="10278"/>
    <cellStyle name="_MOR-BDW_Revised MOR Package_II.5. RawMaterials_Free CF" xfId="10279"/>
    <cellStyle name="_MOR-BDW_Revised MOR Package_II.5. RawMaterials_P&amp;L Rec Qtr" xfId="10280"/>
    <cellStyle name="_MOR-BDW_Revised MOR Package_II.5. RawMaterials_Sheet1" xfId="10281"/>
    <cellStyle name="_MOR-BDW_Revised MOR Package_II.5. RawMaterials_Sheet2" xfId="10282"/>
    <cellStyle name="_MOR-BDW_Revised MOR Package_II.5. RawMaterials_Sheet3" xfId="10283"/>
    <cellStyle name="_MOR-BDW_Revised MOR Package_II.5. RawMaterials_Sheet4" xfId="10284"/>
    <cellStyle name="_MOR-BDW_Revised MOR Package_II.5. RM Volume Sensitivities" xfId="10285"/>
    <cellStyle name="_MOR-BDW_Revised MOR Package_II.5. RM Volume Sensitivities 2" xfId="10286"/>
    <cellStyle name="_MOR-BDW_Revised MOR Package_II.5. RM Volume Sensitivities_BS retrieve" xfId="10287"/>
    <cellStyle name="_MOR-BDW_Revised MOR Package_II.5. RM Volume Sensitivities_Free CF" xfId="10288"/>
    <cellStyle name="_MOR-BDW_Revised MOR Package_II.5. RM Volume Sensitivities_P&amp;L Rec Qtr" xfId="10289"/>
    <cellStyle name="_MOR-BDW_Revised MOR Package_II.5. RM Volume Sensitivities_Sheet1" xfId="10290"/>
    <cellStyle name="_MOR-BDW_Revised MOR Package_II.5. RM Volume Sensitivities_Sheet2" xfId="10291"/>
    <cellStyle name="_MOR-BDW_Revised MOR Package_II.5. RM Volume Sensitivities_Sheet3" xfId="10292"/>
    <cellStyle name="_MOR-BDW_Revised MOR Package_II.5. RM Volume Sensitivities_Sheet4" xfId="10293"/>
    <cellStyle name="_MOR-BDW_Revised MOR Package_II.8. Sep&amp;Discrete" xfId="10294"/>
    <cellStyle name="_MOR-BDW_Revised MOR Package_Restructuring &amp; Separation" xfId="10295"/>
    <cellStyle name="_MOR-BDW_Revised MOR Package_Restructuring_Separation_TAX_JuneFC2010 tf" xfId="10296"/>
    <cellStyle name="_MOR-BDW_Revised MOR Package_Restructuring_Separation_TAX_JuneFC2010 tf_BS_Separation_TaxResIndem_Q12412 tf" xfId="10297"/>
    <cellStyle name="_MOR-BDW_Revised MOR Package_Restructuring_Separation_TAX_JuneFC2010 tf_BS_Separation_TaxResIndem_Q12412 tf_Restructuring &amp; Separation" xfId="10298"/>
    <cellStyle name="_MOR-BDW_Revised MOR Package_Restructuring_Separation_TAX_JuneFC2010 tf_II.8. Sep&amp;Discrete" xfId="10299"/>
    <cellStyle name="_MOR-BDW_Revised MOR Package_Restructuring_Separation_TAX_JuneFC2010 tf_Restructuring &amp; Separation" xfId="10300"/>
    <cellStyle name="_MOR-BDW_Revised MOR Package_Revised MOR Package - Latest" xfId="10301"/>
    <cellStyle name="_MOR-BDW_Revised MOR Package_Revised MOR Package - Latest_BS_Separation_TaxResIndem_Q12412 tf" xfId="10302"/>
    <cellStyle name="_MOR-BDW_Revised MOR Package_Revised MOR Package - Latest_BS_Separation_TaxResIndem_Q12412 tf_Restructuring &amp; Separation" xfId="10303"/>
    <cellStyle name="_MOR-BDW_Revised MOR Package_Revised MOR Package - Latest_By Country Detail 1Q10 041410pm FIN 18 revised per disc w Mary" xfId="10304"/>
    <cellStyle name="_MOR-BDW_Revised MOR Package_Revised MOR Package - Latest_By Country Detail 1Q10 041410pm FIN 18 revised per disc w Mary_BS_Separation_TaxResIndem_Q12412 tf" xfId="10305"/>
    <cellStyle name="_MOR-BDW_Revised MOR Package_Revised MOR Package - Latest_By Country Detail 1Q10 041410pm FIN 18 revised per disc w Mary_BS_Separation_TaxResIndem_Q12412 tf_Restructuring &amp; Separation" xfId="10306"/>
    <cellStyle name="_MOR-BDW_Revised MOR Package_Revised MOR Package - Latest_By Country Detail 1Q10 041410pm FIN 18 revised per disc w Mary_II.8. Sep&amp;Discrete" xfId="10307"/>
    <cellStyle name="_MOR-BDW_Revised MOR Package_Revised MOR Package - Latest_By Country Detail 1Q10 041410pm FIN 18 revised per disc w Mary_Restructuring &amp; Separation" xfId="10308"/>
    <cellStyle name="_MOR-BDW_Revised MOR Package_Revised MOR Package - Latest_II.4. RawMaterials" xfId="10309"/>
    <cellStyle name="_MOR-BDW_Revised MOR Package_Revised MOR Package - Latest_II.4. RawMaterials 2" xfId="10310"/>
    <cellStyle name="_MOR-BDW_Revised MOR Package_Revised MOR Package - Latest_II.4. RawMaterials_BS retrieve" xfId="10311"/>
    <cellStyle name="_MOR-BDW_Revised MOR Package_Revised MOR Package - Latest_II.4. RawMaterials_Free CF" xfId="10312"/>
    <cellStyle name="_MOR-BDW_Revised MOR Package_Revised MOR Package - Latest_II.4. RawMaterials_P&amp;L Rec Qtr" xfId="10313"/>
    <cellStyle name="_MOR-BDW_Revised MOR Package_Revised MOR Package - Latest_II.4. RawMaterials_Sheet1" xfId="10314"/>
    <cellStyle name="_MOR-BDW_Revised MOR Package_Revised MOR Package - Latest_II.4. RawMaterials_Sheet2" xfId="10315"/>
    <cellStyle name="_MOR-BDW_Revised MOR Package_Revised MOR Package - Latest_II.4. RawMaterials_Sheet3" xfId="10316"/>
    <cellStyle name="_MOR-BDW_Revised MOR Package_Revised MOR Package - Latest_II.4. RawMaterials_Sheet4" xfId="10317"/>
    <cellStyle name="_MOR-BDW_Revised MOR Package_Revised MOR Package - Latest_II.5. RawMaterials" xfId="10318"/>
    <cellStyle name="_MOR-BDW_Revised MOR Package_Revised MOR Package - Latest_II.5. RawMaterials 2" xfId="10319"/>
    <cellStyle name="_MOR-BDW_Revised MOR Package_Revised MOR Package - Latest_II.5. RawMaterials_BS retrieve" xfId="10320"/>
    <cellStyle name="_MOR-BDW_Revised MOR Package_Revised MOR Package - Latest_II.5. RawMaterials_Free CF" xfId="10321"/>
    <cellStyle name="_MOR-BDW_Revised MOR Package_Revised MOR Package - Latest_II.5. RawMaterials_P&amp;L Rec Qtr" xfId="10322"/>
    <cellStyle name="_MOR-BDW_Revised MOR Package_Revised MOR Package - Latest_II.5. RawMaterials_Sheet1" xfId="10323"/>
    <cellStyle name="_MOR-BDW_Revised MOR Package_Revised MOR Package - Latest_II.5. RawMaterials_Sheet2" xfId="10324"/>
    <cellStyle name="_MOR-BDW_Revised MOR Package_Revised MOR Package - Latest_II.5. RawMaterials_Sheet3" xfId="10325"/>
    <cellStyle name="_MOR-BDW_Revised MOR Package_Revised MOR Package - Latest_II.5. RawMaterials_Sheet4" xfId="10326"/>
    <cellStyle name="_MOR-BDW_Revised MOR Package_Revised MOR Package - Latest_II.5. RM Volume Sensitivities" xfId="10327"/>
    <cellStyle name="_MOR-BDW_Revised MOR Package_Revised MOR Package - Latest_II.5. RM Volume Sensitivities 2" xfId="10328"/>
    <cellStyle name="_MOR-BDW_Revised MOR Package_Revised MOR Package - Latest_II.5. RM Volume Sensitivities_BS retrieve" xfId="10329"/>
    <cellStyle name="_MOR-BDW_Revised MOR Package_Revised MOR Package - Latest_II.5. RM Volume Sensitivities_Free CF" xfId="10330"/>
    <cellStyle name="_MOR-BDW_Revised MOR Package_Revised MOR Package - Latest_II.5. RM Volume Sensitivities_P&amp;L Rec Qtr" xfId="10331"/>
    <cellStyle name="_MOR-BDW_Revised MOR Package_Revised MOR Package - Latest_II.5. RM Volume Sensitivities_Sheet1" xfId="10332"/>
    <cellStyle name="_MOR-BDW_Revised MOR Package_Revised MOR Package - Latest_II.5. RM Volume Sensitivities_Sheet2" xfId="10333"/>
    <cellStyle name="_MOR-BDW_Revised MOR Package_Revised MOR Package - Latest_II.5. RM Volume Sensitivities_Sheet3" xfId="10334"/>
    <cellStyle name="_MOR-BDW_Revised MOR Package_Revised MOR Package - Latest_II.5. RM Volume Sensitivities_Sheet4" xfId="10335"/>
    <cellStyle name="_MOR-BDW_Revised MOR Package_Revised MOR Package - Latest_II.8. Sep&amp;Discrete" xfId="10336"/>
    <cellStyle name="_MOR-BDW_Revised MOR Package_Revised MOR Package - Latest_Restructuring &amp; Separation" xfId="10337"/>
    <cellStyle name="_MOR-BDW_Revised MOR Package_Revised MOR Package - Latest_Restructuring_Separation_TAX_JuneFC2010 tf" xfId="10338"/>
    <cellStyle name="_MOR-BDW_Revised MOR Package_Revised MOR Package - Latest_Restructuring_Separation_TAX_JuneFC2010 tf_BS_Separation_TaxResIndem_Q12412 tf" xfId="10339"/>
    <cellStyle name="_MOR-BDW_Revised MOR Package_Revised MOR Package - Latest_Restructuring_Separation_TAX_JuneFC2010 tf_BS_Separation_TaxResIndem_Q12412 tf_Restructuring &amp; Separation" xfId="10340"/>
    <cellStyle name="_MOR-BDW_Revised MOR Package_Revised MOR Package - Latest_Restructuring_Separation_TAX_JuneFC2010 tf_II.8. Sep&amp;Discrete" xfId="10341"/>
    <cellStyle name="_MOR-BDW_Revised MOR Package_Revised MOR Package - Latest_Restructuring_Separation_TAX_JuneFC2010 tf_Restructuring &amp; Separation" xfId="10342"/>
    <cellStyle name="_ODE Transaction Model_India_v2" xfId="10343"/>
    <cellStyle name="_OPEX- PPT Revert" xfId="10344"/>
    <cellStyle name="_OPEX_analyze aft Jun closing (with Q2 Pyplr)" xfId="10345"/>
    <cellStyle name="_OPEX_analyze aft Jun closing (with Q2 Pyplr)_BS_Separation_TaxResIndem_Q12412 tf" xfId="10346"/>
    <cellStyle name="_OPEX_analyze aft Jun closing (with Q2 Pyplr)_BS_Separation_TaxResIndem_Q12412 tf_Restructuring &amp; Separation" xfId="10347"/>
    <cellStyle name="_OPEX_analyze aft Jun closing (with Q2 Pyplr)_By Country Detail 1Q10 041410pm FIN 18 revised per disc w Mary" xfId="10348"/>
    <cellStyle name="_OPEX_analyze aft Jun closing (with Q2 Pyplr)_By Country Detail 1Q10 041410pm FIN 18 revised per disc w Mary_BS_Separation_TaxResIndem_Q12412 tf" xfId="10349"/>
    <cellStyle name="_OPEX_analyze aft Jun closing (with Q2 Pyplr)_By Country Detail 1Q10 041410pm FIN 18 revised per disc w Mary_BS_Separation_TaxResIndem_Q12412 tf_Restructuring &amp; Separation" xfId="10350"/>
    <cellStyle name="_OPEX_analyze aft Jun closing (with Q2 Pyplr)_By Country Detail 1Q10 041410pm FIN 18 revised per disc w Mary_II.8. Sep&amp;Discrete" xfId="10351"/>
    <cellStyle name="_OPEX_analyze aft Jun closing (with Q2 Pyplr)_By Country Detail 1Q10 041410pm FIN 18 revised per disc w Mary_Restructuring &amp; Separation" xfId="10352"/>
    <cellStyle name="_OPEX_analyze aft Jun closing (with Q2 Pyplr)_II.4. RawMaterials" xfId="10353"/>
    <cellStyle name="_OPEX_analyze aft Jun closing (with Q2 Pyplr)_II.4. RawMaterials 2" xfId="10354"/>
    <cellStyle name="_OPEX_analyze aft Jun closing (with Q2 Pyplr)_II.4. RawMaterials_BS retrieve" xfId="10355"/>
    <cellStyle name="_OPEX_analyze aft Jun closing (with Q2 Pyplr)_II.4. RawMaterials_Free CF" xfId="10356"/>
    <cellStyle name="_OPEX_analyze aft Jun closing (with Q2 Pyplr)_II.4. RawMaterials_P&amp;L Rec Qtr" xfId="10357"/>
    <cellStyle name="_OPEX_analyze aft Jun closing (with Q2 Pyplr)_II.4. RawMaterials_Sheet1" xfId="10358"/>
    <cellStyle name="_OPEX_analyze aft Jun closing (with Q2 Pyplr)_II.4. RawMaterials_Sheet2" xfId="10359"/>
    <cellStyle name="_OPEX_analyze aft Jun closing (with Q2 Pyplr)_II.4. RawMaterials_Sheet3" xfId="10360"/>
    <cellStyle name="_OPEX_analyze aft Jun closing (with Q2 Pyplr)_II.4. RawMaterials_Sheet4" xfId="10361"/>
    <cellStyle name="_OPEX_analyze aft Jun closing (with Q2 Pyplr)_II.5. RawMaterials" xfId="10362"/>
    <cellStyle name="_OPEX_analyze aft Jun closing (with Q2 Pyplr)_II.5. RawMaterials 2" xfId="10363"/>
    <cellStyle name="_OPEX_analyze aft Jun closing (with Q2 Pyplr)_II.5. RawMaterials_BS retrieve" xfId="10364"/>
    <cellStyle name="_OPEX_analyze aft Jun closing (with Q2 Pyplr)_II.5. RawMaterials_Free CF" xfId="10365"/>
    <cellStyle name="_OPEX_analyze aft Jun closing (with Q2 Pyplr)_II.5. RawMaterials_P&amp;L Rec Qtr" xfId="10366"/>
    <cellStyle name="_OPEX_analyze aft Jun closing (with Q2 Pyplr)_II.5. RawMaterials_Sheet1" xfId="10367"/>
    <cellStyle name="_OPEX_analyze aft Jun closing (with Q2 Pyplr)_II.5. RawMaterials_Sheet2" xfId="10368"/>
    <cellStyle name="_OPEX_analyze aft Jun closing (with Q2 Pyplr)_II.5. RawMaterials_Sheet3" xfId="10369"/>
    <cellStyle name="_OPEX_analyze aft Jun closing (with Q2 Pyplr)_II.5. RawMaterials_Sheet4" xfId="10370"/>
    <cellStyle name="_OPEX_analyze aft Jun closing (with Q2 Pyplr)_II.5. RM Volume Sensitivities" xfId="10371"/>
    <cellStyle name="_OPEX_analyze aft Jun closing (with Q2 Pyplr)_II.5. RM Volume Sensitivities 2" xfId="10372"/>
    <cellStyle name="_OPEX_analyze aft Jun closing (with Q2 Pyplr)_II.5. RM Volume Sensitivities_BS retrieve" xfId="10373"/>
    <cellStyle name="_OPEX_analyze aft Jun closing (with Q2 Pyplr)_II.5. RM Volume Sensitivities_Free CF" xfId="10374"/>
    <cellStyle name="_OPEX_analyze aft Jun closing (with Q2 Pyplr)_II.5. RM Volume Sensitivities_P&amp;L Rec Qtr" xfId="10375"/>
    <cellStyle name="_OPEX_analyze aft Jun closing (with Q2 Pyplr)_II.5. RM Volume Sensitivities_Sheet1" xfId="10376"/>
    <cellStyle name="_OPEX_analyze aft Jun closing (with Q2 Pyplr)_II.5. RM Volume Sensitivities_Sheet2" xfId="10377"/>
    <cellStyle name="_OPEX_analyze aft Jun closing (with Q2 Pyplr)_II.5. RM Volume Sensitivities_Sheet3" xfId="10378"/>
    <cellStyle name="_OPEX_analyze aft Jun closing (with Q2 Pyplr)_II.5. RM Volume Sensitivities_Sheet4" xfId="10379"/>
    <cellStyle name="_OPEX_analyze aft Jun closing (with Q2 Pyplr)_II.8. Sep&amp;Discrete" xfId="10380"/>
    <cellStyle name="_OPEX_analyze aft Jun closing (with Q2 Pyplr)_Restructuring &amp; Separation" xfId="10381"/>
    <cellStyle name="_OPEX_analyze aft Jun closing (with Q2 Pyplr)_Restructuring_Separation_TAX_JuneFC2010 tf" xfId="10382"/>
    <cellStyle name="_OPEX_analyze aft Jun closing (with Q2 Pyplr)_Restructuring_Separation_TAX_JuneFC2010 tf_BS_Separation_TaxResIndem_Q12412 tf" xfId="10383"/>
    <cellStyle name="_OPEX_analyze aft Jun closing (with Q2 Pyplr)_Restructuring_Separation_TAX_JuneFC2010 tf_BS_Separation_TaxResIndem_Q12412 tf_Restructuring &amp; Separation" xfId="10384"/>
    <cellStyle name="_OPEX_analyze aft Jun closing (with Q2 Pyplr)_Restructuring_Separation_TAX_JuneFC2010 tf_II.8. Sep&amp;Discrete" xfId="10385"/>
    <cellStyle name="_OPEX_analyze aft Jun closing (with Q2 Pyplr)_Restructuring_Separation_TAX_JuneFC2010 tf_Restructuring &amp; Separation" xfId="10386"/>
    <cellStyle name="_OU Sheet (2)" xfId="10387"/>
    <cellStyle name="_raw material graphs (version 1)" xfId="10388"/>
    <cellStyle name="_raw material graphs (version 1) 2" xfId="10389"/>
    <cellStyle name="_raw material graphs (version 1)_BS retrieve" xfId="10390"/>
    <cellStyle name="_raw material graphs (version 1)_Free CF" xfId="10391"/>
    <cellStyle name="_raw material graphs (version 1)_P&amp;L Rec Qtr" xfId="10392"/>
    <cellStyle name="_raw material graphs (version 1)_Sheet1" xfId="10393"/>
    <cellStyle name="_raw material graphs (version 1)_Sheet2" xfId="10394"/>
    <cellStyle name="_raw material graphs (version 1)_Sheet3" xfId="10395"/>
    <cellStyle name="_raw material graphs (version 1)_Sheet4" xfId="10396"/>
    <cellStyle name="_Restructuring &amp; Separation" xfId="10397"/>
    <cellStyle name="_RESTRUCTURING and separation" xfId="10398"/>
    <cellStyle name="_Revised MOR - Australia -  EC - 4+8" xfId="10399"/>
    <cellStyle name="_Revised MOR - Australia -  EC - 4+8_BS_Separation_TaxResIndem_Q12412 tf" xfId="10400"/>
    <cellStyle name="_Revised MOR - Australia -  EC - 4+8_BS_Separation_TaxResIndem_Q12412 tf_Restructuring &amp; Separation" xfId="10401"/>
    <cellStyle name="_Revised MOR - Australia -  EC - 4+8_By Country Detail 1Q10 041410pm FIN 18 revised per disc w Mary" xfId="10402"/>
    <cellStyle name="_Revised MOR - Australia -  EC - 4+8_By Country Detail 1Q10 041410pm FIN 18 revised per disc w Mary_BS_Separation_TaxResIndem_Q12412 tf" xfId="10403"/>
    <cellStyle name="_Revised MOR - Australia -  EC - 4+8_By Country Detail 1Q10 041410pm FIN 18 revised per disc w Mary_BS_Separation_TaxResIndem_Q12412 tf_Restructuring &amp; Separation" xfId="10404"/>
    <cellStyle name="_Revised MOR - Australia -  EC - 4+8_By Country Detail 1Q10 041410pm FIN 18 revised per disc w Mary_II.8. Sep&amp;Discrete" xfId="10405"/>
    <cellStyle name="_Revised MOR - Australia -  EC - 4+8_By Country Detail 1Q10 041410pm FIN 18 revised per disc w Mary_Restructuring &amp; Separation" xfId="10406"/>
    <cellStyle name="_Revised MOR - Australia -  EC - 4+8_II.4. RawMaterials" xfId="10407"/>
    <cellStyle name="_Revised MOR - Australia -  EC - 4+8_II.4. RawMaterials 2" xfId="10408"/>
    <cellStyle name="_Revised MOR - Australia -  EC - 4+8_II.4. RawMaterials_BS retrieve" xfId="10409"/>
    <cellStyle name="_Revised MOR - Australia -  EC - 4+8_II.4. RawMaterials_Free CF" xfId="10410"/>
    <cellStyle name="_Revised MOR - Australia -  EC - 4+8_II.4. RawMaterials_P&amp;L Rec Qtr" xfId="10411"/>
    <cellStyle name="_Revised MOR - Australia -  EC - 4+8_II.4. RawMaterials_Sheet1" xfId="10412"/>
    <cellStyle name="_Revised MOR - Australia -  EC - 4+8_II.4. RawMaterials_Sheet2" xfId="10413"/>
    <cellStyle name="_Revised MOR - Australia -  EC - 4+8_II.4. RawMaterials_Sheet3" xfId="10414"/>
    <cellStyle name="_Revised MOR - Australia -  EC - 4+8_II.4. RawMaterials_Sheet4" xfId="10415"/>
    <cellStyle name="_Revised MOR - Australia -  EC - 4+8_II.5. RawMaterials" xfId="10416"/>
    <cellStyle name="_Revised MOR - Australia -  EC - 4+8_II.5. RawMaterials 2" xfId="10417"/>
    <cellStyle name="_Revised MOR - Australia -  EC - 4+8_II.5. RawMaterials_BS retrieve" xfId="10418"/>
    <cellStyle name="_Revised MOR - Australia -  EC - 4+8_II.5. RawMaterials_Free CF" xfId="10419"/>
    <cellStyle name="_Revised MOR - Australia -  EC - 4+8_II.5. RawMaterials_P&amp;L Rec Qtr" xfId="10420"/>
    <cellStyle name="_Revised MOR - Australia -  EC - 4+8_II.5. RawMaterials_Sheet1" xfId="10421"/>
    <cellStyle name="_Revised MOR - Australia -  EC - 4+8_II.5. RawMaterials_Sheet2" xfId="10422"/>
    <cellStyle name="_Revised MOR - Australia -  EC - 4+8_II.5. RawMaterials_Sheet3" xfId="10423"/>
    <cellStyle name="_Revised MOR - Australia -  EC - 4+8_II.5. RawMaterials_Sheet4" xfId="10424"/>
    <cellStyle name="_Revised MOR - Australia -  EC - 4+8_II.5. RM Volume Sensitivities" xfId="10425"/>
    <cellStyle name="_Revised MOR - Australia -  EC - 4+8_II.5. RM Volume Sensitivities 2" xfId="10426"/>
    <cellStyle name="_Revised MOR - Australia -  EC - 4+8_II.5. RM Volume Sensitivities_BS retrieve" xfId="10427"/>
    <cellStyle name="_Revised MOR - Australia -  EC - 4+8_II.5. RM Volume Sensitivities_Free CF" xfId="10428"/>
    <cellStyle name="_Revised MOR - Australia -  EC - 4+8_II.5. RM Volume Sensitivities_P&amp;L Rec Qtr" xfId="10429"/>
    <cellStyle name="_Revised MOR - Australia -  EC - 4+8_II.5. RM Volume Sensitivities_Sheet1" xfId="10430"/>
    <cellStyle name="_Revised MOR - Australia -  EC - 4+8_II.5. RM Volume Sensitivities_Sheet2" xfId="10431"/>
    <cellStyle name="_Revised MOR - Australia -  EC - 4+8_II.5. RM Volume Sensitivities_Sheet3" xfId="10432"/>
    <cellStyle name="_Revised MOR - Australia -  EC - 4+8_II.5. RM Volume Sensitivities_Sheet4" xfId="10433"/>
    <cellStyle name="_Revised MOR - Australia -  EC - 4+8_II.8. Sep&amp;Discrete" xfId="10434"/>
    <cellStyle name="_Revised MOR - Australia -  EC - 4+8_Restructuring &amp; Separation" xfId="10435"/>
    <cellStyle name="_Revised MOR - Australia -  EC - 4+8_Restructuring_Separation_TAX_JuneFC2010 tf" xfId="10436"/>
    <cellStyle name="_Revised MOR - Australia -  EC - 4+8_Restructuring_Separation_TAX_JuneFC2010 tf_BS_Separation_TaxResIndem_Q12412 tf" xfId="10437"/>
    <cellStyle name="_Revised MOR - Australia -  EC - 4+8_Restructuring_Separation_TAX_JuneFC2010 tf_BS_Separation_TaxResIndem_Q12412 tf_Restructuring &amp; Separation" xfId="10438"/>
    <cellStyle name="_Revised MOR - Australia -  EC - 4+8_Restructuring_Separation_TAX_JuneFC2010 tf_II.8. Sep&amp;Discrete" xfId="10439"/>
    <cellStyle name="_Revised MOR - Australia -  EC - 4+8_Restructuring_Separation_TAX_JuneFC2010 tf_Restructuring &amp; Separation" xfId="10440"/>
    <cellStyle name="_Revised MOR 2004" xfId="10441"/>
    <cellStyle name="_Revised MOR 2004_BS_Separation_TaxResIndem_Q12412 tf" xfId="10442"/>
    <cellStyle name="_Revised MOR 2004_BS_Separation_TaxResIndem_Q12412 tf_Restructuring &amp; Separation" xfId="10443"/>
    <cellStyle name="_Revised MOR 2004_By Country Detail 1Q10 041410pm FIN 18 revised per disc w Mary" xfId="10444"/>
    <cellStyle name="_Revised MOR 2004_By Country Detail 1Q10 041410pm FIN 18 revised per disc w Mary_BS_Separation_TaxResIndem_Q12412 tf" xfId="10445"/>
    <cellStyle name="_Revised MOR 2004_By Country Detail 1Q10 041410pm FIN 18 revised per disc w Mary_BS_Separation_TaxResIndem_Q12412 tf_Restructuring &amp; Separation" xfId="10446"/>
    <cellStyle name="_Revised MOR 2004_By Country Detail 1Q10 041410pm FIN 18 revised per disc w Mary_II.8. Sep&amp;Discrete" xfId="10447"/>
    <cellStyle name="_Revised MOR 2004_By Country Detail 1Q10 041410pm FIN 18 revised per disc w Mary_Restructuring &amp; Separation" xfId="10448"/>
    <cellStyle name="_Revised MOR 2004_II.4. RawMaterials" xfId="10449"/>
    <cellStyle name="_Revised MOR 2004_II.4. RawMaterials 2" xfId="10450"/>
    <cellStyle name="_Revised MOR 2004_II.4. RawMaterials_BS retrieve" xfId="10451"/>
    <cellStyle name="_Revised MOR 2004_II.4. RawMaterials_Free CF" xfId="10452"/>
    <cellStyle name="_Revised MOR 2004_II.4. RawMaterials_P&amp;L Rec Qtr" xfId="10453"/>
    <cellStyle name="_Revised MOR 2004_II.4. RawMaterials_Sheet1" xfId="10454"/>
    <cellStyle name="_Revised MOR 2004_II.4. RawMaterials_Sheet2" xfId="10455"/>
    <cellStyle name="_Revised MOR 2004_II.4. RawMaterials_Sheet3" xfId="10456"/>
    <cellStyle name="_Revised MOR 2004_II.4. RawMaterials_Sheet4" xfId="10457"/>
    <cellStyle name="_Revised MOR 2004_II.5. RawMaterials" xfId="10458"/>
    <cellStyle name="_Revised MOR 2004_II.5. RawMaterials 2" xfId="10459"/>
    <cellStyle name="_Revised MOR 2004_II.5. RawMaterials_BS retrieve" xfId="10460"/>
    <cellStyle name="_Revised MOR 2004_II.5. RawMaterials_Free CF" xfId="10461"/>
    <cellStyle name="_Revised MOR 2004_II.5. RawMaterials_P&amp;L Rec Qtr" xfId="10462"/>
    <cellStyle name="_Revised MOR 2004_II.5. RawMaterials_Sheet1" xfId="10463"/>
    <cellStyle name="_Revised MOR 2004_II.5. RawMaterials_Sheet2" xfId="10464"/>
    <cellStyle name="_Revised MOR 2004_II.5. RawMaterials_Sheet3" xfId="10465"/>
    <cellStyle name="_Revised MOR 2004_II.5. RawMaterials_Sheet4" xfId="10466"/>
    <cellStyle name="_Revised MOR 2004_II.5. RM Volume Sensitivities" xfId="10467"/>
    <cellStyle name="_Revised MOR 2004_II.5. RM Volume Sensitivities 2" xfId="10468"/>
    <cellStyle name="_Revised MOR 2004_II.5. RM Volume Sensitivities_BS retrieve" xfId="10469"/>
    <cellStyle name="_Revised MOR 2004_II.5. RM Volume Sensitivities_Free CF" xfId="10470"/>
    <cellStyle name="_Revised MOR 2004_II.5. RM Volume Sensitivities_P&amp;L Rec Qtr" xfId="10471"/>
    <cellStyle name="_Revised MOR 2004_II.5. RM Volume Sensitivities_Sheet1" xfId="10472"/>
    <cellStyle name="_Revised MOR 2004_II.5. RM Volume Sensitivities_Sheet2" xfId="10473"/>
    <cellStyle name="_Revised MOR 2004_II.5. RM Volume Sensitivities_Sheet3" xfId="10474"/>
    <cellStyle name="_Revised MOR 2004_II.5. RM Volume Sensitivities_Sheet4" xfId="10475"/>
    <cellStyle name="_Revised MOR 2004_II.8. Sep&amp;Discrete" xfId="10476"/>
    <cellStyle name="_Revised MOR 2004_MOR - BDWY - 1+11" xfId="10477"/>
    <cellStyle name="_Revised MOR 2004_MOR - BDWY - 1+11_~0039877" xfId="10478"/>
    <cellStyle name="_Revised MOR 2004_MOR - BDWY - 1+11_~0039877_BS_Separation_TaxResIndem_Q12412 tf" xfId="10479"/>
    <cellStyle name="_Revised MOR 2004_MOR - BDWY - 1+11_~0039877_BS_Separation_TaxResIndem_Q12412 tf_Restructuring &amp; Separation" xfId="10480"/>
    <cellStyle name="_Revised MOR 2004_MOR - BDWY - 1+11_~0039877_By Country Detail 1Q10 041410pm FIN 18 revised per disc w Mary" xfId="10481"/>
    <cellStyle name="_Revised MOR 2004_MOR - BDWY - 1+11_~0039877_By Country Detail 1Q10 041410pm FIN 18 revised per disc w Mary_BS_Separation_TaxResIndem_Q12412 tf" xfId="10482"/>
    <cellStyle name="_Revised MOR 2004_MOR - BDWY - 1+11_~0039877_By Country Detail 1Q10 041410pm FIN 18 revised per disc w Mary_BS_Separation_TaxResIndem_Q12412 tf_Restructuring &amp; Separation" xfId="10483"/>
    <cellStyle name="_Revised MOR 2004_MOR - BDWY - 1+11_~0039877_By Country Detail 1Q10 041410pm FIN 18 revised per disc w Mary_II.8. Sep&amp;Discrete" xfId="10484"/>
    <cellStyle name="_Revised MOR 2004_MOR - BDWY - 1+11_~0039877_By Country Detail 1Q10 041410pm FIN 18 revised per disc w Mary_Restructuring &amp; Separation" xfId="10485"/>
    <cellStyle name="_Revised MOR 2004_MOR - BDWY - 1+11_~0039877_II.4. RawMaterials" xfId="10486"/>
    <cellStyle name="_Revised MOR 2004_MOR - BDWY - 1+11_~0039877_II.4. RawMaterials 2" xfId="10487"/>
    <cellStyle name="_Revised MOR 2004_MOR - BDWY - 1+11_~0039877_II.4. RawMaterials_BS retrieve" xfId="10488"/>
    <cellStyle name="_Revised MOR 2004_MOR - BDWY - 1+11_~0039877_II.4. RawMaterials_Free CF" xfId="10489"/>
    <cellStyle name="_Revised MOR 2004_MOR - BDWY - 1+11_~0039877_II.4. RawMaterials_P&amp;L Rec Qtr" xfId="10490"/>
    <cellStyle name="_Revised MOR 2004_MOR - BDWY - 1+11_~0039877_II.4. RawMaterials_Sheet1" xfId="10491"/>
    <cellStyle name="_Revised MOR 2004_MOR - BDWY - 1+11_~0039877_II.4. RawMaterials_Sheet2" xfId="10492"/>
    <cellStyle name="_Revised MOR 2004_MOR - BDWY - 1+11_~0039877_II.4. RawMaterials_Sheet3" xfId="10493"/>
    <cellStyle name="_Revised MOR 2004_MOR - BDWY - 1+11_~0039877_II.4. RawMaterials_Sheet4" xfId="10494"/>
    <cellStyle name="_Revised MOR 2004_MOR - BDWY - 1+11_~0039877_II.5. RawMaterials" xfId="10495"/>
    <cellStyle name="_Revised MOR 2004_MOR - BDWY - 1+11_~0039877_II.5. RawMaterials 2" xfId="10496"/>
    <cellStyle name="_Revised MOR 2004_MOR - BDWY - 1+11_~0039877_II.5. RawMaterials_BS retrieve" xfId="10497"/>
    <cellStyle name="_Revised MOR 2004_MOR - BDWY - 1+11_~0039877_II.5. RawMaterials_Free CF" xfId="10498"/>
    <cellStyle name="_Revised MOR 2004_MOR - BDWY - 1+11_~0039877_II.5. RawMaterials_P&amp;L Rec Qtr" xfId="10499"/>
    <cellStyle name="_Revised MOR 2004_MOR - BDWY - 1+11_~0039877_II.5. RawMaterials_Sheet1" xfId="10500"/>
    <cellStyle name="_Revised MOR 2004_MOR - BDWY - 1+11_~0039877_II.5. RawMaterials_Sheet2" xfId="10501"/>
    <cellStyle name="_Revised MOR 2004_MOR - BDWY - 1+11_~0039877_II.5. RawMaterials_Sheet3" xfId="10502"/>
    <cellStyle name="_Revised MOR 2004_MOR - BDWY - 1+11_~0039877_II.5. RawMaterials_Sheet4" xfId="10503"/>
    <cellStyle name="_Revised MOR 2004_MOR - BDWY - 1+11_~0039877_II.5. RM Volume Sensitivities" xfId="10504"/>
    <cellStyle name="_Revised MOR 2004_MOR - BDWY - 1+11_~0039877_II.5. RM Volume Sensitivities 2" xfId="10505"/>
    <cellStyle name="_Revised MOR 2004_MOR - BDWY - 1+11_~0039877_II.5. RM Volume Sensitivities_BS retrieve" xfId="10506"/>
    <cellStyle name="_Revised MOR 2004_MOR - BDWY - 1+11_~0039877_II.5. RM Volume Sensitivities_Free CF" xfId="10507"/>
    <cellStyle name="_Revised MOR 2004_MOR - BDWY - 1+11_~0039877_II.5. RM Volume Sensitivities_P&amp;L Rec Qtr" xfId="10508"/>
    <cellStyle name="_Revised MOR 2004_MOR - BDWY - 1+11_~0039877_II.5. RM Volume Sensitivities_Sheet1" xfId="10509"/>
    <cellStyle name="_Revised MOR 2004_MOR - BDWY - 1+11_~0039877_II.5. RM Volume Sensitivities_Sheet2" xfId="10510"/>
    <cellStyle name="_Revised MOR 2004_MOR - BDWY - 1+11_~0039877_II.5. RM Volume Sensitivities_Sheet3" xfId="10511"/>
    <cellStyle name="_Revised MOR 2004_MOR - BDWY - 1+11_~0039877_II.5. RM Volume Sensitivities_Sheet4" xfId="10512"/>
    <cellStyle name="_Revised MOR 2004_MOR - BDWY - 1+11_~0039877_II.8. Sep&amp;Discrete" xfId="10513"/>
    <cellStyle name="_Revised MOR 2004_MOR - BDWY - 1+11_~0039877_Restructuring &amp; Separation" xfId="10514"/>
    <cellStyle name="_Revised MOR 2004_MOR - BDWY - 1+11_~0039877_Restructuring_Separation_TAX_JuneFC2010 tf" xfId="10515"/>
    <cellStyle name="_Revised MOR 2004_MOR - BDWY - 1+11_~0039877_Restructuring_Separation_TAX_JuneFC2010 tf_BS_Separation_TaxResIndem_Q12412 tf" xfId="10516"/>
    <cellStyle name="_Revised MOR 2004_MOR - BDWY - 1+11_~0039877_Restructuring_Separation_TAX_JuneFC2010 tf_BS_Separation_TaxResIndem_Q12412 tf_Restructuring &amp; Separation" xfId="10517"/>
    <cellStyle name="_Revised MOR 2004_MOR - BDWY - 1+11_~0039877_Restructuring_Separation_TAX_JuneFC2010 tf_II.8. Sep&amp;Discrete" xfId="10518"/>
    <cellStyle name="_Revised MOR 2004_MOR - BDWY - 1+11_~0039877_Restructuring_Separation_TAX_JuneFC2010 tf_Restructuring &amp; Separation" xfId="10519"/>
    <cellStyle name="_Revised MOR 2004_MOR - BDWY - 1+11_BS_Separation_TaxResIndem_Q12412 tf" xfId="10520"/>
    <cellStyle name="_Revised MOR 2004_MOR - BDWY - 1+11_BS_Separation_TaxResIndem_Q12412 tf_Restructuring &amp; Separation" xfId="10521"/>
    <cellStyle name="_Revised MOR 2004_MOR - BDWY - 1+11_By Country Detail 1Q10 041410pm FIN 18 revised per disc w Mary" xfId="10522"/>
    <cellStyle name="_Revised MOR 2004_MOR - BDWY - 1+11_By Country Detail 1Q10 041410pm FIN 18 revised per disc w Mary_BS_Separation_TaxResIndem_Q12412 tf" xfId="10523"/>
    <cellStyle name="_Revised MOR 2004_MOR - BDWY - 1+11_By Country Detail 1Q10 041410pm FIN 18 revised per disc w Mary_BS_Separation_TaxResIndem_Q12412 tf_Restructuring &amp; Separation" xfId="10524"/>
    <cellStyle name="_Revised MOR 2004_MOR - BDWY - 1+11_By Country Detail 1Q10 041410pm FIN 18 revised per disc w Mary_II.8. Sep&amp;Discrete" xfId="10525"/>
    <cellStyle name="_Revised MOR 2004_MOR - BDWY - 1+11_By Country Detail 1Q10 041410pm FIN 18 revised per disc w Mary_Restructuring &amp; Separation" xfId="10526"/>
    <cellStyle name="_Revised MOR 2004_MOR - BDWY - 1+11_II.4. RawMaterials" xfId="10527"/>
    <cellStyle name="_Revised MOR 2004_MOR - BDWY - 1+11_II.4. RawMaterials 2" xfId="10528"/>
    <cellStyle name="_Revised MOR 2004_MOR - BDWY - 1+11_II.4. RawMaterials_BS retrieve" xfId="10529"/>
    <cellStyle name="_Revised MOR 2004_MOR - BDWY - 1+11_II.4. RawMaterials_Free CF" xfId="10530"/>
    <cellStyle name="_Revised MOR 2004_MOR - BDWY - 1+11_II.4. RawMaterials_P&amp;L Rec Qtr" xfId="10531"/>
    <cellStyle name="_Revised MOR 2004_MOR - BDWY - 1+11_II.4. RawMaterials_Sheet1" xfId="10532"/>
    <cellStyle name="_Revised MOR 2004_MOR - BDWY - 1+11_II.4. RawMaterials_Sheet2" xfId="10533"/>
    <cellStyle name="_Revised MOR 2004_MOR - BDWY - 1+11_II.4. RawMaterials_Sheet3" xfId="10534"/>
    <cellStyle name="_Revised MOR 2004_MOR - BDWY - 1+11_II.4. RawMaterials_Sheet4" xfId="10535"/>
    <cellStyle name="_Revised MOR 2004_MOR - BDWY - 1+11_II.5. RawMaterials" xfId="10536"/>
    <cellStyle name="_Revised MOR 2004_MOR - BDWY - 1+11_II.5. RawMaterials 2" xfId="10537"/>
    <cellStyle name="_Revised MOR 2004_MOR - BDWY - 1+11_II.5. RawMaterials_BS retrieve" xfId="10538"/>
    <cellStyle name="_Revised MOR 2004_MOR - BDWY - 1+11_II.5. RawMaterials_Free CF" xfId="10539"/>
    <cellStyle name="_Revised MOR 2004_MOR - BDWY - 1+11_II.5. RawMaterials_P&amp;L Rec Qtr" xfId="10540"/>
    <cellStyle name="_Revised MOR 2004_MOR - BDWY - 1+11_II.5. RawMaterials_Sheet1" xfId="10541"/>
    <cellStyle name="_Revised MOR 2004_MOR - BDWY - 1+11_II.5. RawMaterials_Sheet2" xfId="10542"/>
    <cellStyle name="_Revised MOR 2004_MOR - BDWY - 1+11_II.5. RawMaterials_Sheet3" xfId="10543"/>
    <cellStyle name="_Revised MOR 2004_MOR - BDWY - 1+11_II.5. RawMaterials_Sheet4" xfId="10544"/>
    <cellStyle name="_Revised MOR 2004_MOR - BDWY - 1+11_II.5. RM Volume Sensitivities" xfId="10545"/>
    <cellStyle name="_Revised MOR 2004_MOR - BDWY - 1+11_II.5. RM Volume Sensitivities 2" xfId="10546"/>
    <cellStyle name="_Revised MOR 2004_MOR - BDWY - 1+11_II.5. RM Volume Sensitivities_BS retrieve" xfId="10547"/>
    <cellStyle name="_Revised MOR 2004_MOR - BDWY - 1+11_II.5. RM Volume Sensitivities_Free CF" xfId="10548"/>
    <cellStyle name="_Revised MOR 2004_MOR - BDWY - 1+11_II.5. RM Volume Sensitivities_P&amp;L Rec Qtr" xfId="10549"/>
    <cellStyle name="_Revised MOR 2004_MOR - BDWY - 1+11_II.5. RM Volume Sensitivities_Sheet1" xfId="10550"/>
    <cellStyle name="_Revised MOR 2004_MOR - BDWY - 1+11_II.5. RM Volume Sensitivities_Sheet2" xfId="10551"/>
    <cellStyle name="_Revised MOR 2004_MOR - BDWY - 1+11_II.5. RM Volume Sensitivities_Sheet3" xfId="10552"/>
    <cellStyle name="_Revised MOR 2004_MOR - BDWY - 1+11_II.5. RM Volume Sensitivities_Sheet4" xfId="10553"/>
    <cellStyle name="_Revised MOR 2004_MOR - BDWY - 1+11_II.8. Sep&amp;Discrete" xfId="10554"/>
    <cellStyle name="_Revised MOR 2004_MOR - BDWY - 1+11_MOR - Australia -  EC - 1+11" xfId="10555"/>
    <cellStyle name="_Revised MOR 2004_MOR - BDWY - 1+11_MOR - Australia -  EC - 1+11_BS_Separation_TaxResIndem_Q12412 tf" xfId="10556"/>
    <cellStyle name="_Revised MOR 2004_MOR - BDWY - 1+11_MOR - Australia -  EC - 1+11_BS_Separation_TaxResIndem_Q12412 tf_Restructuring &amp; Separation" xfId="10557"/>
    <cellStyle name="_Revised MOR 2004_MOR - BDWY - 1+11_MOR - Australia -  EC - 1+11_By Country Detail 1Q10 041410pm FIN 18 revised per disc w Mary" xfId="10558"/>
    <cellStyle name="_Revised MOR 2004_MOR - BDWY - 1+11_MOR - Australia -  EC - 1+11_By Country Detail 1Q10 041410pm FIN 18 revised per disc w Mary_BS_Separation_TaxResIndem_Q12412 tf" xfId="10559"/>
    <cellStyle name="_Revised MOR 2004_MOR - BDWY - 1+11_MOR - Australia -  EC - 1+11_By Country Detail 1Q10 041410pm FIN 18 revised per disc w Mary_BS_Separation_TaxResIndem_Q12412 tf_Restructuring &amp; Separation" xfId="10560"/>
    <cellStyle name="_Revised MOR 2004_MOR - BDWY - 1+11_MOR - Australia -  EC - 1+11_By Country Detail 1Q10 041410pm FIN 18 revised per disc w Mary_II.8. Sep&amp;Discrete" xfId="10561"/>
    <cellStyle name="_Revised MOR 2004_MOR - BDWY - 1+11_MOR - Australia -  EC - 1+11_By Country Detail 1Q10 041410pm FIN 18 revised per disc w Mary_Restructuring &amp; Separation" xfId="10562"/>
    <cellStyle name="_Revised MOR 2004_MOR - BDWY - 1+11_MOR - Australia -  EC - 1+11_II.4. RawMaterials" xfId="10563"/>
    <cellStyle name="_Revised MOR 2004_MOR - BDWY - 1+11_MOR - Australia -  EC - 1+11_II.4. RawMaterials 2" xfId="10564"/>
    <cellStyle name="_Revised MOR 2004_MOR - BDWY - 1+11_MOR - Australia -  EC - 1+11_II.4. RawMaterials_BS retrieve" xfId="10565"/>
    <cellStyle name="_Revised MOR 2004_MOR - BDWY - 1+11_MOR - Australia -  EC - 1+11_II.4. RawMaterials_Free CF" xfId="10566"/>
    <cellStyle name="_Revised MOR 2004_MOR - BDWY - 1+11_MOR - Australia -  EC - 1+11_II.4. RawMaterials_P&amp;L Rec Qtr" xfId="10567"/>
    <cellStyle name="_Revised MOR 2004_MOR - BDWY - 1+11_MOR - Australia -  EC - 1+11_II.4. RawMaterials_Sheet1" xfId="10568"/>
    <cellStyle name="_Revised MOR 2004_MOR - BDWY - 1+11_MOR - Australia -  EC - 1+11_II.4. RawMaterials_Sheet2" xfId="10569"/>
    <cellStyle name="_Revised MOR 2004_MOR - BDWY - 1+11_MOR - Australia -  EC - 1+11_II.4. RawMaterials_Sheet3" xfId="10570"/>
    <cellStyle name="_Revised MOR 2004_MOR - BDWY - 1+11_MOR - Australia -  EC - 1+11_II.4. RawMaterials_Sheet4" xfId="10571"/>
    <cellStyle name="_Revised MOR 2004_MOR - BDWY - 1+11_MOR - Australia -  EC - 1+11_II.5. RawMaterials" xfId="10572"/>
    <cellStyle name="_Revised MOR 2004_MOR - BDWY - 1+11_MOR - Australia -  EC - 1+11_II.5. RawMaterials 2" xfId="10573"/>
    <cellStyle name="_Revised MOR 2004_MOR - BDWY - 1+11_MOR - Australia -  EC - 1+11_II.5. RawMaterials_BS retrieve" xfId="10574"/>
    <cellStyle name="_Revised MOR 2004_MOR - BDWY - 1+11_MOR - Australia -  EC - 1+11_II.5. RawMaterials_Free CF" xfId="10575"/>
    <cellStyle name="_Revised MOR 2004_MOR - BDWY - 1+11_MOR - Australia -  EC - 1+11_II.5. RawMaterials_P&amp;L Rec Qtr" xfId="10576"/>
    <cellStyle name="_Revised MOR 2004_MOR - BDWY - 1+11_MOR - Australia -  EC - 1+11_II.5. RawMaterials_Sheet1" xfId="10577"/>
    <cellStyle name="_Revised MOR 2004_MOR - BDWY - 1+11_MOR - Australia -  EC - 1+11_II.5. RawMaterials_Sheet2" xfId="10578"/>
    <cellStyle name="_Revised MOR 2004_MOR - BDWY - 1+11_MOR - Australia -  EC - 1+11_II.5. RawMaterials_Sheet3" xfId="10579"/>
    <cellStyle name="_Revised MOR 2004_MOR - BDWY - 1+11_MOR - Australia -  EC - 1+11_II.5. RawMaterials_Sheet4" xfId="10580"/>
    <cellStyle name="_Revised MOR 2004_MOR - BDWY - 1+11_MOR - Australia -  EC - 1+11_II.5. RM Volume Sensitivities" xfId="10581"/>
    <cellStyle name="_Revised MOR 2004_MOR - BDWY - 1+11_MOR - Australia -  EC - 1+11_II.5. RM Volume Sensitivities 2" xfId="10582"/>
    <cellStyle name="_Revised MOR 2004_MOR - BDWY - 1+11_MOR - Australia -  EC - 1+11_II.5. RM Volume Sensitivities_BS retrieve" xfId="10583"/>
    <cellStyle name="_Revised MOR 2004_MOR - BDWY - 1+11_MOR - Australia -  EC - 1+11_II.5. RM Volume Sensitivities_Free CF" xfId="10584"/>
    <cellStyle name="_Revised MOR 2004_MOR - BDWY - 1+11_MOR - Australia -  EC - 1+11_II.5. RM Volume Sensitivities_P&amp;L Rec Qtr" xfId="10585"/>
    <cellStyle name="_Revised MOR 2004_MOR - BDWY - 1+11_MOR - Australia -  EC - 1+11_II.5. RM Volume Sensitivities_Sheet1" xfId="10586"/>
    <cellStyle name="_Revised MOR 2004_MOR - BDWY - 1+11_MOR - Australia -  EC - 1+11_II.5. RM Volume Sensitivities_Sheet2" xfId="10587"/>
    <cellStyle name="_Revised MOR 2004_MOR - BDWY - 1+11_MOR - Australia -  EC - 1+11_II.5. RM Volume Sensitivities_Sheet3" xfId="10588"/>
    <cellStyle name="_Revised MOR 2004_MOR - BDWY - 1+11_MOR - Australia -  EC - 1+11_II.5. RM Volume Sensitivities_Sheet4" xfId="10589"/>
    <cellStyle name="_Revised MOR 2004_MOR - BDWY - 1+11_MOR - Australia -  EC - 1+11_II.8. Sep&amp;Discrete" xfId="10590"/>
    <cellStyle name="_Revised MOR 2004_MOR - BDWY - 1+11_MOR - Australia -  EC - 1+11_Restructuring &amp; Separation" xfId="10591"/>
    <cellStyle name="_Revised MOR 2004_MOR - BDWY - 1+11_MOR - Australia -  EC - 1+11_Restructuring_Separation_TAX_JuneFC2010 tf" xfId="10592"/>
    <cellStyle name="_Revised MOR 2004_MOR - BDWY - 1+11_MOR - Australia -  EC - 1+11_Restructuring_Separation_TAX_JuneFC2010 tf_BS_Separation_TaxResIndem_Q12412 tf" xfId="10593"/>
    <cellStyle name="_Revised MOR 2004_MOR - BDWY - 1+11_MOR - Australia -  EC - 1+11_Restructuring_Separation_TAX_JuneFC2010 tf_BS_Separation_TaxResIndem_Q12412 tf_Restructuring &amp; Separation" xfId="10594"/>
    <cellStyle name="_Revised MOR 2004_MOR - BDWY - 1+11_MOR - Australia -  EC - 1+11_Restructuring_Separation_TAX_JuneFC2010 tf_II.8. Sep&amp;Discrete" xfId="10595"/>
    <cellStyle name="_Revised MOR 2004_MOR - BDWY - 1+11_MOR - Australia -  EC - 1+11_Restructuring_Separation_TAX_JuneFC2010 tf_Restructuring &amp; Separation" xfId="10596"/>
    <cellStyle name="_Revised MOR 2004_MOR - BDWY - 1+11_MOR - Australia -  EC - 2+10" xfId="10597"/>
    <cellStyle name="_Revised MOR 2004_MOR - BDWY - 1+11_MOR - Australia -  EC - 2+10_BS_Separation_TaxResIndem_Q12412 tf" xfId="10598"/>
    <cellStyle name="_Revised MOR 2004_MOR - BDWY - 1+11_MOR - Australia -  EC - 2+10_BS_Separation_TaxResIndem_Q12412 tf_Restructuring &amp; Separation" xfId="10599"/>
    <cellStyle name="_Revised MOR 2004_MOR - BDWY - 1+11_MOR - Australia -  EC - 2+10_By Country Detail 1Q10 041410pm FIN 18 revised per disc w Mary" xfId="10600"/>
    <cellStyle name="_Revised MOR 2004_MOR - BDWY - 1+11_MOR - Australia -  EC - 2+10_By Country Detail 1Q10 041410pm FIN 18 revised per disc w Mary_BS_Separation_TaxResIndem_Q12412 tf" xfId="10601"/>
    <cellStyle name="_Revised MOR 2004_MOR - BDWY - 1+11_MOR - Australia -  EC - 2+10_By Country Detail 1Q10 041410pm FIN 18 revised per disc w Mary_BS_Separation_TaxResIndem_Q12412 tf_Restructuring &amp; Separation" xfId="10602"/>
    <cellStyle name="_Revised MOR 2004_MOR - BDWY - 1+11_MOR - Australia -  EC - 2+10_By Country Detail 1Q10 041410pm FIN 18 revised per disc w Mary_II.8. Sep&amp;Discrete" xfId="10603"/>
    <cellStyle name="_Revised MOR 2004_MOR - BDWY - 1+11_MOR - Australia -  EC - 2+10_By Country Detail 1Q10 041410pm FIN 18 revised per disc w Mary_Restructuring &amp; Separation" xfId="10604"/>
    <cellStyle name="_Revised MOR 2004_MOR - BDWY - 1+11_MOR - Australia -  EC - 2+10_II.4. RawMaterials" xfId="10605"/>
    <cellStyle name="_Revised MOR 2004_MOR - BDWY - 1+11_MOR - Australia -  EC - 2+10_II.4. RawMaterials 2" xfId="10606"/>
    <cellStyle name="_Revised MOR 2004_MOR - BDWY - 1+11_MOR - Australia -  EC - 2+10_II.4. RawMaterials_BS retrieve" xfId="10607"/>
    <cellStyle name="_Revised MOR 2004_MOR - BDWY - 1+11_MOR - Australia -  EC - 2+10_II.4. RawMaterials_Free CF" xfId="10608"/>
    <cellStyle name="_Revised MOR 2004_MOR - BDWY - 1+11_MOR - Australia -  EC - 2+10_II.4. RawMaterials_P&amp;L Rec Qtr" xfId="10609"/>
    <cellStyle name="_Revised MOR 2004_MOR - BDWY - 1+11_MOR - Australia -  EC - 2+10_II.4. RawMaterials_Sheet1" xfId="10610"/>
    <cellStyle name="_Revised MOR 2004_MOR - BDWY - 1+11_MOR - Australia -  EC - 2+10_II.4. RawMaterials_Sheet2" xfId="10611"/>
    <cellStyle name="_Revised MOR 2004_MOR - BDWY - 1+11_MOR - Australia -  EC - 2+10_II.4. RawMaterials_Sheet3" xfId="10612"/>
    <cellStyle name="_Revised MOR 2004_MOR - BDWY - 1+11_MOR - Australia -  EC - 2+10_II.4. RawMaterials_Sheet4" xfId="10613"/>
    <cellStyle name="_Revised MOR 2004_MOR - BDWY - 1+11_MOR - Australia -  EC - 2+10_II.5. RawMaterials" xfId="10614"/>
    <cellStyle name="_Revised MOR 2004_MOR - BDWY - 1+11_MOR - Australia -  EC - 2+10_II.5. RawMaterials 2" xfId="10615"/>
    <cellStyle name="_Revised MOR 2004_MOR - BDWY - 1+11_MOR - Australia -  EC - 2+10_II.5. RawMaterials_BS retrieve" xfId="10616"/>
    <cellStyle name="_Revised MOR 2004_MOR - BDWY - 1+11_MOR - Australia -  EC - 2+10_II.5. RawMaterials_Free CF" xfId="10617"/>
    <cellStyle name="_Revised MOR 2004_MOR - BDWY - 1+11_MOR - Australia -  EC - 2+10_II.5. RawMaterials_P&amp;L Rec Qtr" xfId="10618"/>
    <cellStyle name="_Revised MOR 2004_MOR - BDWY - 1+11_MOR - Australia -  EC - 2+10_II.5. RawMaterials_Sheet1" xfId="10619"/>
    <cellStyle name="_Revised MOR 2004_MOR - BDWY - 1+11_MOR - Australia -  EC - 2+10_II.5. RawMaterials_Sheet2" xfId="10620"/>
    <cellStyle name="_Revised MOR 2004_MOR - BDWY - 1+11_MOR - Australia -  EC - 2+10_II.5. RawMaterials_Sheet3" xfId="10621"/>
    <cellStyle name="_Revised MOR 2004_MOR - BDWY - 1+11_MOR - Australia -  EC - 2+10_II.5. RawMaterials_Sheet4" xfId="10622"/>
    <cellStyle name="_Revised MOR 2004_MOR - BDWY - 1+11_MOR - Australia -  EC - 2+10_II.5. RM Volume Sensitivities" xfId="10623"/>
    <cellStyle name="_Revised MOR 2004_MOR - BDWY - 1+11_MOR - Australia -  EC - 2+10_II.5. RM Volume Sensitivities 2" xfId="10624"/>
    <cellStyle name="_Revised MOR 2004_MOR - BDWY - 1+11_MOR - Australia -  EC - 2+10_II.5. RM Volume Sensitivities_BS retrieve" xfId="10625"/>
    <cellStyle name="_Revised MOR 2004_MOR - BDWY - 1+11_MOR - Australia -  EC - 2+10_II.5. RM Volume Sensitivities_Free CF" xfId="10626"/>
    <cellStyle name="_Revised MOR 2004_MOR - BDWY - 1+11_MOR - Australia -  EC - 2+10_II.5. RM Volume Sensitivities_P&amp;L Rec Qtr" xfId="10627"/>
    <cellStyle name="_Revised MOR 2004_MOR - BDWY - 1+11_MOR - Australia -  EC - 2+10_II.5. RM Volume Sensitivities_Sheet1" xfId="10628"/>
    <cellStyle name="_Revised MOR 2004_MOR - BDWY - 1+11_MOR - Australia -  EC - 2+10_II.5. RM Volume Sensitivities_Sheet2" xfId="10629"/>
    <cellStyle name="_Revised MOR 2004_MOR - BDWY - 1+11_MOR - Australia -  EC - 2+10_II.5. RM Volume Sensitivities_Sheet3" xfId="10630"/>
    <cellStyle name="_Revised MOR 2004_MOR - BDWY - 1+11_MOR - Australia -  EC - 2+10_II.5. RM Volume Sensitivities_Sheet4" xfId="10631"/>
    <cellStyle name="_Revised MOR 2004_MOR - BDWY - 1+11_MOR - Australia -  EC - 2+10_II.8. Sep&amp;Discrete" xfId="10632"/>
    <cellStyle name="_Revised MOR 2004_MOR - BDWY - 1+11_MOR - Australia -  EC - 2+10_Restructuring &amp; Separation" xfId="10633"/>
    <cellStyle name="_Revised MOR 2004_MOR - BDWY - 1+11_MOR - Australia -  EC - 2+10_Restructuring_Separation_TAX_JuneFC2010 tf" xfId="10634"/>
    <cellStyle name="_Revised MOR 2004_MOR - BDWY - 1+11_MOR - Australia -  EC - 2+10_Restructuring_Separation_TAX_JuneFC2010 tf_BS_Separation_TaxResIndem_Q12412 tf" xfId="10635"/>
    <cellStyle name="_Revised MOR 2004_MOR - BDWY - 1+11_MOR - Australia -  EC - 2+10_Restructuring_Separation_TAX_JuneFC2010 tf_BS_Separation_TaxResIndem_Q12412 tf_Restructuring &amp; Separation" xfId="10636"/>
    <cellStyle name="_Revised MOR 2004_MOR - BDWY - 1+11_MOR - Australia -  EC - 2+10_Restructuring_Separation_TAX_JuneFC2010 tf_II.8. Sep&amp;Discrete" xfId="10637"/>
    <cellStyle name="_Revised MOR 2004_MOR - BDWY - 1+11_MOR - Australia -  EC - 2+10_Restructuring_Separation_TAX_JuneFC2010 tf_Restructuring &amp; Separation" xfId="10638"/>
    <cellStyle name="_Revised MOR 2004_MOR - BDWY - 1+11_MOR - Australia -  EC - 3+9" xfId="10639"/>
    <cellStyle name="_Revised MOR 2004_MOR - BDWY - 1+11_MOR - Australia -  EC - 3+9_BS_Separation_TaxResIndem_Q12412 tf" xfId="10640"/>
    <cellStyle name="_Revised MOR 2004_MOR - BDWY - 1+11_MOR - Australia -  EC - 3+9_BS_Separation_TaxResIndem_Q12412 tf_Restructuring &amp; Separation" xfId="10641"/>
    <cellStyle name="_Revised MOR 2004_MOR - BDWY - 1+11_MOR - Australia -  EC - 3+9_By Country Detail 1Q10 041410pm FIN 18 revised per disc w Mary" xfId="10642"/>
    <cellStyle name="_Revised MOR 2004_MOR - BDWY - 1+11_MOR - Australia -  EC - 3+9_By Country Detail 1Q10 041410pm FIN 18 revised per disc w Mary_BS_Separation_TaxResIndem_Q12412 tf" xfId="10643"/>
    <cellStyle name="_Revised MOR 2004_MOR - BDWY - 1+11_MOR - Australia -  EC - 3+9_By Country Detail 1Q10 041410pm FIN 18 revised per disc w Mary_BS_Separation_TaxResIndem_Q12412 tf_Restructuring &amp; Separation" xfId="10644"/>
    <cellStyle name="_Revised MOR 2004_MOR - BDWY - 1+11_MOR - Australia -  EC - 3+9_By Country Detail 1Q10 041410pm FIN 18 revised per disc w Mary_II.8. Sep&amp;Discrete" xfId="10645"/>
    <cellStyle name="_Revised MOR 2004_MOR - BDWY - 1+11_MOR - Australia -  EC - 3+9_By Country Detail 1Q10 041410pm FIN 18 revised per disc w Mary_Restructuring &amp; Separation" xfId="10646"/>
    <cellStyle name="_Revised MOR 2004_MOR - BDWY - 1+11_MOR - Australia -  EC - 3+9_II.4. RawMaterials" xfId="10647"/>
    <cellStyle name="_Revised MOR 2004_MOR - BDWY - 1+11_MOR - Australia -  EC - 3+9_II.4. RawMaterials 2" xfId="10648"/>
    <cellStyle name="_Revised MOR 2004_MOR - BDWY - 1+11_MOR - Australia -  EC - 3+9_II.4. RawMaterials_BS retrieve" xfId="10649"/>
    <cellStyle name="_Revised MOR 2004_MOR - BDWY - 1+11_MOR - Australia -  EC - 3+9_II.4. RawMaterials_Free CF" xfId="10650"/>
    <cellStyle name="_Revised MOR 2004_MOR - BDWY - 1+11_MOR - Australia -  EC - 3+9_II.4. RawMaterials_P&amp;L Rec Qtr" xfId="10651"/>
    <cellStyle name="_Revised MOR 2004_MOR - BDWY - 1+11_MOR - Australia -  EC - 3+9_II.4. RawMaterials_Sheet1" xfId="10652"/>
    <cellStyle name="_Revised MOR 2004_MOR - BDWY - 1+11_MOR - Australia -  EC - 3+9_II.4. RawMaterials_Sheet2" xfId="10653"/>
    <cellStyle name="_Revised MOR 2004_MOR - BDWY - 1+11_MOR - Australia -  EC - 3+9_II.4. RawMaterials_Sheet3" xfId="10654"/>
    <cellStyle name="_Revised MOR 2004_MOR - BDWY - 1+11_MOR - Australia -  EC - 3+9_II.4. RawMaterials_Sheet4" xfId="10655"/>
    <cellStyle name="_Revised MOR 2004_MOR - BDWY - 1+11_MOR - Australia -  EC - 3+9_II.5. RawMaterials" xfId="10656"/>
    <cellStyle name="_Revised MOR 2004_MOR - BDWY - 1+11_MOR - Australia -  EC - 3+9_II.5. RawMaterials 2" xfId="10657"/>
    <cellStyle name="_Revised MOR 2004_MOR - BDWY - 1+11_MOR - Australia -  EC - 3+9_II.5. RawMaterials_BS retrieve" xfId="10658"/>
    <cellStyle name="_Revised MOR 2004_MOR - BDWY - 1+11_MOR - Australia -  EC - 3+9_II.5. RawMaterials_Free CF" xfId="10659"/>
    <cellStyle name="_Revised MOR 2004_MOR - BDWY - 1+11_MOR - Australia -  EC - 3+9_II.5. RawMaterials_P&amp;L Rec Qtr" xfId="10660"/>
    <cellStyle name="_Revised MOR 2004_MOR - BDWY - 1+11_MOR - Australia -  EC - 3+9_II.5. RawMaterials_Sheet1" xfId="10661"/>
    <cellStyle name="_Revised MOR 2004_MOR - BDWY - 1+11_MOR - Australia -  EC - 3+9_II.5. RawMaterials_Sheet2" xfId="10662"/>
    <cellStyle name="_Revised MOR 2004_MOR - BDWY - 1+11_MOR - Australia -  EC - 3+9_II.5. RawMaterials_Sheet3" xfId="10663"/>
    <cellStyle name="_Revised MOR 2004_MOR - BDWY - 1+11_MOR - Australia -  EC - 3+9_II.5. RawMaterials_Sheet4" xfId="10664"/>
    <cellStyle name="_Revised MOR 2004_MOR - BDWY - 1+11_MOR - Australia -  EC - 3+9_II.5. RM Volume Sensitivities" xfId="10665"/>
    <cellStyle name="_Revised MOR 2004_MOR - BDWY - 1+11_MOR - Australia -  EC - 3+9_II.5. RM Volume Sensitivities 2" xfId="10666"/>
    <cellStyle name="_Revised MOR 2004_MOR - BDWY - 1+11_MOR - Australia -  EC - 3+9_II.5. RM Volume Sensitivities_BS retrieve" xfId="10667"/>
    <cellStyle name="_Revised MOR 2004_MOR - BDWY - 1+11_MOR - Australia -  EC - 3+9_II.5. RM Volume Sensitivities_Free CF" xfId="10668"/>
    <cellStyle name="_Revised MOR 2004_MOR - BDWY - 1+11_MOR - Australia -  EC - 3+9_II.5. RM Volume Sensitivities_P&amp;L Rec Qtr" xfId="10669"/>
    <cellStyle name="_Revised MOR 2004_MOR - BDWY - 1+11_MOR - Australia -  EC - 3+9_II.5. RM Volume Sensitivities_Sheet1" xfId="10670"/>
    <cellStyle name="_Revised MOR 2004_MOR - BDWY - 1+11_MOR - Australia -  EC - 3+9_II.5. RM Volume Sensitivities_Sheet2" xfId="10671"/>
    <cellStyle name="_Revised MOR 2004_MOR - BDWY - 1+11_MOR - Australia -  EC - 3+9_II.5. RM Volume Sensitivities_Sheet3" xfId="10672"/>
    <cellStyle name="_Revised MOR 2004_MOR - BDWY - 1+11_MOR - Australia -  EC - 3+9_II.5. RM Volume Sensitivities_Sheet4" xfId="10673"/>
    <cellStyle name="_Revised MOR 2004_MOR - BDWY - 1+11_MOR - Australia -  EC - 3+9_II.8. Sep&amp;Discrete" xfId="10674"/>
    <cellStyle name="_Revised MOR 2004_MOR - BDWY - 1+11_MOR - Australia -  EC - 3+9_Restructuring &amp; Separation" xfId="10675"/>
    <cellStyle name="_Revised MOR 2004_MOR - BDWY - 1+11_MOR - Australia -  EC - 3+9_Restructuring_Separation_TAX_JuneFC2010 tf" xfId="10676"/>
    <cellStyle name="_Revised MOR 2004_MOR - BDWY - 1+11_MOR - Australia -  EC - 3+9_Restructuring_Separation_TAX_JuneFC2010 tf_BS_Separation_TaxResIndem_Q12412 tf" xfId="10677"/>
    <cellStyle name="_Revised MOR 2004_MOR - BDWY - 1+11_MOR - Australia -  EC - 3+9_Restructuring_Separation_TAX_JuneFC2010 tf_BS_Separation_TaxResIndem_Q12412 tf_Restructuring &amp; Separation" xfId="10678"/>
    <cellStyle name="_Revised MOR 2004_MOR - BDWY - 1+11_MOR - Australia -  EC - 3+9_Restructuring_Separation_TAX_JuneFC2010 tf_II.8. Sep&amp;Discrete" xfId="10679"/>
    <cellStyle name="_Revised MOR 2004_MOR - BDWY - 1+11_MOR - Australia -  EC - 3+9_Restructuring_Separation_TAX_JuneFC2010 tf_Restructuring &amp; Separation" xfId="10680"/>
    <cellStyle name="_Revised MOR 2004_MOR - BDWY - 1+11_MOR - Australia -  EC - 4+8" xfId="10681"/>
    <cellStyle name="_Revised MOR 2004_MOR - BDWY - 1+11_MOR - Australia -  EC - 4+8_BS_Separation_TaxResIndem_Q12412 tf" xfId="10682"/>
    <cellStyle name="_Revised MOR 2004_MOR - BDWY - 1+11_MOR - Australia -  EC - 4+8_BS_Separation_TaxResIndem_Q12412 tf_Restructuring &amp; Separation" xfId="10683"/>
    <cellStyle name="_Revised MOR 2004_MOR - BDWY - 1+11_MOR - Australia -  EC - 4+8_By Country Detail 1Q10 041410pm FIN 18 revised per disc w Mary" xfId="10684"/>
    <cellStyle name="_Revised MOR 2004_MOR - BDWY - 1+11_MOR - Australia -  EC - 4+8_By Country Detail 1Q10 041410pm FIN 18 revised per disc w Mary_BS_Separation_TaxResIndem_Q12412 tf" xfId="10685"/>
    <cellStyle name="_Revised MOR 2004_MOR - BDWY - 1+11_MOR - Australia -  EC - 4+8_By Country Detail 1Q10 041410pm FIN 18 revised per disc w Mary_BS_Separation_TaxResIndem_Q12412 tf_Restructuring &amp; Separation" xfId="10686"/>
    <cellStyle name="_Revised MOR 2004_MOR - BDWY - 1+11_MOR - Australia -  EC - 4+8_By Country Detail 1Q10 041410pm FIN 18 revised per disc w Mary_II.8. Sep&amp;Discrete" xfId="10687"/>
    <cellStyle name="_Revised MOR 2004_MOR - BDWY - 1+11_MOR - Australia -  EC - 4+8_By Country Detail 1Q10 041410pm FIN 18 revised per disc w Mary_Restructuring &amp; Separation" xfId="10688"/>
    <cellStyle name="_Revised MOR 2004_MOR - BDWY - 1+11_MOR - Australia -  EC - 4+8_II.4. RawMaterials" xfId="10689"/>
    <cellStyle name="_Revised MOR 2004_MOR - BDWY - 1+11_MOR - Australia -  EC - 4+8_II.4. RawMaterials 2" xfId="10690"/>
    <cellStyle name="_Revised MOR 2004_MOR - BDWY - 1+11_MOR - Australia -  EC - 4+8_II.4. RawMaterials_BS retrieve" xfId="10691"/>
    <cellStyle name="_Revised MOR 2004_MOR - BDWY - 1+11_MOR - Australia -  EC - 4+8_II.4. RawMaterials_Free CF" xfId="10692"/>
    <cellStyle name="_Revised MOR 2004_MOR - BDWY - 1+11_MOR - Australia -  EC - 4+8_II.4. RawMaterials_P&amp;L Rec Qtr" xfId="10693"/>
    <cellStyle name="_Revised MOR 2004_MOR - BDWY - 1+11_MOR - Australia -  EC - 4+8_II.4. RawMaterials_Sheet1" xfId="10694"/>
    <cellStyle name="_Revised MOR 2004_MOR - BDWY - 1+11_MOR - Australia -  EC - 4+8_II.4. RawMaterials_Sheet2" xfId="10695"/>
    <cellStyle name="_Revised MOR 2004_MOR - BDWY - 1+11_MOR - Australia -  EC - 4+8_II.4. RawMaterials_Sheet3" xfId="10696"/>
    <cellStyle name="_Revised MOR 2004_MOR - BDWY - 1+11_MOR - Australia -  EC - 4+8_II.4. RawMaterials_Sheet4" xfId="10697"/>
    <cellStyle name="_Revised MOR 2004_MOR - BDWY - 1+11_MOR - Australia -  EC - 4+8_II.5. RawMaterials" xfId="10698"/>
    <cellStyle name="_Revised MOR 2004_MOR - BDWY - 1+11_MOR - Australia -  EC - 4+8_II.5. RawMaterials 2" xfId="10699"/>
    <cellStyle name="_Revised MOR 2004_MOR - BDWY - 1+11_MOR - Australia -  EC - 4+8_II.5. RawMaterials_BS retrieve" xfId="10700"/>
    <cellStyle name="_Revised MOR 2004_MOR - BDWY - 1+11_MOR - Australia -  EC - 4+8_II.5. RawMaterials_Free CF" xfId="10701"/>
    <cellStyle name="_Revised MOR 2004_MOR - BDWY - 1+11_MOR - Australia -  EC - 4+8_II.5. RawMaterials_P&amp;L Rec Qtr" xfId="10702"/>
    <cellStyle name="_Revised MOR 2004_MOR - BDWY - 1+11_MOR - Australia -  EC - 4+8_II.5. RawMaterials_Sheet1" xfId="10703"/>
    <cellStyle name="_Revised MOR 2004_MOR - BDWY - 1+11_MOR - Australia -  EC - 4+8_II.5. RawMaterials_Sheet2" xfId="10704"/>
    <cellStyle name="_Revised MOR 2004_MOR - BDWY - 1+11_MOR - Australia -  EC - 4+8_II.5. RawMaterials_Sheet3" xfId="10705"/>
    <cellStyle name="_Revised MOR 2004_MOR - BDWY - 1+11_MOR - Australia -  EC - 4+8_II.5. RawMaterials_Sheet4" xfId="10706"/>
    <cellStyle name="_Revised MOR 2004_MOR - BDWY - 1+11_MOR - Australia -  EC - 4+8_II.5. RM Volume Sensitivities" xfId="10707"/>
    <cellStyle name="_Revised MOR 2004_MOR - BDWY - 1+11_MOR - Australia -  EC - 4+8_II.5. RM Volume Sensitivities 2" xfId="10708"/>
    <cellStyle name="_Revised MOR 2004_MOR - BDWY - 1+11_MOR - Australia -  EC - 4+8_II.5. RM Volume Sensitivities_BS retrieve" xfId="10709"/>
    <cellStyle name="_Revised MOR 2004_MOR - BDWY - 1+11_MOR - Australia -  EC - 4+8_II.5. RM Volume Sensitivities_Free CF" xfId="10710"/>
    <cellStyle name="_Revised MOR 2004_MOR - BDWY - 1+11_MOR - Australia -  EC - 4+8_II.5. RM Volume Sensitivities_P&amp;L Rec Qtr" xfId="10711"/>
    <cellStyle name="_Revised MOR 2004_MOR - BDWY - 1+11_MOR - Australia -  EC - 4+8_II.5. RM Volume Sensitivities_Sheet1" xfId="10712"/>
    <cellStyle name="_Revised MOR 2004_MOR - BDWY - 1+11_MOR - Australia -  EC - 4+8_II.5. RM Volume Sensitivities_Sheet2" xfId="10713"/>
    <cellStyle name="_Revised MOR 2004_MOR - BDWY - 1+11_MOR - Australia -  EC - 4+8_II.5. RM Volume Sensitivities_Sheet3" xfId="10714"/>
    <cellStyle name="_Revised MOR 2004_MOR - BDWY - 1+11_MOR - Australia -  EC - 4+8_II.5. RM Volume Sensitivities_Sheet4" xfId="10715"/>
    <cellStyle name="_Revised MOR 2004_MOR - BDWY - 1+11_MOR - Australia -  EC - 4+8_II.8. Sep&amp;Discrete" xfId="10716"/>
    <cellStyle name="_Revised MOR 2004_MOR - BDWY - 1+11_MOR - Australia -  EC - 4+8_Restructuring &amp; Separation" xfId="10717"/>
    <cellStyle name="_Revised MOR 2004_MOR - BDWY - 1+11_MOR - Australia -  EC - 4+8_Restructuring_Separation_TAX_JuneFC2010 tf" xfId="10718"/>
    <cellStyle name="_Revised MOR 2004_MOR - BDWY - 1+11_MOR - Australia -  EC - 4+8_Restructuring_Separation_TAX_JuneFC2010 tf_BS_Separation_TaxResIndem_Q12412 tf" xfId="10719"/>
    <cellStyle name="_Revised MOR 2004_MOR - BDWY - 1+11_MOR - Australia -  EC - 4+8_Restructuring_Separation_TAX_JuneFC2010 tf_BS_Separation_TaxResIndem_Q12412 tf_Restructuring &amp; Separation" xfId="10720"/>
    <cellStyle name="_Revised MOR 2004_MOR - BDWY - 1+11_MOR - Australia -  EC - 4+8_Restructuring_Separation_TAX_JuneFC2010 tf_II.8. Sep&amp;Discrete" xfId="10721"/>
    <cellStyle name="_Revised MOR 2004_MOR - BDWY - 1+11_MOR - Australia -  EC - 4+8_Restructuring_Separation_TAX_JuneFC2010 tf_Restructuring &amp; Separation" xfId="10722"/>
    <cellStyle name="_Revised MOR 2004_MOR - BDWY - 1+11_MOR - Gurgaon - 3+9(R)" xfId="10723"/>
    <cellStyle name="_Revised MOR 2004_MOR - BDWY - 1+11_MOR - Gurgaon - 3+9(R)_BS_Separation_TaxResIndem_Q12412 tf" xfId="10724"/>
    <cellStyle name="_Revised MOR 2004_MOR - BDWY - 1+11_MOR - Gurgaon - 3+9(R)_BS_Separation_TaxResIndem_Q12412 tf_Restructuring &amp; Separation" xfId="10725"/>
    <cellStyle name="_Revised MOR 2004_MOR - BDWY - 1+11_MOR - Gurgaon - 3+9(R)_By Country Detail 1Q10 041410pm FIN 18 revised per disc w Mary" xfId="10726"/>
    <cellStyle name="_Revised MOR 2004_MOR - BDWY - 1+11_MOR - Gurgaon - 3+9(R)_By Country Detail 1Q10 041410pm FIN 18 revised per disc w Mary_BS_Separation_TaxResIndem_Q12412 tf" xfId="10727"/>
    <cellStyle name="_Revised MOR 2004_MOR - BDWY - 1+11_MOR - Gurgaon - 3+9(R)_By Country Detail 1Q10 041410pm FIN 18 revised per disc w Mary_BS_Separation_TaxResIndem_Q12412 tf_Restructuring &amp; Separation" xfId="10728"/>
    <cellStyle name="_Revised MOR 2004_MOR - BDWY - 1+11_MOR - Gurgaon - 3+9(R)_By Country Detail 1Q10 041410pm FIN 18 revised per disc w Mary_II.8. Sep&amp;Discrete" xfId="10729"/>
    <cellStyle name="_Revised MOR 2004_MOR - BDWY - 1+11_MOR - Gurgaon - 3+9(R)_By Country Detail 1Q10 041410pm FIN 18 revised per disc w Mary_Restructuring &amp; Separation" xfId="10730"/>
    <cellStyle name="_Revised MOR 2004_MOR - BDWY - 1+11_MOR - Gurgaon - 3+9(R)_II.4. RawMaterials" xfId="10731"/>
    <cellStyle name="_Revised MOR 2004_MOR - BDWY - 1+11_MOR - Gurgaon - 3+9(R)_II.4. RawMaterials 2" xfId="10732"/>
    <cellStyle name="_Revised MOR 2004_MOR - BDWY - 1+11_MOR - Gurgaon - 3+9(R)_II.4. RawMaterials_BS retrieve" xfId="10733"/>
    <cellStyle name="_Revised MOR 2004_MOR - BDWY - 1+11_MOR - Gurgaon - 3+9(R)_II.4. RawMaterials_Free CF" xfId="10734"/>
    <cellStyle name="_Revised MOR 2004_MOR - BDWY - 1+11_MOR - Gurgaon - 3+9(R)_II.4. RawMaterials_P&amp;L Rec Qtr" xfId="10735"/>
    <cellStyle name="_Revised MOR 2004_MOR - BDWY - 1+11_MOR - Gurgaon - 3+9(R)_II.4. RawMaterials_Sheet1" xfId="10736"/>
    <cellStyle name="_Revised MOR 2004_MOR - BDWY - 1+11_MOR - Gurgaon - 3+9(R)_II.4. RawMaterials_Sheet2" xfId="10737"/>
    <cellStyle name="_Revised MOR 2004_MOR - BDWY - 1+11_MOR - Gurgaon - 3+9(R)_II.4. RawMaterials_Sheet3" xfId="10738"/>
    <cellStyle name="_Revised MOR 2004_MOR - BDWY - 1+11_MOR - Gurgaon - 3+9(R)_II.4. RawMaterials_Sheet4" xfId="10739"/>
    <cellStyle name="_Revised MOR 2004_MOR - BDWY - 1+11_MOR - Gurgaon - 3+9(R)_II.5. RawMaterials" xfId="10740"/>
    <cellStyle name="_Revised MOR 2004_MOR - BDWY - 1+11_MOR - Gurgaon - 3+9(R)_II.5. RawMaterials 2" xfId="10741"/>
    <cellStyle name="_Revised MOR 2004_MOR - BDWY - 1+11_MOR - Gurgaon - 3+9(R)_II.5. RawMaterials_BS retrieve" xfId="10742"/>
    <cellStyle name="_Revised MOR 2004_MOR - BDWY - 1+11_MOR - Gurgaon - 3+9(R)_II.5. RawMaterials_Free CF" xfId="10743"/>
    <cellStyle name="_Revised MOR 2004_MOR - BDWY - 1+11_MOR - Gurgaon - 3+9(R)_II.5. RawMaterials_P&amp;L Rec Qtr" xfId="10744"/>
    <cellStyle name="_Revised MOR 2004_MOR - BDWY - 1+11_MOR - Gurgaon - 3+9(R)_II.5. RawMaterials_Sheet1" xfId="10745"/>
    <cellStyle name="_Revised MOR 2004_MOR - BDWY - 1+11_MOR - Gurgaon - 3+9(R)_II.5. RawMaterials_Sheet2" xfId="10746"/>
    <cellStyle name="_Revised MOR 2004_MOR - BDWY - 1+11_MOR - Gurgaon - 3+9(R)_II.5. RawMaterials_Sheet3" xfId="10747"/>
    <cellStyle name="_Revised MOR 2004_MOR - BDWY - 1+11_MOR - Gurgaon - 3+9(R)_II.5. RawMaterials_Sheet4" xfId="10748"/>
    <cellStyle name="_Revised MOR 2004_MOR - BDWY - 1+11_MOR - Gurgaon - 3+9(R)_II.5. RM Volume Sensitivities" xfId="10749"/>
    <cellStyle name="_Revised MOR 2004_MOR - BDWY - 1+11_MOR - Gurgaon - 3+9(R)_II.5. RM Volume Sensitivities 2" xfId="10750"/>
    <cellStyle name="_Revised MOR 2004_MOR - BDWY - 1+11_MOR - Gurgaon - 3+9(R)_II.5. RM Volume Sensitivities_BS retrieve" xfId="10751"/>
    <cellStyle name="_Revised MOR 2004_MOR - BDWY - 1+11_MOR - Gurgaon - 3+9(R)_II.5. RM Volume Sensitivities_Free CF" xfId="10752"/>
    <cellStyle name="_Revised MOR 2004_MOR - BDWY - 1+11_MOR - Gurgaon - 3+9(R)_II.5. RM Volume Sensitivities_P&amp;L Rec Qtr" xfId="10753"/>
    <cellStyle name="_Revised MOR 2004_MOR - BDWY - 1+11_MOR - Gurgaon - 3+9(R)_II.5. RM Volume Sensitivities_Sheet1" xfId="10754"/>
    <cellStyle name="_Revised MOR 2004_MOR - BDWY - 1+11_MOR - Gurgaon - 3+9(R)_II.5. RM Volume Sensitivities_Sheet2" xfId="10755"/>
    <cellStyle name="_Revised MOR 2004_MOR - BDWY - 1+11_MOR - Gurgaon - 3+9(R)_II.5. RM Volume Sensitivities_Sheet3" xfId="10756"/>
    <cellStyle name="_Revised MOR 2004_MOR - BDWY - 1+11_MOR - Gurgaon - 3+9(R)_II.5. RM Volume Sensitivities_Sheet4" xfId="10757"/>
    <cellStyle name="_Revised MOR 2004_MOR - BDWY - 1+11_MOR - Gurgaon - 3+9(R)_II.8. Sep&amp;Discrete" xfId="10758"/>
    <cellStyle name="_Revised MOR 2004_MOR - BDWY - 1+11_MOR - Gurgaon - 3+9(R)_MOR - Revised Package" xfId="10759"/>
    <cellStyle name="_Revised MOR 2004_MOR - BDWY - 1+11_MOR - Gurgaon - 3+9(R)_MOR - Revised Package_~0039877" xfId="10760"/>
    <cellStyle name="_Revised MOR 2004_MOR - BDWY - 1+11_MOR - Gurgaon - 3+9(R)_MOR - Revised Package_~0039877_BS_Separation_TaxResIndem_Q12412 tf" xfId="10761"/>
    <cellStyle name="_Revised MOR 2004_MOR - BDWY - 1+11_MOR - Gurgaon - 3+9(R)_MOR - Revised Package_~0039877_BS_Separation_TaxResIndem_Q12412 tf_Restructuring &amp; Separation" xfId="10762"/>
    <cellStyle name="_Revised MOR 2004_MOR - BDWY - 1+11_MOR - Gurgaon - 3+9(R)_MOR - Revised Package_~0039877_By Country Detail 1Q10 041410pm FIN 18 revised per disc w Mary" xfId="10763"/>
    <cellStyle name="_Revised MOR 2004_MOR - BDWY - 1+11_MOR - Gurgaon - 3+9(R)_MOR - Revised Package_~0039877_By Country Detail 1Q10 041410pm FIN 18 revised per disc w Mary_BS_Separation_TaxResIndem_Q12412 tf" xfId="10764"/>
    <cellStyle name="_Revised MOR 2004_MOR - BDWY - 1+11_MOR - Gurgaon - 3+9(R)_MOR - Revised Package_~0039877_By Country Detail 1Q10 041410pm FIN 18 revised per disc w Mary_BS_Separation_TaxResIndem_Q12412 tf_Restructuring &amp; Separation" xfId="10765"/>
    <cellStyle name="_Revised MOR 2004_MOR - BDWY - 1+11_MOR - Gurgaon - 3+9(R)_MOR - Revised Package_~0039877_By Country Detail 1Q10 041410pm FIN 18 revised per disc w Mary_II.8. Sep&amp;Discrete" xfId="10766"/>
    <cellStyle name="_Revised MOR 2004_MOR - BDWY - 1+11_MOR - Gurgaon - 3+9(R)_MOR - Revised Package_~0039877_By Country Detail 1Q10 041410pm FIN 18 revised per disc w Mary_Restructuring &amp; Separation" xfId="10767"/>
    <cellStyle name="_Revised MOR 2004_MOR - BDWY - 1+11_MOR - Gurgaon - 3+9(R)_MOR - Revised Package_~0039877_II.4. RawMaterials" xfId="10768"/>
    <cellStyle name="_Revised MOR 2004_MOR - BDWY - 1+11_MOR - Gurgaon - 3+9(R)_MOR - Revised Package_~0039877_II.4. RawMaterials 2" xfId="10769"/>
    <cellStyle name="_Revised MOR 2004_MOR - BDWY - 1+11_MOR - Gurgaon - 3+9(R)_MOR - Revised Package_~0039877_II.4. RawMaterials_BS retrieve" xfId="10770"/>
    <cellStyle name="_Revised MOR 2004_MOR - BDWY - 1+11_MOR - Gurgaon - 3+9(R)_MOR - Revised Package_~0039877_II.4. RawMaterials_Free CF" xfId="10771"/>
    <cellStyle name="_Revised MOR 2004_MOR - BDWY - 1+11_MOR - Gurgaon - 3+9(R)_MOR - Revised Package_~0039877_II.4. RawMaterials_P&amp;L Rec Qtr" xfId="10772"/>
    <cellStyle name="_Revised MOR 2004_MOR - BDWY - 1+11_MOR - Gurgaon - 3+9(R)_MOR - Revised Package_~0039877_II.4. RawMaterials_Sheet1" xfId="10773"/>
    <cellStyle name="_Revised MOR 2004_MOR - BDWY - 1+11_MOR - Gurgaon - 3+9(R)_MOR - Revised Package_~0039877_II.4. RawMaterials_Sheet2" xfId="10774"/>
    <cellStyle name="_Revised MOR 2004_MOR - BDWY - 1+11_MOR - Gurgaon - 3+9(R)_MOR - Revised Package_~0039877_II.4. RawMaterials_Sheet3" xfId="10775"/>
    <cellStyle name="_Revised MOR 2004_MOR - BDWY - 1+11_MOR - Gurgaon - 3+9(R)_MOR - Revised Package_~0039877_II.4. RawMaterials_Sheet4" xfId="10776"/>
    <cellStyle name="_Revised MOR 2004_MOR - BDWY - 1+11_MOR - Gurgaon - 3+9(R)_MOR - Revised Package_~0039877_II.5. RawMaterials" xfId="10777"/>
    <cellStyle name="_Revised MOR 2004_MOR - BDWY - 1+11_MOR - Gurgaon - 3+9(R)_MOR - Revised Package_~0039877_II.5. RawMaterials 2" xfId="10778"/>
    <cellStyle name="_Revised MOR 2004_MOR - BDWY - 1+11_MOR - Gurgaon - 3+9(R)_MOR - Revised Package_~0039877_II.5. RawMaterials_BS retrieve" xfId="10779"/>
    <cellStyle name="_Revised MOR 2004_MOR - BDWY - 1+11_MOR - Gurgaon - 3+9(R)_MOR - Revised Package_~0039877_II.5. RawMaterials_Free CF" xfId="10780"/>
    <cellStyle name="_Revised MOR 2004_MOR - BDWY - 1+11_MOR - Gurgaon - 3+9(R)_MOR - Revised Package_~0039877_II.5. RawMaterials_P&amp;L Rec Qtr" xfId="10781"/>
    <cellStyle name="_Revised MOR 2004_MOR - BDWY - 1+11_MOR - Gurgaon - 3+9(R)_MOR - Revised Package_~0039877_II.5. RawMaterials_Sheet1" xfId="10782"/>
    <cellStyle name="_Revised MOR 2004_MOR - BDWY - 1+11_MOR - Gurgaon - 3+9(R)_MOR - Revised Package_~0039877_II.5. RawMaterials_Sheet2" xfId="10783"/>
    <cellStyle name="_Revised MOR 2004_MOR - BDWY - 1+11_MOR - Gurgaon - 3+9(R)_MOR - Revised Package_~0039877_II.5. RawMaterials_Sheet3" xfId="10784"/>
    <cellStyle name="_Revised MOR 2004_MOR - BDWY - 1+11_MOR - Gurgaon - 3+9(R)_MOR - Revised Package_~0039877_II.5. RawMaterials_Sheet4" xfId="10785"/>
    <cellStyle name="_Revised MOR 2004_MOR - BDWY - 1+11_MOR - Gurgaon - 3+9(R)_MOR - Revised Package_~0039877_II.5. RM Volume Sensitivities" xfId="10786"/>
    <cellStyle name="_Revised MOR 2004_MOR - BDWY - 1+11_MOR - Gurgaon - 3+9(R)_MOR - Revised Package_~0039877_II.5. RM Volume Sensitivities 2" xfId="10787"/>
    <cellStyle name="_Revised MOR 2004_MOR - BDWY - 1+11_MOR - Gurgaon - 3+9(R)_MOR - Revised Package_~0039877_II.5. RM Volume Sensitivities_BS retrieve" xfId="10788"/>
    <cellStyle name="_Revised MOR 2004_MOR - BDWY - 1+11_MOR - Gurgaon - 3+9(R)_MOR - Revised Package_~0039877_II.5. RM Volume Sensitivities_Free CF" xfId="10789"/>
    <cellStyle name="_Revised MOR 2004_MOR - BDWY - 1+11_MOR - Gurgaon - 3+9(R)_MOR - Revised Package_~0039877_II.5. RM Volume Sensitivities_P&amp;L Rec Qtr" xfId="10790"/>
    <cellStyle name="_Revised MOR 2004_MOR - BDWY - 1+11_MOR - Gurgaon - 3+9(R)_MOR - Revised Package_~0039877_II.5. RM Volume Sensitivities_Sheet1" xfId="10791"/>
    <cellStyle name="_Revised MOR 2004_MOR - BDWY - 1+11_MOR - Gurgaon - 3+9(R)_MOR - Revised Package_~0039877_II.5. RM Volume Sensitivities_Sheet2" xfId="10792"/>
    <cellStyle name="_Revised MOR 2004_MOR - BDWY - 1+11_MOR - Gurgaon - 3+9(R)_MOR - Revised Package_~0039877_II.5. RM Volume Sensitivities_Sheet3" xfId="10793"/>
    <cellStyle name="_Revised MOR 2004_MOR - BDWY - 1+11_MOR - Gurgaon - 3+9(R)_MOR - Revised Package_~0039877_II.5. RM Volume Sensitivities_Sheet4" xfId="10794"/>
    <cellStyle name="_Revised MOR 2004_MOR - BDWY - 1+11_MOR - Gurgaon - 3+9(R)_MOR - Revised Package_~0039877_II.8. Sep&amp;Discrete" xfId="10795"/>
    <cellStyle name="_Revised MOR 2004_MOR - BDWY - 1+11_MOR - Gurgaon - 3+9(R)_MOR - Revised Package_~0039877_Restructuring &amp; Separation" xfId="10796"/>
    <cellStyle name="_Revised MOR 2004_MOR - BDWY - 1+11_MOR - Gurgaon - 3+9(R)_MOR - Revised Package_~0039877_Restructuring_Separation_TAX_JuneFC2010 tf" xfId="10797"/>
    <cellStyle name="_Revised MOR 2004_MOR - BDWY - 1+11_MOR - Gurgaon - 3+9(R)_MOR - Revised Package_~0039877_Restructuring_Separation_TAX_JuneFC2010 tf_BS_Separation_TaxResIndem_Q12412 tf" xfId="10798"/>
    <cellStyle name="_Revised MOR 2004_MOR - BDWY - 1+11_MOR - Gurgaon - 3+9(R)_MOR - Revised Package_~0039877_Restructuring_Separation_TAX_JuneFC2010 tf_BS_Separation_TaxResIndem_Q12412 tf_Restructuring &amp; Separation" xfId="10799"/>
    <cellStyle name="_Revised MOR 2004_MOR - BDWY - 1+11_MOR - Gurgaon - 3+9(R)_MOR - Revised Package_~0039877_Restructuring_Separation_TAX_JuneFC2010 tf_II.8. Sep&amp;Discrete" xfId="10800"/>
    <cellStyle name="_Revised MOR 2004_MOR - BDWY - 1+11_MOR - Gurgaon - 3+9(R)_MOR - Revised Package_~0039877_Restructuring_Separation_TAX_JuneFC2010 tf_Restructuring &amp; Separation" xfId="10801"/>
    <cellStyle name="_Revised MOR 2004_MOR - BDWY - 1+11_MOR - Gurgaon - 3+9(R)_MOR - Revised Package_BS_Separation_TaxResIndem_Q12412 tf" xfId="10802"/>
    <cellStyle name="_Revised MOR 2004_MOR - BDWY - 1+11_MOR - Gurgaon - 3+9(R)_MOR - Revised Package_BS_Separation_TaxResIndem_Q12412 tf_Restructuring &amp; Separation" xfId="10803"/>
    <cellStyle name="_Revised MOR 2004_MOR - BDWY - 1+11_MOR - Gurgaon - 3+9(R)_MOR - Revised Package_By Country Detail 1Q10 041410pm FIN 18 revised per disc w Mary" xfId="10804"/>
    <cellStyle name="_Revised MOR 2004_MOR - BDWY - 1+11_MOR - Gurgaon - 3+9(R)_MOR - Revised Package_By Country Detail 1Q10 041410pm FIN 18 revised per disc w Mary_BS_Separation_TaxResIndem_Q12412 tf" xfId="10805"/>
    <cellStyle name="_Revised MOR 2004_MOR - BDWY - 1+11_MOR - Gurgaon - 3+9(R)_MOR - Revised Package_By Country Detail 1Q10 041410pm FIN 18 revised per disc w Mary_BS_Separation_TaxResIndem_Q12412 tf_Restructuring &amp; Separation" xfId="10806"/>
    <cellStyle name="_Revised MOR 2004_MOR - BDWY - 1+11_MOR - Gurgaon - 3+9(R)_MOR - Revised Package_By Country Detail 1Q10 041410pm FIN 18 revised per disc w Mary_II.8. Sep&amp;Discrete" xfId="10807"/>
    <cellStyle name="_Revised MOR 2004_MOR - BDWY - 1+11_MOR - Gurgaon - 3+9(R)_MOR - Revised Package_By Country Detail 1Q10 041410pm FIN 18 revised per disc w Mary_Restructuring &amp; Separation" xfId="10808"/>
    <cellStyle name="_Revised MOR 2004_MOR - BDWY - 1+11_MOR - Gurgaon - 3+9(R)_MOR - Revised Package_II.4. RawMaterials" xfId="10809"/>
    <cellStyle name="_Revised MOR 2004_MOR - BDWY - 1+11_MOR - Gurgaon - 3+9(R)_MOR - Revised Package_II.4. RawMaterials 2" xfId="10810"/>
    <cellStyle name="_Revised MOR 2004_MOR - BDWY - 1+11_MOR - Gurgaon - 3+9(R)_MOR - Revised Package_II.4. RawMaterials_BS retrieve" xfId="10811"/>
    <cellStyle name="_Revised MOR 2004_MOR - BDWY - 1+11_MOR - Gurgaon - 3+9(R)_MOR - Revised Package_II.4. RawMaterials_Free CF" xfId="10812"/>
    <cellStyle name="_Revised MOR 2004_MOR - BDWY - 1+11_MOR - Gurgaon - 3+9(R)_MOR - Revised Package_II.4. RawMaterials_P&amp;L Rec Qtr" xfId="10813"/>
    <cellStyle name="_Revised MOR 2004_MOR - BDWY - 1+11_MOR - Gurgaon - 3+9(R)_MOR - Revised Package_II.4. RawMaterials_Sheet1" xfId="10814"/>
    <cellStyle name="_Revised MOR 2004_MOR - BDWY - 1+11_MOR - Gurgaon - 3+9(R)_MOR - Revised Package_II.4. RawMaterials_Sheet2" xfId="10815"/>
    <cellStyle name="_Revised MOR 2004_MOR - BDWY - 1+11_MOR - Gurgaon - 3+9(R)_MOR - Revised Package_II.4. RawMaterials_Sheet3" xfId="10816"/>
    <cellStyle name="_Revised MOR 2004_MOR - BDWY - 1+11_MOR - Gurgaon - 3+9(R)_MOR - Revised Package_II.4. RawMaterials_Sheet4" xfId="10817"/>
    <cellStyle name="_Revised MOR 2004_MOR - BDWY - 1+11_MOR - Gurgaon - 3+9(R)_MOR - Revised Package_II.5. RawMaterials" xfId="10818"/>
    <cellStyle name="_Revised MOR 2004_MOR - BDWY - 1+11_MOR - Gurgaon - 3+9(R)_MOR - Revised Package_II.5. RawMaterials 2" xfId="10819"/>
    <cellStyle name="_Revised MOR 2004_MOR - BDWY - 1+11_MOR - Gurgaon - 3+9(R)_MOR - Revised Package_II.5. RawMaterials_BS retrieve" xfId="10820"/>
    <cellStyle name="_Revised MOR 2004_MOR - BDWY - 1+11_MOR - Gurgaon - 3+9(R)_MOR - Revised Package_II.5. RawMaterials_Free CF" xfId="10821"/>
    <cellStyle name="_Revised MOR 2004_MOR - BDWY - 1+11_MOR - Gurgaon - 3+9(R)_MOR - Revised Package_II.5. RawMaterials_P&amp;L Rec Qtr" xfId="10822"/>
    <cellStyle name="_Revised MOR 2004_MOR - BDWY - 1+11_MOR - Gurgaon - 3+9(R)_MOR - Revised Package_II.5. RawMaterials_Sheet1" xfId="10823"/>
    <cellStyle name="_Revised MOR 2004_MOR - BDWY - 1+11_MOR - Gurgaon - 3+9(R)_MOR - Revised Package_II.5. RawMaterials_Sheet2" xfId="10824"/>
    <cellStyle name="_Revised MOR 2004_MOR - BDWY - 1+11_MOR - Gurgaon - 3+9(R)_MOR - Revised Package_II.5. RawMaterials_Sheet3" xfId="10825"/>
    <cellStyle name="_Revised MOR 2004_MOR - BDWY - 1+11_MOR - Gurgaon - 3+9(R)_MOR - Revised Package_II.5. RawMaterials_Sheet4" xfId="10826"/>
    <cellStyle name="_Revised MOR 2004_MOR - BDWY - 1+11_MOR - Gurgaon - 3+9(R)_MOR - Revised Package_II.5. RM Volume Sensitivities" xfId="10827"/>
    <cellStyle name="_Revised MOR 2004_MOR - BDWY - 1+11_MOR - Gurgaon - 3+9(R)_MOR - Revised Package_II.5. RM Volume Sensitivities 2" xfId="10828"/>
    <cellStyle name="_Revised MOR 2004_MOR - BDWY - 1+11_MOR - Gurgaon - 3+9(R)_MOR - Revised Package_II.5. RM Volume Sensitivities_BS retrieve" xfId="10829"/>
    <cellStyle name="_Revised MOR 2004_MOR - BDWY - 1+11_MOR - Gurgaon - 3+9(R)_MOR - Revised Package_II.5. RM Volume Sensitivities_Free CF" xfId="10830"/>
    <cellStyle name="_Revised MOR 2004_MOR - BDWY - 1+11_MOR - Gurgaon - 3+9(R)_MOR - Revised Package_II.5. RM Volume Sensitivities_P&amp;L Rec Qtr" xfId="10831"/>
    <cellStyle name="_Revised MOR 2004_MOR - BDWY - 1+11_MOR - Gurgaon - 3+9(R)_MOR - Revised Package_II.5. RM Volume Sensitivities_Sheet1" xfId="10832"/>
    <cellStyle name="_Revised MOR 2004_MOR - BDWY - 1+11_MOR - Gurgaon - 3+9(R)_MOR - Revised Package_II.5. RM Volume Sensitivities_Sheet2" xfId="10833"/>
    <cellStyle name="_Revised MOR 2004_MOR - BDWY - 1+11_MOR - Gurgaon - 3+9(R)_MOR - Revised Package_II.5. RM Volume Sensitivities_Sheet3" xfId="10834"/>
    <cellStyle name="_Revised MOR 2004_MOR - BDWY - 1+11_MOR - Gurgaon - 3+9(R)_MOR - Revised Package_II.5. RM Volume Sensitivities_Sheet4" xfId="10835"/>
    <cellStyle name="_Revised MOR 2004_MOR - BDWY - 1+11_MOR - Gurgaon - 3+9(R)_MOR - Revised Package_II.8. Sep&amp;Discrete" xfId="10836"/>
    <cellStyle name="_Revised MOR 2004_MOR - BDWY - 1+11_MOR - Gurgaon - 3+9(R)_MOR - Revised Package_Restructuring &amp; Separation" xfId="10837"/>
    <cellStyle name="_Revised MOR 2004_MOR - BDWY - 1+11_MOR - Gurgaon - 3+9(R)_MOR - Revised Package_Restructuring_Separation_TAX_JuneFC2010 tf" xfId="10838"/>
    <cellStyle name="_Revised MOR 2004_MOR - BDWY - 1+11_MOR - Gurgaon - 3+9(R)_MOR - Revised Package_Restructuring_Separation_TAX_JuneFC2010 tf_BS_Separation_TaxResIndem_Q12412 tf" xfId="10839"/>
    <cellStyle name="_Revised MOR 2004_MOR - BDWY - 1+11_MOR - Gurgaon - 3+9(R)_MOR - Revised Package_Restructuring_Separation_TAX_JuneFC2010 tf_BS_Separation_TaxResIndem_Q12412 tf_Restructuring &amp; Separation" xfId="10840"/>
    <cellStyle name="_Revised MOR 2004_MOR - BDWY - 1+11_MOR - Gurgaon - 3+9(R)_MOR - Revised Package_Restructuring_Separation_TAX_JuneFC2010 tf_II.8. Sep&amp;Discrete" xfId="10841"/>
    <cellStyle name="_Revised MOR 2004_MOR - BDWY - 1+11_MOR - Gurgaon - 3+9(R)_MOR - Revised Package_Restructuring_Separation_TAX_JuneFC2010 tf_Restructuring &amp; Separation" xfId="10842"/>
    <cellStyle name="_Revised MOR 2004_MOR - BDWY - 1+11_MOR - Gurgaon - 3+9(R)_MOR - Revised Package_Revised MOR Package - Latest" xfId="10843"/>
    <cellStyle name="_Revised MOR 2004_MOR - BDWY - 1+11_MOR - Gurgaon - 3+9(R)_MOR - Revised Package_Revised MOR Package - Latest_BS_Separation_TaxResIndem_Q12412 tf" xfId="10844"/>
    <cellStyle name="_Revised MOR 2004_MOR - BDWY - 1+11_MOR - Gurgaon - 3+9(R)_MOR - Revised Package_Revised MOR Package - Latest_BS_Separation_TaxResIndem_Q12412 tf_Restructuring &amp; Separation" xfId="10845"/>
    <cellStyle name="_Revised MOR 2004_MOR - BDWY - 1+11_MOR - Gurgaon - 3+9(R)_MOR - Revised Package_Revised MOR Package - Latest_By Country Detail 1Q10 041410pm FIN 18 revised per disc w Mary" xfId="10846"/>
    <cellStyle name="_Revised MOR 2004_MOR - BDWY - 1+11_MOR - Gurgaon - 3+9(R)_MOR - Revised Package_Revised MOR Package - Latest_By Country Detail 1Q10 041410pm FIN 18 revised per disc w Mary_BS_Separation_TaxResIndem_Q12412 tf" xfId="10847"/>
    <cellStyle name="_Revised MOR 2004_MOR - BDWY - 1+11_MOR - Gurgaon - 3+9(R)_MOR - Revised Package_Revised MOR Package - Latest_By Country Detail 1Q10 041410pm FIN 18 revised per disc w Mary_BS_Separation_TaxResIndem_Q12412 tf_Restructuring &amp; Separation" xfId="10848"/>
    <cellStyle name="_Revised MOR 2004_MOR - BDWY - 1+11_MOR - Gurgaon - 3+9(R)_MOR - Revised Package_Revised MOR Package - Latest_By Country Detail 1Q10 041410pm FIN 18 revised per disc w Mary_II.8. Sep&amp;Discrete" xfId="10849"/>
    <cellStyle name="_Revised MOR 2004_MOR - BDWY - 1+11_MOR - Gurgaon - 3+9(R)_MOR - Revised Package_Revised MOR Package - Latest_By Country Detail 1Q10 041410pm FIN 18 revised per disc w Mary_Restructuring &amp; Separation" xfId="10850"/>
    <cellStyle name="_Revised MOR 2004_MOR - BDWY - 1+11_MOR - Gurgaon - 3+9(R)_MOR - Revised Package_Revised MOR Package - Latest_II.4. RawMaterials" xfId="10851"/>
    <cellStyle name="_Revised MOR 2004_MOR - BDWY - 1+11_MOR - Gurgaon - 3+9(R)_MOR - Revised Package_Revised MOR Package - Latest_II.4. RawMaterials 2" xfId="10852"/>
    <cellStyle name="_Revised MOR 2004_MOR - BDWY - 1+11_MOR - Gurgaon - 3+9(R)_MOR - Revised Package_Revised MOR Package - Latest_II.4. RawMaterials_BS retrieve" xfId="10853"/>
    <cellStyle name="_Revised MOR 2004_MOR - BDWY - 1+11_MOR - Gurgaon - 3+9(R)_MOR - Revised Package_Revised MOR Package - Latest_II.4. RawMaterials_Free CF" xfId="10854"/>
    <cellStyle name="_Revised MOR 2004_MOR - BDWY - 1+11_MOR - Gurgaon - 3+9(R)_MOR - Revised Package_Revised MOR Package - Latest_II.4. RawMaterials_P&amp;L Rec Qtr" xfId="10855"/>
    <cellStyle name="_Revised MOR 2004_MOR - BDWY - 1+11_MOR - Gurgaon - 3+9(R)_MOR - Revised Package_Revised MOR Package - Latest_II.4. RawMaterials_Sheet1" xfId="10856"/>
    <cellStyle name="_Revised MOR 2004_MOR - BDWY - 1+11_MOR - Gurgaon - 3+9(R)_MOR - Revised Package_Revised MOR Package - Latest_II.4. RawMaterials_Sheet2" xfId="10857"/>
    <cellStyle name="_Revised MOR 2004_MOR - BDWY - 1+11_MOR - Gurgaon - 3+9(R)_MOR - Revised Package_Revised MOR Package - Latest_II.4. RawMaterials_Sheet3" xfId="10858"/>
    <cellStyle name="_Revised MOR 2004_MOR - BDWY - 1+11_MOR - Gurgaon - 3+9(R)_MOR - Revised Package_Revised MOR Package - Latest_II.4. RawMaterials_Sheet4" xfId="10859"/>
    <cellStyle name="_Revised MOR 2004_MOR - BDWY - 1+11_MOR - Gurgaon - 3+9(R)_MOR - Revised Package_Revised MOR Package - Latest_II.5. RawMaterials" xfId="10860"/>
    <cellStyle name="_Revised MOR 2004_MOR - BDWY - 1+11_MOR - Gurgaon - 3+9(R)_MOR - Revised Package_Revised MOR Package - Latest_II.5. RawMaterials 2" xfId="10861"/>
    <cellStyle name="_Revised MOR 2004_MOR - BDWY - 1+11_MOR - Gurgaon - 3+9(R)_MOR - Revised Package_Revised MOR Package - Latest_II.5. RawMaterials_BS retrieve" xfId="10862"/>
    <cellStyle name="_Revised MOR 2004_MOR - BDWY - 1+11_MOR - Gurgaon - 3+9(R)_MOR - Revised Package_Revised MOR Package - Latest_II.5. RawMaterials_Free CF" xfId="10863"/>
    <cellStyle name="_Revised MOR 2004_MOR - BDWY - 1+11_MOR - Gurgaon - 3+9(R)_MOR - Revised Package_Revised MOR Package - Latest_II.5. RawMaterials_P&amp;L Rec Qtr" xfId="10864"/>
    <cellStyle name="_Revised MOR 2004_MOR - BDWY - 1+11_MOR - Gurgaon - 3+9(R)_MOR - Revised Package_Revised MOR Package - Latest_II.5. RawMaterials_Sheet1" xfId="10865"/>
    <cellStyle name="_Revised MOR 2004_MOR - BDWY - 1+11_MOR - Gurgaon - 3+9(R)_MOR - Revised Package_Revised MOR Package - Latest_II.5. RawMaterials_Sheet2" xfId="10866"/>
    <cellStyle name="_Revised MOR 2004_MOR - BDWY - 1+11_MOR - Gurgaon - 3+9(R)_MOR - Revised Package_Revised MOR Package - Latest_II.5. RawMaterials_Sheet3" xfId="10867"/>
    <cellStyle name="_Revised MOR 2004_MOR - BDWY - 1+11_MOR - Gurgaon - 3+9(R)_MOR - Revised Package_Revised MOR Package - Latest_II.5. RawMaterials_Sheet4" xfId="10868"/>
    <cellStyle name="_Revised MOR 2004_MOR - BDWY - 1+11_MOR - Gurgaon - 3+9(R)_MOR - Revised Package_Revised MOR Package - Latest_II.5. RM Volume Sensitivities" xfId="10869"/>
    <cellStyle name="_Revised MOR 2004_MOR - BDWY - 1+11_MOR - Gurgaon - 3+9(R)_MOR - Revised Package_Revised MOR Package - Latest_II.5. RM Volume Sensitivities 2" xfId="10870"/>
    <cellStyle name="_Revised MOR 2004_MOR - BDWY - 1+11_MOR - Gurgaon - 3+9(R)_MOR - Revised Package_Revised MOR Package - Latest_II.5. RM Volume Sensitivities_BS retrieve" xfId="10871"/>
    <cellStyle name="_Revised MOR 2004_MOR - BDWY - 1+11_MOR - Gurgaon - 3+9(R)_MOR - Revised Package_Revised MOR Package - Latest_II.5. RM Volume Sensitivities_Free CF" xfId="10872"/>
    <cellStyle name="_Revised MOR 2004_MOR - BDWY - 1+11_MOR - Gurgaon - 3+9(R)_MOR - Revised Package_Revised MOR Package - Latest_II.5. RM Volume Sensitivities_P&amp;L Rec Qtr" xfId="10873"/>
    <cellStyle name="_Revised MOR 2004_MOR - BDWY - 1+11_MOR - Gurgaon - 3+9(R)_MOR - Revised Package_Revised MOR Package - Latest_II.5. RM Volume Sensitivities_Sheet1" xfId="10874"/>
    <cellStyle name="_Revised MOR 2004_MOR - BDWY - 1+11_MOR - Gurgaon - 3+9(R)_MOR - Revised Package_Revised MOR Package - Latest_II.5. RM Volume Sensitivities_Sheet2" xfId="10875"/>
    <cellStyle name="_Revised MOR 2004_MOR - BDWY - 1+11_MOR - Gurgaon - 3+9(R)_MOR - Revised Package_Revised MOR Package - Latest_II.5. RM Volume Sensitivities_Sheet3" xfId="10876"/>
    <cellStyle name="_Revised MOR 2004_MOR - BDWY - 1+11_MOR - Gurgaon - 3+9(R)_MOR - Revised Package_Revised MOR Package - Latest_II.5. RM Volume Sensitivities_Sheet4" xfId="10877"/>
    <cellStyle name="_Revised MOR 2004_MOR - BDWY - 1+11_MOR - Gurgaon - 3+9(R)_MOR - Revised Package_Revised MOR Package - Latest_II.8. Sep&amp;Discrete" xfId="10878"/>
    <cellStyle name="_Revised MOR 2004_MOR - BDWY - 1+11_MOR - Gurgaon - 3+9(R)_MOR - Revised Package_Revised MOR Package - Latest_Restructuring &amp; Separation" xfId="10879"/>
    <cellStyle name="_Revised MOR 2004_MOR - BDWY - 1+11_MOR - Gurgaon - 3+9(R)_MOR - Revised Package_Revised MOR Package - Latest_Restructuring_Separation_TAX_JuneFC2010 tf" xfId="10880"/>
    <cellStyle name="_Revised MOR 2004_MOR - BDWY - 1+11_MOR - Gurgaon - 3+9(R)_MOR - Revised Package_Revised MOR Package - Latest_Restructuring_Separation_TAX_JuneFC2010 tf_BS_Separation_TaxResIndem_Q12412 tf" xfId="10881"/>
    <cellStyle name="_Revised MOR 2004_MOR - BDWY - 1+11_MOR - Gurgaon - 3+9(R)_MOR - Revised Package_Revised MOR Package - Latest_Restructuring_Separation_TAX_JuneFC2010 tf_BS_Separation_TaxResIndem_Q12412 tf_Restructuring &amp; Separation" xfId="10882"/>
    <cellStyle name="_Revised MOR 2004_MOR - BDWY - 1+11_MOR - Gurgaon - 3+9(R)_MOR - Revised Package_Revised MOR Package - Latest_Restructuring_Separation_TAX_JuneFC2010 tf_II.8. Sep&amp;Discrete" xfId="10883"/>
    <cellStyle name="_Revised MOR 2004_MOR - BDWY - 1+11_MOR - Gurgaon - 3+9(R)_MOR - Revised Package_Revised MOR Package - Latest_Restructuring_Separation_TAX_JuneFC2010 tf_Restructuring &amp; Separation" xfId="10884"/>
    <cellStyle name="_Revised MOR 2004_MOR - BDWY - 1+11_MOR - Gurgaon - 3+9(R)_Restructuring &amp; Separation" xfId="10885"/>
    <cellStyle name="_Revised MOR 2004_MOR - BDWY - 1+11_MOR - Gurgaon - 3+9(R)_Restructuring_Separation_TAX_JuneFC2010 tf" xfId="10886"/>
    <cellStyle name="_Revised MOR 2004_MOR - BDWY - 1+11_MOR - Gurgaon - 3+9(R)_Restructuring_Separation_TAX_JuneFC2010 tf_BS_Separation_TaxResIndem_Q12412 tf" xfId="10887"/>
    <cellStyle name="_Revised MOR 2004_MOR - BDWY - 1+11_MOR - Gurgaon - 3+9(R)_Restructuring_Separation_TAX_JuneFC2010 tf_BS_Separation_TaxResIndem_Q12412 tf_Restructuring &amp; Separation" xfId="10888"/>
    <cellStyle name="_Revised MOR 2004_MOR - BDWY - 1+11_MOR - Gurgaon - 3+9(R)_Restructuring_Separation_TAX_JuneFC2010 tf_II.8. Sep&amp;Discrete" xfId="10889"/>
    <cellStyle name="_Revised MOR 2004_MOR - BDWY - 1+11_MOR - Gurgaon - 3+9(R)_Restructuring_Separation_TAX_JuneFC2010 tf_Restructuring &amp; Separation" xfId="10890"/>
    <cellStyle name="_Revised MOR 2004_MOR - BDWY - 1+11_MOR - Gurgaon - 3+9(R)_Revised MOR Package" xfId="10891"/>
    <cellStyle name="_Revised MOR 2004_MOR - BDWY - 1+11_MOR - Gurgaon - 3+9(R)_Revised MOR Package_~0039877" xfId="10892"/>
    <cellStyle name="_Revised MOR 2004_MOR - BDWY - 1+11_MOR - Gurgaon - 3+9(R)_Revised MOR Package_~0039877_BS_Separation_TaxResIndem_Q12412 tf" xfId="10893"/>
    <cellStyle name="_Revised MOR 2004_MOR - BDWY - 1+11_MOR - Gurgaon - 3+9(R)_Revised MOR Package_~0039877_BS_Separation_TaxResIndem_Q12412 tf_Restructuring &amp; Separation" xfId="10894"/>
    <cellStyle name="_Revised MOR 2004_MOR - BDWY - 1+11_MOR - Gurgaon - 3+9(R)_Revised MOR Package_~0039877_By Country Detail 1Q10 041410pm FIN 18 revised per disc w Mary" xfId="10895"/>
    <cellStyle name="_Revised MOR 2004_MOR - BDWY - 1+11_MOR - Gurgaon - 3+9(R)_Revised MOR Package_~0039877_By Country Detail 1Q10 041410pm FIN 18 revised per disc w Mary_BS_Separation_TaxResIndem_Q12412 tf" xfId="10896"/>
    <cellStyle name="_Revised MOR 2004_MOR - BDWY - 1+11_MOR - Gurgaon - 3+9(R)_Revised MOR Package_~0039877_By Country Detail 1Q10 041410pm FIN 18 revised per disc w Mary_BS_Separation_TaxResIndem_Q12412 tf_Restructuring &amp; Separation" xfId="10897"/>
    <cellStyle name="_Revised MOR 2004_MOR - BDWY - 1+11_MOR - Gurgaon - 3+9(R)_Revised MOR Package_~0039877_By Country Detail 1Q10 041410pm FIN 18 revised per disc w Mary_II.8. Sep&amp;Discrete" xfId="10898"/>
    <cellStyle name="_Revised MOR 2004_MOR - BDWY - 1+11_MOR - Gurgaon - 3+9(R)_Revised MOR Package_~0039877_By Country Detail 1Q10 041410pm FIN 18 revised per disc w Mary_Restructuring &amp; Separation" xfId="10899"/>
    <cellStyle name="_Revised MOR 2004_MOR - BDWY - 1+11_MOR - Gurgaon - 3+9(R)_Revised MOR Package_~0039877_II.4. RawMaterials" xfId="10900"/>
    <cellStyle name="_Revised MOR 2004_MOR - BDWY - 1+11_MOR - Gurgaon - 3+9(R)_Revised MOR Package_~0039877_II.4. RawMaterials 2" xfId="10901"/>
    <cellStyle name="_Revised MOR 2004_MOR - BDWY - 1+11_MOR - Gurgaon - 3+9(R)_Revised MOR Package_~0039877_II.4. RawMaterials_BS retrieve" xfId="10902"/>
    <cellStyle name="_Revised MOR 2004_MOR - BDWY - 1+11_MOR - Gurgaon - 3+9(R)_Revised MOR Package_~0039877_II.4. RawMaterials_Free CF" xfId="10903"/>
    <cellStyle name="_Revised MOR 2004_MOR - BDWY - 1+11_MOR - Gurgaon - 3+9(R)_Revised MOR Package_~0039877_II.4. RawMaterials_P&amp;L Rec Qtr" xfId="10904"/>
    <cellStyle name="_Revised MOR 2004_MOR - BDWY - 1+11_MOR - Gurgaon - 3+9(R)_Revised MOR Package_~0039877_II.4. RawMaterials_Sheet1" xfId="10905"/>
    <cellStyle name="_Revised MOR 2004_MOR - BDWY - 1+11_MOR - Gurgaon - 3+9(R)_Revised MOR Package_~0039877_II.4. RawMaterials_Sheet2" xfId="10906"/>
    <cellStyle name="_Revised MOR 2004_MOR - BDWY - 1+11_MOR - Gurgaon - 3+9(R)_Revised MOR Package_~0039877_II.4. RawMaterials_Sheet3" xfId="10907"/>
    <cellStyle name="_Revised MOR 2004_MOR - BDWY - 1+11_MOR - Gurgaon - 3+9(R)_Revised MOR Package_~0039877_II.4. RawMaterials_Sheet4" xfId="10908"/>
    <cellStyle name="_Revised MOR 2004_MOR - BDWY - 1+11_MOR - Gurgaon - 3+9(R)_Revised MOR Package_~0039877_II.5. RawMaterials" xfId="10909"/>
    <cellStyle name="_Revised MOR 2004_MOR - BDWY - 1+11_MOR - Gurgaon - 3+9(R)_Revised MOR Package_~0039877_II.5. RawMaterials 2" xfId="10910"/>
    <cellStyle name="_Revised MOR 2004_MOR - BDWY - 1+11_MOR - Gurgaon - 3+9(R)_Revised MOR Package_~0039877_II.5. RawMaterials_BS retrieve" xfId="10911"/>
    <cellStyle name="_Revised MOR 2004_MOR - BDWY - 1+11_MOR - Gurgaon - 3+9(R)_Revised MOR Package_~0039877_II.5. RawMaterials_Free CF" xfId="10912"/>
    <cellStyle name="_Revised MOR 2004_MOR - BDWY - 1+11_MOR - Gurgaon - 3+9(R)_Revised MOR Package_~0039877_II.5. RawMaterials_P&amp;L Rec Qtr" xfId="10913"/>
    <cellStyle name="_Revised MOR 2004_MOR - BDWY - 1+11_MOR - Gurgaon - 3+9(R)_Revised MOR Package_~0039877_II.5. RawMaterials_Sheet1" xfId="10914"/>
    <cellStyle name="_Revised MOR 2004_MOR - BDWY - 1+11_MOR - Gurgaon - 3+9(R)_Revised MOR Package_~0039877_II.5. RawMaterials_Sheet2" xfId="10915"/>
    <cellStyle name="_Revised MOR 2004_MOR - BDWY - 1+11_MOR - Gurgaon - 3+9(R)_Revised MOR Package_~0039877_II.5. RawMaterials_Sheet3" xfId="10916"/>
    <cellStyle name="_Revised MOR 2004_MOR - BDWY - 1+11_MOR - Gurgaon - 3+9(R)_Revised MOR Package_~0039877_II.5. RawMaterials_Sheet4" xfId="10917"/>
    <cellStyle name="_Revised MOR 2004_MOR - BDWY - 1+11_MOR - Gurgaon - 3+9(R)_Revised MOR Package_~0039877_II.5. RM Volume Sensitivities" xfId="10918"/>
    <cellStyle name="_Revised MOR 2004_MOR - BDWY - 1+11_MOR - Gurgaon - 3+9(R)_Revised MOR Package_~0039877_II.5. RM Volume Sensitivities 2" xfId="10919"/>
    <cellStyle name="_Revised MOR 2004_MOR - BDWY - 1+11_MOR - Gurgaon - 3+9(R)_Revised MOR Package_~0039877_II.5. RM Volume Sensitivities_BS retrieve" xfId="10920"/>
    <cellStyle name="_Revised MOR 2004_MOR - BDWY - 1+11_MOR - Gurgaon - 3+9(R)_Revised MOR Package_~0039877_II.5. RM Volume Sensitivities_Free CF" xfId="10921"/>
    <cellStyle name="_Revised MOR 2004_MOR - BDWY - 1+11_MOR - Gurgaon - 3+9(R)_Revised MOR Package_~0039877_II.5. RM Volume Sensitivities_P&amp;L Rec Qtr" xfId="10922"/>
    <cellStyle name="_Revised MOR 2004_MOR - BDWY - 1+11_MOR - Gurgaon - 3+9(R)_Revised MOR Package_~0039877_II.5. RM Volume Sensitivities_Sheet1" xfId="10923"/>
    <cellStyle name="_Revised MOR 2004_MOR - BDWY - 1+11_MOR - Gurgaon - 3+9(R)_Revised MOR Package_~0039877_II.5. RM Volume Sensitivities_Sheet2" xfId="10924"/>
    <cellStyle name="_Revised MOR 2004_MOR - BDWY - 1+11_MOR - Gurgaon - 3+9(R)_Revised MOR Package_~0039877_II.5. RM Volume Sensitivities_Sheet3" xfId="10925"/>
    <cellStyle name="_Revised MOR 2004_MOR - BDWY - 1+11_MOR - Gurgaon - 3+9(R)_Revised MOR Package_~0039877_II.5. RM Volume Sensitivities_Sheet4" xfId="10926"/>
    <cellStyle name="_Revised MOR 2004_MOR - BDWY - 1+11_MOR - Gurgaon - 3+9(R)_Revised MOR Package_~0039877_II.8. Sep&amp;Discrete" xfId="10927"/>
    <cellStyle name="_Revised MOR 2004_MOR - BDWY - 1+11_MOR - Gurgaon - 3+9(R)_Revised MOR Package_~0039877_Restructuring &amp; Separation" xfId="10928"/>
    <cellStyle name="_Revised MOR 2004_MOR - BDWY - 1+11_MOR - Gurgaon - 3+9(R)_Revised MOR Package_~0039877_Restructuring_Separation_TAX_JuneFC2010 tf" xfId="10929"/>
    <cellStyle name="_Revised MOR 2004_MOR - BDWY - 1+11_MOR - Gurgaon - 3+9(R)_Revised MOR Package_~0039877_Restructuring_Separation_TAX_JuneFC2010 tf_BS_Separation_TaxResIndem_Q12412 tf" xfId="10930"/>
    <cellStyle name="_Revised MOR 2004_MOR - BDWY - 1+11_MOR - Gurgaon - 3+9(R)_Revised MOR Package_~0039877_Restructuring_Separation_TAX_JuneFC2010 tf_BS_Separation_TaxResIndem_Q12412 tf_Restructuring &amp; Separation" xfId="10931"/>
    <cellStyle name="_Revised MOR 2004_MOR - BDWY - 1+11_MOR - Gurgaon - 3+9(R)_Revised MOR Package_~0039877_Restructuring_Separation_TAX_JuneFC2010 tf_II.8. Sep&amp;Discrete" xfId="10932"/>
    <cellStyle name="_Revised MOR 2004_MOR - BDWY - 1+11_MOR - Gurgaon - 3+9(R)_Revised MOR Package_~0039877_Restructuring_Separation_TAX_JuneFC2010 tf_Restructuring &amp; Separation" xfId="10933"/>
    <cellStyle name="_Revised MOR 2004_MOR - BDWY - 1+11_MOR - Gurgaon - 3+9(R)_Revised MOR Package_BS_Separation_TaxResIndem_Q12412 tf" xfId="10934"/>
    <cellStyle name="_Revised MOR 2004_MOR - BDWY - 1+11_MOR - Gurgaon - 3+9(R)_Revised MOR Package_BS_Separation_TaxResIndem_Q12412 tf_Restructuring &amp; Separation" xfId="10935"/>
    <cellStyle name="_Revised MOR 2004_MOR - BDWY - 1+11_MOR - Gurgaon - 3+9(R)_Revised MOR Package_By Country Detail 1Q10 041410pm FIN 18 revised per disc w Mary" xfId="10936"/>
    <cellStyle name="_Revised MOR 2004_MOR - BDWY - 1+11_MOR - Gurgaon - 3+9(R)_Revised MOR Package_By Country Detail 1Q10 041410pm FIN 18 revised per disc w Mary_BS_Separation_TaxResIndem_Q12412 tf" xfId="10937"/>
    <cellStyle name="_Revised MOR 2004_MOR - BDWY - 1+11_MOR - Gurgaon - 3+9(R)_Revised MOR Package_By Country Detail 1Q10 041410pm FIN 18 revised per disc w Mary_BS_Separation_TaxResIndem_Q12412 tf_Restructuring &amp; Separation" xfId="10938"/>
    <cellStyle name="_Revised MOR 2004_MOR - BDWY - 1+11_MOR - Gurgaon - 3+9(R)_Revised MOR Package_By Country Detail 1Q10 041410pm FIN 18 revised per disc w Mary_II.8. Sep&amp;Discrete" xfId="10939"/>
    <cellStyle name="_Revised MOR 2004_MOR - BDWY - 1+11_MOR - Gurgaon - 3+9(R)_Revised MOR Package_By Country Detail 1Q10 041410pm FIN 18 revised per disc w Mary_Restructuring &amp; Separation" xfId="10940"/>
    <cellStyle name="_Revised MOR 2004_MOR - BDWY - 1+11_MOR - Gurgaon - 3+9(R)_Revised MOR Package_II.4. RawMaterials" xfId="10941"/>
    <cellStyle name="_Revised MOR 2004_MOR - BDWY - 1+11_MOR - Gurgaon - 3+9(R)_Revised MOR Package_II.4. RawMaterials 2" xfId="10942"/>
    <cellStyle name="_Revised MOR 2004_MOR - BDWY - 1+11_MOR - Gurgaon - 3+9(R)_Revised MOR Package_II.4. RawMaterials_BS retrieve" xfId="10943"/>
    <cellStyle name="_Revised MOR 2004_MOR - BDWY - 1+11_MOR - Gurgaon - 3+9(R)_Revised MOR Package_II.4. RawMaterials_Free CF" xfId="10944"/>
    <cellStyle name="_Revised MOR 2004_MOR - BDWY - 1+11_MOR - Gurgaon - 3+9(R)_Revised MOR Package_II.4. RawMaterials_P&amp;L Rec Qtr" xfId="10945"/>
    <cellStyle name="_Revised MOR 2004_MOR - BDWY - 1+11_MOR - Gurgaon - 3+9(R)_Revised MOR Package_II.4. RawMaterials_Sheet1" xfId="10946"/>
    <cellStyle name="_Revised MOR 2004_MOR - BDWY - 1+11_MOR - Gurgaon - 3+9(R)_Revised MOR Package_II.4. RawMaterials_Sheet2" xfId="10947"/>
    <cellStyle name="_Revised MOR 2004_MOR - BDWY - 1+11_MOR - Gurgaon - 3+9(R)_Revised MOR Package_II.4. RawMaterials_Sheet3" xfId="10948"/>
    <cellStyle name="_Revised MOR 2004_MOR - BDWY - 1+11_MOR - Gurgaon - 3+9(R)_Revised MOR Package_II.4. RawMaterials_Sheet4" xfId="10949"/>
    <cellStyle name="_Revised MOR 2004_MOR - BDWY - 1+11_MOR - Gurgaon - 3+9(R)_Revised MOR Package_II.5. RawMaterials" xfId="10950"/>
    <cellStyle name="_Revised MOR 2004_MOR - BDWY - 1+11_MOR - Gurgaon - 3+9(R)_Revised MOR Package_II.5. RawMaterials 2" xfId="10951"/>
    <cellStyle name="_Revised MOR 2004_MOR - BDWY - 1+11_MOR - Gurgaon - 3+9(R)_Revised MOR Package_II.5. RawMaterials_BS retrieve" xfId="10952"/>
    <cellStyle name="_Revised MOR 2004_MOR - BDWY - 1+11_MOR - Gurgaon - 3+9(R)_Revised MOR Package_II.5. RawMaterials_Free CF" xfId="10953"/>
    <cellStyle name="_Revised MOR 2004_MOR - BDWY - 1+11_MOR - Gurgaon - 3+9(R)_Revised MOR Package_II.5. RawMaterials_P&amp;L Rec Qtr" xfId="10954"/>
    <cellStyle name="_Revised MOR 2004_MOR - BDWY - 1+11_MOR - Gurgaon - 3+9(R)_Revised MOR Package_II.5. RawMaterials_Sheet1" xfId="10955"/>
    <cellStyle name="_Revised MOR 2004_MOR - BDWY - 1+11_MOR - Gurgaon - 3+9(R)_Revised MOR Package_II.5. RawMaterials_Sheet2" xfId="10956"/>
    <cellStyle name="_Revised MOR 2004_MOR - BDWY - 1+11_MOR - Gurgaon - 3+9(R)_Revised MOR Package_II.5. RawMaterials_Sheet3" xfId="10957"/>
    <cellStyle name="_Revised MOR 2004_MOR - BDWY - 1+11_MOR - Gurgaon - 3+9(R)_Revised MOR Package_II.5. RawMaterials_Sheet4" xfId="10958"/>
    <cellStyle name="_Revised MOR 2004_MOR - BDWY - 1+11_MOR - Gurgaon - 3+9(R)_Revised MOR Package_II.5. RM Volume Sensitivities" xfId="10959"/>
    <cellStyle name="_Revised MOR 2004_MOR - BDWY - 1+11_MOR - Gurgaon - 3+9(R)_Revised MOR Package_II.5. RM Volume Sensitivities 2" xfId="10960"/>
    <cellStyle name="_Revised MOR 2004_MOR - BDWY - 1+11_MOR - Gurgaon - 3+9(R)_Revised MOR Package_II.5. RM Volume Sensitivities_BS retrieve" xfId="10961"/>
    <cellStyle name="_Revised MOR 2004_MOR - BDWY - 1+11_MOR - Gurgaon - 3+9(R)_Revised MOR Package_II.5. RM Volume Sensitivities_Free CF" xfId="10962"/>
    <cellStyle name="_Revised MOR 2004_MOR - BDWY - 1+11_MOR - Gurgaon - 3+9(R)_Revised MOR Package_II.5. RM Volume Sensitivities_P&amp;L Rec Qtr" xfId="10963"/>
    <cellStyle name="_Revised MOR 2004_MOR - BDWY - 1+11_MOR - Gurgaon - 3+9(R)_Revised MOR Package_II.5. RM Volume Sensitivities_Sheet1" xfId="10964"/>
    <cellStyle name="_Revised MOR 2004_MOR - BDWY - 1+11_MOR - Gurgaon - 3+9(R)_Revised MOR Package_II.5. RM Volume Sensitivities_Sheet2" xfId="10965"/>
    <cellStyle name="_Revised MOR 2004_MOR - BDWY - 1+11_MOR - Gurgaon - 3+9(R)_Revised MOR Package_II.5. RM Volume Sensitivities_Sheet3" xfId="10966"/>
    <cellStyle name="_Revised MOR 2004_MOR - BDWY - 1+11_MOR - Gurgaon - 3+9(R)_Revised MOR Package_II.5. RM Volume Sensitivities_Sheet4" xfId="10967"/>
    <cellStyle name="_Revised MOR 2004_MOR - BDWY - 1+11_MOR - Gurgaon - 3+9(R)_Revised MOR Package_II.8. Sep&amp;Discrete" xfId="10968"/>
    <cellStyle name="_Revised MOR 2004_MOR - BDWY - 1+11_MOR - Gurgaon - 3+9(R)_Revised MOR Package_Restructuring &amp; Separation" xfId="10969"/>
    <cellStyle name="_Revised MOR 2004_MOR - BDWY - 1+11_MOR - Gurgaon - 3+9(R)_Revised MOR Package_Restructuring_Separation_TAX_JuneFC2010 tf" xfId="10970"/>
    <cellStyle name="_Revised MOR 2004_MOR - BDWY - 1+11_MOR - Gurgaon - 3+9(R)_Revised MOR Package_Restructuring_Separation_TAX_JuneFC2010 tf_BS_Separation_TaxResIndem_Q12412 tf" xfId="10971"/>
    <cellStyle name="_Revised MOR 2004_MOR - BDWY - 1+11_MOR - Gurgaon - 3+9(R)_Revised MOR Package_Restructuring_Separation_TAX_JuneFC2010 tf_BS_Separation_TaxResIndem_Q12412 tf_Restructuring &amp; Separation" xfId="10972"/>
    <cellStyle name="_Revised MOR 2004_MOR - BDWY - 1+11_MOR - Gurgaon - 3+9(R)_Revised MOR Package_Restructuring_Separation_TAX_JuneFC2010 tf_II.8. Sep&amp;Discrete" xfId="10973"/>
    <cellStyle name="_Revised MOR 2004_MOR - BDWY - 1+11_MOR - Gurgaon - 3+9(R)_Revised MOR Package_Restructuring_Separation_TAX_JuneFC2010 tf_Restructuring &amp; Separation" xfId="10974"/>
    <cellStyle name="_Revised MOR 2004_MOR - BDWY - 1+11_MOR - Gurgaon - 3+9(R)_Revised MOR Package_Revised MOR Package - Latest" xfId="10975"/>
    <cellStyle name="_Revised MOR 2004_MOR - BDWY - 1+11_MOR - Gurgaon - 3+9(R)_Revised MOR Package_Revised MOR Package - Latest_BS_Separation_TaxResIndem_Q12412 tf" xfId="10976"/>
    <cellStyle name="_Revised MOR 2004_MOR - BDWY - 1+11_MOR - Gurgaon - 3+9(R)_Revised MOR Package_Revised MOR Package - Latest_BS_Separation_TaxResIndem_Q12412 tf_Restructuring &amp; Separation" xfId="10977"/>
    <cellStyle name="_Revised MOR 2004_MOR - BDWY - 1+11_MOR - Gurgaon - 3+9(R)_Revised MOR Package_Revised MOR Package - Latest_By Country Detail 1Q10 041410pm FIN 18 revised per disc w Mary" xfId="10978"/>
    <cellStyle name="_Revised MOR 2004_MOR - BDWY - 1+11_MOR - Gurgaon - 3+9(R)_Revised MOR Package_Revised MOR Package - Latest_By Country Detail 1Q10 041410pm FIN 18 revised per disc w Mary_BS_Separation_TaxResIndem_Q12412 tf" xfId="10979"/>
    <cellStyle name="_Revised MOR 2004_MOR - BDWY - 1+11_MOR - Gurgaon - 3+9(R)_Revised MOR Package_Revised MOR Package - Latest_By Country Detail 1Q10 041410pm FIN 18 revised per disc w Mary_BS_Separation_TaxResIndem_Q12412 tf_Restructuring &amp; Separation" xfId="10980"/>
    <cellStyle name="_Revised MOR 2004_MOR - BDWY - 1+11_MOR - Gurgaon - 3+9(R)_Revised MOR Package_Revised MOR Package - Latest_By Country Detail 1Q10 041410pm FIN 18 revised per disc w Mary_II.8. Sep&amp;Discrete" xfId="10981"/>
    <cellStyle name="_Revised MOR 2004_MOR - BDWY - 1+11_MOR - Gurgaon - 3+9(R)_Revised MOR Package_Revised MOR Package - Latest_By Country Detail 1Q10 041410pm FIN 18 revised per disc w Mary_Restructuring &amp; Separation" xfId="10982"/>
    <cellStyle name="_Revised MOR 2004_MOR - BDWY - 1+11_MOR - Gurgaon - 3+9(R)_Revised MOR Package_Revised MOR Package - Latest_II.4. RawMaterials" xfId="10983"/>
    <cellStyle name="_Revised MOR 2004_MOR - BDWY - 1+11_MOR - Gurgaon - 3+9(R)_Revised MOR Package_Revised MOR Package - Latest_II.4. RawMaterials 2" xfId="10984"/>
    <cellStyle name="_Revised MOR 2004_MOR - BDWY - 1+11_MOR - Gurgaon - 3+9(R)_Revised MOR Package_Revised MOR Package - Latest_II.4. RawMaterials_BS retrieve" xfId="10985"/>
    <cellStyle name="_Revised MOR 2004_MOR - BDWY - 1+11_MOR - Gurgaon - 3+9(R)_Revised MOR Package_Revised MOR Package - Latest_II.4. RawMaterials_Free CF" xfId="10986"/>
    <cellStyle name="_Revised MOR 2004_MOR - BDWY - 1+11_MOR - Gurgaon - 3+9(R)_Revised MOR Package_Revised MOR Package - Latest_II.4. RawMaterials_P&amp;L Rec Qtr" xfId="10987"/>
    <cellStyle name="_Revised MOR 2004_MOR - BDWY - 1+11_MOR - Gurgaon - 3+9(R)_Revised MOR Package_Revised MOR Package - Latest_II.4. RawMaterials_Sheet1" xfId="10988"/>
    <cellStyle name="_Revised MOR 2004_MOR - BDWY - 1+11_MOR - Gurgaon - 3+9(R)_Revised MOR Package_Revised MOR Package - Latest_II.4. RawMaterials_Sheet2" xfId="10989"/>
    <cellStyle name="_Revised MOR 2004_MOR - BDWY - 1+11_MOR - Gurgaon - 3+9(R)_Revised MOR Package_Revised MOR Package - Latest_II.4. RawMaterials_Sheet3" xfId="10990"/>
    <cellStyle name="_Revised MOR 2004_MOR - BDWY - 1+11_MOR - Gurgaon - 3+9(R)_Revised MOR Package_Revised MOR Package - Latest_II.4. RawMaterials_Sheet4" xfId="10991"/>
    <cellStyle name="_Revised MOR 2004_MOR - BDWY - 1+11_MOR - Gurgaon - 3+9(R)_Revised MOR Package_Revised MOR Package - Latest_II.5. RawMaterials" xfId="10992"/>
    <cellStyle name="_Revised MOR 2004_MOR - BDWY - 1+11_MOR - Gurgaon - 3+9(R)_Revised MOR Package_Revised MOR Package - Latest_II.5. RawMaterials 2" xfId="10993"/>
    <cellStyle name="_Revised MOR 2004_MOR - BDWY - 1+11_MOR - Gurgaon - 3+9(R)_Revised MOR Package_Revised MOR Package - Latest_II.5. RawMaterials_BS retrieve" xfId="10994"/>
    <cellStyle name="_Revised MOR 2004_MOR - BDWY - 1+11_MOR - Gurgaon - 3+9(R)_Revised MOR Package_Revised MOR Package - Latest_II.5. RawMaterials_Free CF" xfId="10995"/>
    <cellStyle name="_Revised MOR 2004_MOR - BDWY - 1+11_MOR - Gurgaon - 3+9(R)_Revised MOR Package_Revised MOR Package - Latest_II.5. RawMaterials_P&amp;L Rec Qtr" xfId="10996"/>
    <cellStyle name="_Revised MOR 2004_MOR - BDWY - 1+11_MOR - Gurgaon - 3+9(R)_Revised MOR Package_Revised MOR Package - Latest_II.5. RawMaterials_Sheet1" xfId="10997"/>
    <cellStyle name="_Revised MOR 2004_MOR - BDWY - 1+11_MOR - Gurgaon - 3+9(R)_Revised MOR Package_Revised MOR Package - Latest_II.5. RawMaterials_Sheet2" xfId="10998"/>
    <cellStyle name="_Revised MOR 2004_MOR - BDWY - 1+11_MOR - Gurgaon - 3+9(R)_Revised MOR Package_Revised MOR Package - Latest_II.5. RawMaterials_Sheet3" xfId="10999"/>
    <cellStyle name="_Revised MOR 2004_MOR - BDWY - 1+11_MOR - Gurgaon - 3+9(R)_Revised MOR Package_Revised MOR Package - Latest_II.5. RawMaterials_Sheet4" xfId="11000"/>
    <cellStyle name="_Revised MOR 2004_MOR - BDWY - 1+11_MOR - Gurgaon - 3+9(R)_Revised MOR Package_Revised MOR Package - Latest_II.5. RM Volume Sensitivities" xfId="11001"/>
    <cellStyle name="_Revised MOR 2004_MOR - BDWY - 1+11_MOR - Gurgaon - 3+9(R)_Revised MOR Package_Revised MOR Package - Latest_II.5. RM Volume Sensitivities 2" xfId="11002"/>
    <cellStyle name="_Revised MOR 2004_MOR - BDWY - 1+11_MOR - Gurgaon - 3+9(R)_Revised MOR Package_Revised MOR Package - Latest_II.5. RM Volume Sensitivities_BS retrieve" xfId="11003"/>
    <cellStyle name="_Revised MOR 2004_MOR - BDWY - 1+11_MOR - Gurgaon - 3+9(R)_Revised MOR Package_Revised MOR Package - Latest_II.5. RM Volume Sensitivities_Free CF" xfId="11004"/>
    <cellStyle name="_Revised MOR 2004_MOR - BDWY - 1+11_MOR - Gurgaon - 3+9(R)_Revised MOR Package_Revised MOR Package - Latest_II.5. RM Volume Sensitivities_P&amp;L Rec Qtr" xfId="11005"/>
    <cellStyle name="_Revised MOR 2004_MOR - BDWY - 1+11_MOR - Gurgaon - 3+9(R)_Revised MOR Package_Revised MOR Package - Latest_II.5. RM Volume Sensitivities_Sheet1" xfId="11006"/>
    <cellStyle name="_Revised MOR 2004_MOR - BDWY - 1+11_MOR - Gurgaon - 3+9(R)_Revised MOR Package_Revised MOR Package - Latest_II.5. RM Volume Sensitivities_Sheet2" xfId="11007"/>
    <cellStyle name="_Revised MOR 2004_MOR - BDWY - 1+11_MOR - Gurgaon - 3+9(R)_Revised MOR Package_Revised MOR Package - Latest_II.5. RM Volume Sensitivities_Sheet3" xfId="11008"/>
    <cellStyle name="_Revised MOR 2004_MOR - BDWY - 1+11_MOR - Gurgaon - 3+9(R)_Revised MOR Package_Revised MOR Package - Latest_II.5. RM Volume Sensitivities_Sheet4" xfId="11009"/>
    <cellStyle name="_Revised MOR 2004_MOR - BDWY - 1+11_MOR - Gurgaon - 3+9(R)_Revised MOR Package_Revised MOR Package - Latest_II.8. Sep&amp;Discrete" xfId="11010"/>
    <cellStyle name="_Revised MOR 2004_MOR - BDWY - 1+11_MOR - Gurgaon - 3+9(R)_Revised MOR Package_Revised MOR Package - Latest_Restructuring &amp; Separation" xfId="11011"/>
    <cellStyle name="_Revised MOR 2004_MOR - BDWY - 1+11_MOR - Gurgaon - 3+9(R)_Revised MOR Package_Revised MOR Package - Latest_Restructuring_Separation_TAX_JuneFC2010 tf" xfId="11012"/>
    <cellStyle name="_Revised MOR 2004_MOR - BDWY - 1+11_MOR - Gurgaon - 3+9(R)_Revised MOR Package_Revised MOR Package - Latest_Restructuring_Separation_TAX_JuneFC2010 tf_BS_Separation_TaxResIndem_Q12412 tf" xfId="11013"/>
    <cellStyle name="_Revised MOR 2004_MOR - BDWY - 1+11_MOR - Gurgaon - 3+9(R)_Revised MOR Package_Revised MOR Package - Latest_Restructuring_Separation_TAX_JuneFC2010 tf_BS_Separation_TaxResIndem_Q12412 tf_Restructuring &amp; Separation" xfId="11014"/>
    <cellStyle name="_Revised MOR 2004_MOR - BDWY - 1+11_MOR - Gurgaon - 3+9(R)_Revised MOR Package_Revised MOR Package - Latest_Restructuring_Separation_TAX_JuneFC2010 tf_II.8. Sep&amp;Discrete" xfId="11015"/>
    <cellStyle name="_Revised MOR 2004_MOR - BDWY - 1+11_MOR - Gurgaon - 3+9(R)_Revised MOR Package_Revised MOR Package - Latest_Restructuring_Separation_TAX_JuneFC2010 tf_Restructuring &amp; Separation" xfId="11016"/>
    <cellStyle name="_Revised MOR 2004_MOR - BDWY - 1+11_MOR - Gurgaon - 3+9(R)-1" xfId="11017"/>
    <cellStyle name="_Revised MOR 2004_MOR - BDWY - 1+11_MOR - Gurgaon - 3+9(R)-1_BS_Separation_TaxResIndem_Q12412 tf" xfId="11018"/>
    <cellStyle name="_Revised MOR 2004_MOR - BDWY - 1+11_MOR - Gurgaon - 3+9(R)-1_BS_Separation_TaxResIndem_Q12412 tf_Restructuring &amp; Separation" xfId="11019"/>
    <cellStyle name="_Revised MOR 2004_MOR - BDWY - 1+11_MOR - Gurgaon - 3+9(R)-1_By Country Detail 1Q10 041410pm FIN 18 revised per disc w Mary" xfId="11020"/>
    <cellStyle name="_Revised MOR 2004_MOR - BDWY - 1+11_MOR - Gurgaon - 3+9(R)-1_By Country Detail 1Q10 041410pm FIN 18 revised per disc w Mary_BS_Separation_TaxResIndem_Q12412 tf" xfId="11021"/>
    <cellStyle name="_Revised MOR 2004_MOR - BDWY - 1+11_MOR - Gurgaon - 3+9(R)-1_By Country Detail 1Q10 041410pm FIN 18 revised per disc w Mary_BS_Separation_TaxResIndem_Q12412 tf_Restructuring &amp; Separation" xfId="11022"/>
    <cellStyle name="_Revised MOR 2004_MOR - BDWY - 1+11_MOR - Gurgaon - 3+9(R)-1_By Country Detail 1Q10 041410pm FIN 18 revised per disc w Mary_II.8. Sep&amp;Discrete" xfId="11023"/>
    <cellStyle name="_Revised MOR 2004_MOR - BDWY - 1+11_MOR - Gurgaon - 3+9(R)-1_By Country Detail 1Q10 041410pm FIN 18 revised per disc w Mary_Restructuring &amp; Separation" xfId="11024"/>
    <cellStyle name="_Revised MOR 2004_MOR - BDWY - 1+11_MOR - Gurgaon - 3+9(R)-1_II.4. RawMaterials" xfId="11025"/>
    <cellStyle name="_Revised MOR 2004_MOR - BDWY - 1+11_MOR - Gurgaon - 3+9(R)-1_II.4. RawMaterials 2" xfId="11026"/>
    <cellStyle name="_Revised MOR 2004_MOR - BDWY - 1+11_MOR - Gurgaon - 3+9(R)-1_II.4. RawMaterials_BS retrieve" xfId="11027"/>
    <cellStyle name="_Revised MOR 2004_MOR - BDWY - 1+11_MOR - Gurgaon - 3+9(R)-1_II.4. RawMaterials_Free CF" xfId="11028"/>
    <cellStyle name="_Revised MOR 2004_MOR - BDWY - 1+11_MOR - Gurgaon - 3+9(R)-1_II.4. RawMaterials_P&amp;L Rec Qtr" xfId="11029"/>
    <cellStyle name="_Revised MOR 2004_MOR - BDWY - 1+11_MOR - Gurgaon - 3+9(R)-1_II.4. RawMaterials_Sheet1" xfId="11030"/>
    <cellStyle name="_Revised MOR 2004_MOR - BDWY - 1+11_MOR - Gurgaon - 3+9(R)-1_II.4. RawMaterials_Sheet2" xfId="11031"/>
    <cellStyle name="_Revised MOR 2004_MOR - BDWY - 1+11_MOR - Gurgaon - 3+9(R)-1_II.4. RawMaterials_Sheet3" xfId="11032"/>
    <cellStyle name="_Revised MOR 2004_MOR - BDWY - 1+11_MOR - Gurgaon - 3+9(R)-1_II.4. RawMaterials_Sheet4" xfId="11033"/>
    <cellStyle name="_Revised MOR 2004_MOR - BDWY - 1+11_MOR - Gurgaon - 3+9(R)-1_II.5. RawMaterials" xfId="11034"/>
    <cellStyle name="_Revised MOR 2004_MOR - BDWY - 1+11_MOR - Gurgaon - 3+9(R)-1_II.5. RawMaterials 2" xfId="11035"/>
    <cellStyle name="_Revised MOR 2004_MOR - BDWY - 1+11_MOR - Gurgaon - 3+9(R)-1_II.5. RawMaterials_BS retrieve" xfId="11036"/>
    <cellStyle name="_Revised MOR 2004_MOR - BDWY - 1+11_MOR - Gurgaon - 3+9(R)-1_II.5. RawMaterials_Free CF" xfId="11037"/>
    <cellStyle name="_Revised MOR 2004_MOR - BDWY - 1+11_MOR - Gurgaon - 3+9(R)-1_II.5. RawMaterials_P&amp;L Rec Qtr" xfId="11038"/>
    <cellStyle name="_Revised MOR 2004_MOR - BDWY - 1+11_MOR - Gurgaon - 3+9(R)-1_II.5. RawMaterials_Sheet1" xfId="11039"/>
    <cellStyle name="_Revised MOR 2004_MOR - BDWY - 1+11_MOR - Gurgaon - 3+9(R)-1_II.5. RawMaterials_Sheet2" xfId="11040"/>
    <cellStyle name="_Revised MOR 2004_MOR - BDWY - 1+11_MOR - Gurgaon - 3+9(R)-1_II.5. RawMaterials_Sheet3" xfId="11041"/>
    <cellStyle name="_Revised MOR 2004_MOR - BDWY - 1+11_MOR - Gurgaon - 3+9(R)-1_II.5. RawMaterials_Sheet4" xfId="11042"/>
    <cellStyle name="_Revised MOR 2004_MOR - BDWY - 1+11_MOR - Gurgaon - 3+9(R)-1_II.5. RM Volume Sensitivities" xfId="11043"/>
    <cellStyle name="_Revised MOR 2004_MOR - BDWY - 1+11_MOR - Gurgaon - 3+9(R)-1_II.5. RM Volume Sensitivities 2" xfId="11044"/>
    <cellStyle name="_Revised MOR 2004_MOR - BDWY - 1+11_MOR - Gurgaon - 3+9(R)-1_II.5. RM Volume Sensitivities_BS retrieve" xfId="11045"/>
    <cellStyle name="_Revised MOR 2004_MOR - BDWY - 1+11_MOR - Gurgaon - 3+9(R)-1_II.5. RM Volume Sensitivities_Free CF" xfId="11046"/>
    <cellStyle name="_Revised MOR 2004_MOR - BDWY - 1+11_MOR - Gurgaon - 3+9(R)-1_II.5. RM Volume Sensitivities_P&amp;L Rec Qtr" xfId="11047"/>
    <cellStyle name="_Revised MOR 2004_MOR - BDWY - 1+11_MOR - Gurgaon - 3+9(R)-1_II.5. RM Volume Sensitivities_Sheet1" xfId="11048"/>
    <cellStyle name="_Revised MOR 2004_MOR - BDWY - 1+11_MOR - Gurgaon - 3+9(R)-1_II.5. RM Volume Sensitivities_Sheet2" xfId="11049"/>
    <cellStyle name="_Revised MOR 2004_MOR - BDWY - 1+11_MOR - Gurgaon - 3+9(R)-1_II.5. RM Volume Sensitivities_Sheet3" xfId="11050"/>
    <cellStyle name="_Revised MOR 2004_MOR - BDWY - 1+11_MOR - Gurgaon - 3+9(R)-1_II.5. RM Volume Sensitivities_Sheet4" xfId="11051"/>
    <cellStyle name="_Revised MOR 2004_MOR - BDWY - 1+11_MOR - Gurgaon - 3+9(R)-1_II.8. Sep&amp;Discrete" xfId="11052"/>
    <cellStyle name="_Revised MOR 2004_MOR - BDWY - 1+11_MOR - Gurgaon - 3+9(R)-1_Restructuring &amp; Separation" xfId="11053"/>
    <cellStyle name="_Revised MOR 2004_MOR - BDWY - 1+11_MOR - Gurgaon - 3+9(R)-1_Restructuring_Separation_TAX_JuneFC2010 tf" xfId="11054"/>
    <cellStyle name="_Revised MOR 2004_MOR - BDWY - 1+11_MOR - Gurgaon - 3+9(R)-1_Restructuring_Separation_TAX_JuneFC2010 tf_BS_Separation_TaxResIndem_Q12412 tf" xfId="11055"/>
    <cellStyle name="_Revised MOR 2004_MOR - BDWY - 1+11_MOR - Gurgaon - 3+9(R)-1_Restructuring_Separation_TAX_JuneFC2010 tf_BS_Separation_TaxResIndem_Q12412 tf_Restructuring &amp; Separation" xfId="11056"/>
    <cellStyle name="_Revised MOR 2004_MOR - BDWY - 1+11_MOR - Gurgaon - 3+9(R)-1_Restructuring_Separation_TAX_JuneFC2010 tf_II.8. Sep&amp;Discrete" xfId="11057"/>
    <cellStyle name="_Revised MOR 2004_MOR - BDWY - 1+11_MOR - Gurgaon - 3+9(R)-1_Restructuring_Separation_TAX_JuneFC2010 tf_Restructuring &amp; Separation" xfId="11058"/>
    <cellStyle name="_Revised MOR 2004_MOR - BDWY - 1+11_MOR - Gurgaon - 3+9(R)-1_Revised MOR Package" xfId="11059"/>
    <cellStyle name="_Revised MOR 2004_MOR - BDWY - 1+11_MOR - Gurgaon - 3+9(R)-1_Revised MOR Package_~0039877" xfId="11060"/>
    <cellStyle name="_Revised MOR 2004_MOR - BDWY - 1+11_MOR - Gurgaon - 3+9(R)-1_Revised MOR Package_~0039877_BS_Separation_TaxResIndem_Q12412 tf" xfId="11061"/>
    <cellStyle name="_Revised MOR 2004_MOR - BDWY - 1+11_MOR - Gurgaon - 3+9(R)-1_Revised MOR Package_~0039877_BS_Separation_TaxResIndem_Q12412 tf_Restructuring &amp; Separation" xfId="11062"/>
    <cellStyle name="_Revised MOR 2004_MOR - BDWY - 1+11_MOR - Gurgaon - 3+9(R)-1_Revised MOR Package_~0039877_By Country Detail 1Q10 041410pm FIN 18 revised per disc w Mary" xfId="11063"/>
    <cellStyle name="_Revised MOR 2004_MOR - BDWY - 1+11_MOR - Gurgaon - 3+9(R)-1_Revised MOR Package_~0039877_By Country Detail 1Q10 041410pm FIN 18 revised per disc w Mary_BS_Separation_TaxResIndem_Q12412 tf" xfId="11064"/>
    <cellStyle name="_Revised MOR 2004_MOR - BDWY - 1+11_MOR - Gurgaon - 3+9(R)-1_Revised MOR Package_~0039877_By Country Detail 1Q10 041410pm FIN 18 revised per disc w Mary_BS_Separation_TaxResIndem_Q12412 tf_Restructuring &amp; Separation" xfId="11065"/>
    <cellStyle name="_Revised MOR 2004_MOR - BDWY - 1+11_MOR - Gurgaon - 3+9(R)-1_Revised MOR Package_~0039877_By Country Detail 1Q10 041410pm FIN 18 revised per disc w Mary_II.8. Sep&amp;Discrete" xfId="11066"/>
    <cellStyle name="_Revised MOR 2004_MOR - BDWY - 1+11_MOR - Gurgaon - 3+9(R)-1_Revised MOR Package_~0039877_By Country Detail 1Q10 041410pm FIN 18 revised per disc w Mary_Restructuring &amp; Separation" xfId="11067"/>
    <cellStyle name="_Revised MOR 2004_MOR - BDWY - 1+11_MOR - Gurgaon - 3+9(R)-1_Revised MOR Package_~0039877_II.4. RawMaterials" xfId="11068"/>
    <cellStyle name="_Revised MOR 2004_MOR - BDWY - 1+11_MOR - Gurgaon - 3+9(R)-1_Revised MOR Package_~0039877_II.4. RawMaterials 2" xfId="11069"/>
    <cellStyle name="_Revised MOR 2004_MOR - BDWY - 1+11_MOR - Gurgaon - 3+9(R)-1_Revised MOR Package_~0039877_II.4. RawMaterials_BS retrieve" xfId="11070"/>
    <cellStyle name="_Revised MOR 2004_MOR - BDWY - 1+11_MOR - Gurgaon - 3+9(R)-1_Revised MOR Package_~0039877_II.4. RawMaterials_Free CF" xfId="11071"/>
    <cellStyle name="_Revised MOR 2004_MOR - BDWY - 1+11_MOR - Gurgaon - 3+9(R)-1_Revised MOR Package_~0039877_II.4. RawMaterials_P&amp;L Rec Qtr" xfId="11072"/>
    <cellStyle name="_Revised MOR 2004_MOR - BDWY - 1+11_MOR - Gurgaon - 3+9(R)-1_Revised MOR Package_~0039877_II.4. RawMaterials_Sheet1" xfId="11073"/>
    <cellStyle name="_Revised MOR 2004_MOR - BDWY - 1+11_MOR - Gurgaon - 3+9(R)-1_Revised MOR Package_~0039877_II.4. RawMaterials_Sheet2" xfId="11074"/>
    <cellStyle name="_Revised MOR 2004_MOR - BDWY - 1+11_MOR - Gurgaon - 3+9(R)-1_Revised MOR Package_~0039877_II.4. RawMaterials_Sheet3" xfId="11075"/>
    <cellStyle name="_Revised MOR 2004_MOR - BDWY - 1+11_MOR - Gurgaon - 3+9(R)-1_Revised MOR Package_~0039877_II.4. RawMaterials_Sheet4" xfId="11076"/>
    <cellStyle name="_Revised MOR 2004_MOR - BDWY - 1+11_MOR - Gurgaon - 3+9(R)-1_Revised MOR Package_~0039877_II.5. RawMaterials" xfId="11077"/>
    <cellStyle name="_Revised MOR 2004_MOR - BDWY - 1+11_MOR - Gurgaon - 3+9(R)-1_Revised MOR Package_~0039877_II.5. RawMaterials 2" xfId="11078"/>
    <cellStyle name="_Revised MOR 2004_MOR - BDWY - 1+11_MOR - Gurgaon - 3+9(R)-1_Revised MOR Package_~0039877_II.5. RawMaterials_BS retrieve" xfId="11079"/>
    <cellStyle name="_Revised MOR 2004_MOR - BDWY - 1+11_MOR - Gurgaon - 3+9(R)-1_Revised MOR Package_~0039877_II.5. RawMaterials_Free CF" xfId="11080"/>
    <cellStyle name="_Revised MOR 2004_MOR - BDWY - 1+11_MOR - Gurgaon - 3+9(R)-1_Revised MOR Package_~0039877_II.5. RawMaterials_P&amp;L Rec Qtr" xfId="11081"/>
    <cellStyle name="_Revised MOR 2004_MOR - BDWY - 1+11_MOR - Gurgaon - 3+9(R)-1_Revised MOR Package_~0039877_II.5. RawMaterials_Sheet1" xfId="11082"/>
    <cellStyle name="_Revised MOR 2004_MOR - BDWY - 1+11_MOR - Gurgaon - 3+9(R)-1_Revised MOR Package_~0039877_II.5. RawMaterials_Sheet2" xfId="11083"/>
    <cellStyle name="_Revised MOR 2004_MOR - BDWY - 1+11_MOR - Gurgaon - 3+9(R)-1_Revised MOR Package_~0039877_II.5. RawMaterials_Sheet3" xfId="11084"/>
    <cellStyle name="_Revised MOR 2004_MOR - BDWY - 1+11_MOR - Gurgaon - 3+9(R)-1_Revised MOR Package_~0039877_II.5. RawMaterials_Sheet4" xfId="11085"/>
    <cellStyle name="_Revised MOR 2004_MOR - BDWY - 1+11_MOR - Gurgaon - 3+9(R)-1_Revised MOR Package_~0039877_II.5. RM Volume Sensitivities" xfId="11086"/>
    <cellStyle name="_Revised MOR 2004_MOR - BDWY - 1+11_MOR - Gurgaon - 3+9(R)-1_Revised MOR Package_~0039877_II.5. RM Volume Sensitivities 2" xfId="11087"/>
    <cellStyle name="_Revised MOR 2004_MOR - BDWY - 1+11_MOR - Gurgaon - 3+9(R)-1_Revised MOR Package_~0039877_II.5. RM Volume Sensitivities_BS retrieve" xfId="11088"/>
    <cellStyle name="_Revised MOR 2004_MOR - BDWY - 1+11_MOR - Gurgaon - 3+9(R)-1_Revised MOR Package_~0039877_II.5. RM Volume Sensitivities_Free CF" xfId="11089"/>
    <cellStyle name="_Revised MOR 2004_MOR - BDWY - 1+11_MOR - Gurgaon - 3+9(R)-1_Revised MOR Package_~0039877_II.5. RM Volume Sensitivities_P&amp;L Rec Qtr" xfId="11090"/>
    <cellStyle name="_Revised MOR 2004_MOR - BDWY - 1+11_MOR - Gurgaon - 3+9(R)-1_Revised MOR Package_~0039877_II.5. RM Volume Sensitivities_Sheet1" xfId="11091"/>
    <cellStyle name="_Revised MOR 2004_MOR - BDWY - 1+11_MOR - Gurgaon - 3+9(R)-1_Revised MOR Package_~0039877_II.5. RM Volume Sensitivities_Sheet2" xfId="11092"/>
    <cellStyle name="_Revised MOR 2004_MOR - BDWY - 1+11_MOR - Gurgaon - 3+9(R)-1_Revised MOR Package_~0039877_II.5. RM Volume Sensitivities_Sheet3" xfId="11093"/>
    <cellStyle name="_Revised MOR 2004_MOR - BDWY - 1+11_MOR - Gurgaon - 3+9(R)-1_Revised MOR Package_~0039877_II.5. RM Volume Sensitivities_Sheet4" xfId="11094"/>
    <cellStyle name="_Revised MOR 2004_MOR - BDWY - 1+11_MOR - Gurgaon - 3+9(R)-1_Revised MOR Package_~0039877_II.8. Sep&amp;Discrete" xfId="11095"/>
    <cellStyle name="_Revised MOR 2004_MOR - BDWY - 1+11_MOR - Gurgaon - 3+9(R)-1_Revised MOR Package_~0039877_Restructuring &amp; Separation" xfId="11096"/>
    <cellStyle name="_Revised MOR 2004_MOR - BDWY - 1+11_MOR - Gurgaon - 3+9(R)-1_Revised MOR Package_~0039877_Restructuring_Separation_TAX_JuneFC2010 tf" xfId="11097"/>
    <cellStyle name="_Revised MOR 2004_MOR - BDWY - 1+11_MOR - Gurgaon - 3+9(R)-1_Revised MOR Package_~0039877_Restructuring_Separation_TAX_JuneFC2010 tf_BS_Separation_TaxResIndem_Q12412 tf" xfId="11098"/>
    <cellStyle name="_Revised MOR 2004_MOR - BDWY - 1+11_MOR - Gurgaon - 3+9(R)-1_Revised MOR Package_~0039877_Restructuring_Separation_TAX_JuneFC2010 tf_BS_Separation_TaxResIndem_Q12412 tf_Restructuring &amp; Separation" xfId="11099"/>
    <cellStyle name="_Revised MOR 2004_MOR - BDWY - 1+11_MOR - Gurgaon - 3+9(R)-1_Revised MOR Package_~0039877_Restructuring_Separation_TAX_JuneFC2010 tf_II.8. Sep&amp;Discrete" xfId="11100"/>
    <cellStyle name="_Revised MOR 2004_MOR - BDWY - 1+11_MOR - Gurgaon - 3+9(R)-1_Revised MOR Package_~0039877_Restructuring_Separation_TAX_JuneFC2010 tf_Restructuring &amp; Separation" xfId="11101"/>
    <cellStyle name="_Revised MOR 2004_MOR - BDWY - 1+11_MOR - Gurgaon - 3+9(R)-1_Revised MOR Package_BS_Separation_TaxResIndem_Q12412 tf" xfId="11102"/>
    <cellStyle name="_Revised MOR 2004_MOR - BDWY - 1+11_MOR - Gurgaon - 3+9(R)-1_Revised MOR Package_BS_Separation_TaxResIndem_Q12412 tf_Restructuring &amp; Separation" xfId="11103"/>
    <cellStyle name="_Revised MOR 2004_MOR - BDWY - 1+11_MOR - Gurgaon - 3+9(R)-1_Revised MOR Package_By Country Detail 1Q10 041410pm FIN 18 revised per disc w Mary" xfId="11104"/>
    <cellStyle name="_Revised MOR 2004_MOR - BDWY - 1+11_MOR - Gurgaon - 3+9(R)-1_Revised MOR Package_By Country Detail 1Q10 041410pm FIN 18 revised per disc w Mary_BS_Separation_TaxResIndem_Q12412 tf" xfId="11105"/>
    <cellStyle name="_Revised MOR 2004_MOR - BDWY - 1+11_MOR - Gurgaon - 3+9(R)-1_Revised MOR Package_By Country Detail 1Q10 041410pm FIN 18 revised per disc w Mary_BS_Separation_TaxResIndem_Q12412 tf_Restructuring &amp; Separation" xfId="11106"/>
    <cellStyle name="_Revised MOR 2004_MOR - BDWY - 1+11_MOR - Gurgaon - 3+9(R)-1_Revised MOR Package_By Country Detail 1Q10 041410pm FIN 18 revised per disc w Mary_II.8. Sep&amp;Discrete" xfId="11107"/>
    <cellStyle name="_Revised MOR 2004_MOR - BDWY - 1+11_MOR - Gurgaon - 3+9(R)-1_Revised MOR Package_By Country Detail 1Q10 041410pm FIN 18 revised per disc w Mary_Restructuring &amp; Separation" xfId="11108"/>
    <cellStyle name="_Revised MOR 2004_MOR - BDWY - 1+11_MOR - Gurgaon - 3+9(R)-1_Revised MOR Package_II.4. RawMaterials" xfId="11109"/>
    <cellStyle name="_Revised MOR 2004_MOR - BDWY - 1+11_MOR - Gurgaon - 3+9(R)-1_Revised MOR Package_II.4. RawMaterials 2" xfId="11110"/>
    <cellStyle name="_Revised MOR 2004_MOR - BDWY - 1+11_MOR - Gurgaon - 3+9(R)-1_Revised MOR Package_II.4. RawMaterials_BS retrieve" xfId="11111"/>
    <cellStyle name="_Revised MOR 2004_MOR - BDWY - 1+11_MOR - Gurgaon - 3+9(R)-1_Revised MOR Package_II.4. RawMaterials_Free CF" xfId="11112"/>
    <cellStyle name="_Revised MOR 2004_MOR - BDWY - 1+11_MOR - Gurgaon - 3+9(R)-1_Revised MOR Package_II.4. RawMaterials_P&amp;L Rec Qtr" xfId="11113"/>
    <cellStyle name="_Revised MOR 2004_MOR - BDWY - 1+11_MOR - Gurgaon - 3+9(R)-1_Revised MOR Package_II.4. RawMaterials_Sheet1" xfId="11114"/>
    <cellStyle name="_Revised MOR 2004_MOR - BDWY - 1+11_MOR - Gurgaon - 3+9(R)-1_Revised MOR Package_II.4. RawMaterials_Sheet2" xfId="11115"/>
    <cellStyle name="_Revised MOR 2004_MOR - BDWY - 1+11_MOR - Gurgaon - 3+9(R)-1_Revised MOR Package_II.4. RawMaterials_Sheet3" xfId="11116"/>
    <cellStyle name="_Revised MOR 2004_MOR - BDWY - 1+11_MOR - Gurgaon - 3+9(R)-1_Revised MOR Package_II.4. RawMaterials_Sheet4" xfId="11117"/>
    <cellStyle name="_Revised MOR 2004_MOR - BDWY - 1+11_MOR - Gurgaon - 3+9(R)-1_Revised MOR Package_II.5. RawMaterials" xfId="11118"/>
    <cellStyle name="_Revised MOR 2004_MOR - BDWY - 1+11_MOR - Gurgaon - 3+9(R)-1_Revised MOR Package_II.5. RawMaterials 2" xfId="11119"/>
    <cellStyle name="_Revised MOR 2004_MOR - BDWY - 1+11_MOR - Gurgaon - 3+9(R)-1_Revised MOR Package_II.5. RawMaterials_BS retrieve" xfId="11120"/>
    <cellStyle name="_Revised MOR 2004_MOR - BDWY - 1+11_MOR - Gurgaon - 3+9(R)-1_Revised MOR Package_II.5. RawMaterials_Free CF" xfId="11121"/>
    <cellStyle name="_Revised MOR 2004_MOR - BDWY - 1+11_MOR - Gurgaon - 3+9(R)-1_Revised MOR Package_II.5. RawMaterials_P&amp;L Rec Qtr" xfId="11122"/>
    <cellStyle name="_Revised MOR 2004_MOR - BDWY - 1+11_MOR - Gurgaon - 3+9(R)-1_Revised MOR Package_II.5. RawMaterials_Sheet1" xfId="11123"/>
    <cellStyle name="_Revised MOR 2004_MOR - BDWY - 1+11_MOR - Gurgaon - 3+9(R)-1_Revised MOR Package_II.5. RawMaterials_Sheet2" xfId="11124"/>
    <cellStyle name="_Revised MOR 2004_MOR - BDWY - 1+11_MOR - Gurgaon - 3+9(R)-1_Revised MOR Package_II.5. RawMaterials_Sheet3" xfId="11125"/>
    <cellStyle name="_Revised MOR 2004_MOR - BDWY - 1+11_MOR - Gurgaon - 3+9(R)-1_Revised MOR Package_II.5. RawMaterials_Sheet4" xfId="11126"/>
    <cellStyle name="_Revised MOR 2004_MOR - BDWY - 1+11_MOR - Gurgaon - 3+9(R)-1_Revised MOR Package_II.5. RM Volume Sensitivities" xfId="11127"/>
    <cellStyle name="_Revised MOR 2004_MOR - BDWY - 1+11_MOR - Gurgaon - 3+9(R)-1_Revised MOR Package_II.5. RM Volume Sensitivities 2" xfId="11128"/>
    <cellStyle name="_Revised MOR 2004_MOR - BDWY - 1+11_MOR - Gurgaon - 3+9(R)-1_Revised MOR Package_II.5. RM Volume Sensitivities_BS retrieve" xfId="11129"/>
    <cellStyle name="_Revised MOR 2004_MOR - BDWY - 1+11_MOR - Gurgaon - 3+9(R)-1_Revised MOR Package_II.5. RM Volume Sensitivities_Free CF" xfId="11130"/>
    <cellStyle name="_Revised MOR 2004_MOR - BDWY - 1+11_MOR - Gurgaon - 3+9(R)-1_Revised MOR Package_II.5. RM Volume Sensitivities_P&amp;L Rec Qtr" xfId="11131"/>
    <cellStyle name="_Revised MOR 2004_MOR - BDWY - 1+11_MOR - Gurgaon - 3+9(R)-1_Revised MOR Package_II.5. RM Volume Sensitivities_Sheet1" xfId="11132"/>
    <cellStyle name="_Revised MOR 2004_MOR - BDWY - 1+11_MOR - Gurgaon - 3+9(R)-1_Revised MOR Package_II.5. RM Volume Sensitivities_Sheet2" xfId="11133"/>
    <cellStyle name="_Revised MOR 2004_MOR - BDWY - 1+11_MOR - Gurgaon - 3+9(R)-1_Revised MOR Package_II.5. RM Volume Sensitivities_Sheet3" xfId="11134"/>
    <cellStyle name="_Revised MOR 2004_MOR - BDWY - 1+11_MOR - Gurgaon - 3+9(R)-1_Revised MOR Package_II.5. RM Volume Sensitivities_Sheet4" xfId="11135"/>
    <cellStyle name="_Revised MOR 2004_MOR - BDWY - 1+11_MOR - Gurgaon - 3+9(R)-1_Revised MOR Package_II.8. Sep&amp;Discrete" xfId="11136"/>
    <cellStyle name="_Revised MOR 2004_MOR - BDWY - 1+11_MOR - Gurgaon - 3+9(R)-1_Revised MOR Package_Restructuring &amp; Separation" xfId="11137"/>
    <cellStyle name="_Revised MOR 2004_MOR - BDWY - 1+11_MOR - Gurgaon - 3+9(R)-1_Revised MOR Package_Restructuring_Separation_TAX_JuneFC2010 tf" xfId="11138"/>
    <cellStyle name="_Revised MOR 2004_MOR - BDWY - 1+11_MOR - Gurgaon - 3+9(R)-1_Revised MOR Package_Restructuring_Separation_TAX_JuneFC2010 tf_BS_Separation_TaxResIndem_Q12412 tf" xfId="11139"/>
    <cellStyle name="_Revised MOR 2004_MOR - BDWY - 1+11_MOR - Gurgaon - 3+9(R)-1_Revised MOR Package_Restructuring_Separation_TAX_JuneFC2010 tf_BS_Separation_TaxResIndem_Q12412 tf_Restructuring &amp; Separation" xfId="11140"/>
    <cellStyle name="_Revised MOR 2004_MOR - BDWY - 1+11_MOR - Gurgaon - 3+9(R)-1_Revised MOR Package_Restructuring_Separation_TAX_JuneFC2010 tf_II.8. Sep&amp;Discrete" xfId="11141"/>
    <cellStyle name="_Revised MOR 2004_MOR - BDWY - 1+11_MOR - Gurgaon - 3+9(R)-1_Revised MOR Package_Restructuring_Separation_TAX_JuneFC2010 tf_Restructuring &amp; Separation" xfId="11142"/>
    <cellStyle name="_Revised MOR 2004_MOR - BDWY - 1+11_MOR - Gurgaon - 3+9(R)-1_Revised MOR Package_Revised MOR Package - Latest" xfId="11143"/>
    <cellStyle name="_Revised MOR 2004_MOR - BDWY - 1+11_MOR - Gurgaon - 3+9(R)-1_Revised MOR Package_Revised MOR Package - Latest_BS_Separation_TaxResIndem_Q12412 tf" xfId="11144"/>
    <cellStyle name="_Revised MOR 2004_MOR - BDWY - 1+11_MOR - Gurgaon - 3+9(R)-1_Revised MOR Package_Revised MOR Package - Latest_BS_Separation_TaxResIndem_Q12412 tf_Restructuring &amp; Separation" xfId="11145"/>
    <cellStyle name="_Revised MOR 2004_MOR - BDWY - 1+11_MOR - Gurgaon - 3+9(R)-1_Revised MOR Package_Revised MOR Package - Latest_By Country Detail 1Q10 041410pm FIN 18 revised per disc w Mary" xfId="11146"/>
    <cellStyle name="_Revised MOR 2004_MOR - BDWY - 1+11_MOR - Gurgaon - 3+9(R)-1_Revised MOR Package_Revised MOR Package - Latest_By Country Detail 1Q10 041410pm FIN 18 revised per disc w Mary_BS_Separation_TaxResIndem_Q12412 tf" xfId="11147"/>
    <cellStyle name="_Revised MOR 2004_MOR - BDWY - 1+11_MOR - Gurgaon - 3+9(R)-1_Revised MOR Package_Revised MOR Package - Latest_By Country Detail 1Q10 041410pm FIN 18 revised per disc w Mary_BS_Separation_TaxResIndem_Q12412 tf_Restructuring &amp; Separation" xfId="11148"/>
    <cellStyle name="_Revised MOR 2004_MOR - BDWY - 1+11_MOR - Gurgaon - 3+9(R)-1_Revised MOR Package_Revised MOR Package - Latest_By Country Detail 1Q10 041410pm FIN 18 revised per disc w Mary_II.8. Sep&amp;Discrete" xfId="11149"/>
    <cellStyle name="_Revised MOR 2004_MOR - BDWY - 1+11_MOR - Gurgaon - 3+9(R)-1_Revised MOR Package_Revised MOR Package - Latest_By Country Detail 1Q10 041410pm FIN 18 revised per disc w Mary_Restructuring &amp; Separation" xfId="11150"/>
    <cellStyle name="_Revised MOR 2004_MOR - BDWY - 1+11_MOR - Gurgaon - 3+9(R)-1_Revised MOR Package_Revised MOR Package - Latest_II.4. RawMaterials" xfId="11151"/>
    <cellStyle name="_Revised MOR 2004_MOR - BDWY - 1+11_MOR - Gurgaon - 3+9(R)-1_Revised MOR Package_Revised MOR Package - Latest_II.4. RawMaterials 2" xfId="11152"/>
    <cellStyle name="_Revised MOR 2004_MOR - BDWY - 1+11_MOR - Gurgaon - 3+9(R)-1_Revised MOR Package_Revised MOR Package - Latest_II.4. RawMaterials_BS retrieve" xfId="11153"/>
    <cellStyle name="_Revised MOR 2004_MOR - BDWY - 1+11_MOR - Gurgaon - 3+9(R)-1_Revised MOR Package_Revised MOR Package - Latest_II.4. RawMaterials_Free CF" xfId="11154"/>
    <cellStyle name="_Revised MOR 2004_MOR - BDWY - 1+11_MOR - Gurgaon - 3+9(R)-1_Revised MOR Package_Revised MOR Package - Latest_II.4. RawMaterials_P&amp;L Rec Qtr" xfId="11155"/>
    <cellStyle name="_Revised MOR 2004_MOR - BDWY - 1+11_MOR - Gurgaon - 3+9(R)-1_Revised MOR Package_Revised MOR Package - Latest_II.4. RawMaterials_Sheet1" xfId="11156"/>
    <cellStyle name="_Revised MOR 2004_MOR - BDWY - 1+11_MOR - Gurgaon - 3+9(R)-1_Revised MOR Package_Revised MOR Package - Latest_II.4. RawMaterials_Sheet2" xfId="11157"/>
    <cellStyle name="_Revised MOR 2004_MOR - BDWY - 1+11_MOR - Gurgaon - 3+9(R)-1_Revised MOR Package_Revised MOR Package - Latest_II.4. RawMaterials_Sheet3" xfId="11158"/>
    <cellStyle name="_Revised MOR 2004_MOR - BDWY - 1+11_MOR - Gurgaon - 3+9(R)-1_Revised MOR Package_Revised MOR Package - Latest_II.4. RawMaterials_Sheet4" xfId="11159"/>
    <cellStyle name="_Revised MOR 2004_MOR - BDWY - 1+11_MOR - Gurgaon - 3+9(R)-1_Revised MOR Package_Revised MOR Package - Latest_II.5. RawMaterials" xfId="11160"/>
    <cellStyle name="_Revised MOR 2004_MOR - BDWY - 1+11_MOR - Gurgaon - 3+9(R)-1_Revised MOR Package_Revised MOR Package - Latest_II.5. RawMaterials 2" xfId="11161"/>
    <cellStyle name="_Revised MOR 2004_MOR - BDWY - 1+11_MOR - Gurgaon - 3+9(R)-1_Revised MOR Package_Revised MOR Package - Latest_II.5. RawMaterials_BS retrieve" xfId="11162"/>
    <cellStyle name="_Revised MOR 2004_MOR - BDWY - 1+11_MOR - Gurgaon - 3+9(R)-1_Revised MOR Package_Revised MOR Package - Latest_II.5. RawMaterials_Free CF" xfId="11163"/>
    <cellStyle name="_Revised MOR 2004_MOR - BDWY - 1+11_MOR - Gurgaon - 3+9(R)-1_Revised MOR Package_Revised MOR Package - Latest_II.5. RawMaterials_P&amp;L Rec Qtr" xfId="11164"/>
    <cellStyle name="_Revised MOR 2004_MOR - BDWY - 1+11_MOR - Gurgaon - 3+9(R)-1_Revised MOR Package_Revised MOR Package - Latest_II.5. RawMaterials_Sheet1" xfId="11165"/>
    <cellStyle name="_Revised MOR 2004_MOR - BDWY - 1+11_MOR - Gurgaon - 3+9(R)-1_Revised MOR Package_Revised MOR Package - Latest_II.5. RawMaterials_Sheet2" xfId="11166"/>
    <cellStyle name="_Revised MOR 2004_MOR - BDWY - 1+11_MOR - Gurgaon - 3+9(R)-1_Revised MOR Package_Revised MOR Package - Latest_II.5. RawMaterials_Sheet3" xfId="11167"/>
    <cellStyle name="_Revised MOR 2004_MOR - BDWY - 1+11_MOR - Gurgaon - 3+9(R)-1_Revised MOR Package_Revised MOR Package - Latest_II.5. RawMaterials_Sheet4" xfId="11168"/>
    <cellStyle name="_Revised MOR 2004_MOR - BDWY - 1+11_MOR - Gurgaon - 3+9(R)-1_Revised MOR Package_Revised MOR Package - Latest_II.5. RM Volume Sensitivities" xfId="11169"/>
    <cellStyle name="_Revised MOR 2004_MOR - BDWY - 1+11_MOR - Gurgaon - 3+9(R)-1_Revised MOR Package_Revised MOR Package - Latest_II.5. RM Volume Sensitivities 2" xfId="11170"/>
    <cellStyle name="_Revised MOR 2004_MOR - BDWY - 1+11_MOR - Gurgaon - 3+9(R)-1_Revised MOR Package_Revised MOR Package - Latest_II.5. RM Volume Sensitivities_BS retrieve" xfId="11171"/>
    <cellStyle name="_Revised MOR 2004_MOR - BDWY - 1+11_MOR - Gurgaon - 3+9(R)-1_Revised MOR Package_Revised MOR Package - Latest_II.5. RM Volume Sensitivities_Free CF" xfId="11172"/>
    <cellStyle name="_Revised MOR 2004_MOR - BDWY - 1+11_MOR - Gurgaon - 3+9(R)-1_Revised MOR Package_Revised MOR Package - Latest_II.5. RM Volume Sensitivities_P&amp;L Rec Qtr" xfId="11173"/>
    <cellStyle name="_Revised MOR 2004_MOR - BDWY - 1+11_MOR - Gurgaon - 3+9(R)-1_Revised MOR Package_Revised MOR Package - Latest_II.5. RM Volume Sensitivities_Sheet1" xfId="11174"/>
    <cellStyle name="_Revised MOR 2004_MOR - BDWY - 1+11_MOR - Gurgaon - 3+9(R)-1_Revised MOR Package_Revised MOR Package - Latest_II.5. RM Volume Sensitivities_Sheet2" xfId="11175"/>
    <cellStyle name="_Revised MOR 2004_MOR - BDWY - 1+11_MOR - Gurgaon - 3+9(R)-1_Revised MOR Package_Revised MOR Package - Latest_II.5. RM Volume Sensitivities_Sheet3" xfId="11176"/>
    <cellStyle name="_Revised MOR 2004_MOR - BDWY - 1+11_MOR - Gurgaon - 3+9(R)-1_Revised MOR Package_Revised MOR Package - Latest_II.5. RM Volume Sensitivities_Sheet4" xfId="11177"/>
    <cellStyle name="_Revised MOR 2004_MOR - BDWY - 1+11_MOR - Gurgaon - 3+9(R)-1_Revised MOR Package_Revised MOR Package - Latest_II.8. Sep&amp;Discrete" xfId="11178"/>
    <cellStyle name="_Revised MOR 2004_MOR - BDWY - 1+11_MOR - Gurgaon - 3+9(R)-1_Revised MOR Package_Revised MOR Package - Latest_Restructuring &amp; Separation" xfId="11179"/>
    <cellStyle name="_Revised MOR 2004_MOR - BDWY - 1+11_MOR - Gurgaon - 3+9(R)-1_Revised MOR Package_Revised MOR Package - Latest_Restructuring_Separation_TAX_JuneFC2010 tf" xfId="11180"/>
    <cellStyle name="_Revised MOR 2004_MOR - BDWY - 1+11_MOR - Gurgaon - 3+9(R)-1_Revised MOR Package_Revised MOR Package - Latest_Restructuring_Separation_TAX_JuneFC2010 tf_BS_Separation_TaxResIndem_Q12412 tf" xfId="11181"/>
    <cellStyle name="_Revised MOR 2004_MOR - BDWY - 1+11_MOR - Gurgaon - 3+9(R)-1_Revised MOR Package_Revised MOR Package - Latest_Restructuring_Separation_TAX_JuneFC2010 tf_BS_Separation_TaxResIndem_Q12412 tf_Restructuring &amp; Separation" xfId="11182"/>
    <cellStyle name="_Revised MOR 2004_MOR - BDWY - 1+11_MOR - Gurgaon - 3+9(R)-1_Revised MOR Package_Revised MOR Package - Latest_Restructuring_Separation_TAX_JuneFC2010 tf_II.8. Sep&amp;Discrete" xfId="11183"/>
    <cellStyle name="_Revised MOR 2004_MOR - BDWY - 1+11_MOR - Gurgaon - 3+9(R)-1_Revised MOR Package_Revised MOR Package - Latest_Restructuring_Separation_TAX_JuneFC2010 tf_Restructuring &amp; Separation" xfId="11184"/>
    <cellStyle name="_Revised MOR 2004_MOR - BDWY - 1+11_Restructuring &amp; Separation" xfId="11185"/>
    <cellStyle name="_Revised MOR 2004_MOR - BDWY - 1+11_Restructuring_Separation_TAX_JuneFC2010 tf" xfId="11186"/>
    <cellStyle name="_Revised MOR 2004_MOR - BDWY - 1+11_Restructuring_Separation_TAX_JuneFC2010 tf_BS_Separation_TaxResIndem_Q12412 tf" xfId="11187"/>
    <cellStyle name="_Revised MOR 2004_MOR - BDWY - 1+11_Restructuring_Separation_TAX_JuneFC2010 tf_BS_Separation_TaxResIndem_Q12412 tf_Restructuring &amp; Separation" xfId="11188"/>
    <cellStyle name="_Revised MOR 2004_MOR - BDWY - 1+11_Restructuring_Separation_TAX_JuneFC2010 tf_II.8. Sep&amp;Discrete" xfId="11189"/>
    <cellStyle name="_Revised MOR 2004_MOR - BDWY - 1+11_Restructuring_Separation_TAX_JuneFC2010 tf_Restructuring &amp; Separation" xfId="11190"/>
    <cellStyle name="_Revised MOR 2004_MOR - BDWY - 1+11_Revised MOR - Australia -  EC - 4+8" xfId="11191"/>
    <cellStyle name="_Revised MOR 2004_MOR - BDWY - 1+11_Revised MOR - Australia -  EC - 4+8_BS_Separation_TaxResIndem_Q12412 tf" xfId="11192"/>
    <cellStyle name="_Revised MOR 2004_MOR - BDWY - 1+11_Revised MOR - Australia -  EC - 4+8_BS_Separation_TaxResIndem_Q12412 tf_Restructuring &amp; Separation" xfId="11193"/>
    <cellStyle name="_Revised MOR 2004_MOR - BDWY - 1+11_Revised MOR - Australia -  EC - 4+8_By Country Detail 1Q10 041410pm FIN 18 revised per disc w Mary" xfId="11194"/>
    <cellStyle name="_Revised MOR 2004_MOR - BDWY - 1+11_Revised MOR - Australia -  EC - 4+8_By Country Detail 1Q10 041410pm FIN 18 revised per disc w Mary_BS_Separation_TaxResIndem_Q12412 tf" xfId="11195"/>
    <cellStyle name="_Revised MOR 2004_MOR - BDWY - 1+11_Revised MOR - Australia -  EC - 4+8_By Country Detail 1Q10 041410pm FIN 18 revised per disc w Mary_BS_Separation_TaxResIndem_Q12412 tf_Restructuring &amp; Separation" xfId="11196"/>
    <cellStyle name="_Revised MOR 2004_MOR - BDWY - 1+11_Revised MOR - Australia -  EC - 4+8_By Country Detail 1Q10 041410pm FIN 18 revised per disc w Mary_II.8. Sep&amp;Discrete" xfId="11197"/>
    <cellStyle name="_Revised MOR 2004_MOR - BDWY - 1+11_Revised MOR - Australia -  EC - 4+8_By Country Detail 1Q10 041410pm FIN 18 revised per disc w Mary_Restructuring &amp; Separation" xfId="11198"/>
    <cellStyle name="_Revised MOR 2004_MOR - BDWY - 1+11_Revised MOR - Australia -  EC - 4+8_II.4. RawMaterials" xfId="11199"/>
    <cellStyle name="_Revised MOR 2004_MOR - BDWY - 1+11_Revised MOR - Australia -  EC - 4+8_II.4. RawMaterials 2" xfId="11200"/>
    <cellStyle name="_Revised MOR 2004_MOR - BDWY - 1+11_Revised MOR - Australia -  EC - 4+8_II.4. RawMaterials_BS retrieve" xfId="11201"/>
    <cellStyle name="_Revised MOR 2004_MOR - BDWY - 1+11_Revised MOR - Australia -  EC - 4+8_II.4. RawMaterials_Free CF" xfId="11202"/>
    <cellStyle name="_Revised MOR 2004_MOR - BDWY - 1+11_Revised MOR - Australia -  EC - 4+8_II.4. RawMaterials_P&amp;L Rec Qtr" xfId="11203"/>
    <cellStyle name="_Revised MOR 2004_MOR - BDWY - 1+11_Revised MOR - Australia -  EC - 4+8_II.4. RawMaterials_Sheet1" xfId="11204"/>
    <cellStyle name="_Revised MOR 2004_MOR - BDWY - 1+11_Revised MOR - Australia -  EC - 4+8_II.4. RawMaterials_Sheet2" xfId="11205"/>
    <cellStyle name="_Revised MOR 2004_MOR - BDWY - 1+11_Revised MOR - Australia -  EC - 4+8_II.4. RawMaterials_Sheet3" xfId="11206"/>
    <cellStyle name="_Revised MOR 2004_MOR - BDWY - 1+11_Revised MOR - Australia -  EC - 4+8_II.4. RawMaterials_Sheet4" xfId="11207"/>
    <cellStyle name="_Revised MOR 2004_MOR - BDWY - 1+11_Revised MOR - Australia -  EC - 4+8_II.5. RawMaterials" xfId="11208"/>
    <cellStyle name="_Revised MOR 2004_MOR - BDWY - 1+11_Revised MOR - Australia -  EC - 4+8_II.5. RawMaterials 2" xfId="11209"/>
    <cellStyle name="_Revised MOR 2004_MOR - BDWY - 1+11_Revised MOR - Australia -  EC - 4+8_II.5. RawMaterials_BS retrieve" xfId="11210"/>
    <cellStyle name="_Revised MOR 2004_MOR - BDWY - 1+11_Revised MOR - Australia -  EC - 4+8_II.5. RawMaterials_Free CF" xfId="11211"/>
    <cellStyle name="_Revised MOR 2004_MOR - BDWY - 1+11_Revised MOR - Australia -  EC - 4+8_II.5. RawMaterials_P&amp;L Rec Qtr" xfId="11212"/>
    <cellStyle name="_Revised MOR 2004_MOR - BDWY - 1+11_Revised MOR - Australia -  EC - 4+8_II.5. RawMaterials_Sheet1" xfId="11213"/>
    <cellStyle name="_Revised MOR 2004_MOR - BDWY - 1+11_Revised MOR - Australia -  EC - 4+8_II.5. RawMaterials_Sheet2" xfId="11214"/>
    <cellStyle name="_Revised MOR 2004_MOR - BDWY - 1+11_Revised MOR - Australia -  EC - 4+8_II.5. RawMaterials_Sheet3" xfId="11215"/>
    <cellStyle name="_Revised MOR 2004_MOR - BDWY - 1+11_Revised MOR - Australia -  EC - 4+8_II.5. RawMaterials_Sheet4" xfId="11216"/>
    <cellStyle name="_Revised MOR 2004_MOR - BDWY - 1+11_Revised MOR - Australia -  EC - 4+8_II.5. RM Volume Sensitivities" xfId="11217"/>
    <cellStyle name="_Revised MOR 2004_MOR - BDWY - 1+11_Revised MOR - Australia -  EC - 4+8_II.5. RM Volume Sensitivities 2" xfId="11218"/>
    <cellStyle name="_Revised MOR 2004_MOR - BDWY - 1+11_Revised MOR - Australia -  EC - 4+8_II.5. RM Volume Sensitivities_BS retrieve" xfId="11219"/>
    <cellStyle name="_Revised MOR 2004_MOR - BDWY - 1+11_Revised MOR - Australia -  EC - 4+8_II.5. RM Volume Sensitivities_Free CF" xfId="11220"/>
    <cellStyle name="_Revised MOR 2004_MOR - BDWY - 1+11_Revised MOR - Australia -  EC - 4+8_II.5. RM Volume Sensitivities_P&amp;L Rec Qtr" xfId="11221"/>
    <cellStyle name="_Revised MOR 2004_MOR - BDWY - 1+11_Revised MOR - Australia -  EC - 4+8_II.5. RM Volume Sensitivities_Sheet1" xfId="11222"/>
    <cellStyle name="_Revised MOR 2004_MOR - BDWY - 1+11_Revised MOR - Australia -  EC - 4+8_II.5. RM Volume Sensitivities_Sheet2" xfId="11223"/>
    <cellStyle name="_Revised MOR 2004_MOR - BDWY - 1+11_Revised MOR - Australia -  EC - 4+8_II.5. RM Volume Sensitivities_Sheet3" xfId="11224"/>
    <cellStyle name="_Revised MOR 2004_MOR - BDWY - 1+11_Revised MOR - Australia -  EC - 4+8_II.5. RM Volume Sensitivities_Sheet4" xfId="11225"/>
    <cellStyle name="_Revised MOR 2004_MOR - BDWY - 1+11_Revised MOR - Australia -  EC - 4+8_II.8. Sep&amp;Discrete" xfId="11226"/>
    <cellStyle name="_Revised MOR 2004_MOR - BDWY - 1+11_Revised MOR - Australia -  EC - 4+8_Restructuring &amp; Separation" xfId="11227"/>
    <cellStyle name="_Revised MOR 2004_MOR - BDWY - 1+11_Revised MOR - Australia -  EC - 4+8_Restructuring_Separation_TAX_JuneFC2010 tf" xfId="11228"/>
    <cellStyle name="_Revised MOR 2004_MOR - BDWY - 1+11_Revised MOR - Australia -  EC - 4+8_Restructuring_Separation_TAX_JuneFC2010 tf_BS_Separation_TaxResIndem_Q12412 tf" xfId="11229"/>
    <cellStyle name="_Revised MOR 2004_MOR - BDWY - 1+11_Revised MOR - Australia -  EC - 4+8_Restructuring_Separation_TAX_JuneFC2010 tf_BS_Separation_TaxResIndem_Q12412 tf_Restructuring &amp; Separation" xfId="11230"/>
    <cellStyle name="_Revised MOR 2004_MOR - BDWY - 1+11_Revised MOR - Australia -  EC - 4+8_Restructuring_Separation_TAX_JuneFC2010 tf_II.8. Sep&amp;Discrete" xfId="11231"/>
    <cellStyle name="_Revised MOR 2004_MOR - BDWY - 1+11_Revised MOR - Australia -  EC - 4+8_Restructuring_Separation_TAX_JuneFC2010 tf_Restructuring &amp; Separation" xfId="11232"/>
    <cellStyle name="_Revised MOR 2004_MOR - BDWY - 1+11_Revised MOR Package - Latest" xfId="11233"/>
    <cellStyle name="_Revised MOR 2004_MOR - BDWY - 1+11_Revised MOR Package - Latest_BS_Separation_TaxResIndem_Q12412 tf" xfId="11234"/>
    <cellStyle name="_Revised MOR 2004_MOR - BDWY - 1+11_Revised MOR Package - Latest_BS_Separation_TaxResIndem_Q12412 tf_Restructuring &amp; Separation" xfId="11235"/>
    <cellStyle name="_Revised MOR 2004_MOR - BDWY - 1+11_Revised MOR Package - Latest_By Country Detail 1Q10 041410pm FIN 18 revised per disc w Mary" xfId="11236"/>
    <cellStyle name="_Revised MOR 2004_MOR - BDWY - 1+11_Revised MOR Package - Latest_By Country Detail 1Q10 041410pm FIN 18 revised per disc w Mary_BS_Separation_TaxResIndem_Q12412 tf" xfId="11237"/>
    <cellStyle name="_Revised MOR 2004_MOR - BDWY - 1+11_Revised MOR Package - Latest_By Country Detail 1Q10 041410pm FIN 18 revised per disc w Mary_BS_Separation_TaxResIndem_Q12412 tf_Restructuring &amp; Separation" xfId="11238"/>
    <cellStyle name="_Revised MOR 2004_MOR - BDWY - 1+11_Revised MOR Package - Latest_By Country Detail 1Q10 041410pm FIN 18 revised per disc w Mary_II.8. Sep&amp;Discrete" xfId="11239"/>
    <cellStyle name="_Revised MOR 2004_MOR - BDWY - 1+11_Revised MOR Package - Latest_By Country Detail 1Q10 041410pm FIN 18 revised per disc w Mary_Restructuring &amp; Separation" xfId="11240"/>
    <cellStyle name="_Revised MOR 2004_MOR - BDWY - 1+11_Revised MOR Package - Latest_II.4. RawMaterials" xfId="11241"/>
    <cellStyle name="_Revised MOR 2004_MOR - BDWY - 1+11_Revised MOR Package - Latest_II.4. RawMaterials 2" xfId="11242"/>
    <cellStyle name="_Revised MOR 2004_MOR - BDWY - 1+11_Revised MOR Package - Latest_II.4. RawMaterials_BS retrieve" xfId="11243"/>
    <cellStyle name="_Revised MOR 2004_MOR - BDWY - 1+11_Revised MOR Package - Latest_II.4. RawMaterials_Free CF" xfId="11244"/>
    <cellStyle name="_Revised MOR 2004_MOR - BDWY - 1+11_Revised MOR Package - Latest_II.4. RawMaterials_P&amp;L Rec Qtr" xfId="11245"/>
    <cellStyle name="_Revised MOR 2004_MOR - BDWY - 1+11_Revised MOR Package - Latest_II.4. RawMaterials_Sheet1" xfId="11246"/>
    <cellStyle name="_Revised MOR 2004_MOR - BDWY - 1+11_Revised MOR Package - Latest_II.4. RawMaterials_Sheet2" xfId="11247"/>
    <cellStyle name="_Revised MOR 2004_MOR - BDWY - 1+11_Revised MOR Package - Latest_II.4. RawMaterials_Sheet3" xfId="11248"/>
    <cellStyle name="_Revised MOR 2004_MOR - BDWY - 1+11_Revised MOR Package - Latest_II.4. RawMaterials_Sheet4" xfId="11249"/>
    <cellStyle name="_Revised MOR 2004_MOR - BDWY - 1+11_Revised MOR Package - Latest_II.5. RawMaterials" xfId="11250"/>
    <cellStyle name="_Revised MOR 2004_MOR - BDWY - 1+11_Revised MOR Package - Latest_II.5. RawMaterials 2" xfId="11251"/>
    <cellStyle name="_Revised MOR 2004_MOR - BDWY - 1+11_Revised MOR Package - Latest_II.5. RawMaterials_BS retrieve" xfId="11252"/>
    <cellStyle name="_Revised MOR 2004_MOR - BDWY - 1+11_Revised MOR Package - Latest_II.5. RawMaterials_Free CF" xfId="11253"/>
    <cellStyle name="_Revised MOR 2004_MOR - BDWY - 1+11_Revised MOR Package - Latest_II.5. RawMaterials_P&amp;L Rec Qtr" xfId="11254"/>
    <cellStyle name="_Revised MOR 2004_MOR - BDWY - 1+11_Revised MOR Package - Latest_II.5. RawMaterials_Sheet1" xfId="11255"/>
    <cellStyle name="_Revised MOR 2004_MOR - BDWY - 1+11_Revised MOR Package - Latest_II.5. RawMaterials_Sheet2" xfId="11256"/>
    <cellStyle name="_Revised MOR 2004_MOR - BDWY - 1+11_Revised MOR Package - Latest_II.5. RawMaterials_Sheet3" xfId="11257"/>
    <cellStyle name="_Revised MOR 2004_MOR - BDWY - 1+11_Revised MOR Package - Latest_II.5. RawMaterials_Sheet4" xfId="11258"/>
    <cellStyle name="_Revised MOR 2004_MOR - BDWY - 1+11_Revised MOR Package - Latest_II.5. RM Volume Sensitivities" xfId="11259"/>
    <cellStyle name="_Revised MOR 2004_MOR - BDWY - 1+11_Revised MOR Package - Latest_II.5. RM Volume Sensitivities 2" xfId="11260"/>
    <cellStyle name="_Revised MOR 2004_MOR - BDWY - 1+11_Revised MOR Package - Latest_II.5. RM Volume Sensitivities_BS retrieve" xfId="11261"/>
    <cellStyle name="_Revised MOR 2004_MOR - BDWY - 1+11_Revised MOR Package - Latest_II.5. RM Volume Sensitivities_Free CF" xfId="11262"/>
    <cellStyle name="_Revised MOR 2004_MOR - BDWY - 1+11_Revised MOR Package - Latest_II.5. RM Volume Sensitivities_P&amp;L Rec Qtr" xfId="11263"/>
    <cellStyle name="_Revised MOR 2004_MOR - BDWY - 1+11_Revised MOR Package - Latest_II.5. RM Volume Sensitivities_Sheet1" xfId="11264"/>
    <cellStyle name="_Revised MOR 2004_MOR - BDWY - 1+11_Revised MOR Package - Latest_II.5. RM Volume Sensitivities_Sheet2" xfId="11265"/>
    <cellStyle name="_Revised MOR 2004_MOR - BDWY - 1+11_Revised MOR Package - Latest_II.5. RM Volume Sensitivities_Sheet3" xfId="11266"/>
    <cellStyle name="_Revised MOR 2004_MOR - BDWY - 1+11_Revised MOR Package - Latest_II.5. RM Volume Sensitivities_Sheet4" xfId="11267"/>
    <cellStyle name="_Revised MOR 2004_MOR - BDWY - 1+11_Revised MOR Package - Latest_II.8. Sep&amp;Discrete" xfId="11268"/>
    <cellStyle name="_Revised MOR 2004_MOR - BDWY - 1+11_Revised MOR Package - Latest_Restructuring &amp; Separation" xfId="11269"/>
    <cellStyle name="_Revised MOR 2004_MOR - BDWY - 1+11_Revised MOR Package - Latest_Restructuring_Separation_TAX_JuneFC2010 tf" xfId="11270"/>
    <cellStyle name="_Revised MOR 2004_MOR - BDWY - 1+11_Revised MOR Package - Latest_Restructuring_Separation_TAX_JuneFC2010 tf_BS_Separation_TaxResIndem_Q12412 tf" xfId="11271"/>
    <cellStyle name="_Revised MOR 2004_MOR - BDWY - 1+11_Revised MOR Package - Latest_Restructuring_Separation_TAX_JuneFC2010 tf_BS_Separation_TaxResIndem_Q12412 tf_Restructuring &amp; Separation" xfId="11272"/>
    <cellStyle name="_Revised MOR 2004_MOR - BDWY - 1+11_Revised MOR Package - Latest_Restructuring_Separation_TAX_JuneFC2010 tf_II.8. Sep&amp;Discrete" xfId="11273"/>
    <cellStyle name="_Revised MOR 2004_MOR - BDWY - 1+11_Revised MOR Package - Latest_Restructuring_Separation_TAX_JuneFC2010 tf_Restructuring &amp; Separation" xfId="11274"/>
    <cellStyle name="_Revised MOR 2004_MOR - Revised Package" xfId="11275"/>
    <cellStyle name="_Revised MOR 2004_MOR - Revised Package_~0039877" xfId="11276"/>
    <cellStyle name="_Revised MOR 2004_MOR - Revised Package_~0039877_BS_Separation_TaxResIndem_Q12412 tf" xfId="11277"/>
    <cellStyle name="_Revised MOR 2004_MOR - Revised Package_~0039877_BS_Separation_TaxResIndem_Q12412 tf_Restructuring &amp; Separation" xfId="11278"/>
    <cellStyle name="_Revised MOR 2004_MOR - Revised Package_~0039877_By Country Detail 1Q10 041410pm FIN 18 revised per disc w Mary" xfId="11279"/>
    <cellStyle name="_Revised MOR 2004_MOR - Revised Package_~0039877_By Country Detail 1Q10 041410pm FIN 18 revised per disc w Mary_BS_Separation_TaxResIndem_Q12412 tf" xfId="11280"/>
    <cellStyle name="_Revised MOR 2004_MOR - Revised Package_~0039877_By Country Detail 1Q10 041410pm FIN 18 revised per disc w Mary_BS_Separation_TaxResIndem_Q12412 tf_Restructuring &amp; Separation" xfId="11281"/>
    <cellStyle name="_Revised MOR 2004_MOR - Revised Package_~0039877_By Country Detail 1Q10 041410pm FIN 18 revised per disc w Mary_II.8. Sep&amp;Discrete" xfId="11282"/>
    <cellStyle name="_Revised MOR 2004_MOR - Revised Package_~0039877_By Country Detail 1Q10 041410pm FIN 18 revised per disc w Mary_Restructuring &amp; Separation" xfId="11283"/>
    <cellStyle name="_Revised MOR 2004_MOR - Revised Package_~0039877_II.4. RawMaterials" xfId="11284"/>
    <cellStyle name="_Revised MOR 2004_MOR - Revised Package_~0039877_II.4. RawMaterials 2" xfId="11285"/>
    <cellStyle name="_Revised MOR 2004_MOR - Revised Package_~0039877_II.4. RawMaterials_BS retrieve" xfId="11286"/>
    <cellStyle name="_Revised MOR 2004_MOR - Revised Package_~0039877_II.4. RawMaterials_Free CF" xfId="11287"/>
    <cellStyle name="_Revised MOR 2004_MOR - Revised Package_~0039877_II.4. RawMaterials_P&amp;L Rec Qtr" xfId="11288"/>
    <cellStyle name="_Revised MOR 2004_MOR - Revised Package_~0039877_II.4. RawMaterials_Sheet1" xfId="11289"/>
    <cellStyle name="_Revised MOR 2004_MOR - Revised Package_~0039877_II.4. RawMaterials_Sheet2" xfId="11290"/>
    <cellStyle name="_Revised MOR 2004_MOR - Revised Package_~0039877_II.4. RawMaterials_Sheet3" xfId="11291"/>
    <cellStyle name="_Revised MOR 2004_MOR - Revised Package_~0039877_II.4. RawMaterials_Sheet4" xfId="11292"/>
    <cellStyle name="_Revised MOR 2004_MOR - Revised Package_~0039877_II.5. RawMaterials" xfId="11293"/>
    <cellStyle name="_Revised MOR 2004_MOR - Revised Package_~0039877_II.5. RawMaterials 2" xfId="11294"/>
    <cellStyle name="_Revised MOR 2004_MOR - Revised Package_~0039877_II.5. RawMaterials_BS retrieve" xfId="11295"/>
    <cellStyle name="_Revised MOR 2004_MOR - Revised Package_~0039877_II.5. RawMaterials_Free CF" xfId="11296"/>
    <cellStyle name="_Revised MOR 2004_MOR - Revised Package_~0039877_II.5. RawMaterials_P&amp;L Rec Qtr" xfId="11297"/>
    <cellStyle name="_Revised MOR 2004_MOR - Revised Package_~0039877_II.5. RawMaterials_Sheet1" xfId="11298"/>
    <cellStyle name="_Revised MOR 2004_MOR - Revised Package_~0039877_II.5. RawMaterials_Sheet2" xfId="11299"/>
    <cellStyle name="_Revised MOR 2004_MOR - Revised Package_~0039877_II.5. RawMaterials_Sheet3" xfId="11300"/>
    <cellStyle name="_Revised MOR 2004_MOR - Revised Package_~0039877_II.5. RawMaterials_Sheet4" xfId="11301"/>
    <cellStyle name="_Revised MOR 2004_MOR - Revised Package_~0039877_II.5. RM Volume Sensitivities" xfId="11302"/>
    <cellStyle name="_Revised MOR 2004_MOR - Revised Package_~0039877_II.5. RM Volume Sensitivities 2" xfId="11303"/>
    <cellStyle name="_Revised MOR 2004_MOR - Revised Package_~0039877_II.5. RM Volume Sensitivities_BS retrieve" xfId="11304"/>
    <cellStyle name="_Revised MOR 2004_MOR - Revised Package_~0039877_II.5. RM Volume Sensitivities_Free CF" xfId="11305"/>
    <cellStyle name="_Revised MOR 2004_MOR - Revised Package_~0039877_II.5. RM Volume Sensitivities_P&amp;L Rec Qtr" xfId="11306"/>
    <cellStyle name="_Revised MOR 2004_MOR - Revised Package_~0039877_II.5. RM Volume Sensitivities_Sheet1" xfId="11307"/>
    <cellStyle name="_Revised MOR 2004_MOR - Revised Package_~0039877_II.5. RM Volume Sensitivities_Sheet2" xfId="11308"/>
    <cellStyle name="_Revised MOR 2004_MOR - Revised Package_~0039877_II.5. RM Volume Sensitivities_Sheet3" xfId="11309"/>
    <cellStyle name="_Revised MOR 2004_MOR - Revised Package_~0039877_II.5. RM Volume Sensitivities_Sheet4" xfId="11310"/>
    <cellStyle name="_Revised MOR 2004_MOR - Revised Package_~0039877_II.8. Sep&amp;Discrete" xfId="11311"/>
    <cellStyle name="_Revised MOR 2004_MOR - Revised Package_~0039877_Restructuring &amp; Separation" xfId="11312"/>
    <cellStyle name="_Revised MOR 2004_MOR - Revised Package_~0039877_Restructuring_Separation_TAX_JuneFC2010 tf" xfId="11313"/>
    <cellStyle name="_Revised MOR 2004_MOR - Revised Package_~0039877_Restructuring_Separation_TAX_JuneFC2010 tf_BS_Separation_TaxResIndem_Q12412 tf" xfId="11314"/>
    <cellStyle name="_Revised MOR 2004_MOR - Revised Package_~0039877_Restructuring_Separation_TAX_JuneFC2010 tf_BS_Separation_TaxResIndem_Q12412 tf_Restructuring &amp; Separation" xfId="11315"/>
    <cellStyle name="_Revised MOR 2004_MOR - Revised Package_~0039877_Restructuring_Separation_TAX_JuneFC2010 tf_II.8. Sep&amp;Discrete" xfId="11316"/>
    <cellStyle name="_Revised MOR 2004_MOR - Revised Package_~0039877_Restructuring_Separation_TAX_JuneFC2010 tf_Restructuring &amp; Separation" xfId="11317"/>
    <cellStyle name="_Revised MOR 2004_MOR - Revised Package_BS_Separation_TaxResIndem_Q12412 tf" xfId="11318"/>
    <cellStyle name="_Revised MOR 2004_MOR - Revised Package_BS_Separation_TaxResIndem_Q12412 tf_Restructuring &amp; Separation" xfId="11319"/>
    <cellStyle name="_Revised MOR 2004_MOR - Revised Package_By Country Detail 1Q10 041410pm FIN 18 revised per disc w Mary" xfId="11320"/>
    <cellStyle name="_Revised MOR 2004_MOR - Revised Package_By Country Detail 1Q10 041410pm FIN 18 revised per disc w Mary_BS_Separation_TaxResIndem_Q12412 tf" xfId="11321"/>
    <cellStyle name="_Revised MOR 2004_MOR - Revised Package_By Country Detail 1Q10 041410pm FIN 18 revised per disc w Mary_BS_Separation_TaxResIndem_Q12412 tf_Restructuring &amp; Separation" xfId="11322"/>
    <cellStyle name="_Revised MOR 2004_MOR - Revised Package_By Country Detail 1Q10 041410pm FIN 18 revised per disc w Mary_II.8. Sep&amp;Discrete" xfId="11323"/>
    <cellStyle name="_Revised MOR 2004_MOR - Revised Package_By Country Detail 1Q10 041410pm FIN 18 revised per disc w Mary_Restructuring &amp; Separation" xfId="11324"/>
    <cellStyle name="_Revised MOR 2004_MOR - Revised Package_II.4. RawMaterials" xfId="11325"/>
    <cellStyle name="_Revised MOR 2004_MOR - Revised Package_II.4. RawMaterials 2" xfId="11326"/>
    <cellStyle name="_Revised MOR 2004_MOR - Revised Package_II.4. RawMaterials_BS retrieve" xfId="11327"/>
    <cellStyle name="_Revised MOR 2004_MOR - Revised Package_II.4. RawMaterials_Free CF" xfId="11328"/>
    <cellStyle name="_Revised MOR 2004_MOR - Revised Package_II.4. RawMaterials_P&amp;L Rec Qtr" xfId="11329"/>
    <cellStyle name="_Revised MOR 2004_MOR - Revised Package_II.4. RawMaterials_Sheet1" xfId="11330"/>
    <cellStyle name="_Revised MOR 2004_MOR - Revised Package_II.4. RawMaterials_Sheet2" xfId="11331"/>
    <cellStyle name="_Revised MOR 2004_MOR - Revised Package_II.4. RawMaterials_Sheet3" xfId="11332"/>
    <cellStyle name="_Revised MOR 2004_MOR - Revised Package_II.4. RawMaterials_Sheet4" xfId="11333"/>
    <cellStyle name="_Revised MOR 2004_MOR - Revised Package_II.5. RawMaterials" xfId="11334"/>
    <cellStyle name="_Revised MOR 2004_MOR - Revised Package_II.5. RawMaterials 2" xfId="11335"/>
    <cellStyle name="_Revised MOR 2004_MOR - Revised Package_II.5. RawMaterials_BS retrieve" xfId="11336"/>
    <cellStyle name="_Revised MOR 2004_MOR - Revised Package_II.5. RawMaterials_Free CF" xfId="11337"/>
    <cellStyle name="_Revised MOR 2004_MOR - Revised Package_II.5. RawMaterials_P&amp;L Rec Qtr" xfId="11338"/>
    <cellStyle name="_Revised MOR 2004_MOR - Revised Package_II.5. RawMaterials_Sheet1" xfId="11339"/>
    <cellStyle name="_Revised MOR 2004_MOR - Revised Package_II.5. RawMaterials_Sheet2" xfId="11340"/>
    <cellStyle name="_Revised MOR 2004_MOR - Revised Package_II.5. RawMaterials_Sheet3" xfId="11341"/>
    <cellStyle name="_Revised MOR 2004_MOR - Revised Package_II.5. RawMaterials_Sheet4" xfId="11342"/>
    <cellStyle name="_Revised MOR 2004_MOR - Revised Package_II.5. RM Volume Sensitivities" xfId="11343"/>
    <cellStyle name="_Revised MOR 2004_MOR - Revised Package_II.5. RM Volume Sensitivities 2" xfId="11344"/>
    <cellStyle name="_Revised MOR 2004_MOR - Revised Package_II.5. RM Volume Sensitivities_BS retrieve" xfId="11345"/>
    <cellStyle name="_Revised MOR 2004_MOR - Revised Package_II.5. RM Volume Sensitivities_Free CF" xfId="11346"/>
    <cellStyle name="_Revised MOR 2004_MOR - Revised Package_II.5. RM Volume Sensitivities_P&amp;L Rec Qtr" xfId="11347"/>
    <cellStyle name="_Revised MOR 2004_MOR - Revised Package_II.5. RM Volume Sensitivities_Sheet1" xfId="11348"/>
    <cellStyle name="_Revised MOR 2004_MOR - Revised Package_II.5. RM Volume Sensitivities_Sheet2" xfId="11349"/>
    <cellStyle name="_Revised MOR 2004_MOR - Revised Package_II.5. RM Volume Sensitivities_Sheet3" xfId="11350"/>
    <cellStyle name="_Revised MOR 2004_MOR - Revised Package_II.5. RM Volume Sensitivities_Sheet4" xfId="11351"/>
    <cellStyle name="_Revised MOR 2004_MOR - Revised Package_II.8. Sep&amp;Discrete" xfId="11352"/>
    <cellStyle name="_Revised MOR 2004_MOR - Revised Package_Restructuring &amp; Separation" xfId="11353"/>
    <cellStyle name="_Revised MOR 2004_MOR - Revised Package_Restructuring_Separation_TAX_JuneFC2010 tf" xfId="11354"/>
    <cellStyle name="_Revised MOR 2004_MOR - Revised Package_Restructuring_Separation_TAX_JuneFC2010 tf_BS_Separation_TaxResIndem_Q12412 tf" xfId="11355"/>
    <cellStyle name="_Revised MOR 2004_MOR - Revised Package_Restructuring_Separation_TAX_JuneFC2010 tf_BS_Separation_TaxResIndem_Q12412 tf_Restructuring &amp; Separation" xfId="11356"/>
    <cellStyle name="_Revised MOR 2004_MOR - Revised Package_Restructuring_Separation_TAX_JuneFC2010 tf_II.8. Sep&amp;Discrete" xfId="11357"/>
    <cellStyle name="_Revised MOR 2004_MOR - Revised Package_Restructuring_Separation_TAX_JuneFC2010 tf_Restructuring &amp; Separation" xfId="11358"/>
    <cellStyle name="_Revised MOR 2004_MOR - Revised Package_Revised MOR Package - Latest" xfId="11359"/>
    <cellStyle name="_Revised MOR 2004_MOR - Revised Package_Revised MOR Package - Latest_BS_Separation_TaxResIndem_Q12412 tf" xfId="11360"/>
    <cellStyle name="_Revised MOR 2004_MOR - Revised Package_Revised MOR Package - Latest_BS_Separation_TaxResIndem_Q12412 tf_Restructuring &amp; Separation" xfId="11361"/>
    <cellStyle name="_Revised MOR 2004_MOR - Revised Package_Revised MOR Package - Latest_By Country Detail 1Q10 041410pm FIN 18 revised per disc w Mary" xfId="11362"/>
    <cellStyle name="_Revised MOR 2004_MOR - Revised Package_Revised MOR Package - Latest_By Country Detail 1Q10 041410pm FIN 18 revised per disc w Mary_BS_Separation_TaxResIndem_Q12412 tf" xfId="11363"/>
    <cellStyle name="_Revised MOR 2004_MOR - Revised Package_Revised MOR Package - Latest_By Country Detail 1Q10 041410pm FIN 18 revised per disc w Mary_BS_Separation_TaxResIndem_Q12412 tf_Restructuring &amp; Separation" xfId="11364"/>
    <cellStyle name="_Revised MOR 2004_MOR - Revised Package_Revised MOR Package - Latest_By Country Detail 1Q10 041410pm FIN 18 revised per disc w Mary_II.8. Sep&amp;Discrete" xfId="11365"/>
    <cellStyle name="_Revised MOR 2004_MOR - Revised Package_Revised MOR Package - Latest_By Country Detail 1Q10 041410pm FIN 18 revised per disc w Mary_Restructuring &amp; Separation" xfId="11366"/>
    <cellStyle name="_Revised MOR 2004_MOR - Revised Package_Revised MOR Package - Latest_II.4. RawMaterials" xfId="11367"/>
    <cellStyle name="_Revised MOR 2004_MOR - Revised Package_Revised MOR Package - Latest_II.4. RawMaterials 2" xfId="11368"/>
    <cellStyle name="_Revised MOR 2004_MOR - Revised Package_Revised MOR Package - Latest_II.4. RawMaterials_BS retrieve" xfId="11369"/>
    <cellStyle name="_Revised MOR 2004_MOR - Revised Package_Revised MOR Package - Latest_II.4. RawMaterials_Free CF" xfId="11370"/>
    <cellStyle name="_Revised MOR 2004_MOR - Revised Package_Revised MOR Package - Latest_II.4. RawMaterials_P&amp;L Rec Qtr" xfId="11371"/>
    <cellStyle name="_Revised MOR 2004_MOR - Revised Package_Revised MOR Package - Latest_II.4. RawMaterials_Sheet1" xfId="11372"/>
    <cellStyle name="_Revised MOR 2004_MOR - Revised Package_Revised MOR Package - Latest_II.4. RawMaterials_Sheet2" xfId="11373"/>
    <cellStyle name="_Revised MOR 2004_MOR - Revised Package_Revised MOR Package - Latest_II.4. RawMaterials_Sheet3" xfId="11374"/>
    <cellStyle name="_Revised MOR 2004_MOR - Revised Package_Revised MOR Package - Latest_II.4. RawMaterials_Sheet4" xfId="11375"/>
    <cellStyle name="_Revised MOR 2004_MOR - Revised Package_Revised MOR Package - Latest_II.5. RawMaterials" xfId="11376"/>
    <cellStyle name="_Revised MOR 2004_MOR - Revised Package_Revised MOR Package - Latest_II.5. RawMaterials 2" xfId="11377"/>
    <cellStyle name="_Revised MOR 2004_MOR - Revised Package_Revised MOR Package - Latest_II.5. RawMaterials_BS retrieve" xfId="11378"/>
    <cellStyle name="_Revised MOR 2004_MOR - Revised Package_Revised MOR Package - Latest_II.5. RawMaterials_Free CF" xfId="11379"/>
    <cellStyle name="_Revised MOR 2004_MOR - Revised Package_Revised MOR Package - Latest_II.5. RawMaterials_P&amp;L Rec Qtr" xfId="11380"/>
    <cellStyle name="_Revised MOR 2004_MOR - Revised Package_Revised MOR Package - Latest_II.5. RawMaterials_Sheet1" xfId="11381"/>
    <cellStyle name="_Revised MOR 2004_MOR - Revised Package_Revised MOR Package - Latest_II.5. RawMaterials_Sheet2" xfId="11382"/>
    <cellStyle name="_Revised MOR 2004_MOR - Revised Package_Revised MOR Package - Latest_II.5. RawMaterials_Sheet3" xfId="11383"/>
    <cellStyle name="_Revised MOR 2004_MOR - Revised Package_Revised MOR Package - Latest_II.5. RawMaterials_Sheet4" xfId="11384"/>
    <cellStyle name="_Revised MOR 2004_MOR - Revised Package_Revised MOR Package - Latest_II.5. RM Volume Sensitivities" xfId="11385"/>
    <cellStyle name="_Revised MOR 2004_MOR - Revised Package_Revised MOR Package - Latest_II.5. RM Volume Sensitivities 2" xfId="11386"/>
    <cellStyle name="_Revised MOR 2004_MOR - Revised Package_Revised MOR Package - Latest_II.5. RM Volume Sensitivities_BS retrieve" xfId="11387"/>
    <cellStyle name="_Revised MOR 2004_MOR - Revised Package_Revised MOR Package - Latest_II.5. RM Volume Sensitivities_Free CF" xfId="11388"/>
    <cellStyle name="_Revised MOR 2004_MOR - Revised Package_Revised MOR Package - Latest_II.5. RM Volume Sensitivities_P&amp;L Rec Qtr" xfId="11389"/>
    <cellStyle name="_Revised MOR 2004_MOR - Revised Package_Revised MOR Package - Latest_II.5. RM Volume Sensitivities_Sheet1" xfId="11390"/>
    <cellStyle name="_Revised MOR 2004_MOR - Revised Package_Revised MOR Package - Latest_II.5. RM Volume Sensitivities_Sheet2" xfId="11391"/>
    <cellStyle name="_Revised MOR 2004_MOR - Revised Package_Revised MOR Package - Latest_II.5. RM Volume Sensitivities_Sheet3" xfId="11392"/>
    <cellStyle name="_Revised MOR 2004_MOR - Revised Package_Revised MOR Package - Latest_II.5. RM Volume Sensitivities_Sheet4" xfId="11393"/>
    <cellStyle name="_Revised MOR 2004_MOR - Revised Package_Revised MOR Package - Latest_II.8. Sep&amp;Discrete" xfId="11394"/>
    <cellStyle name="_Revised MOR 2004_MOR - Revised Package_Revised MOR Package - Latest_Restructuring &amp; Separation" xfId="11395"/>
    <cellStyle name="_Revised MOR 2004_MOR - Revised Package_Revised MOR Package - Latest_Restructuring_Separation_TAX_JuneFC2010 tf" xfId="11396"/>
    <cellStyle name="_Revised MOR 2004_MOR - Revised Package_Revised MOR Package - Latest_Restructuring_Separation_TAX_JuneFC2010 tf_BS_Separation_TaxResIndem_Q12412 tf" xfId="11397"/>
    <cellStyle name="_Revised MOR 2004_MOR - Revised Package_Revised MOR Package - Latest_Restructuring_Separation_TAX_JuneFC2010 tf_BS_Separation_TaxResIndem_Q12412 tf_Restructuring &amp; Separation" xfId="11398"/>
    <cellStyle name="_Revised MOR 2004_MOR - Revised Package_Revised MOR Package - Latest_Restructuring_Separation_TAX_JuneFC2010 tf_II.8. Sep&amp;Discrete" xfId="11399"/>
    <cellStyle name="_Revised MOR 2004_MOR - Revised Package_Revised MOR Package - Latest_Restructuring_Separation_TAX_JuneFC2010 tf_Restructuring &amp; Separation" xfId="11400"/>
    <cellStyle name="_Revised MOR 2004_Restructuring &amp; Separation" xfId="11401"/>
    <cellStyle name="_Revised MOR 2004_Restructuring_Separation_TAX_JuneFC2010 tf" xfId="11402"/>
    <cellStyle name="_Revised MOR 2004_Restructuring_Separation_TAX_JuneFC2010 tf_BS_Separation_TaxResIndem_Q12412 tf" xfId="11403"/>
    <cellStyle name="_Revised MOR 2004_Restructuring_Separation_TAX_JuneFC2010 tf_BS_Separation_TaxResIndem_Q12412 tf_Restructuring &amp; Separation" xfId="11404"/>
    <cellStyle name="_Revised MOR 2004_Restructuring_Separation_TAX_JuneFC2010 tf_II.8. Sep&amp;Discrete" xfId="11405"/>
    <cellStyle name="_Revised MOR 2004_Restructuring_Separation_TAX_JuneFC2010 tf_Restructuring &amp; Separation" xfId="11406"/>
    <cellStyle name="_Revised MOR 2004_Revised MOR Package" xfId="11407"/>
    <cellStyle name="_Revised MOR 2004_Revised MOR Package_~0039877" xfId="11408"/>
    <cellStyle name="_Revised MOR 2004_Revised MOR Package_~0039877_BS_Separation_TaxResIndem_Q12412 tf" xfId="11409"/>
    <cellStyle name="_Revised MOR 2004_Revised MOR Package_~0039877_BS_Separation_TaxResIndem_Q12412 tf_Restructuring &amp; Separation" xfId="11410"/>
    <cellStyle name="_Revised MOR 2004_Revised MOR Package_~0039877_By Country Detail 1Q10 041410pm FIN 18 revised per disc w Mary" xfId="11411"/>
    <cellStyle name="_Revised MOR 2004_Revised MOR Package_~0039877_By Country Detail 1Q10 041410pm FIN 18 revised per disc w Mary_BS_Separation_TaxResIndem_Q12412 tf" xfId="11412"/>
    <cellStyle name="_Revised MOR 2004_Revised MOR Package_~0039877_By Country Detail 1Q10 041410pm FIN 18 revised per disc w Mary_BS_Separation_TaxResIndem_Q12412 tf_Restructuring &amp; Separation" xfId="11413"/>
    <cellStyle name="_Revised MOR 2004_Revised MOR Package_~0039877_By Country Detail 1Q10 041410pm FIN 18 revised per disc w Mary_II.8. Sep&amp;Discrete" xfId="11414"/>
    <cellStyle name="_Revised MOR 2004_Revised MOR Package_~0039877_By Country Detail 1Q10 041410pm FIN 18 revised per disc w Mary_Restructuring &amp; Separation" xfId="11415"/>
    <cellStyle name="_Revised MOR 2004_Revised MOR Package_~0039877_II.4. RawMaterials" xfId="11416"/>
    <cellStyle name="_Revised MOR 2004_Revised MOR Package_~0039877_II.4. RawMaterials 2" xfId="11417"/>
    <cellStyle name="_Revised MOR 2004_Revised MOR Package_~0039877_II.4. RawMaterials_BS retrieve" xfId="11418"/>
    <cellStyle name="_Revised MOR 2004_Revised MOR Package_~0039877_II.4. RawMaterials_Free CF" xfId="11419"/>
    <cellStyle name="_Revised MOR 2004_Revised MOR Package_~0039877_II.4. RawMaterials_P&amp;L Rec Qtr" xfId="11420"/>
    <cellStyle name="_Revised MOR 2004_Revised MOR Package_~0039877_II.4. RawMaterials_Sheet1" xfId="11421"/>
    <cellStyle name="_Revised MOR 2004_Revised MOR Package_~0039877_II.4. RawMaterials_Sheet2" xfId="11422"/>
    <cellStyle name="_Revised MOR 2004_Revised MOR Package_~0039877_II.4. RawMaterials_Sheet3" xfId="11423"/>
    <cellStyle name="_Revised MOR 2004_Revised MOR Package_~0039877_II.4. RawMaterials_Sheet4" xfId="11424"/>
    <cellStyle name="_Revised MOR 2004_Revised MOR Package_~0039877_II.5. RawMaterials" xfId="11425"/>
    <cellStyle name="_Revised MOR 2004_Revised MOR Package_~0039877_II.5. RawMaterials 2" xfId="11426"/>
    <cellStyle name="_Revised MOR 2004_Revised MOR Package_~0039877_II.5. RawMaterials_BS retrieve" xfId="11427"/>
    <cellStyle name="_Revised MOR 2004_Revised MOR Package_~0039877_II.5. RawMaterials_Free CF" xfId="11428"/>
    <cellStyle name="_Revised MOR 2004_Revised MOR Package_~0039877_II.5. RawMaterials_P&amp;L Rec Qtr" xfId="11429"/>
    <cellStyle name="_Revised MOR 2004_Revised MOR Package_~0039877_II.5. RawMaterials_Sheet1" xfId="11430"/>
    <cellStyle name="_Revised MOR 2004_Revised MOR Package_~0039877_II.5. RawMaterials_Sheet2" xfId="11431"/>
    <cellStyle name="_Revised MOR 2004_Revised MOR Package_~0039877_II.5. RawMaterials_Sheet3" xfId="11432"/>
    <cellStyle name="_Revised MOR 2004_Revised MOR Package_~0039877_II.5. RawMaterials_Sheet4" xfId="11433"/>
    <cellStyle name="_Revised MOR 2004_Revised MOR Package_~0039877_II.5. RM Volume Sensitivities" xfId="11434"/>
    <cellStyle name="_Revised MOR 2004_Revised MOR Package_~0039877_II.5. RM Volume Sensitivities 2" xfId="11435"/>
    <cellStyle name="_Revised MOR 2004_Revised MOR Package_~0039877_II.5. RM Volume Sensitivities_BS retrieve" xfId="11436"/>
    <cellStyle name="_Revised MOR 2004_Revised MOR Package_~0039877_II.5. RM Volume Sensitivities_Free CF" xfId="11437"/>
    <cellStyle name="_Revised MOR 2004_Revised MOR Package_~0039877_II.5. RM Volume Sensitivities_P&amp;L Rec Qtr" xfId="11438"/>
    <cellStyle name="_Revised MOR 2004_Revised MOR Package_~0039877_II.5. RM Volume Sensitivities_Sheet1" xfId="11439"/>
    <cellStyle name="_Revised MOR 2004_Revised MOR Package_~0039877_II.5. RM Volume Sensitivities_Sheet2" xfId="11440"/>
    <cellStyle name="_Revised MOR 2004_Revised MOR Package_~0039877_II.5. RM Volume Sensitivities_Sheet3" xfId="11441"/>
    <cellStyle name="_Revised MOR 2004_Revised MOR Package_~0039877_II.5. RM Volume Sensitivities_Sheet4" xfId="11442"/>
    <cellStyle name="_Revised MOR 2004_Revised MOR Package_~0039877_II.8. Sep&amp;Discrete" xfId="11443"/>
    <cellStyle name="_Revised MOR 2004_Revised MOR Package_~0039877_Restructuring &amp; Separation" xfId="11444"/>
    <cellStyle name="_Revised MOR 2004_Revised MOR Package_~0039877_Restructuring_Separation_TAX_JuneFC2010 tf" xfId="11445"/>
    <cellStyle name="_Revised MOR 2004_Revised MOR Package_~0039877_Restructuring_Separation_TAX_JuneFC2010 tf_BS_Separation_TaxResIndem_Q12412 tf" xfId="11446"/>
    <cellStyle name="_Revised MOR 2004_Revised MOR Package_~0039877_Restructuring_Separation_TAX_JuneFC2010 tf_BS_Separation_TaxResIndem_Q12412 tf_Restructuring &amp; Separation" xfId="11447"/>
    <cellStyle name="_Revised MOR 2004_Revised MOR Package_~0039877_Restructuring_Separation_TAX_JuneFC2010 tf_II.8. Sep&amp;Discrete" xfId="11448"/>
    <cellStyle name="_Revised MOR 2004_Revised MOR Package_~0039877_Restructuring_Separation_TAX_JuneFC2010 tf_Restructuring &amp; Separation" xfId="11449"/>
    <cellStyle name="_Revised MOR 2004_Revised MOR Package_BS_Separation_TaxResIndem_Q12412 tf" xfId="11450"/>
    <cellStyle name="_Revised MOR 2004_Revised MOR Package_BS_Separation_TaxResIndem_Q12412 tf_Restructuring &amp; Separation" xfId="11451"/>
    <cellStyle name="_Revised MOR 2004_Revised MOR Package_By Country Detail 1Q10 041410pm FIN 18 revised per disc w Mary" xfId="11452"/>
    <cellStyle name="_Revised MOR 2004_Revised MOR Package_By Country Detail 1Q10 041410pm FIN 18 revised per disc w Mary_BS_Separation_TaxResIndem_Q12412 tf" xfId="11453"/>
    <cellStyle name="_Revised MOR 2004_Revised MOR Package_By Country Detail 1Q10 041410pm FIN 18 revised per disc w Mary_BS_Separation_TaxResIndem_Q12412 tf_Restructuring &amp; Separation" xfId="11454"/>
    <cellStyle name="_Revised MOR 2004_Revised MOR Package_By Country Detail 1Q10 041410pm FIN 18 revised per disc w Mary_II.8. Sep&amp;Discrete" xfId="11455"/>
    <cellStyle name="_Revised MOR 2004_Revised MOR Package_By Country Detail 1Q10 041410pm FIN 18 revised per disc w Mary_Restructuring &amp; Separation" xfId="11456"/>
    <cellStyle name="_Revised MOR 2004_Revised MOR Package_II.4. RawMaterials" xfId="11457"/>
    <cellStyle name="_Revised MOR 2004_Revised MOR Package_II.4. RawMaterials 2" xfId="11458"/>
    <cellStyle name="_Revised MOR 2004_Revised MOR Package_II.4. RawMaterials_BS retrieve" xfId="11459"/>
    <cellStyle name="_Revised MOR 2004_Revised MOR Package_II.4. RawMaterials_Free CF" xfId="11460"/>
    <cellStyle name="_Revised MOR 2004_Revised MOR Package_II.4. RawMaterials_P&amp;L Rec Qtr" xfId="11461"/>
    <cellStyle name="_Revised MOR 2004_Revised MOR Package_II.4. RawMaterials_Sheet1" xfId="11462"/>
    <cellStyle name="_Revised MOR 2004_Revised MOR Package_II.4. RawMaterials_Sheet2" xfId="11463"/>
    <cellStyle name="_Revised MOR 2004_Revised MOR Package_II.4. RawMaterials_Sheet3" xfId="11464"/>
    <cellStyle name="_Revised MOR 2004_Revised MOR Package_II.4. RawMaterials_Sheet4" xfId="11465"/>
    <cellStyle name="_Revised MOR 2004_Revised MOR Package_II.5. RawMaterials" xfId="11466"/>
    <cellStyle name="_Revised MOR 2004_Revised MOR Package_II.5. RawMaterials 2" xfId="11467"/>
    <cellStyle name="_Revised MOR 2004_Revised MOR Package_II.5. RawMaterials_BS retrieve" xfId="11468"/>
    <cellStyle name="_Revised MOR 2004_Revised MOR Package_II.5. RawMaterials_Free CF" xfId="11469"/>
    <cellStyle name="_Revised MOR 2004_Revised MOR Package_II.5. RawMaterials_P&amp;L Rec Qtr" xfId="11470"/>
    <cellStyle name="_Revised MOR 2004_Revised MOR Package_II.5. RawMaterials_Sheet1" xfId="11471"/>
    <cellStyle name="_Revised MOR 2004_Revised MOR Package_II.5. RawMaterials_Sheet2" xfId="11472"/>
    <cellStyle name="_Revised MOR 2004_Revised MOR Package_II.5. RawMaterials_Sheet3" xfId="11473"/>
    <cellStyle name="_Revised MOR 2004_Revised MOR Package_II.5. RawMaterials_Sheet4" xfId="11474"/>
    <cellStyle name="_Revised MOR 2004_Revised MOR Package_II.5. RM Volume Sensitivities" xfId="11475"/>
    <cellStyle name="_Revised MOR 2004_Revised MOR Package_II.5. RM Volume Sensitivities 2" xfId="11476"/>
    <cellStyle name="_Revised MOR 2004_Revised MOR Package_II.5. RM Volume Sensitivities_BS retrieve" xfId="11477"/>
    <cellStyle name="_Revised MOR 2004_Revised MOR Package_II.5. RM Volume Sensitivities_Free CF" xfId="11478"/>
    <cellStyle name="_Revised MOR 2004_Revised MOR Package_II.5. RM Volume Sensitivities_P&amp;L Rec Qtr" xfId="11479"/>
    <cellStyle name="_Revised MOR 2004_Revised MOR Package_II.5. RM Volume Sensitivities_Sheet1" xfId="11480"/>
    <cellStyle name="_Revised MOR 2004_Revised MOR Package_II.5. RM Volume Sensitivities_Sheet2" xfId="11481"/>
    <cellStyle name="_Revised MOR 2004_Revised MOR Package_II.5. RM Volume Sensitivities_Sheet3" xfId="11482"/>
    <cellStyle name="_Revised MOR 2004_Revised MOR Package_II.5. RM Volume Sensitivities_Sheet4" xfId="11483"/>
    <cellStyle name="_Revised MOR 2004_Revised MOR Package_II.8. Sep&amp;Discrete" xfId="11484"/>
    <cellStyle name="_Revised MOR 2004_Revised MOR Package_Restructuring &amp; Separation" xfId="11485"/>
    <cellStyle name="_Revised MOR 2004_Revised MOR Package_Restructuring_Separation_TAX_JuneFC2010 tf" xfId="11486"/>
    <cellStyle name="_Revised MOR 2004_Revised MOR Package_Restructuring_Separation_TAX_JuneFC2010 tf_BS_Separation_TaxResIndem_Q12412 tf" xfId="11487"/>
    <cellStyle name="_Revised MOR 2004_Revised MOR Package_Restructuring_Separation_TAX_JuneFC2010 tf_BS_Separation_TaxResIndem_Q12412 tf_Restructuring &amp; Separation" xfId="11488"/>
    <cellStyle name="_Revised MOR 2004_Revised MOR Package_Restructuring_Separation_TAX_JuneFC2010 tf_II.8. Sep&amp;Discrete" xfId="11489"/>
    <cellStyle name="_Revised MOR 2004_Revised MOR Package_Restructuring_Separation_TAX_JuneFC2010 tf_Restructuring &amp; Separation" xfId="11490"/>
    <cellStyle name="_Revised MOR 2004_Revised MOR Package_Revised MOR Package - Latest" xfId="11491"/>
    <cellStyle name="_Revised MOR 2004_Revised MOR Package_Revised MOR Package - Latest_BS_Separation_TaxResIndem_Q12412 tf" xfId="11492"/>
    <cellStyle name="_Revised MOR 2004_Revised MOR Package_Revised MOR Package - Latest_BS_Separation_TaxResIndem_Q12412 tf_Restructuring &amp; Separation" xfId="11493"/>
    <cellStyle name="_Revised MOR 2004_Revised MOR Package_Revised MOR Package - Latest_By Country Detail 1Q10 041410pm FIN 18 revised per disc w Mary" xfId="11494"/>
    <cellStyle name="_Revised MOR 2004_Revised MOR Package_Revised MOR Package - Latest_By Country Detail 1Q10 041410pm FIN 18 revised per disc w Mary_BS_Separation_TaxResIndem_Q12412 tf" xfId="11495"/>
    <cellStyle name="_Revised MOR 2004_Revised MOR Package_Revised MOR Package - Latest_By Country Detail 1Q10 041410pm FIN 18 revised per disc w Mary_BS_Separation_TaxResIndem_Q12412 tf_Restructuring &amp; Separation" xfId="11496"/>
    <cellStyle name="_Revised MOR 2004_Revised MOR Package_Revised MOR Package - Latest_By Country Detail 1Q10 041410pm FIN 18 revised per disc w Mary_II.8. Sep&amp;Discrete" xfId="11497"/>
    <cellStyle name="_Revised MOR 2004_Revised MOR Package_Revised MOR Package - Latest_By Country Detail 1Q10 041410pm FIN 18 revised per disc w Mary_Restructuring &amp; Separation" xfId="11498"/>
    <cellStyle name="_Revised MOR 2004_Revised MOR Package_Revised MOR Package - Latest_II.4. RawMaterials" xfId="11499"/>
    <cellStyle name="_Revised MOR 2004_Revised MOR Package_Revised MOR Package - Latest_II.4. RawMaterials 2" xfId="11500"/>
    <cellStyle name="_Revised MOR 2004_Revised MOR Package_Revised MOR Package - Latest_II.4. RawMaterials_BS retrieve" xfId="11501"/>
    <cellStyle name="_Revised MOR 2004_Revised MOR Package_Revised MOR Package - Latest_II.4. RawMaterials_Free CF" xfId="11502"/>
    <cellStyle name="_Revised MOR 2004_Revised MOR Package_Revised MOR Package - Latest_II.4. RawMaterials_P&amp;L Rec Qtr" xfId="11503"/>
    <cellStyle name="_Revised MOR 2004_Revised MOR Package_Revised MOR Package - Latest_II.4. RawMaterials_Sheet1" xfId="11504"/>
    <cellStyle name="_Revised MOR 2004_Revised MOR Package_Revised MOR Package - Latest_II.4. RawMaterials_Sheet2" xfId="11505"/>
    <cellStyle name="_Revised MOR 2004_Revised MOR Package_Revised MOR Package - Latest_II.4. RawMaterials_Sheet3" xfId="11506"/>
    <cellStyle name="_Revised MOR 2004_Revised MOR Package_Revised MOR Package - Latest_II.4. RawMaterials_Sheet4" xfId="11507"/>
    <cellStyle name="_Revised MOR 2004_Revised MOR Package_Revised MOR Package - Latest_II.5. RawMaterials" xfId="11508"/>
    <cellStyle name="_Revised MOR 2004_Revised MOR Package_Revised MOR Package - Latest_II.5. RawMaterials 2" xfId="11509"/>
    <cellStyle name="_Revised MOR 2004_Revised MOR Package_Revised MOR Package - Latest_II.5. RawMaterials_BS retrieve" xfId="11510"/>
    <cellStyle name="_Revised MOR 2004_Revised MOR Package_Revised MOR Package - Latest_II.5. RawMaterials_Free CF" xfId="11511"/>
    <cellStyle name="_Revised MOR 2004_Revised MOR Package_Revised MOR Package - Latest_II.5. RawMaterials_P&amp;L Rec Qtr" xfId="11512"/>
    <cellStyle name="_Revised MOR 2004_Revised MOR Package_Revised MOR Package - Latest_II.5. RawMaterials_Sheet1" xfId="11513"/>
    <cellStyle name="_Revised MOR 2004_Revised MOR Package_Revised MOR Package - Latest_II.5. RawMaterials_Sheet2" xfId="11514"/>
    <cellStyle name="_Revised MOR 2004_Revised MOR Package_Revised MOR Package - Latest_II.5. RawMaterials_Sheet3" xfId="11515"/>
    <cellStyle name="_Revised MOR 2004_Revised MOR Package_Revised MOR Package - Latest_II.5. RawMaterials_Sheet4" xfId="11516"/>
    <cellStyle name="_Revised MOR 2004_Revised MOR Package_Revised MOR Package - Latest_II.5. RM Volume Sensitivities" xfId="11517"/>
    <cellStyle name="_Revised MOR 2004_Revised MOR Package_Revised MOR Package - Latest_II.5. RM Volume Sensitivities 2" xfId="11518"/>
    <cellStyle name="_Revised MOR 2004_Revised MOR Package_Revised MOR Package - Latest_II.5. RM Volume Sensitivities_BS retrieve" xfId="11519"/>
    <cellStyle name="_Revised MOR 2004_Revised MOR Package_Revised MOR Package - Latest_II.5. RM Volume Sensitivities_Free CF" xfId="11520"/>
    <cellStyle name="_Revised MOR 2004_Revised MOR Package_Revised MOR Package - Latest_II.5. RM Volume Sensitivities_P&amp;L Rec Qtr" xfId="11521"/>
    <cellStyle name="_Revised MOR 2004_Revised MOR Package_Revised MOR Package - Latest_II.5. RM Volume Sensitivities_Sheet1" xfId="11522"/>
    <cellStyle name="_Revised MOR 2004_Revised MOR Package_Revised MOR Package - Latest_II.5. RM Volume Sensitivities_Sheet2" xfId="11523"/>
    <cellStyle name="_Revised MOR 2004_Revised MOR Package_Revised MOR Package - Latest_II.5. RM Volume Sensitivities_Sheet3" xfId="11524"/>
    <cellStyle name="_Revised MOR 2004_Revised MOR Package_Revised MOR Package - Latest_II.5. RM Volume Sensitivities_Sheet4" xfId="11525"/>
    <cellStyle name="_Revised MOR 2004_Revised MOR Package_Revised MOR Package - Latest_II.8. Sep&amp;Discrete" xfId="11526"/>
    <cellStyle name="_Revised MOR 2004_Revised MOR Package_Revised MOR Package - Latest_Restructuring &amp; Separation" xfId="11527"/>
    <cellStyle name="_Revised MOR 2004_Revised MOR Package_Revised MOR Package - Latest_Restructuring_Separation_TAX_JuneFC2010 tf" xfId="11528"/>
    <cellStyle name="_Revised MOR 2004_Revised MOR Package_Revised MOR Package - Latest_Restructuring_Separation_TAX_JuneFC2010 tf_BS_Separation_TaxResIndem_Q12412 tf" xfId="11529"/>
    <cellStyle name="_Revised MOR 2004_Revised MOR Package_Revised MOR Package - Latest_Restructuring_Separation_TAX_JuneFC2010 tf_BS_Separation_TaxResIndem_Q12412 tf_Restructuring &amp; Separation" xfId="11530"/>
    <cellStyle name="_Revised MOR 2004_Revised MOR Package_Revised MOR Package - Latest_Restructuring_Separation_TAX_JuneFC2010 tf_II.8. Sep&amp;Discrete" xfId="11531"/>
    <cellStyle name="_Revised MOR 2004_Revised MOR Package_Revised MOR Package - Latest_Restructuring_Separation_TAX_JuneFC2010 tf_Restructuring &amp; Separation" xfId="11532"/>
    <cellStyle name="_Revised MOR Package" xfId="11533"/>
    <cellStyle name="_Revised MOR Package - Latest" xfId="11534"/>
    <cellStyle name="_Revised MOR Package - Latest_BS_Separation_TaxResIndem_Q12412 tf" xfId="11535"/>
    <cellStyle name="_Revised MOR Package - Latest_BS_Separation_TaxResIndem_Q12412 tf_Restructuring &amp; Separation" xfId="11536"/>
    <cellStyle name="_Revised MOR Package - Latest_By Country Detail 1Q10 041410pm FIN 18 revised per disc w Mary" xfId="11537"/>
    <cellStyle name="_Revised MOR Package - Latest_By Country Detail 1Q10 041410pm FIN 18 revised per disc w Mary_BS_Separation_TaxResIndem_Q12412 tf" xfId="11538"/>
    <cellStyle name="_Revised MOR Package - Latest_By Country Detail 1Q10 041410pm FIN 18 revised per disc w Mary_BS_Separation_TaxResIndem_Q12412 tf_Restructuring &amp; Separation" xfId="11539"/>
    <cellStyle name="_Revised MOR Package - Latest_By Country Detail 1Q10 041410pm FIN 18 revised per disc w Mary_II.8. Sep&amp;Discrete" xfId="11540"/>
    <cellStyle name="_Revised MOR Package - Latest_By Country Detail 1Q10 041410pm FIN 18 revised per disc w Mary_Restructuring &amp; Separation" xfId="11541"/>
    <cellStyle name="_Revised MOR Package - Latest_II.4. RawMaterials" xfId="11542"/>
    <cellStyle name="_Revised MOR Package - Latest_II.4. RawMaterials 2" xfId="11543"/>
    <cellStyle name="_Revised MOR Package - Latest_II.4. RawMaterials_BS retrieve" xfId="11544"/>
    <cellStyle name="_Revised MOR Package - Latest_II.4. RawMaterials_Free CF" xfId="11545"/>
    <cellStyle name="_Revised MOR Package - Latest_II.4. RawMaterials_P&amp;L Rec Qtr" xfId="11546"/>
    <cellStyle name="_Revised MOR Package - Latest_II.4. RawMaterials_Sheet1" xfId="11547"/>
    <cellStyle name="_Revised MOR Package - Latest_II.4. RawMaterials_Sheet2" xfId="11548"/>
    <cellStyle name="_Revised MOR Package - Latest_II.4. RawMaterials_Sheet3" xfId="11549"/>
    <cellStyle name="_Revised MOR Package - Latest_II.4. RawMaterials_Sheet4" xfId="11550"/>
    <cellStyle name="_Revised MOR Package - Latest_II.5. RawMaterials" xfId="11551"/>
    <cellStyle name="_Revised MOR Package - Latest_II.5. RawMaterials 2" xfId="11552"/>
    <cellStyle name="_Revised MOR Package - Latest_II.5. RawMaterials_BS retrieve" xfId="11553"/>
    <cellStyle name="_Revised MOR Package - Latest_II.5. RawMaterials_Free CF" xfId="11554"/>
    <cellStyle name="_Revised MOR Package - Latest_II.5. RawMaterials_P&amp;L Rec Qtr" xfId="11555"/>
    <cellStyle name="_Revised MOR Package - Latest_II.5. RawMaterials_Sheet1" xfId="11556"/>
    <cellStyle name="_Revised MOR Package - Latest_II.5. RawMaterials_Sheet2" xfId="11557"/>
    <cellStyle name="_Revised MOR Package - Latest_II.5. RawMaterials_Sheet3" xfId="11558"/>
    <cellStyle name="_Revised MOR Package - Latest_II.5. RawMaterials_Sheet4" xfId="11559"/>
    <cellStyle name="_Revised MOR Package - Latest_II.5. RM Volume Sensitivities" xfId="11560"/>
    <cellStyle name="_Revised MOR Package - Latest_II.5. RM Volume Sensitivities 2" xfId="11561"/>
    <cellStyle name="_Revised MOR Package - Latest_II.5. RM Volume Sensitivities_BS retrieve" xfId="11562"/>
    <cellStyle name="_Revised MOR Package - Latest_II.5. RM Volume Sensitivities_Free CF" xfId="11563"/>
    <cellStyle name="_Revised MOR Package - Latest_II.5. RM Volume Sensitivities_P&amp;L Rec Qtr" xfId="11564"/>
    <cellStyle name="_Revised MOR Package - Latest_II.5. RM Volume Sensitivities_Sheet1" xfId="11565"/>
    <cellStyle name="_Revised MOR Package - Latest_II.5. RM Volume Sensitivities_Sheet2" xfId="11566"/>
    <cellStyle name="_Revised MOR Package - Latest_II.5. RM Volume Sensitivities_Sheet3" xfId="11567"/>
    <cellStyle name="_Revised MOR Package - Latest_II.5. RM Volume Sensitivities_Sheet4" xfId="11568"/>
    <cellStyle name="_Revised MOR Package - Latest_II.8. Sep&amp;Discrete" xfId="11569"/>
    <cellStyle name="_Revised MOR Package - Latest_Restructuring &amp; Separation" xfId="11570"/>
    <cellStyle name="_Revised MOR Package - Latest_Restructuring_Separation_TAX_JuneFC2010 tf" xfId="11571"/>
    <cellStyle name="_Revised MOR Package - Latest_Restructuring_Separation_TAX_JuneFC2010 tf_BS_Separation_TaxResIndem_Q12412 tf" xfId="11572"/>
    <cellStyle name="_Revised MOR Package - Latest_Restructuring_Separation_TAX_JuneFC2010 tf_BS_Separation_TaxResIndem_Q12412 tf_Restructuring &amp; Separation" xfId="11573"/>
    <cellStyle name="_Revised MOR Package - Latest_Restructuring_Separation_TAX_JuneFC2010 tf_II.8. Sep&amp;Discrete" xfId="11574"/>
    <cellStyle name="_Revised MOR Package - Latest_Restructuring_Separation_TAX_JuneFC2010 tf_Restructuring &amp; Separation" xfId="11575"/>
    <cellStyle name="_Revised MOR Package_~0039877" xfId="11576"/>
    <cellStyle name="_Revised MOR Package_~0039877_BS_Separation_TaxResIndem_Q12412 tf" xfId="11577"/>
    <cellStyle name="_Revised MOR Package_~0039877_BS_Separation_TaxResIndem_Q12412 tf_Restructuring &amp; Separation" xfId="11578"/>
    <cellStyle name="_Revised MOR Package_~0039877_By Country Detail 1Q10 041410pm FIN 18 revised per disc w Mary" xfId="11579"/>
    <cellStyle name="_Revised MOR Package_~0039877_By Country Detail 1Q10 041410pm FIN 18 revised per disc w Mary_BS_Separation_TaxResIndem_Q12412 tf" xfId="11580"/>
    <cellStyle name="_Revised MOR Package_~0039877_By Country Detail 1Q10 041410pm FIN 18 revised per disc w Mary_BS_Separation_TaxResIndem_Q12412 tf_Restructuring &amp; Separation" xfId="11581"/>
    <cellStyle name="_Revised MOR Package_~0039877_By Country Detail 1Q10 041410pm FIN 18 revised per disc w Mary_II.8. Sep&amp;Discrete" xfId="11582"/>
    <cellStyle name="_Revised MOR Package_~0039877_By Country Detail 1Q10 041410pm FIN 18 revised per disc w Mary_Restructuring &amp; Separation" xfId="11583"/>
    <cellStyle name="_Revised MOR Package_~0039877_II.4. RawMaterials" xfId="11584"/>
    <cellStyle name="_Revised MOR Package_~0039877_II.4. RawMaterials 2" xfId="11585"/>
    <cellStyle name="_Revised MOR Package_~0039877_II.4. RawMaterials_BS retrieve" xfId="11586"/>
    <cellStyle name="_Revised MOR Package_~0039877_II.4. RawMaterials_Free CF" xfId="11587"/>
    <cellStyle name="_Revised MOR Package_~0039877_II.4. RawMaterials_P&amp;L Rec Qtr" xfId="11588"/>
    <cellStyle name="_Revised MOR Package_~0039877_II.4. RawMaterials_Sheet1" xfId="11589"/>
    <cellStyle name="_Revised MOR Package_~0039877_II.4. RawMaterials_Sheet2" xfId="11590"/>
    <cellStyle name="_Revised MOR Package_~0039877_II.4. RawMaterials_Sheet3" xfId="11591"/>
    <cellStyle name="_Revised MOR Package_~0039877_II.4. RawMaterials_Sheet4" xfId="11592"/>
    <cellStyle name="_Revised MOR Package_~0039877_II.5. RawMaterials" xfId="11593"/>
    <cellStyle name="_Revised MOR Package_~0039877_II.5. RawMaterials 2" xfId="11594"/>
    <cellStyle name="_Revised MOR Package_~0039877_II.5. RawMaterials_BS retrieve" xfId="11595"/>
    <cellStyle name="_Revised MOR Package_~0039877_II.5. RawMaterials_Free CF" xfId="11596"/>
    <cellStyle name="_Revised MOR Package_~0039877_II.5. RawMaterials_P&amp;L Rec Qtr" xfId="11597"/>
    <cellStyle name="_Revised MOR Package_~0039877_II.5. RawMaterials_Sheet1" xfId="11598"/>
    <cellStyle name="_Revised MOR Package_~0039877_II.5. RawMaterials_Sheet2" xfId="11599"/>
    <cellStyle name="_Revised MOR Package_~0039877_II.5. RawMaterials_Sheet3" xfId="11600"/>
    <cellStyle name="_Revised MOR Package_~0039877_II.5. RawMaterials_Sheet4" xfId="11601"/>
    <cellStyle name="_Revised MOR Package_~0039877_II.5. RM Volume Sensitivities" xfId="11602"/>
    <cellStyle name="_Revised MOR Package_~0039877_II.5. RM Volume Sensitivities 2" xfId="11603"/>
    <cellStyle name="_Revised MOR Package_~0039877_II.5. RM Volume Sensitivities_BS retrieve" xfId="11604"/>
    <cellStyle name="_Revised MOR Package_~0039877_II.5. RM Volume Sensitivities_Free CF" xfId="11605"/>
    <cellStyle name="_Revised MOR Package_~0039877_II.5. RM Volume Sensitivities_P&amp;L Rec Qtr" xfId="11606"/>
    <cellStyle name="_Revised MOR Package_~0039877_II.5. RM Volume Sensitivities_Sheet1" xfId="11607"/>
    <cellStyle name="_Revised MOR Package_~0039877_II.5. RM Volume Sensitivities_Sheet2" xfId="11608"/>
    <cellStyle name="_Revised MOR Package_~0039877_II.5. RM Volume Sensitivities_Sheet3" xfId="11609"/>
    <cellStyle name="_Revised MOR Package_~0039877_II.5. RM Volume Sensitivities_Sheet4" xfId="11610"/>
    <cellStyle name="_Revised MOR Package_~0039877_II.8. Sep&amp;Discrete" xfId="11611"/>
    <cellStyle name="_Revised MOR Package_~0039877_Restructuring &amp; Separation" xfId="11612"/>
    <cellStyle name="_Revised MOR Package_~0039877_Restructuring_Separation_TAX_JuneFC2010 tf" xfId="11613"/>
    <cellStyle name="_Revised MOR Package_~0039877_Restructuring_Separation_TAX_JuneFC2010 tf_BS_Separation_TaxResIndem_Q12412 tf" xfId="11614"/>
    <cellStyle name="_Revised MOR Package_~0039877_Restructuring_Separation_TAX_JuneFC2010 tf_BS_Separation_TaxResIndem_Q12412 tf_Restructuring &amp; Separation" xfId="11615"/>
    <cellStyle name="_Revised MOR Package_~0039877_Restructuring_Separation_TAX_JuneFC2010 tf_II.8. Sep&amp;Discrete" xfId="11616"/>
    <cellStyle name="_Revised MOR Package_~0039877_Restructuring_Separation_TAX_JuneFC2010 tf_Restructuring &amp; Separation" xfId="11617"/>
    <cellStyle name="_Revised MOR Package_BS_Separation_TaxResIndem_Q12412 tf" xfId="11618"/>
    <cellStyle name="_Revised MOR Package_BS_Separation_TaxResIndem_Q12412 tf_Restructuring &amp; Separation" xfId="11619"/>
    <cellStyle name="_Revised MOR Package_By Country Detail 1Q10 041410pm FIN 18 revised per disc w Mary" xfId="11620"/>
    <cellStyle name="_Revised MOR Package_By Country Detail 1Q10 041410pm FIN 18 revised per disc w Mary_BS_Separation_TaxResIndem_Q12412 tf" xfId="11621"/>
    <cellStyle name="_Revised MOR Package_By Country Detail 1Q10 041410pm FIN 18 revised per disc w Mary_BS_Separation_TaxResIndem_Q12412 tf_Restructuring &amp; Separation" xfId="11622"/>
    <cellStyle name="_Revised MOR Package_By Country Detail 1Q10 041410pm FIN 18 revised per disc w Mary_II.8. Sep&amp;Discrete" xfId="11623"/>
    <cellStyle name="_Revised MOR Package_By Country Detail 1Q10 041410pm FIN 18 revised per disc w Mary_Restructuring &amp; Separation" xfId="11624"/>
    <cellStyle name="_Revised MOR Package_II.4. RawMaterials" xfId="11625"/>
    <cellStyle name="_Revised MOR Package_II.4. RawMaterials 2" xfId="11626"/>
    <cellStyle name="_Revised MOR Package_II.4. RawMaterials_BS retrieve" xfId="11627"/>
    <cellStyle name="_Revised MOR Package_II.4. RawMaterials_Free CF" xfId="11628"/>
    <cellStyle name="_Revised MOR Package_II.4. RawMaterials_P&amp;L Rec Qtr" xfId="11629"/>
    <cellStyle name="_Revised MOR Package_II.4. RawMaterials_Sheet1" xfId="11630"/>
    <cellStyle name="_Revised MOR Package_II.4. RawMaterials_Sheet2" xfId="11631"/>
    <cellStyle name="_Revised MOR Package_II.4. RawMaterials_Sheet3" xfId="11632"/>
    <cellStyle name="_Revised MOR Package_II.4. RawMaterials_Sheet4" xfId="11633"/>
    <cellStyle name="_Revised MOR Package_II.5. RawMaterials" xfId="11634"/>
    <cellStyle name="_Revised MOR Package_II.5. RawMaterials 2" xfId="11635"/>
    <cellStyle name="_Revised MOR Package_II.5. RawMaterials_BS retrieve" xfId="11636"/>
    <cellStyle name="_Revised MOR Package_II.5. RawMaterials_Free CF" xfId="11637"/>
    <cellStyle name="_Revised MOR Package_II.5. RawMaterials_P&amp;L Rec Qtr" xfId="11638"/>
    <cellStyle name="_Revised MOR Package_II.5. RawMaterials_Sheet1" xfId="11639"/>
    <cellStyle name="_Revised MOR Package_II.5. RawMaterials_Sheet2" xfId="11640"/>
    <cellStyle name="_Revised MOR Package_II.5. RawMaterials_Sheet3" xfId="11641"/>
    <cellStyle name="_Revised MOR Package_II.5. RawMaterials_Sheet4" xfId="11642"/>
    <cellStyle name="_Revised MOR Package_II.5. RM Volume Sensitivities" xfId="11643"/>
    <cellStyle name="_Revised MOR Package_II.5. RM Volume Sensitivities 2" xfId="11644"/>
    <cellStyle name="_Revised MOR Package_II.5. RM Volume Sensitivities_BS retrieve" xfId="11645"/>
    <cellStyle name="_Revised MOR Package_II.5. RM Volume Sensitivities_Free CF" xfId="11646"/>
    <cellStyle name="_Revised MOR Package_II.5. RM Volume Sensitivities_P&amp;L Rec Qtr" xfId="11647"/>
    <cellStyle name="_Revised MOR Package_II.5. RM Volume Sensitivities_Sheet1" xfId="11648"/>
    <cellStyle name="_Revised MOR Package_II.5. RM Volume Sensitivities_Sheet2" xfId="11649"/>
    <cellStyle name="_Revised MOR Package_II.5. RM Volume Sensitivities_Sheet3" xfId="11650"/>
    <cellStyle name="_Revised MOR Package_II.5. RM Volume Sensitivities_Sheet4" xfId="11651"/>
    <cellStyle name="_Revised MOR Package_II.8. Sep&amp;Discrete" xfId="11652"/>
    <cellStyle name="_Revised MOR Package_Restructuring &amp; Separation" xfId="11653"/>
    <cellStyle name="_Revised MOR Package_Restructuring_Separation_TAX_JuneFC2010 tf" xfId="11654"/>
    <cellStyle name="_Revised MOR Package_Restructuring_Separation_TAX_JuneFC2010 tf_BS_Separation_TaxResIndem_Q12412 tf" xfId="11655"/>
    <cellStyle name="_Revised MOR Package_Restructuring_Separation_TAX_JuneFC2010 tf_BS_Separation_TaxResIndem_Q12412 tf_Restructuring &amp; Separation" xfId="11656"/>
    <cellStyle name="_Revised MOR Package_Restructuring_Separation_TAX_JuneFC2010 tf_II.8. Sep&amp;Discrete" xfId="11657"/>
    <cellStyle name="_Revised MOR Package_Restructuring_Separation_TAX_JuneFC2010 tf_Restructuring &amp; Separation" xfId="11658"/>
    <cellStyle name="_Revised MOR Package_Revised MOR Package - Latest" xfId="11659"/>
    <cellStyle name="_Revised MOR Package_Revised MOR Package - Latest_BS_Separation_TaxResIndem_Q12412 tf" xfId="11660"/>
    <cellStyle name="_Revised MOR Package_Revised MOR Package - Latest_BS_Separation_TaxResIndem_Q12412 tf_Restructuring &amp; Separation" xfId="11661"/>
    <cellStyle name="_Revised MOR Package_Revised MOR Package - Latest_By Country Detail 1Q10 041410pm FIN 18 revised per disc w Mary" xfId="11662"/>
    <cellStyle name="_Revised MOR Package_Revised MOR Package - Latest_By Country Detail 1Q10 041410pm FIN 18 revised per disc w Mary_BS_Separation_TaxResIndem_Q12412 tf" xfId="11663"/>
    <cellStyle name="_Revised MOR Package_Revised MOR Package - Latest_By Country Detail 1Q10 041410pm FIN 18 revised per disc w Mary_BS_Separation_TaxResIndem_Q12412 tf_Restructuring &amp; Separation" xfId="11664"/>
    <cellStyle name="_Revised MOR Package_Revised MOR Package - Latest_By Country Detail 1Q10 041410pm FIN 18 revised per disc w Mary_II.8. Sep&amp;Discrete" xfId="11665"/>
    <cellStyle name="_Revised MOR Package_Revised MOR Package - Latest_By Country Detail 1Q10 041410pm FIN 18 revised per disc w Mary_Restructuring &amp; Separation" xfId="11666"/>
    <cellStyle name="_Revised MOR Package_Revised MOR Package - Latest_II.4. RawMaterials" xfId="11667"/>
    <cellStyle name="_Revised MOR Package_Revised MOR Package - Latest_II.4. RawMaterials 2" xfId="11668"/>
    <cellStyle name="_Revised MOR Package_Revised MOR Package - Latest_II.4. RawMaterials_BS retrieve" xfId="11669"/>
    <cellStyle name="_Revised MOR Package_Revised MOR Package - Latest_II.4. RawMaterials_Free CF" xfId="11670"/>
    <cellStyle name="_Revised MOR Package_Revised MOR Package - Latest_II.4. RawMaterials_P&amp;L Rec Qtr" xfId="11671"/>
    <cellStyle name="_Revised MOR Package_Revised MOR Package - Latest_II.4. RawMaterials_Sheet1" xfId="11672"/>
    <cellStyle name="_Revised MOR Package_Revised MOR Package - Latest_II.4. RawMaterials_Sheet2" xfId="11673"/>
    <cellStyle name="_Revised MOR Package_Revised MOR Package - Latest_II.4. RawMaterials_Sheet3" xfId="11674"/>
    <cellStyle name="_Revised MOR Package_Revised MOR Package - Latest_II.4. RawMaterials_Sheet4" xfId="11675"/>
    <cellStyle name="_Revised MOR Package_Revised MOR Package - Latest_II.5. RawMaterials" xfId="11676"/>
    <cellStyle name="_Revised MOR Package_Revised MOR Package - Latest_II.5. RawMaterials 2" xfId="11677"/>
    <cellStyle name="_Revised MOR Package_Revised MOR Package - Latest_II.5. RawMaterials_BS retrieve" xfId="11678"/>
    <cellStyle name="_Revised MOR Package_Revised MOR Package - Latest_II.5. RawMaterials_Free CF" xfId="11679"/>
    <cellStyle name="_Revised MOR Package_Revised MOR Package - Latest_II.5. RawMaterials_P&amp;L Rec Qtr" xfId="11680"/>
    <cellStyle name="_Revised MOR Package_Revised MOR Package - Latest_II.5. RawMaterials_Sheet1" xfId="11681"/>
    <cellStyle name="_Revised MOR Package_Revised MOR Package - Latest_II.5. RawMaterials_Sheet2" xfId="11682"/>
    <cellStyle name="_Revised MOR Package_Revised MOR Package - Latest_II.5. RawMaterials_Sheet3" xfId="11683"/>
    <cellStyle name="_Revised MOR Package_Revised MOR Package - Latest_II.5. RawMaterials_Sheet4" xfId="11684"/>
    <cellStyle name="_Revised MOR Package_Revised MOR Package - Latest_II.5. RM Volume Sensitivities" xfId="11685"/>
    <cellStyle name="_Revised MOR Package_Revised MOR Package - Latest_II.5. RM Volume Sensitivities 2" xfId="11686"/>
    <cellStyle name="_Revised MOR Package_Revised MOR Package - Latest_II.5. RM Volume Sensitivities_BS retrieve" xfId="11687"/>
    <cellStyle name="_Revised MOR Package_Revised MOR Package - Latest_II.5. RM Volume Sensitivities_Free CF" xfId="11688"/>
    <cellStyle name="_Revised MOR Package_Revised MOR Package - Latest_II.5. RM Volume Sensitivities_P&amp;L Rec Qtr" xfId="11689"/>
    <cellStyle name="_Revised MOR Package_Revised MOR Package - Latest_II.5. RM Volume Sensitivities_Sheet1" xfId="11690"/>
    <cellStyle name="_Revised MOR Package_Revised MOR Package - Latest_II.5. RM Volume Sensitivities_Sheet2" xfId="11691"/>
    <cellStyle name="_Revised MOR Package_Revised MOR Package - Latest_II.5. RM Volume Sensitivities_Sheet3" xfId="11692"/>
    <cellStyle name="_Revised MOR Package_Revised MOR Package - Latest_II.5. RM Volume Sensitivities_Sheet4" xfId="11693"/>
    <cellStyle name="_Revised MOR Package_Revised MOR Package - Latest_II.8. Sep&amp;Discrete" xfId="11694"/>
    <cellStyle name="_Revised MOR Package_Revised MOR Package - Latest_Restructuring &amp; Separation" xfId="11695"/>
    <cellStyle name="_Revised MOR Package_Revised MOR Package - Latest_Restructuring_Separation_TAX_JuneFC2010 tf" xfId="11696"/>
    <cellStyle name="_Revised MOR Package_Revised MOR Package - Latest_Restructuring_Separation_TAX_JuneFC2010 tf_BS_Separation_TaxResIndem_Q12412 tf" xfId="11697"/>
    <cellStyle name="_Revised MOR Package_Revised MOR Package - Latest_Restructuring_Separation_TAX_JuneFC2010 tf_BS_Separation_TaxResIndem_Q12412 tf_Restructuring &amp; Separation" xfId="11698"/>
    <cellStyle name="_Revised MOR Package_Revised MOR Package - Latest_Restructuring_Separation_TAX_JuneFC2010 tf_II.8. Sep&amp;Discrete" xfId="11699"/>
    <cellStyle name="_Revised MOR Package_Revised MOR Package - Latest_Restructuring_Separation_TAX_JuneFC2010 tf_Restructuring &amp; Separation" xfId="11700"/>
    <cellStyle name="_RM table v2" xfId="11701"/>
    <cellStyle name="_Row1" xfId="11702"/>
    <cellStyle name="_Row1 2" xfId="11703"/>
    <cellStyle name="_Sales Bridge vs 8+4 FC 1018 version_1021" xfId="11704"/>
    <cellStyle name="_Sheet1" xfId="11705"/>
    <cellStyle name="_Sheet1_1" xfId="11706"/>
    <cellStyle name="_Sheet1_1 2" xfId="11707"/>
    <cellStyle name="_Sheet1_1_BS retrieve" xfId="11708"/>
    <cellStyle name="_Sheet1_1_Free CF" xfId="11709"/>
    <cellStyle name="_Sheet1_1_II.4. RawMaterials" xfId="11710"/>
    <cellStyle name="_Sheet1_1_II.4. RawMaterials 2" xfId="11711"/>
    <cellStyle name="_Sheet1_1_II.4. RawMaterials_BS retrieve" xfId="11712"/>
    <cellStyle name="_Sheet1_1_II.4. RawMaterials_Free CF" xfId="11713"/>
    <cellStyle name="_Sheet1_1_II.4. RawMaterials_P&amp;L Rec Qtr" xfId="11714"/>
    <cellStyle name="_Sheet1_1_II.4. RawMaterials_Sheet1" xfId="11715"/>
    <cellStyle name="_Sheet1_1_II.4. RawMaterials_Sheet2" xfId="11716"/>
    <cellStyle name="_Sheet1_1_II.4. RawMaterials_Sheet3" xfId="11717"/>
    <cellStyle name="_Sheet1_1_II.4. RawMaterials_Sheet4" xfId="11718"/>
    <cellStyle name="_Sheet1_1_II.5. RM Volume Sensitivities" xfId="11719"/>
    <cellStyle name="_Sheet1_1_II.5. RM Volume Sensitivities 2" xfId="11720"/>
    <cellStyle name="_Sheet1_1_II.5. RM Volume Sensitivities_BS retrieve" xfId="11721"/>
    <cellStyle name="_Sheet1_1_II.5. RM Volume Sensitivities_Free CF" xfId="11722"/>
    <cellStyle name="_Sheet1_1_II.5. RM Volume Sensitivities_P&amp;L Rec Qtr" xfId="11723"/>
    <cellStyle name="_Sheet1_1_II.5. RM Volume Sensitivities_Sheet1" xfId="11724"/>
    <cellStyle name="_Sheet1_1_II.5. RM Volume Sensitivities_Sheet2" xfId="11725"/>
    <cellStyle name="_Sheet1_1_II.5. RM Volume Sensitivities_Sheet3" xfId="11726"/>
    <cellStyle name="_Sheet1_1_II.5. RM Volume Sensitivities_Sheet4" xfId="11727"/>
    <cellStyle name="_Sheet1_1_P&amp;L Rec Qtr" xfId="11728"/>
    <cellStyle name="_Sheet1_1_Sheet1" xfId="11729"/>
    <cellStyle name="_Sheet1_1_Sheet2" xfId="11730"/>
    <cellStyle name="_Sheet1_1_Sheet3" xfId="11731"/>
    <cellStyle name="_Sheet1_1_Sheet4" xfId="11732"/>
    <cellStyle name="_Sheet1_BS_Separation_TaxResIndem_Q12412 tf" xfId="11733"/>
    <cellStyle name="_Sheet1_BS_Separation_TaxResIndem_Q12412 tf_Restructuring &amp; Separation" xfId="11734"/>
    <cellStyle name="_Sheet1_By Country Detail 1Q10 041410pm FIN 18 revised per disc w Mary" xfId="11735"/>
    <cellStyle name="_Sheet1_By Country Detail 1Q10 041410pm FIN 18 revised per disc w Mary_BS_Separation_TaxResIndem_Q12412 tf" xfId="11736"/>
    <cellStyle name="_Sheet1_By Country Detail 1Q10 041410pm FIN 18 revised per disc w Mary_BS_Separation_TaxResIndem_Q12412 tf_Restructuring &amp; Separation" xfId="11737"/>
    <cellStyle name="_Sheet1_By Country Detail 1Q10 041410pm FIN 18 revised per disc w Mary_II.8. Sep&amp;Discrete" xfId="11738"/>
    <cellStyle name="_Sheet1_By Country Detail 1Q10 041410pm FIN 18 revised per disc w Mary_Restructuring &amp; Separation" xfId="11739"/>
    <cellStyle name="_Sheet1_II.4. RawMaterials" xfId="11740"/>
    <cellStyle name="_Sheet1_II.5. RawMaterials" xfId="11741"/>
    <cellStyle name="_Sheet1_II.5. RM Volume Sensitivities" xfId="11742"/>
    <cellStyle name="_Sheet1_II.8. Sep&amp;Discrete" xfId="11743"/>
    <cellStyle name="_Sheet1_Restructuring &amp; Separation" xfId="11744"/>
    <cellStyle name="_Sheet1_Restructuring_Separation_TAX_JuneFC2010 tf" xfId="11745"/>
    <cellStyle name="_Sheet1_Restructuring_Separation_TAX_JuneFC2010 tf_BS_Separation_TaxResIndem_Q12412 tf" xfId="11746"/>
    <cellStyle name="_Sheet1_Restructuring_Separation_TAX_JuneFC2010 tf_BS_Separation_TaxResIndem_Q12412 tf_Restructuring &amp; Separation" xfId="11747"/>
    <cellStyle name="_Sheet1_Restructuring_Separation_TAX_JuneFC2010 tf_II.8. Sep&amp;Discrete" xfId="11748"/>
    <cellStyle name="_Sheet1_Restructuring_Separation_TAX_JuneFC2010 tf_Restructuring &amp; Separation" xfId="11749"/>
    <cellStyle name="_Split 2008 by BU &amp; Type_Master3 DC" xfId="11750"/>
    <cellStyle name="_Split 2008 by BU &amp; Type_Master3 DC_2012 APAC Productivity by Quarter 2" xfId="11751"/>
    <cellStyle name="_Split 2008 by BU &amp; Type_Master3 DC_APAC Monthly Analysis Tool-2011 3+9-Casey" xfId="11752"/>
    <cellStyle name="_Split 2008 by BU &amp; Type_Master3 DC_APAC Monthly Analysis Tool-2011 3+9-Casey 2" xfId="11753"/>
    <cellStyle name="_Split 2008 by BU &amp; Type_Master3 DC_APAC Monthly Analysis Tool-2011 3+9-Casey_BS retrieve" xfId="11754"/>
    <cellStyle name="_Split 2008 by BU &amp; Type_Master3 DC_APAC Monthly Analysis Tool-2011 3+9-Casey_Free CF" xfId="11755"/>
    <cellStyle name="_Split 2008 by BU &amp; Type_Master3 DC_APAC Monthly Analysis Tool-2011 3+9-Casey_P&amp;L Rec Qtr" xfId="11756"/>
    <cellStyle name="_Split 2008 by BU &amp; Type_Master3 DC_APAC Monthly Analysis Tool-2011 3+9-Casey_Sheet1" xfId="11757"/>
    <cellStyle name="_Split 2008 by BU &amp; Type_Master3 DC_APAC Monthly Analysis Tool-2011 3+9-Casey_Sheet2" xfId="11758"/>
    <cellStyle name="_Split 2008 by BU &amp; Type_Master3 DC_APAC Monthly Analysis Tool-2011 3+9-Casey_Sheet3" xfId="11759"/>
    <cellStyle name="_Split 2008 by BU &amp; Type_Master3 DC_APAC Monthly Analysis Tool-2011 3+9-Casey_Sheet4" xfId="11760"/>
    <cellStyle name="_Split 2008 by BU &amp; Type_Master3 DC_APAC Productivity base on New AOP by quarter-0406" xfId="11761"/>
    <cellStyle name="_Split 2008 by BU &amp; Type_Master3 DC_APAC Productivity base on New AOP by quarter-0406 2" xfId="11762"/>
    <cellStyle name="_Split 2008 by BU &amp; Type_Master3 DC_APAC Productivity base on New AOP by quarter-0406_BS retrieve" xfId="11763"/>
    <cellStyle name="_Split 2008 by BU &amp; Type_Master3 DC_APAC Productivity base on New AOP by quarter-0406_Free CF" xfId="11764"/>
    <cellStyle name="_Split 2008 by BU &amp; Type_Master3 DC_APAC Productivity base on New AOP by quarter-0406_P&amp;L Rec Qtr" xfId="11765"/>
    <cellStyle name="_Split 2008 by BU &amp; Type_Master3 DC_APAC Productivity base on New AOP by quarter-0406_Sheet1" xfId="11766"/>
    <cellStyle name="_Split 2008 by BU &amp; Type_Master3 DC_APAC Productivity base on New AOP by quarter-0406_Sheet2" xfId="11767"/>
    <cellStyle name="_Split 2008 by BU &amp; Type_Master3 DC_APAC Productivity base on New AOP by quarter-0406_Sheet3" xfId="11768"/>
    <cellStyle name="_Split 2008 by BU &amp; Type_Master3 DC_APAC Productivity base on New AOP by quarter-0406_Sheet4" xfId="11769"/>
    <cellStyle name="_Split 2008 by BU &amp; Type_Master3 DC_APAC Quartertly'11 Productivity FC" xfId="11770"/>
    <cellStyle name="_Split 2008 by BU &amp; Type_Master3 DC_APAC Quartertly'11 Productivity FC 2" xfId="11771"/>
    <cellStyle name="_Split 2008 by BU &amp; Type_Master3 DC_APAC Quartertly'11 Productivity FC_BS retrieve" xfId="11772"/>
    <cellStyle name="_Split 2008 by BU &amp; Type_Master3 DC_APAC Quartertly'11 Productivity FC_Free CF" xfId="11773"/>
    <cellStyle name="_Split 2008 by BU &amp; Type_Master3 DC_APAC Quartertly'11 Productivity FC_P&amp;L Rec Qtr" xfId="11774"/>
    <cellStyle name="_Split 2008 by BU &amp; Type_Master3 DC_APAC Quartertly'11 Productivity FC_Sheet1" xfId="11775"/>
    <cellStyle name="_Split 2008 by BU &amp; Type_Master3 DC_APAC Quartertly'11 Productivity FC_Sheet2" xfId="11776"/>
    <cellStyle name="_Split 2008 by BU &amp; Type_Master3 DC_APAC Quartertly'11 Productivity FC_Sheet3" xfId="11777"/>
    <cellStyle name="_Split 2008 by BU &amp; Type_Master3 DC_APAC Quartertly'11 Productivity FC_Sheet4" xfId="11778"/>
    <cellStyle name="_Split 2008 by BU &amp; Type_Master3 DC_APAC_Productivity Quarter_9+3" xfId="11779"/>
    <cellStyle name="_Split 2008 by BU &amp; Type_Master3 DC_Carry-over Details-APAC-9+3" xfId="11780"/>
    <cellStyle name="_Split 2008 by BU &amp; Type_Master3 DC_CN01 Productivty_January" xfId="11781"/>
    <cellStyle name="_Split 2008 by BU &amp; Type_Master3 DC_CN01_Month ACT-FC" xfId="11782"/>
    <cellStyle name="_Split 2008 by BU &amp; Type_Master3 DC_Countries Productivity List" xfId="11783"/>
    <cellStyle name="_Split 2008 by BU &amp; Type_Master3 DC_Countries Productivity List 2" xfId="11784"/>
    <cellStyle name="_Split 2008 by BU &amp; Type_Master3 DC_Countries Productivity List_BS retrieve" xfId="11785"/>
    <cellStyle name="_Split 2008 by BU &amp; Type_Master3 DC_Countries Productivity List_Free CF" xfId="11786"/>
    <cellStyle name="_Split 2008 by BU &amp; Type_Master3 DC_Countries Productivity List_P&amp;L Rec Qtr" xfId="11787"/>
    <cellStyle name="_Split 2008 by BU &amp; Type_Master3 DC_Countries Productivity List_Sheet1" xfId="11788"/>
    <cellStyle name="_Split 2008 by BU &amp; Type_Master3 DC_Countries Productivity List_Sheet2" xfId="11789"/>
    <cellStyle name="_Split 2008 by BU &amp; Type_Master3 DC_Countries Productivity List_Sheet3" xfId="11790"/>
    <cellStyle name="_Split 2008 by BU &amp; Type_Master3 DC_Countries Productivity List_Sheet4" xfId="11791"/>
    <cellStyle name="_Split 2008 by BU &amp; Type_Master3 DC_data for presentation" xfId="11792"/>
    <cellStyle name="_Split 2008 by BU &amp; Type_Master3 DC_NOV Productivity by Site  VS (2)" xfId="11793"/>
    <cellStyle name="_Tooling" xfId="11794"/>
    <cellStyle name="_Tooling 2" xfId="11795"/>
    <cellStyle name="_TOOLING AOP 2011_PL1-CB1- 2010 09 20ver2" xfId="11796"/>
    <cellStyle name="_TOOLING AOP 2011_PL1-CB1- 2010 09 20ver2_2012 APAC Productivity by Quarter 2" xfId="11797"/>
    <cellStyle name="_TOOLING AOP 2011_PL1-CB1- 2010 09 20ver2_APAC Monthly Analysis Tool-2011 3+9-Casey" xfId="11798"/>
    <cellStyle name="_TOOLING AOP 2011_PL1-CB1- 2010 09 20ver2_APAC Monthly Analysis Tool-2011 3+9-Casey 2" xfId="11799"/>
    <cellStyle name="_TOOLING AOP 2011_PL1-CB1- 2010 09 20ver2_APAC Monthly Analysis Tool-2011 3+9-Casey_BS retrieve" xfId="11800"/>
    <cellStyle name="_TOOLING AOP 2011_PL1-CB1- 2010 09 20ver2_APAC Monthly Analysis Tool-2011 3+9-Casey_Free CF" xfId="11801"/>
    <cellStyle name="_TOOLING AOP 2011_PL1-CB1- 2010 09 20ver2_APAC Monthly Analysis Tool-2011 3+9-Casey_P&amp;L Rec Qtr" xfId="11802"/>
    <cellStyle name="_TOOLING AOP 2011_PL1-CB1- 2010 09 20ver2_APAC Monthly Analysis Tool-2011 3+9-Casey_Sheet1" xfId="11803"/>
    <cellStyle name="_TOOLING AOP 2011_PL1-CB1- 2010 09 20ver2_APAC Monthly Analysis Tool-2011 3+9-Casey_Sheet2" xfId="11804"/>
    <cellStyle name="_TOOLING AOP 2011_PL1-CB1- 2010 09 20ver2_APAC Monthly Analysis Tool-2011 3+9-Casey_Sheet3" xfId="11805"/>
    <cellStyle name="_TOOLING AOP 2011_PL1-CB1- 2010 09 20ver2_APAC Monthly Analysis Tool-2011 3+9-Casey_Sheet4" xfId="11806"/>
    <cellStyle name="_TOOLING AOP 2011_PL1-CB1- 2010 09 20ver2_APAC Productivity base on New AOP by quarter-0406" xfId="11807"/>
    <cellStyle name="_TOOLING AOP 2011_PL1-CB1- 2010 09 20ver2_APAC Productivity base on New AOP by quarter-0406 2" xfId="11808"/>
    <cellStyle name="_TOOLING AOP 2011_PL1-CB1- 2010 09 20ver2_APAC Productivity base on New AOP by quarter-0406_BS retrieve" xfId="11809"/>
    <cellStyle name="_TOOLING AOP 2011_PL1-CB1- 2010 09 20ver2_APAC Productivity base on New AOP by quarter-0406_Free CF" xfId="11810"/>
    <cellStyle name="_TOOLING AOP 2011_PL1-CB1- 2010 09 20ver2_APAC Productivity base on New AOP by quarter-0406_P&amp;L Rec Qtr" xfId="11811"/>
    <cellStyle name="_TOOLING AOP 2011_PL1-CB1- 2010 09 20ver2_APAC Productivity base on New AOP by quarter-0406_Sheet1" xfId="11812"/>
    <cellStyle name="_TOOLING AOP 2011_PL1-CB1- 2010 09 20ver2_APAC Productivity base on New AOP by quarter-0406_Sheet2" xfId="11813"/>
    <cellStyle name="_TOOLING AOP 2011_PL1-CB1- 2010 09 20ver2_APAC Productivity base on New AOP by quarter-0406_Sheet3" xfId="11814"/>
    <cellStyle name="_TOOLING AOP 2011_PL1-CB1- 2010 09 20ver2_APAC Productivity base on New AOP by quarter-0406_Sheet4" xfId="11815"/>
    <cellStyle name="_TOOLING AOP 2011_PL1-CB1- 2010 09 20ver2_APAC Quartertly'11 Productivity FC" xfId="11816"/>
    <cellStyle name="_TOOLING AOP 2011_PL1-CB1- 2010 09 20ver2_APAC Quartertly'11 Productivity FC 2" xfId="11817"/>
    <cellStyle name="_TOOLING AOP 2011_PL1-CB1- 2010 09 20ver2_APAC Quartertly'11 Productivity FC_BS retrieve" xfId="11818"/>
    <cellStyle name="_TOOLING AOP 2011_PL1-CB1- 2010 09 20ver2_APAC Quartertly'11 Productivity FC_Free CF" xfId="11819"/>
    <cellStyle name="_TOOLING AOP 2011_PL1-CB1- 2010 09 20ver2_APAC Quartertly'11 Productivity FC_P&amp;L Rec Qtr" xfId="11820"/>
    <cellStyle name="_TOOLING AOP 2011_PL1-CB1- 2010 09 20ver2_APAC Quartertly'11 Productivity FC_Sheet1" xfId="11821"/>
    <cellStyle name="_TOOLING AOP 2011_PL1-CB1- 2010 09 20ver2_APAC Quartertly'11 Productivity FC_Sheet2" xfId="11822"/>
    <cellStyle name="_TOOLING AOP 2011_PL1-CB1- 2010 09 20ver2_APAC Quartertly'11 Productivity FC_Sheet3" xfId="11823"/>
    <cellStyle name="_TOOLING AOP 2011_PL1-CB1- 2010 09 20ver2_APAC Quartertly'11 Productivity FC_Sheet4" xfId="11824"/>
    <cellStyle name="_TOOLING AOP 2011_PL1-CB1- 2010 09 20ver2_APAC_Productivity Quarter_9+3" xfId="11825"/>
    <cellStyle name="_TOOLING AOP 2011_PL1-CB1- 2010 09 20ver2_Carry-over Details-APAC-9+3" xfId="11826"/>
    <cellStyle name="_TOOLING AOP 2011_PL1-CB1- 2010 09 20ver2_CN01 Productivty_January" xfId="11827"/>
    <cellStyle name="_TOOLING AOP 2011_PL1-CB1- 2010 09 20ver2_CN01_Month ACT-FC" xfId="11828"/>
    <cellStyle name="_TOOLING AOP 2011_PL1-CB1- 2010 09 20ver2_Countries Productivity List" xfId="11829"/>
    <cellStyle name="_TOOLING AOP 2011_PL1-CB1- 2010 09 20ver2_Countries Productivity List 2" xfId="11830"/>
    <cellStyle name="_TOOLING AOP 2011_PL1-CB1- 2010 09 20ver2_Countries Productivity List_BS retrieve" xfId="11831"/>
    <cellStyle name="_TOOLING AOP 2011_PL1-CB1- 2010 09 20ver2_Countries Productivity List_Free CF" xfId="11832"/>
    <cellStyle name="_TOOLING AOP 2011_PL1-CB1- 2010 09 20ver2_Countries Productivity List_P&amp;L Rec Qtr" xfId="11833"/>
    <cellStyle name="_TOOLING AOP 2011_PL1-CB1- 2010 09 20ver2_Countries Productivity List_Sheet1" xfId="11834"/>
    <cellStyle name="_TOOLING AOP 2011_PL1-CB1- 2010 09 20ver2_Countries Productivity List_Sheet2" xfId="11835"/>
    <cellStyle name="_TOOLING AOP 2011_PL1-CB1- 2010 09 20ver2_Countries Productivity List_Sheet3" xfId="11836"/>
    <cellStyle name="_TOOLING AOP 2011_PL1-CB1- 2010 09 20ver2_Countries Productivity List_Sheet4" xfId="11837"/>
    <cellStyle name="_TOOLING AOP 2011_PL1-CB1- 2010 09 20ver2_data for presentation" xfId="11838"/>
    <cellStyle name="_Tooling page" xfId="11839"/>
    <cellStyle name="_Tooling page 2" xfId="11840"/>
    <cellStyle name="_Tooling page_BS retrieve" xfId="11841"/>
    <cellStyle name="_Tooling page_Free CF" xfId="11842"/>
    <cellStyle name="_Tooling page_P&amp;L Rec Qtr" xfId="11843"/>
    <cellStyle name="_Tooling page_Sheet1" xfId="11844"/>
    <cellStyle name="_Tooling page_Sheet2" xfId="11845"/>
    <cellStyle name="_Tooling page_Sheet3" xfId="11846"/>
    <cellStyle name="_Tooling page_Sheet4" xfId="11847"/>
    <cellStyle name="_Tooling_BS retrieve" xfId="11848"/>
    <cellStyle name="_Tooling_Free CF" xfId="11849"/>
    <cellStyle name="_Tooling_P&amp;L Rec Qtr" xfId="11850"/>
    <cellStyle name="_Tooling_Sheet1" xfId="11851"/>
    <cellStyle name="_Tooling_Sheet2" xfId="11852"/>
    <cellStyle name="_Tooling_Sheet3" xfId="11853"/>
    <cellStyle name="_Tooling_Sheet4" xfId="11854"/>
    <cellStyle name="_UTC - BAFO 3.51" xfId="11855"/>
    <cellStyle name="_UTC Opportunity Review 05.18.05" xfId="11856"/>
    <cellStyle name="_UTC Opportunity Review 05.18.05_BS_Separation_TaxResIndem_Q12412 tf" xfId="11857"/>
    <cellStyle name="_UTC Opportunity Review 05.18.05_BS_Separation_TaxResIndem_Q12412 tf_Restructuring &amp; Separation" xfId="11858"/>
    <cellStyle name="_UTC Opportunity Review 05.18.05_Deferred tax MarchFC 2011" xfId="11859"/>
    <cellStyle name="_UTC Opportunity Review 05.18.05_Deferred tax MarchFC 2011_BS_Separation_TaxResIndem_Q12412 tf" xfId="11860"/>
    <cellStyle name="_UTC Opportunity Review 05.18.05_Deferred tax MarchFC 2011_BS_Separation_TaxResIndem_Q12412 tf_Restructuring &amp; Separation" xfId="11861"/>
    <cellStyle name="_UTC Opportunity Review 05.18.05_Deferred tax MarchFC 2011_II.8. Sep&amp;Discrete" xfId="11862"/>
    <cellStyle name="_UTC Opportunity Review 05.18.05_Deferred tax MarchFC 2011_Restructuring &amp; Separation" xfId="11863"/>
    <cellStyle name="_UTC Opportunity Review 05.18.05_II.8. Sep&amp;Discrete" xfId="11864"/>
    <cellStyle name="_UTC Opportunity Review 05.18.05_Restructuring &amp; Separation" xfId="11865"/>
    <cellStyle name="_UTC Opportunity Review 05.18.05_Sheet1" xfId="11866"/>
    <cellStyle name="_UTC Opportunity Review 05.18.05_Sheet1_1" xfId="11867"/>
    <cellStyle name="_UTC Opportunity Review 05.18.05_Sheet1_1_Restructuring &amp; Separation" xfId="11868"/>
    <cellStyle name="_UTC Opportunity Review 05.18.05_Sheet1_BS_Separation_TaxResIndem_Q12412 tf" xfId="11869"/>
    <cellStyle name="_UTC Opportunity Review 05.18.05_Sheet1_BS_Separation_TaxResIndem_Q12412 tf_Restructuring &amp; Separation" xfId="11870"/>
    <cellStyle name="_UTC Opportunity Review 05.18.05_Sheet1_II.8. Sep&amp;Discrete" xfId="11871"/>
    <cellStyle name="_UTC Opportunity Review 05.18.05_Sheet1_Restructuring &amp; Separation" xfId="11872"/>
    <cellStyle name="_Warranty Tri Charts April'05" xfId="11873"/>
    <cellStyle name="_Warranty Tri Charts April'05_BS_Separation_TaxResIndem_Q12412 tf" xfId="11874"/>
    <cellStyle name="_Warranty Tri Charts April'05_BS_Separation_TaxResIndem_Q12412 tf_Restructuring &amp; Separation" xfId="11875"/>
    <cellStyle name="_Warranty Tri Charts April'05_By Country Detail 1Q10 041410pm FIN 18 revised per disc w Mary" xfId="11876"/>
    <cellStyle name="_Warranty Tri Charts April'05_By Country Detail 1Q10 041410pm FIN 18 revised per disc w Mary_BS_Separation_TaxResIndem_Q12412 tf" xfId="11877"/>
    <cellStyle name="_Warranty Tri Charts April'05_By Country Detail 1Q10 041410pm FIN 18 revised per disc w Mary_BS_Separation_TaxResIndem_Q12412 tf_Restructuring &amp; Separation" xfId="11878"/>
    <cellStyle name="_Warranty Tri Charts April'05_By Country Detail 1Q10 041410pm FIN 18 revised per disc w Mary_II.8. Sep&amp;Discrete" xfId="11879"/>
    <cellStyle name="_Warranty Tri Charts April'05_By Country Detail 1Q10 041410pm FIN 18 revised per disc w Mary_Restructuring &amp; Separation" xfId="11880"/>
    <cellStyle name="_Warranty Tri Charts April'05_II.4. RawMaterials" xfId="11881"/>
    <cellStyle name="_Warranty Tri Charts April'05_II.4. RawMaterials 2" xfId="11882"/>
    <cellStyle name="_Warranty Tri Charts April'05_II.4. RawMaterials_BS retrieve" xfId="11883"/>
    <cellStyle name="_Warranty Tri Charts April'05_II.4. RawMaterials_Free CF" xfId="11884"/>
    <cellStyle name="_Warranty Tri Charts April'05_II.4. RawMaterials_P&amp;L Rec Qtr" xfId="11885"/>
    <cellStyle name="_Warranty Tri Charts April'05_II.4. RawMaterials_Sheet1" xfId="11886"/>
    <cellStyle name="_Warranty Tri Charts April'05_II.4. RawMaterials_Sheet2" xfId="11887"/>
    <cellStyle name="_Warranty Tri Charts April'05_II.4. RawMaterials_Sheet3" xfId="11888"/>
    <cellStyle name="_Warranty Tri Charts April'05_II.4. RawMaterials_Sheet4" xfId="11889"/>
    <cellStyle name="_Warranty Tri Charts April'05_II.5. RawMaterials" xfId="11890"/>
    <cellStyle name="_Warranty Tri Charts April'05_II.5. RawMaterials 2" xfId="11891"/>
    <cellStyle name="_Warranty Tri Charts April'05_II.5. RawMaterials_BS retrieve" xfId="11892"/>
    <cellStyle name="_Warranty Tri Charts April'05_II.5. RawMaterials_Free CF" xfId="11893"/>
    <cellStyle name="_Warranty Tri Charts April'05_II.5. RawMaterials_P&amp;L Rec Qtr" xfId="11894"/>
    <cellStyle name="_Warranty Tri Charts April'05_II.5. RawMaterials_Sheet1" xfId="11895"/>
    <cellStyle name="_Warranty Tri Charts April'05_II.5. RawMaterials_Sheet2" xfId="11896"/>
    <cellStyle name="_Warranty Tri Charts April'05_II.5. RawMaterials_Sheet3" xfId="11897"/>
    <cellStyle name="_Warranty Tri Charts April'05_II.5. RawMaterials_Sheet4" xfId="11898"/>
    <cellStyle name="_Warranty Tri Charts April'05_II.5. RM Volume Sensitivities" xfId="11899"/>
    <cellStyle name="_Warranty Tri Charts April'05_II.5. RM Volume Sensitivities 2" xfId="11900"/>
    <cellStyle name="_Warranty Tri Charts April'05_II.5. RM Volume Sensitivities_BS retrieve" xfId="11901"/>
    <cellStyle name="_Warranty Tri Charts April'05_II.5. RM Volume Sensitivities_Free CF" xfId="11902"/>
    <cellStyle name="_Warranty Tri Charts April'05_II.5. RM Volume Sensitivities_P&amp;L Rec Qtr" xfId="11903"/>
    <cellStyle name="_Warranty Tri Charts April'05_II.5. RM Volume Sensitivities_Sheet1" xfId="11904"/>
    <cellStyle name="_Warranty Tri Charts April'05_II.5. RM Volume Sensitivities_Sheet2" xfId="11905"/>
    <cellStyle name="_Warranty Tri Charts April'05_II.5. RM Volume Sensitivities_Sheet3" xfId="11906"/>
    <cellStyle name="_Warranty Tri Charts April'05_II.5. RM Volume Sensitivities_Sheet4" xfId="11907"/>
    <cellStyle name="_Warranty Tri Charts April'05_II.8. Sep&amp;Discrete" xfId="11908"/>
    <cellStyle name="_Warranty Tri Charts April'05_Restructuring &amp; Separation" xfId="11909"/>
    <cellStyle name="_Warranty Tri Charts April'05_Restructuring_Separation_TAX_JuneFC2010 tf" xfId="11910"/>
    <cellStyle name="_Warranty Tri Charts April'05_Restructuring_Separation_TAX_JuneFC2010 tf_BS_Separation_TaxResIndem_Q12412 tf" xfId="11911"/>
    <cellStyle name="_Warranty Tri Charts April'05_Restructuring_Separation_TAX_JuneFC2010 tf_BS_Separation_TaxResIndem_Q12412 tf_Restructuring &amp; Separation" xfId="11912"/>
    <cellStyle name="_Warranty Tri Charts April'05_Restructuring_Separation_TAX_JuneFC2010 tf_II.8. Sep&amp;Discrete" xfId="11913"/>
    <cellStyle name="_Warranty Tri Charts April'05_Restructuring_Separation_TAX_JuneFC2010 tf_Restructuring &amp; Separation" xfId="11914"/>
    <cellStyle name="_Warranty Tri Charts Feb'05" xfId="11915"/>
    <cellStyle name="_Warranty Tri Charts Feb'05_BS_Separation_TaxResIndem_Q12412 tf" xfId="11916"/>
    <cellStyle name="_Warranty Tri Charts Feb'05_BS_Separation_TaxResIndem_Q12412 tf_Restructuring &amp; Separation" xfId="11917"/>
    <cellStyle name="_Warranty Tri Charts Feb'05_By Country Detail 1Q10 041410pm FIN 18 revised per disc w Mary" xfId="11918"/>
    <cellStyle name="_Warranty Tri Charts Feb'05_By Country Detail 1Q10 041410pm FIN 18 revised per disc w Mary_BS_Separation_TaxResIndem_Q12412 tf" xfId="11919"/>
    <cellStyle name="_Warranty Tri Charts Feb'05_By Country Detail 1Q10 041410pm FIN 18 revised per disc w Mary_BS_Separation_TaxResIndem_Q12412 tf_Restructuring &amp; Separation" xfId="11920"/>
    <cellStyle name="_Warranty Tri Charts Feb'05_By Country Detail 1Q10 041410pm FIN 18 revised per disc w Mary_II.8. Sep&amp;Discrete" xfId="11921"/>
    <cellStyle name="_Warranty Tri Charts Feb'05_By Country Detail 1Q10 041410pm FIN 18 revised per disc w Mary_Restructuring &amp; Separation" xfId="11922"/>
    <cellStyle name="_Warranty Tri Charts Feb'05_II.4. RawMaterials" xfId="11923"/>
    <cellStyle name="_Warranty Tri Charts Feb'05_II.4. RawMaterials 2" xfId="11924"/>
    <cellStyle name="_Warranty Tri Charts Feb'05_II.4. RawMaterials_BS retrieve" xfId="11925"/>
    <cellStyle name="_Warranty Tri Charts Feb'05_II.4. RawMaterials_Free CF" xfId="11926"/>
    <cellStyle name="_Warranty Tri Charts Feb'05_II.4. RawMaterials_P&amp;L Rec Qtr" xfId="11927"/>
    <cellStyle name="_Warranty Tri Charts Feb'05_II.4. RawMaterials_Sheet1" xfId="11928"/>
    <cellStyle name="_Warranty Tri Charts Feb'05_II.4. RawMaterials_Sheet2" xfId="11929"/>
    <cellStyle name="_Warranty Tri Charts Feb'05_II.4. RawMaterials_Sheet3" xfId="11930"/>
    <cellStyle name="_Warranty Tri Charts Feb'05_II.4. RawMaterials_Sheet4" xfId="11931"/>
    <cellStyle name="_Warranty Tri Charts Feb'05_II.5. RawMaterials" xfId="11932"/>
    <cellStyle name="_Warranty Tri Charts Feb'05_II.5. RawMaterials 2" xfId="11933"/>
    <cellStyle name="_Warranty Tri Charts Feb'05_II.5. RawMaterials_BS retrieve" xfId="11934"/>
    <cellStyle name="_Warranty Tri Charts Feb'05_II.5. RawMaterials_Free CF" xfId="11935"/>
    <cellStyle name="_Warranty Tri Charts Feb'05_II.5. RawMaterials_P&amp;L Rec Qtr" xfId="11936"/>
    <cellStyle name="_Warranty Tri Charts Feb'05_II.5. RawMaterials_Sheet1" xfId="11937"/>
    <cellStyle name="_Warranty Tri Charts Feb'05_II.5. RawMaterials_Sheet2" xfId="11938"/>
    <cellStyle name="_Warranty Tri Charts Feb'05_II.5. RawMaterials_Sheet3" xfId="11939"/>
    <cellStyle name="_Warranty Tri Charts Feb'05_II.5. RawMaterials_Sheet4" xfId="11940"/>
    <cellStyle name="_Warranty Tri Charts Feb'05_II.5. RM Volume Sensitivities" xfId="11941"/>
    <cellStyle name="_Warranty Tri Charts Feb'05_II.5. RM Volume Sensitivities 2" xfId="11942"/>
    <cellStyle name="_Warranty Tri Charts Feb'05_II.5. RM Volume Sensitivities_BS retrieve" xfId="11943"/>
    <cellStyle name="_Warranty Tri Charts Feb'05_II.5. RM Volume Sensitivities_Free CF" xfId="11944"/>
    <cellStyle name="_Warranty Tri Charts Feb'05_II.5. RM Volume Sensitivities_P&amp;L Rec Qtr" xfId="11945"/>
    <cellStyle name="_Warranty Tri Charts Feb'05_II.5. RM Volume Sensitivities_Sheet1" xfId="11946"/>
    <cellStyle name="_Warranty Tri Charts Feb'05_II.5. RM Volume Sensitivities_Sheet2" xfId="11947"/>
    <cellStyle name="_Warranty Tri Charts Feb'05_II.5. RM Volume Sensitivities_Sheet3" xfId="11948"/>
    <cellStyle name="_Warranty Tri Charts Feb'05_II.5. RM Volume Sensitivities_Sheet4" xfId="11949"/>
    <cellStyle name="_Warranty Tri Charts Feb'05_II.8. Sep&amp;Discrete" xfId="11950"/>
    <cellStyle name="_Warranty Tri Charts Feb'05_Restructuring &amp; Separation" xfId="11951"/>
    <cellStyle name="_Warranty Tri Charts Feb'05_Restructuring_Separation_TAX_JuneFC2010 tf" xfId="11952"/>
    <cellStyle name="_Warranty Tri Charts Feb'05_Restructuring_Separation_TAX_JuneFC2010 tf_BS_Separation_TaxResIndem_Q12412 tf" xfId="11953"/>
    <cellStyle name="_Warranty Tri Charts Feb'05_Restructuring_Separation_TAX_JuneFC2010 tf_BS_Separation_TaxResIndem_Q12412 tf_Restructuring &amp; Separation" xfId="11954"/>
    <cellStyle name="_Warranty Tri Charts Feb'05_Restructuring_Separation_TAX_JuneFC2010 tf_II.8. Sep&amp;Discrete" xfId="11955"/>
    <cellStyle name="_Warranty Tri Charts Feb'05_Restructuring_Separation_TAX_JuneFC2010 tf_Restructuring &amp; Separation" xfId="11956"/>
    <cellStyle name="_Warranty Tri Charts Jan'05" xfId="11957"/>
    <cellStyle name="_Warranty Tri Charts Jan'05_BS_Separation_TaxResIndem_Q12412 tf" xfId="11958"/>
    <cellStyle name="_Warranty Tri Charts Jan'05_BS_Separation_TaxResIndem_Q12412 tf_Restructuring &amp; Separation" xfId="11959"/>
    <cellStyle name="_Warranty Tri Charts Jan'05_By Country Detail 1Q10 041410pm FIN 18 revised per disc w Mary" xfId="11960"/>
    <cellStyle name="_Warranty Tri Charts Jan'05_By Country Detail 1Q10 041410pm FIN 18 revised per disc w Mary_BS_Separation_TaxResIndem_Q12412 tf" xfId="11961"/>
    <cellStyle name="_Warranty Tri Charts Jan'05_By Country Detail 1Q10 041410pm FIN 18 revised per disc w Mary_BS_Separation_TaxResIndem_Q12412 tf_Restructuring &amp; Separation" xfId="11962"/>
    <cellStyle name="_Warranty Tri Charts Jan'05_By Country Detail 1Q10 041410pm FIN 18 revised per disc w Mary_II.8. Sep&amp;Discrete" xfId="11963"/>
    <cellStyle name="_Warranty Tri Charts Jan'05_By Country Detail 1Q10 041410pm FIN 18 revised per disc w Mary_Restructuring &amp; Separation" xfId="11964"/>
    <cellStyle name="_Warranty Tri Charts Jan'05_II.4. RawMaterials" xfId="11965"/>
    <cellStyle name="_Warranty Tri Charts Jan'05_II.4. RawMaterials 2" xfId="11966"/>
    <cellStyle name="_Warranty Tri Charts Jan'05_II.4. RawMaterials_BS retrieve" xfId="11967"/>
    <cellStyle name="_Warranty Tri Charts Jan'05_II.4. RawMaterials_Free CF" xfId="11968"/>
    <cellStyle name="_Warranty Tri Charts Jan'05_II.4. RawMaterials_P&amp;L Rec Qtr" xfId="11969"/>
    <cellStyle name="_Warranty Tri Charts Jan'05_II.4. RawMaterials_Sheet1" xfId="11970"/>
    <cellStyle name="_Warranty Tri Charts Jan'05_II.4. RawMaterials_Sheet2" xfId="11971"/>
    <cellStyle name="_Warranty Tri Charts Jan'05_II.4. RawMaterials_Sheet3" xfId="11972"/>
    <cellStyle name="_Warranty Tri Charts Jan'05_II.4. RawMaterials_Sheet4" xfId="11973"/>
    <cellStyle name="_Warranty Tri Charts Jan'05_II.5. RawMaterials" xfId="11974"/>
    <cellStyle name="_Warranty Tri Charts Jan'05_II.5. RawMaterials 2" xfId="11975"/>
    <cellStyle name="_Warranty Tri Charts Jan'05_II.5. RawMaterials_BS retrieve" xfId="11976"/>
    <cellStyle name="_Warranty Tri Charts Jan'05_II.5. RawMaterials_Free CF" xfId="11977"/>
    <cellStyle name="_Warranty Tri Charts Jan'05_II.5. RawMaterials_P&amp;L Rec Qtr" xfId="11978"/>
    <cellStyle name="_Warranty Tri Charts Jan'05_II.5. RawMaterials_Sheet1" xfId="11979"/>
    <cellStyle name="_Warranty Tri Charts Jan'05_II.5. RawMaterials_Sheet2" xfId="11980"/>
    <cellStyle name="_Warranty Tri Charts Jan'05_II.5. RawMaterials_Sheet3" xfId="11981"/>
    <cellStyle name="_Warranty Tri Charts Jan'05_II.5. RawMaterials_Sheet4" xfId="11982"/>
    <cellStyle name="_Warranty Tri Charts Jan'05_II.5. RM Volume Sensitivities" xfId="11983"/>
    <cellStyle name="_Warranty Tri Charts Jan'05_II.5. RM Volume Sensitivities 2" xfId="11984"/>
    <cellStyle name="_Warranty Tri Charts Jan'05_II.5. RM Volume Sensitivities_BS retrieve" xfId="11985"/>
    <cellStyle name="_Warranty Tri Charts Jan'05_II.5. RM Volume Sensitivities_Free CF" xfId="11986"/>
    <cellStyle name="_Warranty Tri Charts Jan'05_II.5. RM Volume Sensitivities_P&amp;L Rec Qtr" xfId="11987"/>
    <cellStyle name="_Warranty Tri Charts Jan'05_II.5. RM Volume Sensitivities_Sheet1" xfId="11988"/>
    <cellStyle name="_Warranty Tri Charts Jan'05_II.5. RM Volume Sensitivities_Sheet2" xfId="11989"/>
    <cellStyle name="_Warranty Tri Charts Jan'05_II.5. RM Volume Sensitivities_Sheet3" xfId="11990"/>
    <cellStyle name="_Warranty Tri Charts Jan'05_II.5. RM Volume Sensitivities_Sheet4" xfId="11991"/>
    <cellStyle name="_Warranty Tri Charts Jan'05_II.8. Sep&amp;Discrete" xfId="11992"/>
    <cellStyle name="_Warranty Tri Charts Jan'05_Restructuring &amp; Separation" xfId="11993"/>
    <cellStyle name="_Warranty Tri Charts Jan'05_Restructuring_Separation_TAX_JuneFC2010 tf" xfId="11994"/>
    <cellStyle name="_Warranty Tri Charts Jan'05_Restructuring_Separation_TAX_JuneFC2010 tf_BS_Separation_TaxResIndem_Q12412 tf" xfId="11995"/>
    <cellStyle name="_Warranty Tri Charts Jan'05_Restructuring_Separation_TAX_JuneFC2010 tf_BS_Separation_TaxResIndem_Q12412 tf_Restructuring &amp; Separation" xfId="11996"/>
    <cellStyle name="_Warranty Tri Charts Jan'05_Restructuring_Separation_TAX_JuneFC2010 tf_II.8. Sep&amp;Discrete" xfId="11997"/>
    <cellStyle name="_Warranty Tri Charts Jan'05_Restructuring_Separation_TAX_JuneFC2010 tf_Restructuring &amp; Separation" xfId="11998"/>
    <cellStyle name="_Warranty Tri Charts Mar '05" xfId="11999"/>
    <cellStyle name="_Warranty Tri Charts Mar '05_BS_Separation_TaxResIndem_Q12412 tf" xfId="12000"/>
    <cellStyle name="_Warranty Tri Charts Mar '05_BS_Separation_TaxResIndem_Q12412 tf_Restructuring &amp; Separation" xfId="12001"/>
    <cellStyle name="_Warranty Tri Charts Mar '05_By Country Detail 1Q10 041410pm FIN 18 revised per disc w Mary" xfId="12002"/>
    <cellStyle name="_Warranty Tri Charts Mar '05_By Country Detail 1Q10 041410pm FIN 18 revised per disc w Mary_BS_Separation_TaxResIndem_Q12412 tf" xfId="12003"/>
    <cellStyle name="_Warranty Tri Charts Mar '05_By Country Detail 1Q10 041410pm FIN 18 revised per disc w Mary_BS_Separation_TaxResIndem_Q12412 tf_Restructuring &amp; Separation" xfId="12004"/>
    <cellStyle name="_Warranty Tri Charts Mar '05_By Country Detail 1Q10 041410pm FIN 18 revised per disc w Mary_II.8. Sep&amp;Discrete" xfId="12005"/>
    <cellStyle name="_Warranty Tri Charts Mar '05_By Country Detail 1Q10 041410pm FIN 18 revised per disc w Mary_Restructuring &amp; Separation" xfId="12006"/>
    <cellStyle name="_Warranty Tri Charts Mar '05_II.4. RawMaterials" xfId="12007"/>
    <cellStyle name="_Warranty Tri Charts Mar '05_II.4. RawMaterials 2" xfId="12008"/>
    <cellStyle name="_Warranty Tri Charts Mar '05_II.4. RawMaterials_BS retrieve" xfId="12009"/>
    <cellStyle name="_Warranty Tri Charts Mar '05_II.4. RawMaterials_Free CF" xfId="12010"/>
    <cellStyle name="_Warranty Tri Charts Mar '05_II.4. RawMaterials_P&amp;L Rec Qtr" xfId="12011"/>
    <cellStyle name="_Warranty Tri Charts Mar '05_II.4. RawMaterials_Sheet1" xfId="12012"/>
    <cellStyle name="_Warranty Tri Charts Mar '05_II.4. RawMaterials_Sheet2" xfId="12013"/>
    <cellStyle name="_Warranty Tri Charts Mar '05_II.4. RawMaterials_Sheet3" xfId="12014"/>
    <cellStyle name="_Warranty Tri Charts Mar '05_II.4. RawMaterials_Sheet4" xfId="12015"/>
    <cellStyle name="_Warranty Tri Charts Mar '05_II.5. RawMaterials" xfId="12016"/>
    <cellStyle name="_Warranty Tri Charts Mar '05_II.5. RawMaterials 2" xfId="12017"/>
    <cellStyle name="_Warranty Tri Charts Mar '05_II.5. RawMaterials_BS retrieve" xfId="12018"/>
    <cellStyle name="_Warranty Tri Charts Mar '05_II.5. RawMaterials_Free CF" xfId="12019"/>
    <cellStyle name="_Warranty Tri Charts Mar '05_II.5. RawMaterials_P&amp;L Rec Qtr" xfId="12020"/>
    <cellStyle name="_Warranty Tri Charts Mar '05_II.5. RawMaterials_Sheet1" xfId="12021"/>
    <cellStyle name="_Warranty Tri Charts Mar '05_II.5. RawMaterials_Sheet2" xfId="12022"/>
    <cellStyle name="_Warranty Tri Charts Mar '05_II.5. RawMaterials_Sheet3" xfId="12023"/>
    <cellStyle name="_Warranty Tri Charts Mar '05_II.5. RawMaterials_Sheet4" xfId="12024"/>
    <cellStyle name="_Warranty Tri Charts Mar '05_II.5. RM Volume Sensitivities" xfId="12025"/>
    <cellStyle name="_Warranty Tri Charts Mar '05_II.5. RM Volume Sensitivities 2" xfId="12026"/>
    <cellStyle name="_Warranty Tri Charts Mar '05_II.5. RM Volume Sensitivities_BS retrieve" xfId="12027"/>
    <cellStyle name="_Warranty Tri Charts Mar '05_II.5. RM Volume Sensitivities_Free CF" xfId="12028"/>
    <cellStyle name="_Warranty Tri Charts Mar '05_II.5. RM Volume Sensitivities_P&amp;L Rec Qtr" xfId="12029"/>
    <cellStyle name="_Warranty Tri Charts Mar '05_II.5. RM Volume Sensitivities_Sheet1" xfId="12030"/>
    <cellStyle name="_Warranty Tri Charts Mar '05_II.5. RM Volume Sensitivities_Sheet2" xfId="12031"/>
    <cellStyle name="_Warranty Tri Charts Mar '05_II.5. RM Volume Sensitivities_Sheet3" xfId="12032"/>
    <cellStyle name="_Warranty Tri Charts Mar '05_II.5. RM Volume Sensitivities_Sheet4" xfId="12033"/>
    <cellStyle name="_Warranty Tri Charts Mar '05_II.8. Sep&amp;Discrete" xfId="12034"/>
    <cellStyle name="_Warranty Tri Charts Mar '05_Restructuring &amp; Separation" xfId="12035"/>
    <cellStyle name="_Warranty Tri Charts Mar '05_Restructuring_Separation_TAX_JuneFC2010 tf" xfId="12036"/>
    <cellStyle name="_Warranty Tri Charts Mar '05_Restructuring_Separation_TAX_JuneFC2010 tf_BS_Separation_TaxResIndem_Q12412 tf" xfId="12037"/>
    <cellStyle name="_Warranty Tri Charts Mar '05_Restructuring_Separation_TAX_JuneFC2010 tf_BS_Separation_TaxResIndem_Q12412 tf_Restructuring &amp; Separation" xfId="12038"/>
    <cellStyle name="_Warranty Tri Charts Mar '05_Restructuring_Separation_TAX_JuneFC2010 tf_II.8. Sep&amp;Discrete" xfId="12039"/>
    <cellStyle name="_Warranty Tri Charts Mar '05_Restructuring_Separation_TAX_JuneFC2010 tf_Restructuring &amp; Separation" xfId="12040"/>
    <cellStyle name="_Warranty Tri Charts Mar'05" xfId="12041"/>
    <cellStyle name="_Warranty Tri Charts Mar'05_BS_Separation_TaxResIndem_Q12412 tf" xfId="12042"/>
    <cellStyle name="_Warranty Tri Charts Mar'05_BS_Separation_TaxResIndem_Q12412 tf_Restructuring &amp; Separation" xfId="12043"/>
    <cellStyle name="_Warranty Tri Charts Mar'05_By Country Detail 1Q10 041410pm FIN 18 revised per disc w Mary" xfId="12044"/>
    <cellStyle name="_Warranty Tri Charts Mar'05_By Country Detail 1Q10 041410pm FIN 18 revised per disc w Mary_BS_Separation_TaxResIndem_Q12412 tf" xfId="12045"/>
    <cellStyle name="_Warranty Tri Charts Mar'05_By Country Detail 1Q10 041410pm FIN 18 revised per disc w Mary_BS_Separation_TaxResIndem_Q12412 tf_Restructuring &amp; Separation" xfId="12046"/>
    <cellStyle name="_Warranty Tri Charts Mar'05_By Country Detail 1Q10 041410pm FIN 18 revised per disc w Mary_II.8. Sep&amp;Discrete" xfId="12047"/>
    <cellStyle name="_Warranty Tri Charts Mar'05_By Country Detail 1Q10 041410pm FIN 18 revised per disc w Mary_Restructuring &amp; Separation" xfId="12048"/>
    <cellStyle name="_Warranty Tri Charts Mar'05_II.4. RawMaterials" xfId="12049"/>
    <cellStyle name="_Warranty Tri Charts Mar'05_II.4. RawMaterials 2" xfId="12050"/>
    <cellStyle name="_Warranty Tri Charts Mar'05_II.4. RawMaterials_BS retrieve" xfId="12051"/>
    <cellStyle name="_Warranty Tri Charts Mar'05_II.4. RawMaterials_Free CF" xfId="12052"/>
    <cellStyle name="_Warranty Tri Charts Mar'05_II.4. RawMaterials_P&amp;L Rec Qtr" xfId="12053"/>
    <cellStyle name="_Warranty Tri Charts Mar'05_II.4. RawMaterials_Sheet1" xfId="12054"/>
    <cellStyle name="_Warranty Tri Charts Mar'05_II.4. RawMaterials_Sheet2" xfId="12055"/>
    <cellStyle name="_Warranty Tri Charts Mar'05_II.4. RawMaterials_Sheet3" xfId="12056"/>
    <cellStyle name="_Warranty Tri Charts Mar'05_II.4. RawMaterials_Sheet4" xfId="12057"/>
    <cellStyle name="_Warranty Tri Charts Mar'05_II.5. RawMaterials" xfId="12058"/>
    <cellStyle name="_Warranty Tri Charts Mar'05_II.5. RawMaterials 2" xfId="12059"/>
    <cellStyle name="_Warranty Tri Charts Mar'05_II.5. RawMaterials_BS retrieve" xfId="12060"/>
    <cellStyle name="_Warranty Tri Charts Mar'05_II.5. RawMaterials_Free CF" xfId="12061"/>
    <cellStyle name="_Warranty Tri Charts Mar'05_II.5. RawMaterials_P&amp;L Rec Qtr" xfId="12062"/>
    <cellStyle name="_Warranty Tri Charts Mar'05_II.5. RawMaterials_Sheet1" xfId="12063"/>
    <cellStyle name="_Warranty Tri Charts Mar'05_II.5. RawMaterials_Sheet2" xfId="12064"/>
    <cellStyle name="_Warranty Tri Charts Mar'05_II.5. RawMaterials_Sheet3" xfId="12065"/>
    <cellStyle name="_Warranty Tri Charts Mar'05_II.5. RawMaterials_Sheet4" xfId="12066"/>
    <cellStyle name="_Warranty Tri Charts Mar'05_II.5. RM Volume Sensitivities" xfId="12067"/>
    <cellStyle name="_Warranty Tri Charts Mar'05_II.5. RM Volume Sensitivities 2" xfId="12068"/>
    <cellStyle name="_Warranty Tri Charts Mar'05_II.5. RM Volume Sensitivities_BS retrieve" xfId="12069"/>
    <cellStyle name="_Warranty Tri Charts Mar'05_II.5. RM Volume Sensitivities_Free CF" xfId="12070"/>
    <cellStyle name="_Warranty Tri Charts Mar'05_II.5. RM Volume Sensitivities_P&amp;L Rec Qtr" xfId="12071"/>
    <cellStyle name="_Warranty Tri Charts Mar'05_II.5. RM Volume Sensitivities_Sheet1" xfId="12072"/>
    <cellStyle name="_Warranty Tri Charts Mar'05_II.5. RM Volume Sensitivities_Sheet2" xfId="12073"/>
    <cellStyle name="_Warranty Tri Charts Mar'05_II.5. RM Volume Sensitivities_Sheet3" xfId="12074"/>
    <cellStyle name="_Warranty Tri Charts Mar'05_II.5. RM Volume Sensitivities_Sheet4" xfId="12075"/>
    <cellStyle name="_Warranty Tri Charts Mar'05_II.8. Sep&amp;Discrete" xfId="12076"/>
    <cellStyle name="_Warranty Tri Charts Mar'05_Restructuring &amp; Separation" xfId="12077"/>
    <cellStyle name="_Warranty Tri Charts Mar'05_Restructuring_Separation_TAX_JuneFC2010 tf" xfId="12078"/>
    <cellStyle name="_Warranty Tri Charts Mar'05_Restructuring_Separation_TAX_JuneFC2010 tf_BS_Separation_TaxResIndem_Q12412 tf" xfId="12079"/>
    <cellStyle name="_Warranty Tri Charts Mar'05_Restructuring_Separation_TAX_JuneFC2010 tf_BS_Separation_TaxResIndem_Q12412 tf_Restructuring &amp; Separation" xfId="12080"/>
    <cellStyle name="_Warranty Tri Charts Mar'05_Restructuring_Separation_TAX_JuneFC2010 tf_II.8. Sep&amp;Discrete" xfId="12081"/>
    <cellStyle name="_Warranty Tri Charts Mar'05_Restructuring_Separation_TAX_JuneFC2010 tf_Restructuring &amp; Separation" xfId="12082"/>
    <cellStyle name="_WBC_(Last Upt. Dec)_v7" xfId="12083"/>
    <cellStyle name="_WBC_(Last Upt. Dec)_v7_BS_Separation_TaxResIndem_Q12412 tf" xfId="12084"/>
    <cellStyle name="_WBC_(Last Upt. Dec)_v7_BS_Separation_TaxResIndem_Q12412 tf_Restructuring &amp; Separation" xfId="12085"/>
    <cellStyle name="_WBC_(Last Upt. Dec)_v7_By Country Detail 1Q10 041410pm FIN 18 revised per disc w Mary" xfId="12086"/>
    <cellStyle name="_WBC_(Last Upt. Dec)_v7_By Country Detail 1Q10 041410pm FIN 18 revised per disc w Mary_BS_Separation_TaxResIndem_Q12412 tf" xfId="12087"/>
    <cellStyle name="_WBC_(Last Upt. Dec)_v7_By Country Detail 1Q10 041410pm FIN 18 revised per disc w Mary_BS_Separation_TaxResIndem_Q12412 tf_Restructuring &amp; Separation" xfId="12088"/>
    <cellStyle name="_WBC_(Last Upt. Dec)_v7_By Country Detail 1Q10 041410pm FIN 18 revised per disc w Mary_II.8. Sep&amp;Discrete" xfId="12089"/>
    <cellStyle name="_WBC_(Last Upt. Dec)_v7_By Country Detail 1Q10 041410pm FIN 18 revised per disc w Mary_Restructuring &amp; Separation" xfId="12090"/>
    <cellStyle name="_WBC_(Last Upt. Dec)_v7_II.4. RawMaterials" xfId="12091"/>
    <cellStyle name="_WBC_(Last Upt. Dec)_v7_II.4. RawMaterials 2" xfId="12092"/>
    <cellStyle name="_WBC_(Last Upt. Dec)_v7_II.4. RawMaterials_BS retrieve" xfId="12093"/>
    <cellStyle name="_WBC_(Last Upt. Dec)_v7_II.4. RawMaterials_Free CF" xfId="12094"/>
    <cellStyle name="_WBC_(Last Upt. Dec)_v7_II.4. RawMaterials_P&amp;L Rec Qtr" xfId="12095"/>
    <cellStyle name="_WBC_(Last Upt. Dec)_v7_II.4. RawMaterials_Sheet1" xfId="12096"/>
    <cellStyle name="_WBC_(Last Upt. Dec)_v7_II.4. RawMaterials_Sheet2" xfId="12097"/>
    <cellStyle name="_WBC_(Last Upt. Dec)_v7_II.4. RawMaterials_Sheet3" xfId="12098"/>
    <cellStyle name="_WBC_(Last Upt. Dec)_v7_II.4. RawMaterials_Sheet4" xfId="12099"/>
    <cellStyle name="_WBC_(Last Upt. Dec)_v7_II.5. RawMaterials" xfId="12100"/>
    <cellStyle name="_WBC_(Last Upt. Dec)_v7_II.5. RawMaterials 2" xfId="12101"/>
    <cellStyle name="_WBC_(Last Upt. Dec)_v7_II.5. RawMaterials_BS retrieve" xfId="12102"/>
    <cellStyle name="_WBC_(Last Upt. Dec)_v7_II.5. RawMaterials_Free CF" xfId="12103"/>
    <cellStyle name="_WBC_(Last Upt. Dec)_v7_II.5. RawMaterials_P&amp;L Rec Qtr" xfId="12104"/>
    <cellStyle name="_WBC_(Last Upt. Dec)_v7_II.5. RawMaterials_Sheet1" xfId="12105"/>
    <cellStyle name="_WBC_(Last Upt. Dec)_v7_II.5. RawMaterials_Sheet2" xfId="12106"/>
    <cellStyle name="_WBC_(Last Upt. Dec)_v7_II.5. RawMaterials_Sheet3" xfId="12107"/>
    <cellStyle name="_WBC_(Last Upt. Dec)_v7_II.5. RawMaterials_Sheet4" xfId="12108"/>
    <cellStyle name="_WBC_(Last Upt. Dec)_v7_II.5. RM Volume Sensitivities" xfId="12109"/>
    <cellStyle name="_WBC_(Last Upt. Dec)_v7_II.5. RM Volume Sensitivities 2" xfId="12110"/>
    <cellStyle name="_WBC_(Last Upt. Dec)_v7_II.5. RM Volume Sensitivities_BS retrieve" xfId="12111"/>
    <cellStyle name="_WBC_(Last Upt. Dec)_v7_II.5. RM Volume Sensitivities_Free CF" xfId="12112"/>
    <cellStyle name="_WBC_(Last Upt. Dec)_v7_II.5. RM Volume Sensitivities_P&amp;L Rec Qtr" xfId="12113"/>
    <cellStyle name="_WBC_(Last Upt. Dec)_v7_II.5. RM Volume Sensitivities_Sheet1" xfId="12114"/>
    <cellStyle name="_WBC_(Last Upt. Dec)_v7_II.5. RM Volume Sensitivities_Sheet2" xfId="12115"/>
    <cellStyle name="_WBC_(Last Upt. Dec)_v7_II.5. RM Volume Sensitivities_Sheet3" xfId="12116"/>
    <cellStyle name="_WBC_(Last Upt. Dec)_v7_II.5. RM Volume Sensitivities_Sheet4" xfId="12117"/>
    <cellStyle name="_WBC_(Last Upt. Dec)_v7_II.8. Sep&amp;Discrete" xfId="12118"/>
    <cellStyle name="_WBC_(Last Upt. Dec)_v7_Restructuring &amp; Separation" xfId="12119"/>
    <cellStyle name="_WBC_(Last Upt. Dec)_v7_Restructuring_Separation_TAX_JuneFC2010 tf" xfId="12120"/>
    <cellStyle name="_WBC_(Last Upt. Dec)_v7_Restructuring_Separation_TAX_JuneFC2010 tf_BS_Separation_TaxResIndem_Q12412 tf" xfId="12121"/>
    <cellStyle name="_WBC_(Last Upt. Dec)_v7_Restructuring_Separation_TAX_JuneFC2010 tf_BS_Separation_TaxResIndem_Q12412 tf_Restructuring &amp; Separation" xfId="12122"/>
    <cellStyle name="_WBC_(Last Upt. Dec)_v7_Restructuring_Separation_TAX_JuneFC2010 tf_II.8. Sep&amp;Discrete" xfId="12123"/>
    <cellStyle name="_WBC_(Last Upt. Dec)_v7_Restructuring_Separation_TAX_JuneFC2010 tf_Restructuring &amp; Separation" xfId="12124"/>
    <cellStyle name="_WRE OTHER" xfId="12125"/>
    <cellStyle name="_WRE OTHER_BS_Separation_TaxResIndem_Q12412 tf" xfId="12126"/>
    <cellStyle name="_WRE OTHER_BS_Separation_TaxResIndem_Q12412 tf_Restructuring &amp; Separation" xfId="12127"/>
    <cellStyle name="_WRE OTHER_II.8. Sep&amp;Discrete" xfId="12128"/>
    <cellStyle name="_WRE OTHER_Restructuring &amp; Separation" xfId="12129"/>
    <cellStyle name="_WRE OTHER_Sheet1" xfId="12130"/>
    <cellStyle name="_WRE OTHER_Sheet1_1" xfId="12131"/>
    <cellStyle name="_WRE OTHER_Sheet1_1_Restructuring &amp; Separation" xfId="12132"/>
    <cellStyle name="_WRE OTHER_Sheet1_BS_Separation_TaxResIndem_Q12412 tf" xfId="12133"/>
    <cellStyle name="_WRE OTHER_Sheet1_BS_Separation_TaxResIndem_Q12412 tf_Restructuring &amp; Separation" xfId="12134"/>
    <cellStyle name="_WRE OTHER_Sheet1_II.8. Sep&amp;Discrete" xfId="12135"/>
    <cellStyle name="_WRE OTHER_Sheet1_Restructuring &amp; Separation" xfId="12136"/>
    <cellStyle name="_外协调价表" xfId="12137"/>
    <cellStyle name="¿­¾î º» ÇÏÀÌÆÛ¸µÅ©" xfId="12138"/>
    <cellStyle name="¢¯¡©¨ú? ¨¬? ????¨¡?¢¬???" xfId="12139"/>
    <cellStyle name="¤@¯ë_HAN009" xfId="12140"/>
    <cellStyle name="÷×ü§ [0.00]_Revised MOR4" xfId="12141"/>
    <cellStyle name="0,0_x000d__x000a_NA_x000d__x000a_" xfId="12142"/>
    <cellStyle name="0,0_x000d__x000a_NA_x000d__x000a_ 2" xfId="12143"/>
    <cellStyle name="1000s (0)" xfId="12144"/>
    <cellStyle name="20% - ?????? 1oft\Sh" xfId="12145"/>
    <cellStyle name="20% - ?????? 1oft\Sh 2" xfId="12146"/>
    <cellStyle name="20% - ?????? 1oft\Sh 2 2" xfId="12147"/>
    <cellStyle name="20% - ?????? 1oft\Sh 3" xfId="12148"/>
    <cellStyle name="20% - ?????? 1oft\Sh 3 2" xfId="12149"/>
    <cellStyle name="20% - ?????? 1oft\Sh 3 3" xfId="12150"/>
    <cellStyle name="20% - ?????? 1oft\Sh 4" xfId="12151"/>
    <cellStyle name="20% - ?????? 1oft\Sh 4 2" xfId="12152"/>
    <cellStyle name="20% - ?????? 2oft\Sh" xfId="12153"/>
    <cellStyle name="20% - ?????? 2oft\Sh 2" xfId="12154"/>
    <cellStyle name="20% - ?????? 2oft\Sh 2 2" xfId="12155"/>
    <cellStyle name="20% - ?????? 2oft\Sh 3" xfId="12156"/>
    <cellStyle name="20% - ?????? 2oft\Sh 3 2" xfId="12157"/>
    <cellStyle name="20% - ?????? 2oft\Sh 3 3" xfId="12158"/>
    <cellStyle name="20% - ?????? 2oft\Sh 4" xfId="12159"/>
    <cellStyle name="20% - ?????? 2oft\Sh 5" xfId="12160"/>
    <cellStyle name="20% - ?????? 3oft\Sh" xfId="12161"/>
    <cellStyle name="20% - ?????? 3oft\Sh 2" xfId="12162"/>
    <cellStyle name="20% - ?????? 3oft\Sh 2 2" xfId="12163"/>
    <cellStyle name="20% - ?????? 3oft\Sh 3" xfId="12164"/>
    <cellStyle name="20% - ?????? 3oft\Sh 3 2" xfId="12165"/>
    <cellStyle name="20% - ?????? 3oft\Sh 3 3" xfId="12166"/>
    <cellStyle name="20% - ?????? 3oft\Sh 4" xfId="12167"/>
    <cellStyle name="20% - ?????? 3oft\Sh 4 2" xfId="12168"/>
    <cellStyle name="20% - ?????? 4oft\Sh" xfId="12169"/>
    <cellStyle name="20% - ?????? 4oft\Sh 2" xfId="12170"/>
    <cellStyle name="20% - ?????? 4oft\Sh 2 2" xfId="12171"/>
    <cellStyle name="20% - ?????? 4oft\Sh 3" xfId="12172"/>
    <cellStyle name="20% - ?????? 4oft\Sh 3 2" xfId="12173"/>
    <cellStyle name="20% - ?????? 4oft\Sh 3 3" xfId="12174"/>
    <cellStyle name="20% - ?????? 4oft\Sh 4" xfId="12175"/>
    <cellStyle name="20% - ?????? 4oft\Sh 4 2" xfId="12176"/>
    <cellStyle name="20% - ?????? 5oft\Sh" xfId="12177"/>
    <cellStyle name="20% - ?????? 5oft\Sh 2" xfId="12178"/>
    <cellStyle name="20% - ?????? 5oft\Sh 2 2" xfId="12179"/>
    <cellStyle name="20% - ?????? 5oft\Sh 3" xfId="12180"/>
    <cellStyle name="20% - ?????? 5oft\Sh 3 2" xfId="12181"/>
    <cellStyle name="20% - ?????? 5oft\Sh 3 3" xfId="12182"/>
    <cellStyle name="20% - ?????? 5oft\Sh 4" xfId="12183"/>
    <cellStyle name="20% - ?????? 5oft\Sh 4 2" xfId="12184"/>
    <cellStyle name="20% - ?????? 6oft\Sh" xfId="12185"/>
    <cellStyle name="20% - ?????? 6oft\Sh 2" xfId="12186"/>
    <cellStyle name="20% - ?????? 6oft\Sh 2 2" xfId="12187"/>
    <cellStyle name="20% - ?????? 6oft\Sh 3" xfId="12188"/>
    <cellStyle name="20% - ?????? 6oft\Sh 3 2" xfId="12189"/>
    <cellStyle name="20% - ?????? 6oft\Sh 3 3" xfId="12190"/>
    <cellStyle name="20% - ?????? 6oft\Sh 4" xfId="12191"/>
    <cellStyle name="20% - ?????? 6oft\Sh 4 2" xfId="12192"/>
    <cellStyle name="20% - ???1nt6" xfId="12193"/>
    <cellStyle name="20% - ???1nt6 2" xfId="12194"/>
    <cellStyle name="20% - ???1nt6 3" xfId="12195"/>
    <cellStyle name="20% - ???1nt6 3 2" xfId="12196"/>
    <cellStyle name="20% - ???1nt6 3 3" xfId="12197"/>
    <cellStyle name="20% - ???1nt6 4" xfId="12198"/>
    <cellStyle name="20% - ???2nt6" xfId="12199"/>
    <cellStyle name="20% - ???2nt6 2" xfId="12200"/>
    <cellStyle name="20% - ???2nt6 3" xfId="12201"/>
    <cellStyle name="20% - ???2nt6 3 2" xfId="12202"/>
    <cellStyle name="20% - ???2nt6 4" xfId="12203"/>
    <cellStyle name="20% - ???2nt6 5" xfId="12204"/>
    <cellStyle name="20% - ???3nt6" xfId="12205"/>
    <cellStyle name="20% - ???3nt6 2" xfId="12206"/>
    <cellStyle name="20% - ???3nt6 3" xfId="12207"/>
    <cellStyle name="20% - ???3nt6 3 2" xfId="12208"/>
    <cellStyle name="20% - ???3nt6 3 3" xfId="12209"/>
    <cellStyle name="20% - ???3nt6 4" xfId="12210"/>
    <cellStyle name="20% - ???4nt6" xfId="12211"/>
    <cellStyle name="20% - ???4nt6 2" xfId="12212"/>
    <cellStyle name="20% - ???4nt6 3" xfId="12213"/>
    <cellStyle name="20% - ???4nt6 3 2" xfId="12214"/>
    <cellStyle name="20% - ???4nt6 4" xfId="12215"/>
    <cellStyle name="20% - ???5nt6" xfId="12216"/>
    <cellStyle name="20% - ???5nt6 2" xfId="12217"/>
    <cellStyle name="20% - ???5nt6 3" xfId="12218"/>
    <cellStyle name="20% - ???5nt6 3 2" xfId="12219"/>
    <cellStyle name="20% - ???5nt6 3 3" xfId="12220"/>
    <cellStyle name="20% - ???5nt6 4" xfId="12221"/>
    <cellStyle name="20% - ???6nt6" xfId="12222"/>
    <cellStyle name="20% - ???6nt6 2" xfId="12223"/>
    <cellStyle name="20% - ???6nt6 3" xfId="12224"/>
    <cellStyle name="20% - ???6nt6 3 2" xfId="12225"/>
    <cellStyle name="20% - ???6nt6 3 3" xfId="12226"/>
    <cellStyle name="20% - ???6nt6 4" xfId="12227"/>
    <cellStyle name="20% - Accent1 10" xfId="12228"/>
    <cellStyle name="20% - Accent1 10 2" xfId="12229"/>
    <cellStyle name="20% - Accent1 2" xfId="12230"/>
    <cellStyle name="20% - Accent1 2 2" xfId="12231"/>
    <cellStyle name="20% - Accent1 2 3" xfId="12232"/>
    <cellStyle name="20% - Accent1 3" xfId="12233"/>
    <cellStyle name="20% - Accent1 3 2" xfId="12234"/>
    <cellStyle name="20% - Accent1 4" xfId="12235"/>
    <cellStyle name="20% - Accent1 4 2" xfId="12236"/>
    <cellStyle name="20% - Accent1 5" xfId="12237"/>
    <cellStyle name="20% - Accent1 5 2" xfId="12238"/>
    <cellStyle name="20% - Accent1 6" xfId="12239"/>
    <cellStyle name="20% - Accent1 7" xfId="12240"/>
    <cellStyle name="20% - Accent1 8" xfId="12241"/>
    <cellStyle name="20% - Accent1 9" xfId="12242"/>
    <cellStyle name="20% - Accent2 10" xfId="12243"/>
    <cellStyle name="20% - Accent2 10 2" xfId="12244"/>
    <cellStyle name="20% - Accent2 2" xfId="12245"/>
    <cellStyle name="20% - Accent2 2 2" xfId="12246"/>
    <cellStyle name="20% - Accent2 2 3" xfId="12247"/>
    <cellStyle name="20% - Accent2 3" xfId="12248"/>
    <cellStyle name="20% - Accent2 3 2" xfId="12249"/>
    <cellStyle name="20% - Accent2 4" xfId="12250"/>
    <cellStyle name="20% - Accent2 4 2" xfId="12251"/>
    <cellStyle name="20% - Accent2 5" xfId="12252"/>
    <cellStyle name="20% - Accent2 5 2" xfId="12253"/>
    <cellStyle name="20% - Accent2 6" xfId="12254"/>
    <cellStyle name="20% - Accent2 7" xfId="12255"/>
    <cellStyle name="20% - Accent2 8" xfId="12256"/>
    <cellStyle name="20% - Accent2 9" xfId="12257"/>
    <cellStyle name="20% - Accent3 10" xfId="12258"/>
    <cellStyle name="20% - Accent3 10 2" xfId="12259"/>
    <cellStyle name="20% - Accent3 2" xfId="12260"/>
    <cellStyle name="20% - Accent3 2 2" xfId="12261"/>
    <cellStyle name="20% - Accent3 2 3" xfId="12262"/>
    <cellStyle name="20% - Accent3 3" xfId="12263"/>
    <cellStyle name="20% - Accent3 3 2" xfId="12264"/>
    <cellStyle name="20% - Accent3 4" xfId="12265"/>
    <cellStyle name="20% - Accent3 4 2" xfId="12266"/>
    <cellStyle name="20% - Accent3 5" xfId="12267"/>
    <cellStyle name="20% - Accent3 5 2" xfId="12268"/>
    <cellStyle name="20% - Accent3 6" xfId="12269"/>
    <cellStyle name="20% - Accent3 7" xfId="12270"/>
    <cellStyle name="20% - Accent3 8" xfId="12271"/>
    <cellStyle name="20% - Accent3 9" xfId="12272"/>
    <cellStyle name="20% - Accent4 10" xfId="12273"/>
    <cellStyle name="20% - Accent4 10 2" xfId="12274"/>
    <cellStyle name="20% - Accent4 2" xfId="12275"/>
    <cellStyle name="20% - Accent4 2 2" xfId="12276"/>
    <cellStyle name="20% - Accent4 2 3" xfId="12277"/>
    <cellStyle name="20% - Accent4 3" xfId="12278"/>
    <cellStyle name="20% - Accent4 3 2" xfId="12279"/>
    <cellStyle name="20% - Accent4 4" xfId="12280"/>
    <cellStyle name="20% - Accent4 4 2" xfId="12281"/>
    <cellStyle name="20% - Accent4 5" xfId="12282"/>
    <cellStyle name="20% - Accent4 5 2" xfId="12283"/>
    <cellStyle name="20% - Accent4 6" xfId="12284"/>
    <cellStyle name="20% - Accent4 7" xfId="12285"/>
    <cellStyle name="20% - Accent4 8" xfId="12286"/>
    <cellStyle name="20% - Accent4 9" xfId="12287"/>
    <cellStyle name="20% - Accent5 10" xfId="12288"/>
    <cellStyle name="20% - Accent5 10 2" xfId="12289"/>
    <cellStyle name="20% - Accent5 2" xfId="12290"/>
    <cellStyle name="20% - Accent5 2 2" xfId="12291"/>
    <cellStyle name="20% - Accent5 2 3" xfId="12292"/>
    <cellStyle name="20% - Accent5 3" xfId="12293"/>
    <cellStyle name="20% - Accent5 3 2" xfId="12294"/>
    <cellStyle name="20% - Accent5 4" xfId="12295"/>
    <cellStyle name="20% - Accent5 4 2" xfId="12296"/>
    <cellStyle name="20% - Accent5 5" xfId="12297"/>
    <cellStyle name="20% - Accent5 5 2" xfId="12298"/>
    <cellStyle name="20% - Accent5 6" xfId="12299"/>
    <cellStyle name="20% - Accent5 7" xfId="12300"/>
    <cellStyle name="20% - Accent5 8" xfId="12301"/>
    <cellStyle name="20% - Accent5 9" xfId="12302"/>
    <cellStyle name="20% - Accent6 10" xfId="12303"/>
    <cellStyle name="20% - Accent6 10 2" xfId="12304"/>
    <cellStyle name="20% - Accent6 2" xfId="12305"/>
    <cellStyle name="20% - Accent6 2 2" xfId="12306"/>
    <cellStyle name="20% - Accent6 2 3" xfId="12307"/>
    <cellStyle name="20% - Accent6 3" xfId="12308"/>
    <cellStyle name="20% - Accent6 3 2" xfId="12309"/>
    <cellStyle name="20% - Accent6 4" xfId="12310"/>
    <cellStyle name="20% - Accent6 4 2" xfId="12311"/>
    <cellStyle name="20% - Accent6 5" xfId="12312"/>
    <cellStyle name="20% - Accent6 5 2" xfId="12313"/>
    <cellStyle name="20% - Accent6 6" xfId="12314"/>
    <cellStyle name="20% - Accent6 7" xfId="12315"/>
    <cellStyle name="20% - Accent6 8" xfId="12316"/>
    <cellStyle name="20% - Accent6 9" xfId="12317"/>
    <cellStyle name="20% — акцент1 2" xfId="12318"/>
    <cellStyle name="20% — акцент1 2 2" xfId="12319"/>
    <cellStyle name="20% — акцент1 2 2 2" xfId="12320"/>
    <cellStyle name="20% — акцент1 2 2 3" xfId="12321"/>
    <cellStyle name="20% — акцент1 2 2 4" xfId="12322"/>
    <cellStyle name="20% — акцент1 2 2 5" xfId="12323"/>
    <cellStyle name="20% — акцент1 2 2 6" xfId="12324"/>
    <cellStyle name="20% — акцент1 2 3" xfId="12325"/>
    <cellStyle name="20% — акцент1 2 4" xfId="12326"/>
    <cellStyle name="20% — акцент1 2 5" xfId="12327"/>
    <cellStyle name="20% — акцент1 2 6" xfId="12328"/>
    <cellStyle name="20% — акцент1 2 7" xfId="12329"/>
    <cellStyle name="20% — акцент1 2 8" xfId="12330"/>
    <cellStyle name="20% — акцент1 3" xfId="12331"/>
    <cellStyle name="20% — акцент1 3 2" xfId="12332"/>
    <cellStyle name="20% — акцент1 3 3" xfId="12333"/>
    <cellStyle name="20% — акцент1 3 4" xfId="12334"/>
    <cellStyle name="20% — акцент1 3 5" xfId="12335"/>
    <cellStyle name="20% — акцент1 3 6" xfId="12336"/>
    <cellStyle name="20% — акцент1 4" xfId="12337"/>
    <cellStyle name="20% — акцент1 5" xfId="12338"/>
    <cellStyle name="20% — акцент2 2" xfId="12339"/>
    <cellStyle name="20% — акцент2 2 2" xfId="12340"/>
    <cellStyle name="20% — акцент2 2 2 2" xfId="12341"/>
    <cellStyle name="20% — акцент2 2 2 3" xfId="12342"/>
    <cellStyle name="20% — акцент2 2 2 4" xfId="12343"/>
    <cellStyle name="20% — акцент2 2 2 5" xfId="12344"/>
    <cellStyle name="20% — акцент2 2 2 6" xfId="12345"/>
    <cellStyle name="20% — акцент2 2 3" xfId="12346"/>
    <cellStyle name="20% — акцент2 2 4" xfId="12347"/>
    <cellStyle name="20% — акцент2 2 5" xfId="12348"/>
    <cellStyle name="20% — акцент2 2 6" xfId="12349"/>
    <cellStyle name="20% — акцент2 2 7" xfId="12350"/>
    <cellStyle name="20% — акцент2 2 8" xfId="12351"/>
    <cellStyle name="20% — акцент2 3" xfId="12352"/>
    <cellStyle name="20% — акцент2 3 2" xfId="12353"/>
    <cellStyle name="20% — акцент2 3 3" xfId="12354"/>
    <cellStyle name="20% — акцент2 3 4" xfId="12355"/>
    <cellStyle name="20% — акцент2 3 5" xfId="12356"/>
    <cellStyle name="20% — акцент2 3 6" xfId="12357"/>
    <cellStyle name="20% — акцент2 4" xfId="12358"/>
    <cellStyle name="20% — акцент2 5" xfId="12359"/>
    <cellStyle name="20% — акцент3 2" xfId="12360"/>
    <cellStyle name="20% — акцент3 2 2" xfId="12361"/>
    <cellStyle name="20% — акцент3 2 2 2" xfId="12362"/>
    <cellStyle name="20% — акцент3 2 2 3" xfId="12363"/>
    <cellStyle name="20% — акцент3 2 2 4" xfId="12364"/>
    <cellStyle name="20% — акцент3 2 2 5" xfId="12365"/>
    <cellStyle name="20% — акцент3 2 2 6" xfId="12366"/>
    <cellStyle name="20% — акцент3 2 3" xfId="12367"/>
    <cellStyle name="20% — акцент3 2 4" xfId="12368"/>
    <cellStyle name="20% — акцент3 2 5" xfId="12369"/>
    <cellStyle name="20% — акцент3 2 6" xfId="12370"/>
    <cellStyle name="20% — акцент3 2 7" xfId="12371"/>
    <cellStyle name="20% — акцент3 2 8" xfId="12372"/>
    <cellStyle name="20% — акцент3 3" xfId="12373"/>
    <cellStyle name="20% — акцент3 3 2" xfId="12374"/>
    <cellStyle name="20% — акцент3 3 3" xfId="12375"/>
    <cellStyle name="20% — акцент3 3 4" xfId="12376"/>
    <cellStyle name="20% — акцент3 3 5" xfId="12377"/>
    <cellStyle name="20% — акцент3 3 6" xfId="12378"/>
    <cellStyle name="20% — акцент3 4" xfId="12379"/>
    <cellStyle name="20% — акцент3 5" xfId="12380"/>
    <cellStyle name="20% — акцент4 2" xfId="12381"/>
    <cellStyle name="20% — акцент4 2 2" xfId="12382"/>
    <cellStyle name="20% — акцент4 2 2 2" xfId="12383"/>
    <cellStyle name="20% — акцент4 2 2 3" xfId="12384"/>
    <cellStyle name="20% — акцент4 2 2 4" xfId="12385"/>
    <cellStyle name="20% — акцент4 2 2 5" xfId="12386"/>
    <cellStyle name="20% — акцент4 2 2 6" xfId="12387"/>
    <cellStyle name="20% — акцент4 2 3" xfId="12388"/>
    <cellStyle name="20% — акцент4 2 4" xfId="12389"/>
    <cellStyle name="20% — акцент4 2 5" xfId="12390"/>
    <cellStyle name="20% — акцент4 2 6" xfId="12391"/>
    <cellStyle name="20% — акцент4 2 7" xfId="12392"/>
    <cellStyle name="20% — акцент4 2 8" xfId="12393"/>
    <cellStyle name="20% — акцент4 3" xfId="12394"/>
    <cellStyle name="20% — акцент4 3 2" xfId="12395"/>
    <cellStyle name="20% — акцент4 3 3" xfId="12396"/>
    <cellStyle name="20% — акцент4 3 4" xfId="12397"/>
    <cellStyle name="20% — акцент4 3 5" xfId="12398"/>
    <cellStyle name="20% — акцент4 3 6" xfId="12399"/>
    <cellStyle name="20% — акцент4 4" xfId="12400"/>
    <cellStyle name="20% — акцент4 5" xfId="12401"/>
    <cellStyle name="20% — акцент5 2" xfId="12402"/>
    <cellStyle name="20% — акцент5 2 2" xfId="12403"/>
    <cellStyle name="20% — акцент5 2 2 2" xfId="12404"/>
    <cellStyle name="20% — акцент5 2 2 3" xfId="12405"/>
    <cellStyle name="20% — акцент5 2 2 4" xfId="12406"/>
    <cellStyle name="20% — акцент5 2 2 5" xfId="12407"/>
    <cellStyle name="20% — акцент5 2 2 6" xfId="12408"/>
    <cellStyle name="20% — акцент5 2 3" xfId="12409"/>
    <cellStyle name="20% — акцент5 2 4" xfId="12410"/>
    <cellStyle name="20% — акцент5 2 5" xfId="12411"/>
    <cellStyle name="20% — акцент5 2 6" xfId="12412"/>
    <cellStyle name="20% — акцент5 2 7" xfId="12413"/>
    <cellStyle name="20% — акцент5 2 8" xfId="12414"/>
    <cellStyle name="20% — акцент5 3" xfId="12415"/>
    <cellStyle name="20% — акцент5 3 2" xfId="12416"/>
    <cellStyle name="20% — акцент5 3 3" xfId="12417"/>
    <cellStyle name="20% — акцент5 3 4" xfId="12418"/>
    <cellStyle name="20% — акцент5 3 5" xfId="12419"/>
    <cellStyle name="20% — акцент5 3 6" xfId="12420"/>
    <cellStyle name="20% — акцент5 4" xfId="12421"/>
    <cellStyle name="20% — акцент5 5" xfId="12422"/>
    <cellStyle name="20% — акцент6 2" xfId="12423"/>
    <cellStyle name="20% — акцент6 2 2" xfId="12424"/>
    <cellStyle name="20% — акцент6 2 2 2" xfId="12425"/>
    <cellStyle name="20% — акцент6 2 2 3" xfId="12426"/>
    <cellStyle name="20% — акцент6 2 2 4" xfId="12427"/>
    <cellStyle name="20% — акцент6 2 2 5" xfId="12428"/>
    <cellStyle name="20% — акцент6 2 2 6" xfId="12429"/>
    <cellStyle name="20% — акцент6 2 3" xfId="12430"/>
    <cellStyle name="20% — акцент6 2 4" xfId="12431"/>
    <cellStyle name="20% — акцент6 2 5" xfId="12432"/>
    <cellStyle name="20% — акцент6 2 6" xfId="12433"/>
    <cellStyle name="20% — акцент6 2 7" xfId="12434"/>
    <cellStyle name="20% — акцент6 2 8" xfId="12435"/>
    <cellStyle name="20% — акцент6 3" xfId="12436"/>
    <cellStyle name="20% — акцент6 3 2" xfId="12437"/>
    <cellStyle name="20% — акцент6 3 3" xfId="12438"/>
    <cellStyle name="20% — акцент6 3 4" xfId="12439"/>
    <cellStyle name="20% — акцент6 3 5" xfId="12440"/>
    <cellStyle name="20% — акцент6 3 6" xfId="12441"/>
    <cellStyle name="20% — акцент6 4" xfId="12442"/>
    <cellStyle name="20% — акцент6 5" xfId="12443"/>
    <cellStyle name="20% - 强调文字颜色 1 2" xfId="12444"/>
    <cellStyle name="20% - 强调文字颜色 1 2 10" xfId="12445"/>
    <cellStyle name="20% - 强调文字颜色 1 2 11" xfId="12446"/>
    <cellStyle name="20% - 强调文字颜色 1 2 11 2" xfId="12447"/>
    <cellStyle name="20% - 强调文字颜色 1 2 12" xfId="12448"/>
    <cellStyle name="20% - 强调文字颜色 1 2 12 2" xfId="12449"/>
    <cellStyle name="20% - 强调文字颜色 1 2 2" xfId="12450"/>
    <cellStyle name="20% - 强调文字颜色 1 2 2 10" xfId="12451"/>
    <cellStyle name="20% - 强调文字颜色 1 2 2 11" xfId="12452"/>
    <cellStyle name="20% - 强调文字颜色 1 2 2 11 2" xfId="12453"/>
    <cellStyle name="20% - 强调文字颜色 1 2 2 12" xfId="12454"/>
    <cellStyle name="20% - 强调文字颜色 1 2 2 12 2" xfId="12455"/>
    <cellStyle name="20% - 强调文字颜色 1 2 2 2" xfId="12456"/>
    <cellStyle name="20% - 强调文字颜色 1 2 2 2 2" xfId="12457"/>
    <cellStyle name="20% - 强调文字颜色 1 2 2 2 2 2" xfId="12458"/>
    <cellStyle name="20% - 强调文字颜色 1 2 2 2 2 2 2" xfId="12459"/>
    <cellStyle name="20% - 强调文字颜色 1 2 2 2 2 2 3" xfId="12460"/>
    <cellStyle name="20% - 强调文字颜色 1 2 2 2 2 2 3 2" xfId="12461"/>
    <cellStyle name="20% - 强调文字颜色 1 2 2 2 2 2 3 2 2" xfId="12462"/>
    <cellStyle name="20% - 强调文字颜色 1 2 2 2 2 2 4" xfId="12463"/>
    <cellStyle name="20% - 强调文字颜色 1 2 2 2 2 2 4 2" xfId="12464"/>
    <cellStyle name="20% - 强调文字颜色 1 2 2 2 2 2 5" xfId="12465"/>
    <cellStyle name="20% - 强调文字颜色 1 2 2 2 2 2 5 2" xfId="12466"/>
    <cellStyle name="20% - 强调文字颜色 1 2 2 2 2 2 6" xfId="12467"/>
    <cellStyle name="20% - 强调文字颜色 1 2 2 2 2 3" xfId="12468"/>
    <cellStyle name="20% - 强调文字颜色 1 2 2 2 2 3 2" xfId="12469"/>
    <cellStyle name="20% - 强调文字颜色 1 2 2 2 2 3 2 2" xfId="12470"/>
    <cellStyle name="20% - 强调文字颜色 1 2 2 2 2 3 2 2 2" xfId="12471"/>
    <cellStyle name="20% - 强调文字颜色 1 2 2 2 2 3 3" xfId="12472"/>
    <cellStyle name="20% - 强调文字颜色 1 2 2 2 2 3 3 2" xfId="12473"/>
    <cellStyle name="20% - 强调文字颜色 1 2 2 2 2 3 4" xfId="12474"/>
    <cellStyle name="20% - 强调文字颜色 1 2 2 2 2 3 4 2" xfId="12475"/>
    <cellStyle name="20% - 强调文字颜色 1 2 2 2 2 3 5" xfId="12476"/>
    <cellStyle name="20% - 强调文字颜色 1 2 2 2 2 4" xfId="12477"/>
    <cellStyle name="20% - 强调文字颜色 1 2 2 2 2 5" xfId="12478"/>
    <cellStyle name="20% - 强调文字颜色 1 2 2 2 2 6" xfId="12479"/>
    <cellStyle name="20% - 强调文字颜色 1 2 2 2 2 6 2" xfId="12480"/>
    <cellStyle name="20% - 强调文字颜色 1 2 2 2 2 7" xfId="12481"/>
    <cellStyle name="20% - 强调文字颜色 1 2 2 2 2 7 2" xfId="12482"/>
    <cellStyle name="20% - 强调文字颜色 1 2 2 2 3" xfId="12483"/>
    <cellStyle name="20% - 强调文字颜色 1 2 2 2 3 2" xfId="12484"/>
    <cellStyle name="20% - 强调文字颜色 1 2 2 2 3 3" xfId="12485"/>
    <cellStyle name="20% - 强调文字颜色 1 2 2 2 3 3 2" xfId="12486"/>
    <cellStyle name="20% - 强调文字颜色 1 2 2 2 3 3 2 2" xfId="12487"/>
    <cellStyle name="20% - 强调文字颜色 1 2 2 2 3 4" xfId="12488"/>
    <cellStyle name="20% - 强调文字颜色 1 2 2 2 3 4 2" xfId="12489"/>
    <cellStyle name="20% - 强调文字颜色 1 2 2 2 3 5" xfId="12490"/>
    <cellStyle name="20% - 强调文字颜色 1 2 2 2 3 5 2" xfId="12491"/>
    <cellStyle name="20% - 强调文字颜色 1 2 2 2 3 6" xfId="12492"/>
    <cellStyle name="20% - 强调文字颜色 1 2 2 2 4" xfId="12493"/>
    <cellStyle name="20% - 强调文字颜色 1 2 2 2 4 2" xfId="12494"/>
    <cellStyle name="20% - 强调文字颜色 1 2 2 2 4 2 2" xfId="12495"/>
    <cellStyle name="20% - 强调文字颜色 1 2 2 2 4 2 2 2" xfId="12496"/>
    <cellStyle name="20% - 强调文字颜色 1 2 2 2 4 3" xfId="12497"/>
    <cellStyle name="20% - 强调文字颜色 1 2 2 2 4 3 2" xfId="12498"/>
    <cellStyle name="20% - 强调文字颜色 1 2 2 2 4 4" xfId="12499"/>
    <cellStyle name="20% - 强调文字颜色 1 2 2 2 4 4 2" xfId="12500"/>
    <cellStyle name="20% - 强调文字颜色 1 2 2 2 4 5" xfId="12501"/>
    <cellStyle name="20% - 强调文字颜色 1 2 2 2 5" xfId="12502"/>
    <cellStyle name="20% - 强调文字颜色 1 2 2 2 6" xfId="12503"/>
    <cellStyle name="20% - 强调文字颜色 1 2 2 2 7" xfId="12504"/>
    <cellStyle name="20% - 强调文字颜色 1 2 2 2 7 2" xfId="12505"/>
    <cellStyle name="20% - 强调文字颜色 1 2 2 2 8" xfId="12506"/>
    <cellStyle name="20% - 强调文字颜色 1 2 2 2 8 2" xfId="12507"/>
    <cellStyle name="20% - 强调文字颜色 1 2 2 3" xfId="12508"/>
    <cellStyle name="20% - 强调文字颜色 1 2 2 3 2" xfId="12509"/>
    <cellStyle name="20% - 强调文字颜色 1 2 2 3 2 2" xfId="12510"/>
    <cellStyle name="20% - 强调文字颜色 1 2 2 3 2 3" xfId="12511"/>
    <cellStyle name="20% - 强调文字颜色 1 2 2 3 2 3 2" xfId="12512"/>
    <cellStyle name="20% - 强调文字颜色 1 2 2 3 2 3 2 2" xfId="12513"/>
    <cellStyle name="20% - 强调文字颜色 1 2 2 3 2 4" xfId="12514"/>
    <cellStyle name="20% - 强调文字颜色 1 2 2 3 2 4 2" xfId="12515"/>
    <cellStyle name="20% - 强调文字颜色 1 2 2 3 2 5" xfId="12516"/>
    <cellStyle name="20% - 强调文字颜色 1 2 2 3 2 5 2" xfId="12517"/>
    <cellStyle name="20% - 强调文字颜色 1 2 2 3 2 6" xfId="12518"/>
    <cellStyle name="20% - 强调文字颜色 1 2 2 3 3" xfId="12519"/>
    <cellStyle name="20% - 强调文字颜色 1 2 2 3 3 2" xfId="12520"/>
    <cellStyle name="20% - 强调文字颜色 1 2 2 3 3 2 2" xfId="12521"/>
    <cellStyle name="20% - 强调文字颜色 1 2 2 3 3 2 2 2" xfId="12522"/>
    <cellStyle name="20% - 强调文字颜色 1 2 2 3 3 3" xfId="12523"/>
    <cellStyle name="20% - 强调文字颜色 1 2 2 3 3 3 2" xfId="12524"/>
    <cellStyle name="20% - 强调文字颜色 1 2 2 3 3 4" xfId="12525"/>
    <cellStyle name="20% - 强调文字颜色 1 2 2 3 3 4 2" xfId="12526"/>
    <cellStyle name="20% - 强调文字颜色 1 2 2 3 3 5" xfId="12527"/>
    <cellStyle name="20% - 强调文字颜色 1 2 2 3 4" xfId="12528"/>
    <cellStyle name="20% - 强调文字颜色 1 2 2 3 5" xfId="12529"/>
    <cellStyle name="20% - 强调文字颜色 1 2 2 3 6" xfId="12530"/>
    <cellStyle name="20% - 强调文字颜色 1 2 2 3 6 2" xfId="12531"/>
    <cellStyle name="20% - 强调文字颜色 1 2 2 3 7" xfId="12532"/>
    <cellStyle name="20% - 强调文字颜色 1 2 2 3 7 2" xfId="12533"/>
    <cellStyle name="20% - 强调文字颜色 1 2 2 4" xfId="12534"/>
    <cellStyle name="20% - 强调文字颜色 1 2 2 4 2" xfId="12535"/>
    <cellStyle name="20% - 强调文字颜色 1 2 2 4 2 2" xfId="12536"/>
    <cellStyle name="20% - 强调文字颜色 1 2 2 4 2 3" xfId="12537"/>
    <cellStyle name="20% - 强调文字颜色 1 2 2 4 2 3 2" xfId="12538"/>
    <cellStyle name="20% - 强调文字颜色 1 2 2 4 2 3 2 2" xfId="12539"/>
    <cellStyle name="20% - 强调文字颜色 1 2 2 4 2 4" xfId="12540"/>
    <cellStyle name="20% - 强调文字颜色 1 2 2 4 2 4 2" xfId="12541"/>
    <cellStyle name="20% - 强调文字颜色 1 2 2 4 2 5" xfId="12542"/>
    <cellStyle name="20% - 强调文字颜色 1 2 2 4 2 5 2" xfId="12543"/>
    <cellStyle name="20% - 强调文字颜色 1 2 2 4 2 6" xfId="12544"/>
    <cellStyle name="20% - 强调文字颜色 1 2 2 4 3" xfId="12545"/>
    <cellStyle name="20% - 强调文字颜色 1 2 2 4 4" xfId="12546"/>
    <cellStyle name="20% - 强调文字颜色 1 2 2 4 5" xfId="12547"/>
    <cellStyle name="20% - 强调文字颜色 1 2 2 4 6" xfId="12548"/>
    <cellStyle name="20% - 强调文字颜色 1 2 2 4 6 2" xfId="12549"/>
    <cellStyle name="20% - 强调文字颜色 1 2 2 4 7" xfId="12550"/>
    <cellStyle name="20% - 强调文字颜色 1 2 2 4 7 2" xfId="12551"/>
    <cellStyle name="20% - 强调文字颜色 1 2 2 5" xfId="12552"/>
    <cellStyle name="20% - 强调文字颜色 1 2 2 5 2" xfId="12553"/>
    <cellStyle name="20% - 强调文字颜色 1 2 2 5 2 2" xfId="12554"/>
    <cellStyle name="20% - 强调文字颜色 1 2 2 5 2 2 2" xfId="12555"/>
    <cellStyle name="20% - 强调文字颜色 1 2 2 5 2 2 2 2" xfId="12556"/>
    <cellStyle name="20% - 强调文字颜色 1 2 2 5 2 3" xfId="12557"/>
    <cellStyle name="20% - 强调文字颜色 1 2 2 5 2 3 2" xfId="12558"/>
    <cellStyle name="20% - 强调文字颜色 1 2 2 5 2 4" xfId="12559"/>
    <cellStyle name="20% - 强调文字颜色 1 2 2 5 2 4 2" xfId="12560"/>
    <cellStyle name="20% - 强调文字颜色 1 2 2 5 2 5" xfId="12561"/>
    <cellStyle name="20% - 强调文字颜色 1 2 2 5 3" xfId="12562"/>
    <cellStyle name="20% - 强调文字颜色 1 2 2 5 3 2" xfId="12563"/>
    <cellStyle name="20% - 强调文字颜色 1 2 2 5 3 2 2" xfId="12564"/>
    <cellStyle name="20% - 强调文字颜色 1 2 2 5 4" xfId="12565"/>
    <cellStyle name="20% - 强调文字颜色 1 2 2 5 4 2" xfId="12566"/>
    <cellStyle name="20% - 强调文字颜色 1 2 2 5 5" xfId="12567"/>
    <cellStyle name="20% - 强调文字颜色 1 2 2 5 5 2" xfId="12568"/>
    <cellStyle name="20% - 强调文字颜色 1 2 2 5 6" xfId="12569"/>
    <cellStyle name="20% - 强调文字颜色 1 2 2 6" xfId="12570"/>
    <cellStyle name="20% - 强调文字颜色 1 2 2 6 2" xfId="12571"/>
    <cellStyle name="20% - 强调文字颜色 1 2 2 6 2 2" xfId="12572"/>
    <cellStyle name="20% - 强调文字颜色 1 2 2 6 2 2 2" xfId="12573"/>
    <cellStyle name="20% - 强调文字颜色 1 2 2 6 2 2 2 2" xfId="12574"/>
    <cellStyle name="20% - 强调文字颜色 1 2 2 6 2 3" xfId="12575"/>
    <cellStyle name="20% - 强调文字颜色 1 2 2 6 2 3 2" xfId="12576"/>
    <cellStyle name="20% - 强调文字颜色 1 2 2 6 2 4" xfId="12577"/>
    <cellStyle name="20% - 强调文字颜色 1 2 2 6 2 4 2" xfId="12578"/>
    <cellStyle name="20% - 强调文字颜色 1 2 2 6 2 5" xfId="12579"/>
    <cellStyle name="20% - 强调文字颜色 1 2 2 6 3" xfId="12580"/>
    <cellStyle name="20% - 强调文字颜色 1 2 2 6 3 2" xfId="12581"/>
    <cellStyle name="20% - 强调文字颜色 1 2 2 6 3 2 2" xfId="12582"/>
    <cellStyle name="20% - 强调文字颜色 1 2 2 6 4" xfId="12583"/>
    <cellStyle name="20% - 强调文字颜色 1 2 2 6 4 2" xfId="12584"/>
    <cellStyle name="20% - 强调文字颜色 1 2 2 6 5" xfId="12585"/>
    <cellStyle name="20% - 强调文字颜色 1 2 2 6 5 2" xfId="12586"/>
    <cellStyle name="20% - 强调文字颜色 1 2 2 6 6" xfId="12587"/>
    <cellStyle name="20% - 强调文字颜色 1 2 2 7" xfId="12588"/>
    <cellStyle name="20% - 强调文字颜色 1 2 2 7 2" xfId="12589"/>
    <cellStyle name="20% - 强调文字颜色 1 2 2 7 2 2" xfId="12590"/>
    <cellStyle name="20% - 强调文字颜色 1 2 2 7 2 2 2" xfId="12591"/>
    <cellStyle name="20% - 强调文字颜色 1 2 2 7 2 2 2 2" xfId="12592"/>
    <cellStyle name="20% - 强调文字颜色 1 2 2 7 2 3" xfId="12593"/>
    <cellStyle name="20% - 强调文字颜色 1 2 2 7 2 3 2" xfId="12594"/>
    <cellStyle name="20% - 强调文字颜色 1 2 2 7 2 4" xfId="12595"/>
    <cellStyle name="20% - 强调文字颜色 1 2 2 7 2 4 2" xfId="12596"/>
    <cellStyle name="20% - 强调文字颜色 1 2 2 7 2 5" xfId="12597"/>
    <cellStyle name="20% - 强调文字颜色 1 2 2 7 3" xfId="12598"/>
    <cellStyle name="20% - 强调文字颜色 1 2 2 7 3 2" xfId="12599"/>
    <cellStyle name="20% - 强调文字颜色 1 2 2 7 3 2 2" xfId="12600"/>
    <cellStyle name="20% - 强调文字颜色 1 2 2 7 4" xfId="12601"/>
    <cellStyle name="20% - 强调文字颜色 1 2 2 7 4 2" xfId="12602"/>
    <cellStyle name="20% - 强调文字颜色 1 2 2 7 5" xfId="12603"/>
    <cellStyle name="20% - 强调文字颜色 1 2 2 7 5 2" xfId="12604"/>
    <cellStyle name="20% - 强调文字颜色 1 2 2 7 6" xfId="12605"/>
    <cellStyle name="20% - 强调文字颜色 1 2 2 8" xfId="12606"/>
    <cellStyle name="20% - 强调文字颜色 1 2 2 8 2" xfId="12607"/>
    <cellStyle name="20% - 强调文字颜色 1 2 2 8 2 2" xfId="12608"/>
    <cellStyle name="20% - 强调文字颜色 1 2 2 8 2 2 2" xfId="12609"/>
    <cellStyle name="20% - 强调文字颜色 1 2 2 8 3" xfId="12610"/>
    <cellStyle name="20% - 强调文字颜色 1 2 2 8 3 2" xfId="12611"/>
    <cellStyle name="20% - 强调文字颜色 1 2 2 8 4" xfId="12612"/>
    <cellStyle name="20% - 强调文字颜色 1 2 2 8 4 2" xfId="12613"/>
    <cellStyle name="20% - 强调文字颜色 1 2 2 8 5" xfId="12614"/>
    <cellStyle name="20% - 强调文字颜色 1 2 2 9" xfId="12615"/>
    <cellStyle name="20% - 强调文字颜色 1 2 2 9 2" xfId="12616"/>
    <cellStyle name="20% - 强调文字颜色 1 2 2 9 2 2" xfId="12617"/>
    <cellStyle name="20% - 强调文字颜色 1 2 2 9 2 2 2" xfId="12618"/>
    <cellStyle name="20% - 强调文字颜色 1 2 2 9 3" xfId="12619"/>
    <cellStyle name="20% - 强调文字颜色 1 2 2 9 3 2" xfId="12620"/>
    <cellStyle name="20% - 强调文字颜色 1 2 2 9 4" xfId="12621"/>
    <cellStyle name="20% - 强调文字颜色 1 2 2 9 4 2" xfId="12622"/>
    <cellStyle name="20% - 强调文字颜色 1 2 2 9 5" xfId="12623"/>
    <cellStyle name="20% - 强调文字颜色 1 2 3" xfId="12624"/>
    <cellStyle name="20% - 强调文字颜色 1 2 3 10" xfId="12625"/>
    <cellStyle name="20% - 强调文字颜色 1 2 3 10 2" xfId="12626"/>
    <cellStyle name="20% - 强调文字颜色 1 2 3 2" xfId="12627"/>
    <cellStyle name="20% - 强调文字颜色 1 2 3 2 2" xfId="12628"/>
    <cellStyle name="20% - 强调文字颜色 1 2 3 2 2 2" xfId="12629"/>
    <cellStyle name="20% - 强调文字颜色 1 2 3 2 2 2 2" xfId="12630"/>
    <cellStyle name="20% - 强调文字颜色 1 2 3 2 2 2 3" xfId="12631"/>
    <cellStyle name="20% - 强调文字颜色 1 2 3 2 2 2 3 2" xfId="12632"/>
    <cellStyle name="20% - 强调文字颜色 1 2 3 2 2 2 3 2 2" xfId="12633"/>
    <cellStyle name="20% - 强调文字颜色 1 2 3 2 2 2 4" xfId="12634"/>
    <cellStyle name="20% - 强调文字颜色 1 2 3 2 2 2 4 2" xfId="12635"/>
    <cellStyle name="20% - 强调文字颜色 1 2 3 2 2 2 5" xfId="12636"/>
    <cellStyle name="20% - 强调文字颜色 1 2 3 2 2 2 5 2" xfId="12637"/>
    <cellStyle name="20% - 强调文字颜色 1 2 3 2 2 2 6" xfId="12638"/>
    <cellStyle name="20% - 强调文字颜色 1 2 3 2 2 3" xfId="12639"/>
    <cellStyle name="20% - 强调文字颜色 1 2 3 2 2 3 2" xfId="12640"/>
    <cellStyle name="20% - 强调文字颜色 1 2 3 2 2 3 2 2" xfId="12641"/>
    <cellStyle name="20% - 强调文字颜色 1 2 3 2 2 3 2 2 2" xfId="12642"/>
    <cellStyle name="20% - 强调文字颜色 1 2 3 2 2 3 3" xfId="12643"/>
    <cellStyle name="20% - 强调文字颜色 1 2 3 2 2 3 3 2" xfId="12644"/>
    <cellStyle name="20% - 强调文字颜色 1 2 3 2 2 3 4" xfId="12645"/>
    <cellStyle name="20% - 强调文字颜色 1 2 3 2 2 3 4 2" xfId="12646"/>
    <cellStyle name="20% - 强调文字颜色 1 2 3 2 2 3 5" xfId="12647"/>
    <cellStyle name="20% - 强调文字颜色 1 2 3 2 2 4" xfId="12648"/>
    <cellStyle name="20% - 强调文字颜色 1 2 3 2 2 5" xfId="12649"/>
    <cellStyle name="20% - 强调文字颜色 1 2 3 2 2 6" xfId="12650"/>
    <cellStyle name="20% - 强调文字颜色 1 2 3 2 2 6 2" xfId="12651"/>
    <cellStyle name="20% - 强调文字颜色 1 2 3 2 2 7" xfId="12652"/>
    <cellStyle name="20% - 强调文字颜色 1 2 3 2 2 7 2" xfId="12653"/>
    <cellStyle name="20% - 强调文字颜色 1 2 3 2 3" xfId="12654"/>
    <cellStyle name="20% - 强调文字颜色 1 2 3 2 3 2" xfId="12655"/>
    <cellStyle name="20% - 强调文字颜色 1 2 3 2 3 3" xfId="12656"/>
    <cellStyle name="20% - 强调文字颜色 1 2 3 2 3 3 2" xfId="12657"/>
    <cellStyle name="20% - 强调文字颜色 1 2 3 2 3 3 2 2" xfId="12658"/>
    <cellStyle name="20% - 强调文字颜色 1 2 3 2 3 4" xfId="12659"/>
    <cellStyle name="20% - 强调文字颜色 1 2 3 2 3 4 2" xfId="12660"/>
    <cellStyle name="20% - 强调文字颜色 1 2 3 2 3 5" xfId="12661"/>
    <cellStyle name="20% - 强调文字颜色 1 2 3 2 3 5 2" xfId="12662"/>
    <cellStyle name="20% - 强调文字颜色 1 2 3 2 3 6" xfId="12663"/>
    <cellStyle name="20% - 强调文字颜色 1 2 3 2 4" xfId="12664"/>
    <cellStyle name="20% - 强调文字颜色 1 2 3 2 4 2" xfId="12665"/>
    <cellStyle name="20% - 强调文字颜色 1 2 3 2 4 2 2" xfId="12666"/>
    <cellStyle name="20% - 强调文字颜色 1 2 3 2 4 2 2 2" xfId="12667"/>
    <cellStyle name="20% - 强调文字颜色 1 2 3 2 4 3" xfId="12668"/>
    <cellStyle name="20% - 强调文字颜色 1 2 3 2 4 3 2" xfId="12669"/>
    <cellStyle name="20% - 强调文字颜色 1 2 3 2 4 4" xfId="12670"/>
    <cellStyle name="20% - 强调文字颜色 1 2 3 2 4 4 2" xfId="12671"/>
    <cellStyle name="20% - 强调文字颜色 1 2 3 2 4 5" xfId="12672"/>
    <cellStyle name="20% - 强调文字颜色 1 2 3 2 5" xfId="12673"/>
    <cellStyle name="20% - 强调文字颜色 1 2 3 2 6" xfId="12674"/>
    <cellStyle name="20% - 强调文字颜色 1 2 3 2 7" xfId="12675"/>
    <cellStyle name="20% - 强调文字颜色 1 2 3 2 7 2" xfId="12676"/>
    <cellStyle name="20% - 强调文字颜色 1 2 3 2 8" xfId="12677"/>
    <cellStyle name="20% - 强调文字颜色 1 2 3 2 8 2" xfId="12678"/>
    <cellStyle name="20% - 强调文字颜色 1 2 3 3" xfId="12679"/>
    <cellStyle name="20% - 强调文字颜色 1 2 3 3 2" xfId="12680"/>
    <cellStyle name="20% - 强调文字颜色 1 2 3 3 2 2" xfId="12681"/>
    <cellStyle name="20% - 强调文字颜色 1 2 3 3 2 3" xfId="12682"/>
    <cellStyle name="20% - 强调文字颜色 1 2 3 3 2 3 2" xfId="12683"/>
    <cellStyle name="20% - 强调文字颜色 1 2 3 3 2 3 2 2" xfId="12684"/>
    <cellStyle name="20% - 强调文字颜色 1 2 3 3 2 4" xfId="12685"/>
    <cellStyle name="20% - 强调文字颜色 1 2 3 3 2 4 2" xfId="12686"/>
    <cellStyle name="20% - 强调文字颜色 1 2 3 3 2 5" xfId="12687"/>
    <cellStyle name="20% - 强调文字颜色 1 2 3 3 2 5 2" xfId="12688"/>
    <cellStyle name="20% - 强调文字颜色 1 2 3 3 2 6" xfId="12689"/>
    <cellStyle name="20% - 强调文字颜色 1 2 3 3 3" xfId="12690"/>
    <cellStyle name="20% - 强调文字颜色 1 2 3 3 3 2" xfId="12691"/>
    <cellStyle name="20% - 强调文字颜色 1 2 3 3 3 2 2" xfId="12692"/>
    <cellStyle name="20% - 强调文字颜色 1 2 3 3 3 2 2 2" xfId="12693"/>
    <cellStyle name="20% - 强调文字颜色 1 2 3 3 3 3" xfId="12694"/>
    <cellStyle name="20% - 强调文字颜色 1 2 3 3 3 3 2" xfId="12695"/>
    <cellStyle name="20% - 强调文字颜色 1 2 3 3 3 4" xfId="12696"/>
    <cellStyle name="20% - 强调文字颜色 1 2 3 3 3 4 2" xfId="12697"/>
    <cellStyle name="20% - 强调文字颜色 1 2 3 3 3 5" xfId="12698"/>
    <cellStyle name="20% - 强调文字颜色 1 2 3 3 4" xfId="12699"/>
    <cellStyle name="20% - 强调文字颜色 1 2 3 3 5" xfId="12700"/>
    <cellStyle name="20% - 强调文字颜色 1 2 3 3 6" xfId="12701"/>
    <cellStyle name="20% - 强调文字颜色 1 2 3 3 6 2" xfId="12702"/>
    <cellStyle name="20% - 强调文字颜色 1 2 3 3 7" xfId="12703"/>
    <cellStyle name="20% - 强调文字颜色 1 2 3 3 7 2" xfId="12704"/>
    <cellStyle name="20% - 强调文字颜色 1 2 3 4" xfId="12705"/>
    <cellStyle name="20% - 强调文字颜色 1 2 3 4 2" xfId="12706"/>
    <cellStyle name="20% - 强调文字颜色 1 2 3 4 2 2" xfId="12707"/>
    <cellStyle name="20% - 强调文字颜色 1 2 3 4 2 3" xfId="12708"/>
    <cellStyle name="20% - 强调文字颜色 1 2 3 4 2 3 2" xfId="12709"/>
    <cellStyle name="20% - 强调文字颜色 1 2 3 4 2 3 2 2" xfId="12710"/>
    <cellStyle name="20% - 强调文字颜色 1 2 3 4 2 4" xfId="12711"/>
    <cellStyle name="20% - 强调文字颜色 1 2 3 4 2 4 2" xfId="12712"/>
    <cellStyle name="20% - 强调文字颜色 1 2 3 4 2 5" xfId="12713"/>
    <cellStyle name="20% - 强调文字颜色 1 2 3 4 2 5 2" xfId="12714"/>
    <cellStyle name="20% - 强调文字颜色 1 2 3 4 2 6" xfId="12715"/>
    <cellStyle name="20% - 强调文字颜色 1 2 3 4 3" xfId="12716"/>
    <cellStyle name="20% - 强调文字颜色 1 2 3 4 4" xfId="12717"/>
    <cellStyle name="20% - 强调文字颜色 1 2 3 4 5" xfId="12718"/>
    <cellStyle name="20% - 强调文字颜色 1 2 3 4 6" xfId="12719"/>
    <cellStyle name="20% - 强调文字颜色 1 2 3 4 6 2" xfId="12720"/>
    <cellStyle name="20% - 强调文字颜色 1 2 3 4 7" xfId="12721"/>
    <cellStyle name="20% - 强调文字颜色 1 2 3 4 7 2" xfId="12722"/>
    <cellStyle name="20% - 强调文字颜色 1 2 3 5" xfId="12723"/>
    <cellStyle name="20% - 强调文字颜色 1 2 3 5 2" xfId="12724"/>
    <cellStyle name="20% - 强调文字颜色 1 2 3 5 2 2" xfId="12725"/>
    <cellStyle name="20% - 强调文字颜色 1 2 3 5 2 2 2" xfId="12726"/>
    <cellStyle name="20% - 强调文字颜色 1 2 3 5 2 2 2 2" xfId="12727"/>
    <cellStyle name="20% - 强调文字颜色 1 2 3 5 2 3" xfId="12728"/>
    <cellStyle name="20% - 强调文字颜色 1 2 3 5 2 3 2" xfId="12729"/>
    <cellStyle name="20% - 强调文字颜色 1 2 3 5 2 4" xfId="12730"/>
    <cellStyle name="20% - 强调文字颜色 1 2 3 5 2 4 2" xfId="12731"/>
    <cellStyle name="20% - 强调文字颜色 1 2 3 5 2 5" xfId="12732"/>
    <cellStyle name="20% - 强调文字颜色 1 2 3 5 3" xfId="12733"/>
    <cellStyle name="20% - 强调文字颜色 1 2 3 5 3 2" xfId="12734"/>
    <cellStyle name="20% - 强调文字颜色 1 2 3 5 3 2 2" xfId="12735"/>
    <cellStyle name="20% - 强调文字颜色 1 2 3 5 4" xfId="12736"/>
    <cellStyle name="20% - 强调文字颜色 1 2 3 5 4 2" xfId="12737"/>
    <cellStyle name="20% - 强调文字颜色 1 2 3 5 5" xfId="12738"/>
    <cellStyle name="20% - 强调文字颜色 1 2 3 5 5 2" xfId="12739"/>
    <cellStyle name="20% - 强调文字颜色 1 2 3 5 6" xfId="12740"/>
    <cellStyle name="20% - 强调文字颜色 1 2 3 6" xfId="12741"/>
    <cellStyle name="20% - 强调文字颜色 1 2 3 6 2" xfId="12742"/>
    <cellStyle name="20% - 强调文字颜色 1 2 3 6 2 2" xfId="12743"/>
    <cellStyle name="20% - 强调文字颜色 1 2 3 6 2 2 2" xfId="12744"/>
    <cellStyle name="20% - 强调文字颜色 1 2 3 6 3" xfId="12745"/>
    <cellStyle name="20% - 强调文字颜色 1 2 3 6 3 2" xfId="12746"/>
    <cellStyle name="20% - 强调文字颜色 1 2 3 6 4" xfId="12747"/>
    <cellStyle name="20% - 强调文字颜色 1 2 3 6 4 2" xfId="12748"/>
    <cellStyle name="20% - 强调文字颜色 1 2 3 6 5" xfId="12749"/>
    <cellStyle name="20% - 强调文字颜色 1 2 3 7" xfId="12750"/>
    <cellStyle name="20% - 强调文字颜色 1 2 3 7 2" xfId="12751"/>
    <cellStyle name="20% - 强调文字颜色 1 2 3 7 2 2" xfId="12752"/>
    <cellStyle name="20% - 强调文字颜色 1 2 3 7 2 2 2" xfId="12753"/>
    <cellStyle name="20% - 强调文字颜色 1 2 3 7 3" xfId="12754"/>
    <cellStyle name="20% - 强调文字颜色 1 2 3 7 3 2" xfId="12755"/>
    <cellStyle name="20% - 强调文字颜色 1 2 3 7 4" xfId="12756"/>
    <cellStyle name="20% - 强调文字颜色 1 2 3 7 4 2" xfId="12757"/>
    <cellStyle name="20% - 强调文字颜色 1 2 3 7 5" xfId="12758"/>
    <cellStyle name="20% - 强调文字颜色 1 2 3 8" xfId="12759"/>
    <cellStyle name="20% - 强调文字颜色 1 2 3 9" xfId="12760"/>
    <cellStyle name="20% - 强调文字颜色 1 2 3 9 2" xfId="12761"/>
    <cellStyle name="20% - 强调文字颜色 1 2 4" xfId="12762"/>
    <cellStyle name="20% - 强调文字颜色 1 2 4 2" xfId="12763"/>
    <cellStyle name="20% - 强调文字颜色 1 2 4 2 2" xfId="12764"/>
    <cellStyle name="20% - 强调文字颜色 1 2 4 2 3" xfId="12765"/>
    <cellStyle name="20% - 强调文字颜色 1 2 4 2 3 2" xfId="12766"/>
    <cellStyle name="20% - 强调文字颜色 1 2 4 2 3 2 2" xfId="12767"/>
    <cellStyle name="20% - 强调文字颜色 1 2 4 2 4" xfId="12768"/>
    <cellStyle name="20% - 强调文字颜色 1 2 4 2 4 2" xfId="12769"/>
    <cellStyle name="20% - 强调文字颜色 1 2 4 2 5" xfId="12770"/>
    <cellStyle name="20% - 强调文字颜色 1 2 4 2 5 2" xfId="12771"/>
    <cellStyle name="20% - 强调文字颜色 1 2 4 2 6" xfId="12772"/>
    <cellStyle name="20% - 强调文字颜色 1 2 4 3" xfId="12773"/>
    <cellStyle name="20% - 强调文字颜色 1 2 4 3 2" xfId="12774"/>
    <cellStyle name="20% - 强调文字颜色 1 2 4 3 2 2" xfId="12775"/>
    <cellStyle name="20% - 强调文字颜色 1 2 4 3 2 2 2" xfId="12776"/>
    <cellStyle name="20% - 强调文字颜色 1 2 4 3 3" xfId="12777"/>
    <cellStyle name="20% - 强调文字颜色 1 2 4 3 3 2" xfId="12778"/>
    <cellStyle name="20% - 强调文字颜色 1 2 4 3 4" xfId="12779"/>
    <cellStyle name="20% - 强调文字颜色 1 2 4 3 4 2" xfId="12780"/>
    <cellStyle name="20% - 强调文字颜色 1 2 4 3 5" xfId="12781"/>
    <cellStyle name="20% - 强调文字颜色 1 2 4 4" xfId="12782"/>
    <cellStyle name="20% - 强调文字颜色 1 2 4 5" xfId="12783"/>
    <cellStyle name="20% - 强调文字颜色 1 2 4 6" xfId="12784"/>
    <cellStyle name="20% - 强调文字颜色 1 2 4 6 2" xfId="12785"/>
    <cellStyle name="20% - 强调文字颜色 1 2 4 7" xfId="12786"/>
    <cellStyle name="20% - 强调文字颜色 1 2 4 7 2" xfId="12787"/>
    <cellStyle name="20% - 强调文字颜色 1 2 5" xfId="12788"/>
    <cellStyle name="20% - 强调文字颜色 1 2 5 2" xfId="12789"/>
    <cellStyle name="20% - 强调文字颜色 1 2 5 2 2" xfId="12790"/>
    <cellStyle name="20% - 强调文字颜色 1 2 5 2 3" xfId="12791"/>
    <cellStyle name="20% - 强调文字颜色 1 2 5 2 3 2" xfId="12792"/>
    <cellStyle name="20% - 强调文字颜色 1 2 5 2 3 2 2" xfId="12793"/>
    <cellStyle name="20% - 强调文字颜色 1 2 5 2 4" xfId="12794"/>
    <cellStyle name="20% - 强调文字颜色 1 2 5 2 4 2" xfId="12795"/>
    <cellStyle name="20% - 强调文字颜色 1 2 5 2 5" xfId="12796"/>
    <cellStyle name="20% - 强调文字颜色 1 2 5 2 5 2" xfId="12797"/>
    <cellStyle name="20% - 强调文字颜色 1 2 5 2 6" xfId="12798"/>
    <cellStyle name="20% - 强调文字颜色 1 2 5 3" xfId="12799"/>
    <cellStyle name="20% - 强调文字颜色 1 2 5 4" xfId="12800"/>
    <cellStyle name="20% - 强调文字颜色 1 2 5 5" xfId="12801"/>
    <cellStyle name="20% - 强调文字颜色 1 2 5 6" xfId="12802"/>
    <cellStyle name="20% - 强调文字颜色 1 2 5 6 2" xfId="12803"/>
    <cellStyle name="20% - 强调文字颜色 1 2 5 7" xfId="12804"/>
    <cellStyle name="20% - 强调文字颜色 1 2 5 7 2" xfId="12805"/>
    <cellStyle name="20% - 强调文字颜色 1 2 6" xfId="12806"/>
    <cellStyle name="20% - 强调文字颜色 1 2 6 2" xfId="12807"/>
    <cellStyle name="20% - 强调文字颜色 1 2 6 2 2" xfId="12808"/>
    <cellStyle name="20% - 强调文字颜色 1 2 6 2 2 2" xfId="12809"/>
    <cellStyle name="20% - 强调文字颜色 1 2 6 2 2 2 2" xfId="12810"/>
    <cellStyle name="20% - 强调文字颜色 1 2 6 2 3" xfId="12811"/>
    <cellStyle name="20% - 强调文字颜色 1 2 6 2 3 2" xfId="12812"/>
    <cellStyle name="20% - 强调文字颜色 1 2 6 2 4" xfId="12813"/>
    <cellStyle name="20% - 强调文字颜色 1 2 6 2 4 2" xfId="12814"/>
    <cellStyle name="20% - 强调文字颜色 1 2 6 2 5" xfId="12815"/>
    <cellStyle name="20% - 强调文字颜色 1 2 6 3" xfId="12816"/>
    <cellStyle name="20% - 强调文字颜色 1 2 6 3 2" xfId="12817"/>
    <cellStyle name="20% - 强调文字颜色 1 2 6 3 2 2" xfId="12818"/>
    <cellStyle name="20% - 强调文字颜色 1 2 6 4" xfId="12819"/>
    <cellStyle name="20% - 强调文字颜色 1 2 6 4 2" xfId="12820"/>
    <cellStyle name="20% - 强调文字颜色 1 2 6 5" xfId="12821"/>
    <cellStyle name="20% - 强调文字颜色 1 2 6 5 2" xfId="12822"/>
    <cellStyle name="20% - 强调文字颜色 1 2 6 6" xfId="12823"/>
    <cellStyle name="20% - 强调文字颜色 1 2 7" xfId="12824"/>
    <cellStyle name="20% - 强调文字颜色 1 2 7 2" xfId="12825"/>
    <cellStyle name="20% - 强调文字颜色 1 2 7 2 2" xfId="12826"/>
    <cellStyle name="20% - 强调文字颜色 1 2 7 2 2 2" xfId="12827"/>
    <cellStyle name="20% - 强调文字颜色 1 2 7 2 2 2 2" xfId="12828"/>
    <cellStyle name="20% - 强调文字颜色 1 2 7 2 3" xfId="12829"/>
    <cellStyle name="20% - 强调文字颜色 1 2 7 2 3 2" xfId="12830"/>
    <cellStyle name="20% - 强调文字颜色 1 2 7 2 4" xfId="12831"/>
    <cellStyle name="20% - 强调文字颜色 1 2 7 2 4 2" xfId="12832"/>
    <cellStyle name="20% - 强调文字颜色 1 2 7 2 5" xfId="12833"/>
    <cellStyle name="20% - 强调文字颜色 1 2 7 3" xfId="12834"/>
    <cellStyle name="20% - 强调文字颜色 1 2 7 3 2" xfId="12835"/>
    <cellStyle name="20% - 强调文字颜色 1 2 7 3 2 2" xfId="12836"/>
    <cellStyle name="20% - 强调文字颜色 1 2 7 4" xfId="12837"/>
    <cellStyle name="20% - 强调文字颜色 1 2 7 4 2" xfId="12838"/>
    <cellStyle name="20% - 强调文字颜色 1 2 7 5" xfId="12839"/>
    <cellStyle name="20% - 强调文字颜色 1 2 7 5 2" xfId="12840"/>
    <cellStyle name="20% - 强调文字颜色 1 2 7 6" xfId="12841"/>
    <cellStyle name="20% - 强调文字颜色 1 2 8" xfId="12842"/>
    <cellStyle name="20% - 强调文字颜色 1 2 8 2" xfId="12843"/>
    <cellStyle name="20% - 强调文字颜色 1 2 8 2 2" xfId="12844"/>
    <cellStyle name="20% - 强调文字颜色 1 2 8 2 2 2" xfId="12845"/>
    <cellStyle name="20% - 强调文字颜色 1 2 8 2 2 2 2" xfId="12846"/>
    <cellStyle name="20% - 强调文字颜色 1 2 8 2 3" xfId="12847"/>
    <cellStyle name="20% - 强调文字颜色 1 2 8 2 3 2" xfId="12848"/>
    <cellStyle name="20% - 强调文字颜色 1 2 8 2 4" xfId="12849"/>
    <cellStyle name="20% - 强调文字颜色 1 2 8 2 4 2" xfId="12850"/>
    <cellStyle name="20% - 强调文字颜色 1 2 8 2 5" xfId="12851"/>
    <cellStyle name="20% - 强调文字颜色 1 2 8 3" xfId="12852"/>
    <cellStyle name="20% - 强调文字颜色 1 2 8 3 2" xfId="12853"/>
    <cellStyle name="20% - 强调文字颜色 1 2 8 3 2 2" xfId="12854"/>
    <cellStyle name="20% - 强调文字颜色 1 2 8 4" xfId="12855"/>
    <cellStyle name="20% - 强调文字颜色 1 2 8 4 2" xfId="12856"/>
    <cellStyle name="20% - 强调文字颜色 1 2 8 5" xfId="12857"/>
    <cellStyle name="20% - 强调文字颜色 1 2 8 5 2" xfId="12858"/>
    <cellStyle name="20% - 强调文字颜色 1 2 8 6" xfId="12859"/>
    <cellStyle name="20% - 强调文字颜色 1 2 9" xfId="12860"/>
    <cellStyle name="20% - 强调文字颜色 1 2 9 2" xfId="12861"/>
    <cellStyle name="20% - 强调文字颜色 1 2 9 2 2" xfId="12862"/>
    <cellStyle name="20% - 强调文字颜色 1 2 9 2 2 2" xfId="12863"/>
    <cellStyle name="20% - 强调文字颜色 1 2 9 3" xfId="12864"/>
    <cellStyle name="20% - 强调文字颜色 1 2 9 3 2" xfId="12865"/>
    <cellStyle name="20% - 强调文字颜色 1 2 9 4" xfId="12866"/>
    <cellStyle name="20% - 强调文字颜色 1 2 9 4 2" xfId="12867"/>
    <cellStyle name="20% - 强调文字颜色 1 2 9 5" xfId="12868"/>
    <cellStyle name="20% - 强调文字颜色 1 3" xfId="12869"/>
    <cellStyle name="20% - 强调文字颜色 1 3 2" xfId="12870"/>
    <cellStyle name="20% - 强调文字颜色 1 3 2 2" xfId="12871"/>
    <cellStyle name="20% - 强调文字颜色 1 3 2 2 2" xfId="12872"/>
    <cellStyle name="20% - 强调文字颜色 1 3 2 2 2 2" xfId="12873"/>
    <cellStyle name="20% - 强调文字颜色 1 3 2 2 2 3" xfId="12874"/>
    <cellStyle name="20% - 强调文字颜色 1 3 2 2 2 3 2" xfId="12875"/>
    <cellStyle name="20% - 强调文字颜色 1 3 2 2 2 3 2 2" xfId="12876"/>
    <cellStyle name="20% - 强调文字颜色 1 3 2 2 2 4" xfId="12877"/>
    <cellStyle name="20% - 强调文字颜色 1 3 2 2 2 4 2" xfId="12878"/>
    <cellStyle name="20% - 强调文字颜色 1 3 2 2 2 5" xfId="12879"/>
    <cellStyle name="20% - 强调文字颜色 1 3 2 2 2 5 2" xfId="12880"/>
    <cellStyle name="20% - 强调文字颜色 1 3 2 2 2 6" xfId="12881"/>
    <cellStyle name="20% - 强调文字颜色 1 3 2 2 3" xfId="12882"/>
    <cellStyle name="20% - 强调文字颜色 1 3 2 2 3 2" xfId="12883"/>
    <cellStyle name="20% - 强调文字颜色 1 3 2 2 3 2 2" xfId="12884"/>
    <cellStyle name="20% - 强调文字颜色 1 3 2 2 3 2 2 2" xfId="12885"/>
    <cellStyle name="20% - 强调文字颜色 1 3 2 2 3 3" xfId="12886"/>
    <cellStyle name="20% - 强调文字颜色 1 3 2 2 3 3 2" xfId="12887"/>
    <cellStyle name="20% - 强调文字颜色 1 3 2 2 3 4" xfId="12888"/>
    <cellStyle name="20% - 强调文字颜色 1 3 2 2 3 4 2" xfId="12889"/>
    <cellStyle name="20% - 强调文字颜色 1 3 2 2 3 5" xfId="12890"/>
    <cellStyle name="20% - 强调文字颜色 1 3 2 2 4" xfId="12891"/>
    <cellStyle name="20% - 强调文字颜色 1 3 2 2 5" xfId="12892"/>
    <cellStyle name="20% - 强调文字颜色 1 3 2 2 6" xfId="12893"/>
    <cellStyle name="20% - 强调文字颜色 1 3 2 2 6 2" xfId="12894"/>
    <cellStyle name="20% - 强调文字颜色 1 3 2 2 7" xfId="12895"/>
    <cellStyle name="20% - 强调文字颜色 1 3 2 2 7 2" xfId="12896"/>
    <cellStyle name="20% - 强调文字颜色 1 3 2 3" xfId="12897"/>
    <cellStyle name="20% - 强调文字颜色 1 3 2 3 2" xfId="12898"/>
    <cellStyle name="20% - 强调文字颜色 1 3 2 3 3" xfId="12899"/>
    <cellStyle name="20% - 强调文字颜色 1 3 2 3 3 2" xfId="12900"/>
    <cellStyle name="20% - 强调文字颜色 1 3 2 3 3 2 2" xfId="12901"/>
    <cellStyle name="20% - 强调文字颜色 1 3 2 3 4" xfId="12902"/>
    <cellStyle name="20% - 强调文字颜色 1 3 2 3 4 2" xfId="12903"/>
    <cellStyle name="20% - 强调文字颜色 1 3 2 3 5" xfId="12904"/>
    <cellStyle name="20% - 强调文字颜色 1 3 2 3 5 2" xfId="12905"/>
    <cellStyle name="20% - 强调文字颜色 1 3 2 3 6" xfId="12906"/>
    <cellStyle name="20% - 强调文字颜色 1 3 2 4" xfId="12907"/>
    <cellStyle name="20% - 强调文字颜色 1 3 2 4 2" xfId="12908"/>
    <cellStyle name="20% - 强调文字颜色 1 3 2 4 2 2" xfId="12909"/>
    <cellStyle name="20% - 强调文字颜色 1 3 2 4 2 2 2" xfId="12910"/>
    <cellStyle name="20% - 强调文字颜色 1 3 2 4 3" xfId="12911"/>
    <cellStyle name="20% - 强调文字颜色 1 3 2 4 3 2" xfId="12912"/>
    <cellStyle name="20% - 强调文字颜色 1 3 2 4 4" xfId="12913"/>
    <cellStyle name="20% - 强调文字颜色 1 3 2 4 4 2" xfId="12914"/>
    <cellStyle name="20% - 强调文字颜色 1 3 2 4 5" xfId="12915"/>
    <cellStyle name="20% - 强调文字颜色 1 3 2 5" xfId="12916"/>
    <cellStyle name="20% - 强调文字颜色 1 3 2 6" xfId="12917"/>
    <cellStyle name="20% - 强调文字颜色 1 3 2 7" xfId="12918"/>
    <cellStyle name="20% - 强调文字颜色 1 3 2 7 2" xfId="12919"/>
    <cellStyle name="20% - 强调文字颜色 1 3 2 8" xfId="12920"/>
    <cellStyle name="20% - 强调文字颜色 1 3 2 8 2" xfId="12921"/>
    <cellStyle name="20% - 强调文字颜色 1 3 3" xfId="12922"/>
    <cellStyle name="20% - 强调文字颜色 1 3 3 2" xfId="12923"/>
    <cellStyle name="20% - 强调文字颜色 1 3 3 2 2" xfId="12924"/>
    <cellStyle name="20% - 强调文字颜色 1 3 3 2 3" xfId="12925"/>
    <cellStyle name="20% - 强调文字颜色 1 3 3 2 3 2" xfId="12926"/>
    <cellStyle name="20% - 强调文字颜色 1 3 3 2 3 2 2" xfId="12927"/>
    <cellStyle name="20% - 强调文字颜色 1 3 3 2 4" xfId="12928"/>
    <cellStyle name="20% - 强调文字颜色 1 3 3 2 4 2" xfId="12929"/>
    <cellStyle name="20% - 强调文字颜色 1 3 3 2 5" xfId="12930"/>
    <cellStyle name="20% - 强调文字颜色 1 3 3 2 5 2" xfId="12931"/>
    <cellStyle name="20% - 强调文字颜色 1 3 3 2 6" xfId="12932"/>
    <cellStyle name="20% - 强调文字颜色 1 3 3 3" xfId="12933"/>
    <cellStyle name="20% - 强调文字颜色 1 3 3 3 2" xfId="12934"/>
    <cellStyle name="20% - 强调文字颜色 1 3 3 3 2 2" xfId="12935"/>
    <cellStyle name="20% - 强调文字颜色 1 3 3 3 2 2 2" xfId="12936"/>
    <cellStyle name="20% - 强调文字颜色 1 3 3 3 3" xfId="12937"/>
    <cellStyle name="20% - 强调文字颜色 1 3 3 3 3 2" xfId="12938"/>
    <cellStyle name="20% - 强调文字颜色 1 3 3 3 4" xfId="12939"/>
    <cellStyle name="20% - 强调文字颜色 1 3 3 3 4 2" xfId="12940"/>
    <cellStyle name="20% - 强调文字颜色 1 3 3 3 5" xfId="12941"/>
    <cellStyle name="20% - 强调文字颜色 1 3 3 4" xfId="12942"/>
    <cellStyle name="20% - 强调文字颜色 1 3 3 5" xfId="12943"/>
    <cellStyle name="20% - 强调文字颜色 1 3 3 6" xfId="12944"/>
    <cellStyle name="20% - 强调文字颜色 1 3 3 6 2" xfId="12945"/>
    <cellStyle name="20% - 强调文字颜色 1 3 3 7" xfId="12946"/>
    <cellStyle name="20% - 强调文字颜色 1 3 3 7 2" xfId="12947"/>
    <cellStyle name="20% - 强调文字颜色 1 3 4" xfId="12948"/>
    <cellStyle name="20% - 强调文字颜色 1 3 4 2" xfId="12949"/>
    <cellStyle name="20% - 强调文字颜色 1 3 4 2 2" xfId="12950"/>
    <cellStyle name="20% - 强调文字颜色 1 3 4 2 3" xfId="12951"/>
    <cellStyle name="20% - 强调文字颜色 1 3 4 2 3 2" xfId="12952"/>
    <cellStyle name="20% - 强调文字颜色 1 3 4 2 3 2 2" xfId="12953"/>
    <cellStyle name="20% - 强调文字颜色 1 3 4 2 4" xfId="12954"/>
    <cellStyle name="20% - 强调文字颜色 1 3 4 2 4 2" xfId="12955"/>
    <cellStyle name="20% - 强调文字颜色 1 3 4 2 5" xfId="12956"/>
    <cellStyle name="20% - 强调文字颜色 1 3 4 2 5 2" xfId="12957"/>
    <cellStyle name="20% - 强调文字颜色 1 3 4 2 6" xfId="12958"/>
    <cellStyle name="20% - 强调文字颜色 1 3 4 3" xfId="12959"/>
    <cellStyle name="20% - 强调文字颜色 1 3 4 4" xfId="12960"/>
    <cellStyle name="20% - 强调文字颜色 1 3 4 5" xfId="12961"/>
    <cellStyle name="20% - 强调文字颜色 1 3 4 6" xfId="12962"/>
    <cellStyle name="20% - 强调文字颜色 1 3 4 6 2" xfId="12963"/>
    <cellStyle name="20% - 强调文字颜色 1 3 4 7" xfId="12964"/>
    <cellStyle name="20% - 强调文字颜色 1 3 4 7 2" xfId="12965"/>
    <cellStyle name="20% - 强调文字颜色 1 3 5" xfId="12966"/>
    <cellStyle name="20% - 强调文字颜色 1 3 5 2" xfId="12967"/>
    <cellStyle name="20% - 强调文字颜色 1 3 5 2 2" xfId="12968"/>
    <cellStyle name="20% - 强调文字颜色 1 3 5 2 2 2" xfId="12969"/>
    <cellStyle name="20% - 强调文字颜色 1 3 5 2 2 2 2" xfId="12970"/>
    <cellStyle name="20% - 强调文字颜色 1 3 5 2 3" xfId="12971"/>
    <cellStyle name="20% - 强调文字颜色 1 3 5 2 3 2" xfId="12972"/>
    <cellStyle name="20% - 强调文字颜色 1 3 5 2 4" xfId="12973"/>
    <cellStyle name="20% - 强调文字颜色 1 3 5 2 4 2" xfId="12974"/>
    <cellStyle name="20% - 强调文字颜色 1 3 5 2 5" xfId="12975"/>
    <cellStyle name="20% - 强调文字颜色 1 3 5 3" xfId="12976"/>
    <cellStyle name="20% - 强调文字颜色 1 3 5 3 2" xfId="12977"/>
    <cellStyle name="20% - 强调文字颜色 1 3 5 3 2 2" xfId="12978"/>
    <cellStyle name="20% - 强调文字颜色 1 3 5 4" xfId="12979"/>
    <cellStyle name="20% - 强调文字颜色 1 3 5 4 2" xfId="12980"/>
    <cellStyle name="20% - 强调文字颜色 1 3 5 5" xfId="12981"/>
    <cellStyle name="20% - 强调文字颜色 1 3 5 5 2" xfId="12982"/>
    <cellStyle name="20% - 强调文字颜色 1 3 5 6" xfId="12983"/>
    <cellStyle name="20% - 强调文字颜色 1 3 6" xfId="12984"/>
    <cellStyle name="20% - 强调文字颜色 1 3 6 2" xfId="12985"/>
    <cellStyle name="20% - 强调文字颜色 1 3 6 2 2" xfId="12986"/>
    <cellStyle name="20% - 强调文字颜色 1 3 6 2 2 2" xfId="12987"/>
    <cellStyle name="20% - 强调文字颜色 1 3 6 3" xfId="12988"/>
    <cellStyle name="20% - 强调文字颜色 1 3 6 3 2" xfId="12989"/>
    <cellStyle name="20% - 强调文字颜色 1 3 6 4" xfId="12990"/>
    <cellStyle name="20% - 强调文字颜色 1 3 6 4 2" xfId="12991"/>
    <cellStyle name="20% - 强调文字颜色 1 3 6 5" xfId="12992"/>
    <cellStyle name="20% - 强调文字颜色 1 3 7" xfId="12993"/>
    <cellStyle name="20% - 强调文字颜色 1 3 8" xfId="12994"/>
    <cellStyle name="20% - 强调文字颜色 1 3 8 2" xfId="12995"/>
    <cellStyle name="20% - 强调文字颜色 1 3 9" xfId="12996"/>
    <cellStyle name="20% - 强调文字颜色 1 3 9 2" xfId="12997"/>
    <cellStyle name="20% - 强调文字颜色 2 2" xfId="12998"/>
    <cellStyle name="20% - 强调文字颜色 2 2 10" xfId="12999"/>
    <cellStyle name="20% - 强调文字颜色 2 2 11" xfId="13000"/>
    <cellStyle name="20% - 强调文字颜色 2 2 11 2" xfId="13001"/>
    <cellStyle name="20% - 强调文字颜色 2 2 12" xfId="13002"/>
    <cellStyle name="20% - 强调文字颜色 2 2 12 2" xfId="13003"/>
    <cellStyle name="20% - 强调文字颜色 2 2 2" xfId="13004"/>
    <cellStyle name="20% - 强调文字颜色 2 2 2 10" xfId="13005"/>
    <cellStyle name="20% - 强调文字颜色 2 2 2 11" xfId="13006"/>
    <cellStyle name="20% - 强调文字颜色 2 2 2 11 2" xfId="13007"/>
    <cellStyle name="20% - 强调文字颜色 2 2 2 12" xfId="13008"/>
    <cellStyle name="20% - 强调文字颜色 2 2 2 12 2" xfId="13009"/>
    <cellStyle name="20% - 强调文字颜色 2 2 2 2" xfId="13010"/>
    <cellStyle name="20% - 强调文字颜色 2 2 2 2 2" xfId="13011"/>
    <cellStyle name="20% - 强调文字颜色 2 2 2 2 2 2" xfId="13012"/>
    <cellStyle name="20% - 强调文字颜色 2 2 2 2 2 2 2" xfId="13013"/>
    <cellStyle name="20% - 强调文字颜色 2 2 2 2 2 2 3" xfId="13014"/>
    <cellStyle name="20% - 强调文字颜色 2 2 2 2 2 2 3 2" xfId="13015"/>
    <cellStyle name="20% - 强调文字颜色 2 2 2 2 2 2 3 2 2" xfId="13016"/>
    <cellStyle name="20% - 强调文字颜色 2 2 2 2 2 2 4" xfId="13017"/>
    <cellStyle name="20% - 强调文字颜色 2 2 2 2 2 2 4 2" xfId="13018"/>
    <cellStyle name="20% - 强调文字颜色 2 2 2 2 2 2 5" xfId="13019"/>
    <cellStyle name="20% - 强调文字颜色 2 2 2 2 2 2 5 2" xfId="13020"/>
    <cellStyle name="20% - 强调文字颜色 2 2 2 2 2 2 6" xfId="13021"/>
    <cellStyle name="20% - 强调文字颜色 2 2 2 2 2 3" xfId="13022"/>
    <cellStyle name="20% - 强调文字颜色 2 2 2 2 2 3 2" xfId="13023"/>
    <cellStyle name="20% - 强调文字颜色 2 2 2 2 2 3 2 2" xfId="13024"/>
    <cellStyle name="20% - 强调文字颜色 2 2 2 2 2 3 2 2 2" xfId="13025"/>
    <cellStyle name="20% - 强调文字颜色 2 2 2 2 2 3 3" xfId="13026"/>
    <cellStyle name="20% - 强调文字颜色 2 2 2 2 2 3 3 2" xfId="13027"/>
    <cellStyle name="20% - 强调文字颜色 2 2 2 2 2 3 4" xfId="13028"/>
    <cellStyle name="20% - 强调文字颜色 2 2 2 2 2 3 4 2" xfId="13029"/>
    <cellStyle name="20% - 强调文字颜色 2 2 2 2 2 3 5" xfId="13030"/>
    <cellStyle name="20% - 强调文字颜色 2 2 2 2 2 4" xfId="13031"/>
    <cellStyle name="20% - 强调文字颜色 2 2 2 2 2 5" xfId="13032"/>
    <cellStyle name="20% - 强调文字颜色 2 2 2 2 2 6" xfId="13033"/>
    <cellStyle name="20% - 强调文字颜色 2 2 2 2 2 6 2" xfId="13034"/>
    <cellStyle name="20% - 强调文字颜色 2 2 2 2 2 7" xfId="13035"/>
    <cellStyle name="20% - 强调文字颜色 2 2 2 2 2 7 2" xfId="13036"/>
    <cellStyle name="20% - 强调文字颜色 2 2 2 2 3" xfId="13037"/>
    <cellStyle name="20% - 强调文字颜色 2 2 2 2 3 2" xfId="13038"/>
    <cellStyle name="20% - 强调文字颜色 2 2 2 2 3 3" xfId="13039"/>
    <cellStyle name="20% - 强调文字颜色 2 2 2 2 3 3 2" xfId="13040"/>
    <cellStyle name="20% - 强调文字颜色 2 2 2 2 3 3 2 2" xfId="13041"/>
    <cellStyle name="20% - 强调文字颜色 2 2 2 2 3 4" xfId="13042"/>
    <cellStyle name="20% - 强调文字颜色 2 2 2 2 3 4 2" xfId="13043"/>
    <cellStyle name="20% - 强调文字颜色 2 2 2 2 3 5" xfId="13044"/>
    <cellStyle name="20% - 强调文字颜色 2 2 2 2 3 5 2" xfId="13045"/>
    <cellStyle name="20% - 强调文字颜色 2 2 2 2 3 6" xfId="13046"/>
    <cellStyle name="20% - 强调文字颜色 2 2 2 2 4" xfId="13047"/>
    <cellStyle name="20% - 强调文字颜色 2 2 2 2 4 2" xfId="13048"/>
    <cellStyle name="20% - 强调文字颜色 2 2 2 2 4 2 2" xfId="13049"/>
    <cellStyle name="20% - 强调文字颜色 2 2 2 2 4 2 2 2" xfId="13050"/>
    <cellStyle name="20% - 强调文字颜色 2 2 2 2 4 3" xfId="13051"/>
    <cellStyle name="20% - 强调文字颜色 2 2 2 2 4 3 2" xfId="13052"/>
    <cellStyle name="20% - 强调文字颜色 2 2 2 2 4 4" xfId="13053"/>
    <cellStyle name="20% - 强调文字颜色 2 2 2 2 4 4 2" xfId="13054"/>
    <cellStyle name="20% - 强调文字颜色 2 2 2 2 4 5" xfId="13055"/>
    <cellStyle name="20% - 强调文字颜色 2 2 2 2 5" xfId="13056"/>
    <cellStyle name="20% - 强调文字颜色 2 2 2 2 6" xfId="13057"/>
    <cellStyle name="20% - 强调文字颜色 2 2 2 2 7" xfId="13058"/>
    <cellStyle name="20% - 强调文字颜色 2 2 2 2 7 2" xfId="13059"/>
    <cellStyle name="20% - 强调文字颜色 2 2 2 2 8" xfId="13060"/>
    <cellStyle name="20% - 强调文字颜色 2 2 2 2 8 2" xfId="13061"/>
    <cellStyle name="20% - 强调文字颜色 2 2 2 3" xfId="13062"/>
    <cellStyle name="20% - 强调文字颜色 2 2 2 3 2" xfId="13063"/>
    <cellStyle name="20% - 强调文字颜色 2 2 2 3 2 2" xfId="13064"/>
    <cellStyle name="20% - 强调文字颜色 2 2 2 3 2 3" xfId="13065"/>
    <cellStyle name="20% - 强调文字颜色 2 2 2 3 2 3 2" xfId="13066"/>
    <cellStyle name="20% - 强调文字颜色 2 2 2 3 2 3 2 2" xfId="13067"/>
    <cellStyle name="20% - 强调文字颜色 2 2 2 3 2 4" xfId="13068"/>
    <cellStyle name="20% - 强调文字颜色 2 2 2 3 2 4 2" xfId="13069"/>
    <cellStyle name="20% - 强调文字颜色 2 2 2 3 2 5" xfId="13070"/>
    <cellStyle name="20% - 强调文字颜色 2 2 2 3 2 5 2" xfId="13071"/>
    <cellStyle name="20% - 强调文字颜色 2 2 2 3 2 6" xfId="13072"/>
    <cellStyle name="20% - 强调文字颜色 2 2 2 3 3" xfId="13073"/>
    <cellStyle name="20% - 强调文字颜色 2 2 2 3 3 2" xfId="13074"/>
    <cellStyle name="20% - 强调文字颜色 2 2 2 3 3 2 2" xfId="13075"/>
    <cellStyle name="20% - 强调文字颜色 2 2 2 3 3 2 2 2" xfId="13076"/>
    <cellStyle name="20% - 强调文字颜色 2 2 2 3 3 3" xfId="13077"/>
    <cellStyle name="20% - 强调文字颜色 2 2 2 3 3 3 2" xfId="13078"/>
    <cellStyle name="20% - 强调文字颜色 2 2 2 3 3 4" xfId="13079"/>
    <cellStyle name="20% - 强调文字颜色 2 2 2 3 3 4 2" xfId="13080"/>
    <cellStyle name="20% - 强调文字颜色 2 2 2 3 3 5" xfId="13081"/>
    <cellStyle name="20% - 强调文字颜色 2 2 2 3 4" xfId="13082"/>
    <cellStyle name="20% - 强调文字颜色 2 2 2 3 5" xfId="13083"/>
    <cellStyle name="20% - 强调文字颜色 2 2 2 3 6" xfId="13084"/>
    <cellStyle name="20% - 强调文字颜色 2 2 2 3 6 2" xfId="13085"/>
    <cellStyle name="20% - 强调文字颜色 2 2 2 3 7" xfId="13086"/>
    <cellStyle name="20% - 强调文字颜色 2 2 2 3 7 2" xfId="13087"/>
    <cellStyle name="20% - 强调文字颜色 2 2 2 4" xfId="13088"/>
    <cellStyle name="20% - 强调文字颜色 2 2 2 4 2" xfId="13089"/>
    <cellStyle name="20% - 强调文字颜色 2 2 2 4 2 2" xfId="13090"/>
    <cellStyle name="20% - 强调文字颜色 2 2 2 4 2 3" xfId="13091"/>
    <cellStyle name="20% - 强调文字颜色 2 2 2 4 2 3 2" xfId="13092"/>
    <cellStyle name="20% - 强调文字颜色 2 2 2 4 2 3 2 2" xfId="13093"/>
    <cellStyle name="20% - 强调文字颜色 2 2 2 4 2 4" xfId="13094"/>
    <cellStyle name="20% - 强调文字颜色 2 2 2 4 2 4 2" xfId="13095"/>
    <cellStyle name="20% - 强调文字颜色 2 2 2 4 2 5" xfId="13096"/>
    <cellStyle name="20% - 强调文字颜色 2 2 2 4 2 5 2" xfId="13097"/>
    <cellStyle name="20% - 强调文字颜色 2 2 2 4 2 6" xfId="13098"/>
    <cellStyle name="20% - 强调文字颜色 2 2 2 4 3" xfId="13099"/>
    <cellStyle name="20% - 强调文字颜色 2 2 2 4 4" xfId="13100"/>
    <cellStyle name="20% - 强调文字颜色 2 2 2 4 5" xfId="13101"/>
    <cellStyle name="20% - 强调文字颜色 2 2 2 4 6" xfId="13102"/>
    <cellStyle name="20% - 强调文字颜色 2 2 2 4 6 2" xfId="13103"/>
    <cellStyle name="20% - 强调文字颜色 2 2 2 4 7" xfId="13104"/>
    <cellStyle name="20% - 强调文字颜色 2 2 2 4 7 2" xfId="13105"/>
    <cellStyle name="20% - 强调文字颜色 2 2 2 5" xfId="13106"/>
    <cellStyle name="20% - 强调文字颜色 2 2 2 5 2" xfId="13107"/>
    <cellStyle name="20% - 强调文字颜色 2 2 2 5 2 2" xfId="13108"/>
    <cellStyle name="20% - 强调文字颜色 2 2 2 5 2 2 2" xfId="13109"/>
    <cellStyle name="20% - 强调文字颜色 2 2 2 5 2 2 2 2" xfId="13110"/>
    <cellStyle name="20% - 强调文字颜色 2 2 2 5 2 3" xfId="13111"/>
    <cellStyle name="20% - 强调文字颜色 2 2 2 5 2 3 2" xfId="13112"/>
    <cellStyle name="20% - 强调文字颜色 2 2 2 5 2 4" xfId="13113"/>
    <cellStyle name="20% - 强调文字颜色 2 2 2 5 2 4 2" xfId="13114"/>
    <cellStyle name="20% - 强调文字颜色 2 2 2 5 2 5" xfId="13115"/>
    <cellStyle name="20% - 强调文字颜色 2 2 2 5 3" xfId="13116"/>
    <cellStyle name="20% - 强调文字颜色 2 2 2 5 3 2" xfId="13117"/>
    <cellStyle name="20% - 强调文字颜色 2 2 2 5 3 2 2" xfId="13118"/>
    <cellStyle name="20% - 强调文字颜色 2 2 2 5 4" xfId="13119"/>
    <cellStyle name="20% - 强调文字颜色 2 2 2 5 4 2" xfId="13120"/>
    <cellStyle name="20% - 强调文字颜色 2 2 2 5 5" xfId="13121"/>
    <cellStyle name="20% - 强调文字颜色 2 2 2 5 5 2" xfId="13122"/>
    <cellStyle name="20% - 强调文字颜色 2 2 2 5 6" xfId="13123"/>
    <cellStyle name="20% - 强调文字颜色 2 2 2 6" xfId="13124"/>
    <cellStyle name="20% - 强调文字颜色 2 2 2 6 2" xfId="13125"/>
    <cellStyle name="20% - 强调文字颜色 2 2 2 6 2 2" xfId="13126"/>
    <cellStyle name="20% - 强调文字颜色 2 2 2 6 2 2 2" xfId="13127"/>
    <cellStyle name="20% - 强调文字颜色 2 2 2 6 2 2 2 2" xfId="13128"/>
    <cellStyle name="20% - 强调文字颜色 2 2 2 6 2 3" xfId="13129"/>
    <cellStyle name="20% - 强调文字颜色 2 2 2 6 2 3 2" xfId="13130"/>
    <cellStyle name="20% - 强调文字颜色 2 2 2 6 2 4" xfId="13131"/>
    <cellStyle name="20% - 强调文字颜色 2 2 2 6 2 4 2" xfId="13132"/>
    <cellStyle name="20% - 强调文字颜色 2 2 2 6 2 5" xfId="13133"/>
    <cellStyle name="20% - 强调文字颜色 2 2 2 6 3" xfId="13134"/>
    <cellStyle name="20% - 强调文字颜色 2 2 2 6 3 2" xfId="13135"/>
    <cellStyle name="20% - 强调文字颜色 2 2 2 6 3 2 2" xfId="13136"/>
    <cellStyle name="20% - 强调文字颜色 2 2 2 6 4" xfId="13137"/>
    <cellStyle name="20% - 强调文字颜色 2 2 2 6 4 2" xfId="13138"/>
    <cellStyle name="20% - 强调文字颜色 2 2 2 6 5" xfId="13139"/>
    <cellStyle name="20% - 强调文字颜色 2 2 2 6 5 2" xfId="13140"/>
    <cellStyle name="20% - 强调文字颜色 2 2 2 6 6" xfId="13141"/>
    <cellStyle name="20% - 强调文字颜色 2 2 2 7" xfId="13142"/>
    <cellStyle name="20% - 强调文字颜色 2 2 2 7 2" xfId="13143"/>
    <cellStyle name="20% - 强调文字颜色 2 2 2 7 2 2" xfId="13144"/>
    <cellStyle name="20% - 强调文字颜色 2 2 2 7 2 2 2" xfId="13145"/>
    <cellStyle name="20% - 强调文字颜色 2 2 2 7 2 2 2 2" xfId="13146"/>
    <cellStyle name="20% - 强调文字颜色 2 2 2 7 2 3" xfId="13147"/>
    <cellStyle name="20% - 强调文字颜色 2 2 2 7 2 3 2" xfId="13148"/>
    <cellStyle name="20% - 强调文字颜色 2 2 2 7 2 4" xfId="13149"/>
    <cellStyle name="20% - 强调文字颜色 2 2 2 7 2 4 2" xfId="13150"/>
    <cellStyle name="20% - 强调文字颜色 2 2 2 7 2 5" xfId="13151"/>
    <cellStyle name="20% - 强调文字颜色 2 2 2 7 3" xfId="13152"/>
    <cellStyle name="20% - 强调文字颜色 2 2 2 7 3 2" xfId="13153"/>
    <cellStyle name="20% - 强调文字颜色 2 2 2 7 3 2 2" xfId="13154"/>
    <cellStyle name="20% - 强调文字颜色 2 2 2 7 4" xfId="13155"/>
    <cellStyle name="20% - 强调文字颜色 2 2 2 7 4 2" xfId="13156"/>
    <cellStyle name="20% - 强调文字颜色 2 2 2 7 5" xfId="13157"/>
    <cellStyle name="20% - 强调文字颜色 2 2 2 7 5 2" xfId="13158"/>
    <cellStyle name="20% - 强调文字颜色 2 2 2 7 6" xfId="13159"/>
    <cellStyle name="20% - 强调文字颜色 2 2 2 8" xfId="13160"/>
    <cellStyle name="20% - 强调文字颜色 2 2 2 8 2" xfId="13161"/>
    <cellStyle name="20% - 强调文字颜色 2 2 2 8 2 2" xfId="13162"/>
    <cellStyle name="20% - 强调文字颜色 2 2 2 8 2 2 2" xfId="13163"/>
    <cellStyle name="20% - 强调文字颜色 2 2 2 8 3" xfId="13164"/>
    <cellStyle name="20% - 强调文字颜色 2 2 2 8 3 2" xfId="13165"/>
    <cellStyle name="20% - 强调文字颜色 2 2 2 8 4" xfId="13166"/>
    <cellStyle name="20% - 强调文字颜色 2 2 2 8 4 2" xfId="13167"/>
    <cellStyle name="20% - 强调文字颜色 2 2 2 8 5" xfId="13168"/>
    <cellStyle name="20% - 强调文字颜色 2 2 2 9" xfId="13169"/>
    <cellStyle name="20% - 强调文字颜色 2 2 2 9 2" xfId="13170"/>
    <cellStyle name="20% - 强调文字颜色 2 2 2 9 2 2" xfId="13171"/>
    <cellStyle name="20% - 强调文字颜色 2 2 2 9 2 2 2" xfId="13172"/>
    <cellStyle name="20% - 强调文字颜色 2 2 2 9 3" xfId="13173"/>
    <cellStyle name="20% - 强调文字颜色 2 2 2 9 3 2" xfId="13174"/>
    <cellStyle name="20% - 强调文字颜色 2 2 2 9 4" xfId="13175"/>
    <cellStyle name="20% - 强调文字颜色 2 2 2 9 4 2" xfId="13176"/>
    <cellStyle name="20% - 强调文字颜色 2 2 2 9 5" xfId="13177"/>
    <cellStyle name="20% - 强调文字颜色 2 2 3" xfId="13178"/>
    <cellStyle name="20% - 强调文字颜色 2 2 3 10" xfId="13179"/>
    <cellStyle name="20% - 强调文字颜色 2 2 3 10 2" xfId="13180"/>
    <cellStyle name="20% - 强调文字颜色 2 2 3 2" xfId="13181"/>
    <cellStyle name="20% - 强调文字颜色 2 2 3 2 2" xfId="13182"/>
    <cellStyle name="20% - 强调文字颜色 2 2 3 2 2 2" xfId="13183"/>
    <cellStyle name="20% - 强调文字颜色 2 2 3 2 2 2 2" xfId="13184"/>
    <cellStyle name="20% - 强调文字颜色 2 2 3 2 2 2 3" xfId="13185"/>
    <cellStyle name="20% - 强调文字颜色 2 2 3 2 2 2 3 2" xfId="13186"/>
    <cellStyle name="20% - 强调文字颜色 2 2 3 2 2 2 3 2 2" xfId="13187"/>
    <cellStyle name="20% - 强调文字颜色 2 2 3 2 2 2 4" xfId="13188"/>
    <cellStyle name="20% - 强调文字颜色 2 2 3 2 2 2 4 2" xfId="13189"/>
    <cellStyle name="20% - 强调文字颜色 2 2 3 2 2 2 5" xfId="13190"/>
    <cellStyle name="20% - 强调文字颜色 2 2 3 2 2 2 5 2" xfId="13191"/>
    <cellStyle name="20% - 强调文字颜色 2 2 3 2 2 2 6" xfId="13192"/>
    <cellStyle name="20% - 强调文字颜色 2 2 3 2 2 3" xfId="13193"/>
    <cellStyle name="20% - 强调文字颜色 2 2 3 2 2 3 2" xfId="13194"/>
    <cellStyle name="20% - 强调文字颜色 2 2 3 2 2 3 2 2" xfId="13195"/>
    <cellStyle name="20% - 强调文字颜色 2 2 3 2 2 3 2 2 2" xfId="13196"/>
    <cellStyle name="20% - 强调文字颜色 2 2 3 2 2 3 3" xfId="13197"/>
    <cellStyle name="20% - 强调文字颜色 2 2 3 2 2 3 3 2" xfId="13198"/>
    <cellStyle name="20% - 强调文字颜色 2 2 3 2 2 3 4" xfId="13199"/>
    <cellStyle name="20% - 强调文字颜色 2 2 3 2 2 3 4 2" xfId="13200"/>
    <cellStyle name="20% - 强调文字颜色 2 2 3 2 2 3 5" xfId="13201"/>
    <cellStyle name="20% - 强调文字颜色 2 2 3 2 2 4" xfId="13202"/>
    <cellStyle name="20% - 强调文字颜色 2 2 3 2 2 5" xfId="13203"/>
    <cellStyle name="20% - 强调文字颜色 2 2 3 2 2 6" xfId="13204"/>
    <cellStyle name="20% - 强调文字颜色 2 2 3 2 2 6 2" xfId="13205"/>
    <cellStyle name="20% - 强调文字颜色 2 2 3 2 2 7" xfId="13206"/>
    <cellStyle name="20% - 强调文字颜色 2 2 3 2 2 7 2" xfId="13207"/>
    <cellStyle name="20% - 强调文字颜色 2 2 3 2 3" xfId="13208"/>
    <cellStyle name="20% - 强调文字颜色 2 2 3 2 3 2" xfId="13209"/>
    <cellStyle name="20% - 强调文字颜色 2 2 3 2 3 3" xfId="13210"/>
    <cellStyle name="20% - 强调文字颜色 2 2 3 2 3 3 2" xfId="13211"/>
    <cellStyle name="20% - 强调文字颜色 2 2 3 2 3 3 2 2" xfId="13212"/>
    <cellStyle name="20% - 强调文字颜色 2 2 3 2 3 4" xfId="13213"/>
    <cellStyle name="20% - 强调文字颜色 2 2 3 2 3 4 2" xfId="13214"/>
    <cellStyle name="20% - 强调文字颜色 2 2 3 2 3 5" xfId="13215"/>
    <cellStyle name="20% - 强调文字颜色 2 2 3 2 3 5 2" xfId="13216"/>
    <cellStyle name="20% - 强调文字颜色 2 2 3 2 3 6" xfId="13217"/>
    <cellStyle name="20% - 强调文字颜色 2 2 3 2 4" xfId="13218"/>
    <cellStyle name="20% - 强调文字颜色 2 2 3 2 4 2" xfId="13219"/>
    <cellStyle name="20% - 强调文字颜色 2 2 3 2 4 2 2" xfId="13220"/>
    <cellStyle name="20% - 强调文字颜色 2 2 3 2 4 2 2 2" xfId="13221"/>
    <cellStyle name="20% - 强调文字颜色 2 2 3 2 4 3" xfId="13222"/>
    <cellStyle name="20% - 强调文字颜色 2 2 3 2 4 3 2" xfId="13223"/>
    <cellStyle name="20% - 强调文字颜色 2 2 3 2 4 4" xfId="13224"/>
    <cellStyle name="20% - 强调文字颜色 2 2 3 2 4 4 2" xfId="13225"/>
    <cellStyle name="20% - 强调文字颜色 2 2 3 2 4 5" xfId="13226"/>
    <cellStyle name="20% - 强调文字颜色 2 2 3 2 5" xfId="13227"/>
    <cellStyle name="20% - 强调文字颜色 2 2 3 2 6" xfId="13228"/>
    <cellStyle name="20% - 强调文字颜色 2 2 3 2 7" xfId="13229"/>
    <cellStyle name="20% - 强调文字颜色 2 2 3 2 7 2" xfId="13230"/>
    <cellStyle name="20% - 强调文字颜色 2 2 3 2 8" xfId="13231"/>
    <cellStyle name="20% - 强调文字颜色 2 2 3 2 8 2" xfId="13232"/>
    <cellStyle name="20% - 强调文字颜色 2 2 3 3" xfId="13233"/>
    <cellStyle name="20% - 强调文字颜色 2 2 3 3 2" xfId="13234"/>
    <cellStyle name="20% - 强调文字颜色 2 2 3 3 2 2" xfId="13235"/>
    <cellStyle name="20% - 强调文字颜色 2 2 3 3 2 3" xfId="13236"/>
    <cellStyle name="20% - 强调文字颜色 2 2 3 3 2 3 2" xfId="13237"/>
    <cellStyle name="20% - 强调文字颜色 2 2 3 3 2 3 2 2" xfId="13238"/>
    <cellStyle name="20% - 强调文字颜色 2 2 3 3 2 4" xfId="13239"/>
    <cellStyle name="20% - 强调文字颜色 2 2 3 3 2 4 2" xfId="13240"/>
    <cellStyle name="20% - 强调文字颜色 2 2 3 3 2 5" xfId="13241"/>
    <cellStyle name="20% - 强调文字颜色 2 2 3 3 2 5 2" xfId="13242"/>
    <cellStyle name="20% - 强调文字颜色 2 2 3 3 2 6" xfId="13243"/>
    <cellStyle name="20% - 强调文字颜色 2 2 3 3 3" xfId="13244"/>
    <cellStyle name="20% - 强调文字颜色 2 2 3 3 3 2" xfId="13245"/>
    <cellStyle name="20% - 强调文字颜色 2 2 3 3 3 2 2" xfId="13246"/>
    <cellStyle name="20% - 强调文字颜色 2 2 3 3 3 2 2 2" xfId="13247"/>
    <cellStyle name="20% - 强调文字颜色 2 2 3 3 3 3" xfId="13248"/>
    <cellStyle name="20% - 强调文字颜色 2 2 3 3 3 3 2" xfId="13249"/>
    <cellStyle name="20% - 强调文字颜色 2 2 3 3 3 4" xfId="13250"/>
    <cellStyle name="20% - 强调文字颜色 2 2 3 3 3 4 2" xfId="13251"/>
    <cellStyle name="20% - 强调文字颜色 2 2 3 3 3 5" xfId="13252"/>
    <cellStyle name="20% - 强调文字颜色 2 2 3 3 4" xfId="13253"/>
    <cellStyle name="20% - 强调文字颜色 2 2 3 3 5" xfId="13254"/>
    <cellStyle name="20% - 强调文字颜色 2 2 3 3 6" xfId="13255"/>
    <cellStyle name="20% - 强调文字颜色 2 2 3 3 6 2" xfId="13256"/>
    <cellStyle name="20% - 强调文字颜色 2 2 3 3 7" xfId="13257"/>
    <cellStyle name="20% - 强调文字颜色 2 2 3 3 7 2" xfId="13258"/>
    <cellStyle name="20% - 强调文字颜色 2 2 3 4" xfId="13259"/>
    <cellStyle name="20% - 强调文字颜色 2 2 3 4 2" xfId="13260"/>
    <cellStyle name="20% - 强调文字颜色 2 2 3 4 2 2" xfId="13261"/>
    <cellStyle name="20% - 强调文字颜色 2 2 3 4 2 3" xfId="13262"/>
    <cellStyle name="20% - 强调文字颜色 2 2 3 4 2 3 2" xfId="13263"/>
    <cellStyle name="20% - 强调文字颜色 2 2 3 4 2 3 2 2" xfId="13264"/>
    <cellStyle name="20% - 强调文字颜色 2 2 3 4 2 4" xfId="13265"/>
    <cellStyle name="20% - 强调文字颜色 2 2 3 4 2 4 2" xfId="13266"/>
    <cellStyle name="20% - 强调文字颜色 2 2 3 4 2 5" xfId="13267"/>
    <cellStyle name="20% - 强调文字颜色 2 2 3 4 2 5 2" xfId="13268"/>
    <cellStyle name="20% - 强调文字颜色 2 2 3 4 2 6" xfId="13269"/>
    <cellStyle name="20% - 强调文字颜色 2 2 3 4 3" xfId="13270"/>
    <cellStyle name="20% - 强调文字颜色 2 2 3 4 4" xfId="13271"/>
    <cellStyle name="20% - 强调文字颜色 2 2 3 4 5" xfId="13272"/>
    <cellStyle name="20% - 强调文字颜色 2 2 3 4 6" xfId="13273"/>
    <cellStyle name="20% - 强调文字颜色 2 2 3 4 6 2" xfId="13274"/>
    <cellStyle name="20% - 强调文字颜色 2 2 3 4 7" xfId="13275"/>
    <cellStyle name="20% - 强调文字颜色 2 2 3 4 7 2" xfId="13276"/>
    <cellStyle name="20% - 强调文字颜色 2 2 3 5" xfId="13277"/>
    <cellStyle name="20% - 强调文字颜色 2 2 3 5 2" xfId="13278"/>
    <cellStyle name="20% - 强调文字颜色 2 2 3 5 2 2" xfId="13279"/>
    <cellStyle name="20% - 强调文字颜色 2 2 3 5 2 2 2" xfId="13280"/>
    <cellStyle name="20% - 强调文字颜色 2 2 3 5 2 2 2 2" xfId="13281"/>
    <cellStyle name="20% - 强调文字颜色 2 2 3 5 2 3" xfId="13282"/>
    <cellStyle name="20% - 强调文字颜色 2 2 3 5 2 3 2" xfId="13283"/>
    <cellStyle name="20% - 强调文字颜色 2 2 3 5 2 4" xfId="13284"/>
    <cellStyle name="20% - 强调文字颜色 2 2 3 5 2 4 2" xfId="13285"/>
    <cellStyle name="20% - 强调文字颜色 2 2 3 5 2 5" xfId="13286"/>
    <cellStyle name="20% - 强调文字颜色 2 2 3 5 3" xfId="13287"/>
    <cellStyle name="20% - 强调文字颜色 2 2 3 5 3 2" xfId="13288"/>
    <cellStyle name="20% - 强调文字颜色 2 2 3 5 3 2 2" xfId="13289"/>
    <cellStyle name="20% - 强调文字颜色 2 2 3 5 4" xfId="13290"/>
    <cellStyle name="20% - 强调文字颜色 2 2 3 5 4 2" xfId="13291"/>
    <cellStyle name="20% - 强调文字颜色 2 2 3 5 5" xfId="13292"/>
    <cellStyle name="20% - 强调文字颜色 2 2 3 5 5 2" xfId="13293"/>
    <cellStyle name="20% - 强调文字颜色 2 2 3 5 6" xfId="13294"/>
    <cellStyle name="20% - 强调文字颜色 2 2 3 6" xfId="13295"/>
    <cellStyle name="20% - 强调文字颜色 2 2 3 6 2" xfId="13296"/>
    <cellStyle name="20% - 强调文字颜色 2 2 3 6 2 2" xfId="13297"/>
    <cellStyle name="20% - 强调文字颜色 2 2 3 6 2 2 2" xfId="13298"/>
    <cellStyle name="20% - 强调文字颜色 2 2 3 6 3" xfId="13299"/>
    <cellStyle name="20% - 强调文字颜色 2 2 3 6 3 2" xfId="13300"/>
    <cellStyle name="20% - 强调文字颜色 2 2 3 6 4" xfId="13301"/>
    <cellStyle name="20% - 强调文字颜色 2 2 3 6 4 2" xfId="13302"/>
    <cellStyle name="20% - 强调文字颜色 2 2 3 6 5" xfId="13303"/>
    <cellStyle name="20% - 强调文字颜色 2 2 3 7" xfId="13304"/>
    <cellStyle name="20% - 强调文字颜色 2 2 3 7 2" xfId="13305"/>
    <cellStyle name="20% - 强调文字颜色 2 2 3 7 2 2" xfId="13306"/>
    <cellStyle name="20% - 强调文字颜色 2 2 3 7 2 2 2" xfId="13307"/>
    <cellStyle name="20% - 强调文字颜色 2 2 3 7 3" xfId="13308"/>
    <cellStyle name="20% - 强调文字颜色 2 2 3 7 3 2" xfId="13309"/>
    <cellStyle name="20% - 强调文字颜色 2 2 3 7 4" xfId="13310"/>
    <cellStyle name="20% - 强调文字颜色 2 2 3 7 4 2" xfId="13311"/>
    <cellStyle name="20% - 强调文字颜色 2 2 3 7 5" xfId="13312"/>
    <cellStyle name="20% - 强调文字颜色 2 2 3 8" xfId="13313"/>
    <cellStyle name="20% - 强调文字颜色 2 2 3 9" xfId="13314"/>
    <cellStyle name="20% - 强调文字颜色 2 2 3 9 2" xfId="13315"/>
    <cellStyle name="20% - 强调文字颜色 2 2 4" xfId="13316"/>
    <cellStyle name="20% - 强调文字颜色 2 2 4 2" xfId="13317"/>
    <cellStyle name="20% - 强调文字颜色 2 2 4 2 2" xfId="13318"/>
    <cellStyle name="20% - 强调文字颜色 2 2 4 2 3" xfId="13319"/>
    <cellStyle name="20% - 强调文字颜色 2 2 4 2 3 2" xfId="13320"/>
    <cellStyle name="20% - 强调文字颜色 2 2 4 2 3 2 2" xfId="13321"/>
    <cellStyle name="20% - 强调文字颜色 2 2 4 2 4" xfId="13322"/>
    <cellStyle name="20% - 强调文字颜色 2 2 4 2 4 2" xfId="13323"/>
    <cellStyle name="20% - 强调文字颜色 2 2 4 2 5" xfId="13324"/>
    <cellStyle name="20% - 强调文字颜色 2 2 4 2 5 2" xfId="13325"/>
    <cellStyle name="20% - 强调文字颜色 2 2 4 2 6" xfId="13326"/>
    <cellStyle name="20% - 强调文字颜色 2 2 4 3" xfId="13327"/>
    <cellStyle name="20% - 强调文字颜色 2 2 4 3 2" xfId="13328"/>
    <cellStyle name="20% - 强调文字颜色 2 2 4 3 2 2" xfId="13329"/>
    <cellStyle name="20% - 强调文字颜色 2 2 4 3 2 2 2" xfId="13330"/>
    <cellStyle name="20% - 强调文字颜色 2 2 4 3 3" xfId="13331"/>
    <cellStyle name="20% - 强调文字颜色 2 2 4 3 3 2" xfId="13332"/>
    <cellStyle name="20% - 强调文字颜色 2 2 4 3 4" xfId="13333"/>
    <cellStyle name="20% - 强调文字颜色 2 2 4 3 4 2" xfId="13334"/>
    <cellStyle name="20% - 强调文字颜色 2 2 4 3 5" xfId="13335"/>
    <cellStyle name="20% - 强调文字颜色 2 2 4 4" xfId="13336"/>
    <cellStyle name="20% - 强调文字颜色 2 2 4 5" xfId="13337"/>
    <cellStyle name="20% - 强调文字颜色 2 2 4 6" xfId="13338"/>
    <cellStyle name="20% - 强调文字颜色 2 2 4 6 2" xfId="13339"/>
    <cellStyle name="20% - 强调文字颜色 2 2 4 7" xfId="13340"/>
    <cellStyle name="20% - 强调文字颜色 2 2 4 7 2" xfId="13341"/>
    <cellStyle name="20% - 强调文字颜色 2 2 5" xfId="13342"/>
    <cellStyle name="20% - 强调文字颜色 2 2 5 2" xfId="13343"/>
    <cellStyle name="20% - 强调文字颜色 2 2 5 2 2" xfId="13344"/>
    <cellStyle name="20% - 强调文字颜色 2 2 5 2 3" xfId="13345"/>
    <cellStyle name="20% - 强调文字颜色 2 2 5 2 3 2" xfId="13346"/>
    <cellStyle name="20% - 强调文字颜色 2 2 5 2 3 2 2" xfId="13347"/>
    <cellStyle name="20% - 强调文字颜色 2 2 5 2 4" xfId="13348"/>
    <cellStyle name="20% - 强调文字颜色 2 2 5 2 4 2" xfId="13349"/>
    <cellStyle name="20% - 强调文字颜色 2 2 5 2 5" xfId="13350"/>
    <cellStyle name="20% - 强调文字颜色 2 2 5 2 5 2" xfId="13351"/>
    <cellStyle name="20% - 强调文字颜色 2 2 5 2 6" xfId="13352"/>
    <cellStyle name="20% - 强调文字颜色 2 2 5 3" xfId="13353"/>
    <cellStyle name="20% - 强调文字颜色 2 2 5 4" xfId="13354"/>
    <cellStyle name="20% - 强调文字颜色 2 2 5 5" xfId="13355"/>
    <cellStyle name="20% - 强调文字颜色 2 2 5 6" xfId="13356"/>
    <cellStyle name="20% - 强调文字颜色 2 2 5 6 2" xfId="13357"/>
    <cellStyle name="20% - 强调文字颜色 2 2 5 7" xfId="13358"/>
    <cellStyle name="20% - 强调文字颜色 2 2 5 7 2" xfId="13359"/>
    <cellStyle name="20% - 强调文字颜色 2 2 6" xfId="13360"/>
    <cellStyle name="20% - 强调文字颜色 2 2 6 2" xfId="13361"/>
    <cellStyle name="20% - 强调文字颜色 2 2 6 2 2" xfId="13362"/>
    <cellStyle name="20% - 强调文字颜色 2 2 6 2 2 2" xfId="13363"/>
    <cellStyle name="20% - 强调文字颜色 2 2 6 2 2 2 2" xfId="13364"/>
    <cellStyle name="20% - 强调文字颜色 2 2 6 2 3" xfId="13365"/>
    <cellStyle name="20% - 强调文字颜色 2 2 6 2 3 2" xfId="13366"/>
    <cellStyle name="20% - 强调文字颜色 2 2 6 2 4" xfId="13367"/>
    <cellStyle name="20% - 强调文字颜色 2 2 6 2 4 2" xfId="13368"/>
    <cellStyle name="20% - 强调文字颜色 2 2 6 2 5" xfId="13369"/>
    <cellStyle name="20% - 强调文字颜色 2 2 6 3" xfId="13370"/>
    <cellStyle name="20% - 强调文字颜色 2 2 6 3 2" xfId="13371"/>
    <cellStyle name="20% - 强调文字颜色 2 2 6 3 2 2" xfId="13372"/>
    <cellStyle name="20% - 强调文字颜色 2 2 6 4" xfId="13373"/>
    <cellStyle name="20% - 强调文字颜色 2 2 6 4 2" xfId="13374"/>
    <cellStyle name="20% - 强调文字颜色 2 2 6 5" xfId="13375"/>
    <cellStyle name="20% - 强调文字颜色 2 2 6 5 2" xfId="13376"/>
    <cellStyle name="20% - 强调文字颜色 2 2 6 6" xfId="13377"/>
    <cellStyle name="20% - 强调文字颜色 2 2 7" xfId="13378"/>
    <cellStyle name="20% - 强调文字颜色 2 2 7 2" xfId="13379"/>
    <cellStyle name="20% - 强调文字颜色 2 2 7 2 2" xfId="13380"/>
    <cellStyle name="20% - 强调文字颜色 2 2 7 2 2 2" xfId="13381"/>
    <cellStyle name="20% - 强调文字颜色 2 2 7 2 2 2 2" xfId="13382"/>
    <cellStyle name="20% - 强调文字颜色 2 2 7 2 3" xfId="13383"/>
    <cellStyle name="20% - 强调文字颜色 2 2 7 2 3 2" xfId="13384"/>
    <cellStyle name="20% - 强调文字颜色 2 2 7 2 4" xfId="13385"/>
    <cellStyle name="20% - 强调文字颜色 2 2 7 2 4 2" xfId="13386"/>
    <cellStyle name="20% - 强调文字颜色 2 2 7 2 5" xfId="13387"/>
    <cellStyle name="20% - 强调文字颜色 2 2 7 3" xfId="13388"/>
    <cellStyle name="20% - 强调文字颜色 2 2 7 3 2" xfId="13389"/>
    <cellStyle name="20% - 强调文字颜色 2 2 7 3 2 2" xfId="13390"/>
    <cellStyle name="20% - 强调文字颜色 2 2 7 4" xfId="13391"/>
    <cellStyle name="20% - 强调文字颜色 2 2 7 4 2" xfId="13392"/>
    <cellStyle name="20% - 强调文字颜色 2 2 7 5" xfId="13393"/>
    <cellStyle name="20% - 强调文字颜色 2 2 7 5 2" xfId="13394"/>
    <cellStyle name="20% - 强调文字颜色 2 2 7 6" xfId="13395"/>
    <cellStyle name="20% - 强调文字颜色 2 2 8" xfId="13396"/>
    <cellStyle name="20% - 强调文字颜色 2 2 8 2" xfId="13397"/>
    <cellStyle name="20% - 强调文字颜色 2 2 8 2 2" xfId="13398"/>
    <cellStyle name="20% - 强调文字颜色 2 2 8 2 2 2" xfId="13399"/>
    <cellStyle name="20% - 强调文字颜色 2 2 8 2 2 2 2" xfId="13400"/>
    <cellStyle name="20% - 强调文字颜色 2 2 8 2 3" xfId="13401"/>
    <cellStyle name="20% - 强调文字颜色 2 2 8 2 3 2" xfId="13402"/>
    <cellStyle name="20% - 强调文字颜色 2 2 8 2 4" xfId="13403"/>
    <cellStyle name="20% - 强调文字颜色 2 2 8 2 4 2" xfId="13404"/>
    <cellStyle name="20% - 强调文字颜色 2 2 8 2 5" xfId="13405"/>
    <cellStyle name="20% - 强调文字颜色 2 2 8 3" xfId="13406"/>
    <cellStyle name="20% - 强调文字颜色 2 2 8 3 2" xfId="13407"/>
    <cellStyle name="20% - 强调文字颜色 2 2 8 3 2 2" xfId="13408"/>
    <cellStyle name="20% - 强调文字颜色 2 2 8 4" xfId="13409"/>
    <cellStyle name="20% - 强调文字颜色 2 2 8 4 2" xfId="13410"/>
    <cellStyle name="20% - 强调文字颜色 2 2 8 5" xfId="13411"/>
    <cellStyle name="20% - 强调文字颜色 2 2 8 5 2" xfId="13412"/>
    <cellStyle name="20% - 强调文字颜色 2 2 8 6" xfId="13413"/>
    <cellStyle name="20% - 强调文字颜色 2 2 9" xfId="13414"/>
    <cellStyle name="20% - 强调文字颜色 2 2 9 2" xfId="13415"/>
    <cellStyle name="20% - 强调文字颜色 2 2 9 2 2" xfId="13416"/>
    <cellStyle name="20% - 强调文字颜色 2 2 9 2 2 2" xfId="13417"/>
    <cellStyle name="20% - 强调文字颜色 2 2 9 3" xfId="13418"/>
    <cellStyle name="20% - 强调文字颜色 2 2 9 3 2" xfId="13419"/>
    <cellStyle name="20% - 强调文字颜色 2 2 9 4" xfId="13420"/>
    <cellStyle name="20% - 强调文字颜色 2 2 9 4 2" xfId="13421"/>
    <cellStyle name="20% - 强调文字颜色 2 2 9 5" xfId="13422"/>
    <cellStyle name="20% - 强调文字颜色 2 3" xfId="13423"/>
    <cellStyle name="20% - 强调文字颜色 2 3 2" xfId="13424"/>
    <cellStyle name="20% - 强调文字颜色 2 3 2 2" xfId="13425"/>
    <cellStyle name="20% - 强调文字颜色 2 3 2 2 2" xfId="13426"/>
    <cellStyle name="20% - 强调文字颜色 2 3 2 2 2 2" xfId="13427"/>
    <cellStyle name="20% - 强调文字颜色 2 3 2 2 2 3" xfId="13428"/>
    <cellStyle name="20% - 强调文字颜色 2 3 2 2 2 3 2" xfId="13429"/>
    <cellStyle name="20% - 强调文字颜色 2 3 2 2 2 3 2 2" xfId="13430"/>
    <cellStyle name="20% - 强调文字颜色 2 3 2 2 2 4" xfId="13431"/>
    <cellStyle name="20% - 强调文字颜色 2 3 2 2 2 4 2" xfId="13432"/>
    <cellStyle name="20% - 强调文字颜色 2 3 2 2 2 5" xfId="13433"/>
    <cellStyle name="20% - 强调文字颜色 2 3 2 2 2 5 2" xfId="13434"/>
    <cellStyle name="20% - 强调文字颜色 2 3 2 2 2 6" xfId="13435"/>
    <cellStyle name="20% - 强调文字颜色 2 3 2 2 3" xfId="13436"/>
    <cellStyle name="20% - 强调文字颜色 2 3 2 2 3 2" xfId="13437"/>
    <cellStyle name="20% - 强调文字颜色 2 3 2 2 3 2 2" xfId="13438"/>
    <cellStyle name="20% - 强调文字颜色 2 3 2 2 3 2 2 2" xfId="13439"/>
    <cellStyle name="20% - 强调文字颜色 2 3 2 2 3 3" xfId="13440"/>
    <cellStyle name="20% - 强调文字颜色 2 3 2 2 3 3 2" xfId="13441"/>
    <cellStyle name="20% - 强调文字颜色 2 3 2 2 3 4" xfId="13442"/>
    <cellStyle name="20% - 强调文字颜色 2 3 2 2 3 4 2" xfId="13443"/>
    <cellStyle name="20% - 强调文字颜色 2 3 2 2 3 5" xfId="13444"/>
    <cellStyle name="20% - 强调文字颜色 2 3 2 2 4" xfId="13445"/>
    <cellStyle name="20% - 强调文字颜色 2 3 2 2 5" xfId="13446"/>
    <cellStyle name="20% - 强调文字颜色 2 3 2 2 6" xfId="13447"/>
    <cellStyle name="20% - 强调文字颜色 2 3 2 2 6 2" xfId="13448"/>
    <cellStyle name="20% - 强调文字颜色 2 3 2 2 7" xfId="13449"/>
    <cellStyle name="20% - 强调文字颜色 2 3 2 2 7 2" xfId="13450"/>
    <cellStyle name="20% - 强调文字颜色 2 3 2 3" xfId="13451"/>
    <cellStyle name="20% - 强调文字颜色 2 3 2 3 2" xfId="13452"/>
    <cellStyle name="20% - 强调文字颜色 2 3 2 3 3" xfId="13453"/>
    <cellStyle name="20% - 强调文字颜色 2 3 2 3 3 2" xfId="13454"/>
    <cellStyle name="20% - 强调文字颜色 2 3 2 3 3 2 2" xfId="13455"/>
    <cellStyle name="20% - 强调文字颜色 2 3 2 3 4" xfId="13456"/>
    <cellStyle name="20% - 强调文字颜色 2 3 2 3 4 2" xfId="13457"/>
    <cellStyle name="20% - 强调文字颜色 2 3 2 3 5" xfId="13458"/>
    <cellStyle name="20% - 强调文字颜色 2 3 2 3 5 2" xfId="13459"/>
    <cellStyle name="20% - 强调文字颜色 2 3 2 3 6" xfId="13460"/>
    <cellStyle name="20% - 强调文字颜色 2 3 2 4" xfId="13461"/>
    <cellStyle name="20% - 强调文字颜色 2 3 2 4 2" xfId="13462"/>
    <cellStyle name="20% - 强调文字颜色 2 3 2 4 2 2" xfId="13463"/>
    <cellStyle name="20% - 强调文字颜色 2 3 2 4 2 2 2" xfId="13464"/>
    <cellStyle name="20% - 强调文字颜色 2 3 2 4 3" xfId="13465"/>
    <cellStyle name="20% - 强调文字颜色 2 3 2 4 3 2" xfId="13466"/>
    <cellStyle name="20% - 强调文字颜色 2 3 2 4 4" xfId="13467"/>
    <cellStyle name="20% - 强调文字颜色 2 3 2 4 4 2" xfId="13468"/>
    <cellStyle name="20% - 强调文字颜色 2 3 2 4 5" xfId="13469"/>
    <cellStyle name="20% - 强调文字颜色 2 3 2 5" xfId="13470"/>
    <cellStyle name="20% - 强调文字颜色 2 3 2 6" xfId="13471"/>
    <cellStyle name="20% - 强调文字颜色 2 3 2 7" xfId="13472"/>
    <cellStyle name="20% - 强调文字颜色 2 3 2 7 2" xfId="13473"/>
    <cellStyle name="20% - 强调文字颜色 2 3 2 8" xfId="13474"/>
    <cellStyle name="20% - 强调文字颜色 2 3 2 8 2" xfId="13475"/>
    <cellStyle name="20% - 强调文字颜色 2 3 3" xfId="13476"/>
    <cellStyle name="20% - 强调文字颜色 2 3 3 2" xfId="13477"/>
    <cellStyle name="20% - 强调文字颜色 2 3 3 2 2" xfId="13478"/>
    <cellStyle name="20% - 强调文字颜色 2 3 3 2 3" xfId="13479"/>
    <cellStyle name="20% - 强调文字颜色 2 3 3 2 3 2" xfId="13480"/>
    <cellStyle name="20% - 强调文字颜色 2 3 3 2 3 2 2" xfId="13481"/>
    <cellStyle name="20% - 强调文字颜色 2 3 3 2 4" xfId="13482"/>
    <cellStyle name="20% - 强调文字颜色 2 3 3 2 4 2" xfId="13483"/>
    <cellStyle name="20% - 强调文字颜色 2 3 3 2 5" xfId="13484"/>
    <cellStyle name="20% - 强调文字颜色 2 3 3 2 5 2" xfId="13485"/>
    <cellStyle name="20% - 强调文字颜色 2 3 3 2 6" xfId="13486"/>
    <cellStyle name="20% - 强调文字颜色 2 3 3 3" xfId="13487"/>
    <cellStyle name="20% - 强调文字颜色 2 3 3 3 2" xfId="13488"/>
    <cellStyle name="20% - 强调文字颜色 2 3 3 3 2 2" xfId="13489"/>
    <cellStyle name="20% - 强调文字颜色 2 3 3 3 2 2 2" xfId="13490"/>
    <cellStyle name="20% - 强调文字颜色 2 3 3 3 3" xfId="13491"/>
    <cellStyle name="20% - 强调文字颜色 2 3 3 3 3 2" xfId="13492"/>
    <cellStyle name="20% - 强调文字颜色 2 3 3 3 4" xfId="13493"/>
    <cellStyle name="20% - 强调文字颜色 2 3 3 3 4 2" xfId="13494"/>
    <cellStyle name="20% - 强调文字颜色 2 3 3 3 5" xfId="13495"/>
    <cellStyle name="20% - 强调文字颜色 2 3 3 4" xfId="13496"/>
    <cellStyle name="20% - 强调文字颜色 2 3 3 5" xfId="13497"/>
    <cellStyle name="20% - 强调文字颜色 2 3 3 6" xfId="13498"/>
    <cellStyle name="20% - 强调文字颜色 2 3 3 6 2" xfId="13499"/>
    <cellStyle name="20% - 强调文字颜色 2 3 3 7" xfId="13500"/>
    <cellStyle name="20% - 强调文字颜色 2 3 3 7 2" xfId="13501"/>
    <cellStyle name="20% - 强调文字颜色 2 3 4" xfId="13502"/>
    <cellStyle name="20% - 强调文字颜色 2 3 4 2" xfId="13503"/>
    <cellStyle name="20% - 强调文字颜色 2 3 4 2 2" xfId="13504"/>
    <cellStyle name="20% - 强调文字颜色 2 3 4 2 3" xfId="13505"/>
    <cellStyle name="20% - 强调文字颜色 2 3 4 2 3 2" xfId="13506"/>
    <cellStyle name="20% - 强调文字颜色 2 3 4 2 3 2 2" xfId="13507"/>
    <cellStyle name="20% - 强调文字颜色 2 3 4 2 4" xfId="13508"/>
    <cellStyle name="20% - 强调文字颜色 2 3 4 2 4 2" xfId="13509"/>
    <cellStyle name="20% - 强调文字颜色 2 3 4 2 5" xfId="13510"/>
    <cellStyle name="20% - 强调文字颜色 2 3 4 2 5 2" xfId="13511"/>
    <cellStyle name="20% - 强调文字颜色 2 3 4 2 6" xfId="13512"/>
    <cellStyle name="20% - 强调文字颜色 2 3 4 3" xfId="13513"/>
    <cellStyle name="20% - 强调文字颜色 2 3 4 4" xfId="13514"/>
    <cellStyle name="20% - 强调文字颜色 2 3 4 5" xfId="13515"/>
    <cellStyle name="20% - 强调文字颜色 2 3 4 6" xfId="13516"/>
    <cellStyle name="20% - 强调文字颜色 2 3 4 6 2" xfId="13517"/>
    <cellStyle name="20% - 强调文字颜色 2 3 4 7" xfId="13518"/>
    <cellStyle name="20% - 强调文字颜色 2 3 4 7 2" xfId="13519"/>
    <cellStyle name="20% - 强调文字颜色 2 3 5" xfId="13520"/>
    <cellStyle name="20% - 强调文字颜色 2 3 5 2" xfId="13521"/>
    <cellStyle name="20% - 强调文字颜色 2 3 5 2 2" xfId="13522"/>
    <cellStyle name="20% - 强调文字颜色 2 3 5 2 2 2" xfId="13523"/>
    <cellStyle name="20% - 强调文字颜色 2 3 5 2 2 2 2" xfId="13524"/>
    <cellStyle name="20% - 强调文字颜色 2 3 5 2 3" xfId="13525"/>
    <cellStyle name="20% - 强调文字颜色 2 3 5 2 3 2" xfId="13526"/>
    <cellStyle name="20% - 强调文字颜色 2 3 5 2 4" xfId="13527"/>
    <cellStyle name="20% - 强调文字颜色 2 3 5 2 4 2" xfId="13528"/>
    <cellStyle name="20% - 强调文字颜色 2 3 5 2 5" xfId="13529"/>
    <cellStyle name="20% - 强调文字颜色 2 3 5 3" xfId="13530"/>
    <cellStyle name="20% - 强调文字颜色 2 3 5 3 2" xfId="13531"/>
    <cellStyle name="20% - 强调文字颜色 2 3 5 3 2 2" xfId="13532"/>
    <cellStyle name="20% - 强调文字颜色 2 3 5 4" xfId="13533"/>
    <cellStyle name="20% - 强调文字颜色 2 3 5 4 2" xfId="13534"/>
    <cellStyle name="20% - 强调文字颜色 2 3 5 5" xfId="13535"/>
    <cellStyle name="20% - 强调文字颜色 2 3 5 5 2" xfId="13536"/>
    <cellStyle name="20% - 强调文字颜色 2 3 5 6" xfId="13537"/>
    <cellStyle name="20% - 强调文字颜色 2 3 6" xfId="13538"/>
    <cellStyle name="20% - 强调文字颜色 2 3 6 2" xfId="13539"/>
    <cellStyle name="20% - 强调文字颜色 2 3 6 2 2" xfId="13540"/>
    <cellStyle name="20% - 强调文字颜色 2 3 6 2 2 2" xfId="13541"/>
    <cellStyle name="20% - 强调文字颜色 2 3 6 3" xfId="13542"/>
    <cellStyle name="20% - 强调文字颜色 2 3 6 3 2" xfId="13543"/>
    <cellStyle name="20% - 强调文字颜色 2 3 6 4" xfId="13544"/>
    <cellStyle name="20% - 强调文字颜色 2 3 6 4 2" xfId="13545"/>
    <cellStyle name="20% - 强调文字颜色 2 3 6 5" xfId="13546"/>
    <cellStyle name="20% - 强调文字颜色 2 3 7" xfId="13547"/>
    <cellStyle name="20% - 强调文字颜色 2 3 8" xfId="13548"/>
    <cellStyle name="20% - 强调文字颜色 2 3 8 2" xfId="13549"/>
    <cellStyle name="20% - 强调文字颜色 2 3 9" xfId="13550"/>
    <cellStyle name="20% - 强调文字颜色 2 3 9 2" xfId="13551"/>
    <cellStyle name="20% - 强调文字颜色 3 2" xfId="13552"/>
    <cellStyle name="20% - 强调文字颜色 3 2 10" xfId="13553"/>
    <cellStyle name="20% - 强调文字颜色 3 2 11" xfId="13554"/>
    <cellStyle name="20% - 强调文字颜色 3 2 11 2" xfId="13555"/>
    <cellStyle name="20% - 强调文字颜色 3 2 12" xfId="13556"/>
    <cellStyle name="20% - 强调文字颜色 3 2 12 2" xfId="13557"/>
    <cellStyle name="20% - 强调文字颜色 3 2 2" xfId="13558"/>
    <cellStyle name="20% - 强调文字颜色 3 2 2 10" xfId="13559"/>
    <cellStyle name="20% - 强调文字颜色 3 2 2 11" xfId="13560"/>
    <cellStyle name="20% - 强调文字颜色 3 2 2 11 2" xfId="13561"/>
    <cellStyle name="20% - 强调文字颜色 3 2 2 12" xfId="13562"/>
    <cellStyle name="20% - 强调文字颜色 3 2 2 12 2" xfId="13563"/>
    <cellStyle name="20% - 强调文字颜色 3 2 2 2" xfId="13564"/>
    <cellStyle name="20% - 强调文字颜色 3 2 2 2 2" xfId="13565"/>
    <cellStyle name="20% - 强调文字颜色 3 2 2 2 2 2" xfId="13566"/>
    <cellStyle name="20% - 强调文字颜色 3 2 2 2 2 2 2" xfId="13567"/>
    <cellStyle name="20% - 强调文字颜色 3 2 2 2 2 2 3" xfId="13568"/>
    <cellStyle name="20% - 强调文字颜色 3 2 2 2 2 2 3 2" xfId="13569"/>
    <cellStyle name="20% - 强调文字颜色 3 2 2 2 2 2 3 2 2" xfId="13570"/>
    <cellStyle name="20% - 强调文字颜色 3 2 2 2 2 2 4" xfId="13571"/>
    <cellStyle name="20% - 强调文字颜色 3 2 2 2 2 2 4 2" xfId="13572"/>
    <cellStyle name="20% - 强调文字颜色 3 2 2 2 2 2 5" xfId="13573"/>
    <cellStyle name="20% - 强调文字颜色 3 2 2 2 2 2 5 2" xfId="13574"/>
    <cellStyle name="20% - 强调文字颜色 3 2 2 2 2 2 6" xfId="13575"/>
    <cellStyle name="20% - 强调文字颜色 3 2 2 2 2 3" xfId="13576"/>
    <cellStyle name="20% - 强调文字颜色 3 2 2 2 2 3 2" xfId="13577"/>
    <cellStyle name="20% - 强调文字颜色 3 2 2 2 2 3 2 2" xfId="13578"/>
    <cellStyle name="20% - 强调文字颜色 3 2 2 2 2 3 2 2 2" xfId="13579"/>
    <cellStyle name="20% - 强调文字颜色 3 2 2 2 2 3 3" xfId="13580"/>
    <cellStyle name="20% - 强调文字颜色 3 2 2 2 2 3 3 2" xfId="13581"/>
    <cellStyle name="20% - 强调文字颜色 3 2 2 2 2 3 4" xfId="13582"/>
    <cellStyle name="20% - 强调文字颜色 3 2 2 2 2 3 4 2" xfId="13583"/>
    <cellStyle name="20% - 强调文字颜色 3 2 2 2 2 3 5" xfId="13584"/>
    <cellStyle name="20% - 强调文字颜色 3 2 2 2 2 4" xfId="13585"/>
    <cellStyle name="20% - 强调文字颜色 3 2 2 2 2 5" xfId="13586"/>
    <cellStyle name="20% - 强调文字颜色 3 2 2 2 2 6" xfId="13587"/>
    <cellStyle name="20% - 强调文字颜色 3 2 2 2 2 6 2" xfId="13588"/>
    <cellStyle name="20% - 强调文字颜色 3 2 2 2 2 7" xfId="13589"/>
    <cellStyle name="20% - 强调文字颜色 3 2 2 2 2 7 2" xfId="13590"/>
    <cellStyle name="20% - 强调文字颜色 3 2 2 2 3" xfId="13591"/>
    <cellStyle name="20% - 强调文字颜色 3 2 2 2 3 2" xfId="13592"/>
    <cellStyle name="20% - 强调文字颜色 3 2 2 2 3 3" xfId="13593"/>
    <cellStyle name="20% - 强调文字颜色 3 2 2 2 3 3 2" xfId="13594"/>
    <cellStyle name="20% - 强调文字颜色 3 2 2 2 3 3 2 2" xfId="13595"/>
    <cellStyle name="20% - 强调文字颜色 3 2 2 2 3 4" xfId="13596"/>
    <cellStyle name="20% - 强调文字颜色 3 2 2 2 3 4 2" xfId="13597"/>
    <cellStyle name="20% - 强调文字颜色 3 2 2 2 3 5" xfId="13598"/>
    <cellStyle name="20% - 强调文字颜色 3 2 2 2 3 5 2" xfId="13599"/>
    <cellStyle name="20% - 强调文字颜色 3 2 2 2 3 6" xfId="13600"/>
    <cellStyle name="20% - 强调文字颜色 3 2 2 2 4" xfId="13601"/>
    <cellStyle name="20% - 强调文字颜色 3 2 2 2 4 2" xfId="13602"/>
    <cellStyle name="20% - 强调文字颜色 3 2 2 2 4 2 2" xfId="13603"/>
    <cellStyle name="20% - 强调文字颜色 3 2 2 2 4 2 2 2" xfId="13604"/>
    <cellStyle name="20% - 强调文字颜色 3 2 2 2 4 3" xfId="13605"/>
    <cellStyle name="20% - 强调文字颜色 3 2 2 2 4 3 2" xfId="13606"/>
    <cellStyle name="20% - 强调文字颜色 3 2 2 2 4 4" xfId="13607"/>
    <cellStyle name="20% - 强调文字颜色 3 2 2 2 4 4 2" xfId="13608"/>
    <cellStyle name="20% - 强调文字颜色 3 2 2 2 4 5" xfId="13609"/>
    <cellStyle name="20% - 强调文字颜色 3 2 2 2 5" xfId="13610"/>
    <cellStyle name="20% - 强调文字颜色 3 2 2 2 6" xfId="13611"/>
    <cellStyle name="20% - 强调文字颜色 3 2 2 2 7" xfId="13612"/>
    <cellStyle name="20% - 强调文字颜色 3 2 2 2 7 2" xfId="13613"/>
    <cellStyle name="20% - 强调文字颜色 3 2 2 2 8" xfId="13614"/>
    <cellStyle name="20% - 强调文字颜色 3 2 2 2 8 2" xfId="13615"/>
    <cellStyle name="20% - 强调文字颜色 3 2 2 3" xfId="13616"/>
    <cellStyle name="20% - 强调文字颜色 3 2 2 3 2" xfId="13617"/>
    <cellStyle name="20% - 强调文字颜色 3 2 2 3 2 2" xfId="13618"/>
    <cellStyle name="20% - 强调文字颜色 3 2 2 3 2 3" xfId="13619"/>
    <cellStyle name="20% - 强调文字颜色 3 2 2 3 2 3 2" xfId="13620"/>
    <cellStyle name="20% - 强调文字颜色 3 2 2 3 2 3 2 2" xfId="13621"/>
    <cellStyle name="20% - 强调文字颜色 3 2 2 3 2 4" xfId="13622"/>
    <cellStyle name="20% - 强调文字颜色 3 2 2 3 2 4 2" xfId="13623"/>
    <cellStyle name="20% - 强调文字颜色 3 2 2 3 2 5" xfId="13624"/>
    <cellStyle name="20% - 强调文字颜色 3 2 2 3 2 5 2" xfId="13625"/>
    <cellStyle name="20% - 强调文字颜色 3 2 2 3 2 6" xfId="13626"/>
    <cellStyle name="20% - 强调文字颜色 3 2 2 3 3" xfId="13627"/>
    <cellStyle name="20% - 强调文字颜色 3 2 2 3 3 2" xfId="13628"/>
    <cellStyle name="20% - 强调文字颜色 3 2 2 3 3 2 2" xfId="13629"/>
    <cellStyle name="20% - 强调文字颜色 3 2 2 3 3 2 2 2" xfId="13630"/>
    <cellStyle name="20% - 强调文字颜色 3 2 2 3 3 3" xfId="13631"/>
    <cellStyle name="20% - 强调文字颜色 3 2 2 3 3 3 2" xfId="13632"/>
    <cellStyle name="20% - 强调文字颜色 3 2 2 3 3 4" xfId="13633"/>
    <cellStyle name="20% - 强调文字颜色 3 2 2 3 3 4 2" xfId="13634"/>
    <cellStyle name="20% - 强调文字颜色 3 2 2 3 3 5" xfId="13635"/>
    <cellStyle name="20% - 强调文字颜色 3 2 2 3 4" xfId="13636"/>
    <cellStyle name="20% - 强调文字颜色 3 2 2 3 5" xfId="13637"/>
    <cellStyle name="20% - 强调文字颜色 3 2 2 3 6" xfId="13638"/>
    <cellStyle name="20% - 强调文字颜色 3 2 2 3 6 2" xfId="13639"/>
    <cellStyle name="20% - 强调文字颜色 3 2 2 3 7" xfId="13640"/>
    <cellStyle name="20% - 强调文字颜色 3 2 2 3 7 2" xfId="13641"/>
    <cellStyle name="20% - 强调文字颜色 3 2 2 4" xfId="13642"/>
    <cellStyle name="20% - 强调文字颜色 3 2 2 4 2" xfId="13643"/>
    <cellStyle name="20% - 强调文字颜色 3 2 2 4 2 2" xfId="13644"/>
    <cellStyle name="20% - 强调文字颜色 3 2 2 4 2 3" xfId="13645"/>
    <cellStyle name="20% - 强调文字颜色 3 2 2 4 2 3 2" xfId="13646"/>
    <cellStyle name="20% - 强调文字颜色 3 2 2 4 2 3 2 2" xfId="13647"/>
    <cellStyle name="20% - 强调文字颜色 3 2 2 4 2 4" xfId="13648"/>
    <cellStyle name="20% - 强调文字颜色 3 2 2 4 2 4 2" xfId="13649"/>
    <cellStyle name="20% - 强调文字颜色 3 2 2 4 2 5" xfId="13650"/>
    <cellStyle name="20% - 强调文字颜色 3 2 2 4 2 5 2" xfId="13651"/>
    <cellStyle name="20% - 强调文字颜色 3 2 2 4 2 6" xfId="13652"/>
    <cellStyle name="20% - 强调文字颜色 3 2 2 4 3" xfId="13653"/>
    <cellStyle name="20% - 强调文字颜色 3 2 2 4 4" xfId="13654"/>
    <cellStyle name="20% - 强调文字颜色 3 2 2 4 5" xfId="13655"/>
    <cellStyle name="20% - 强调文字颜色 3 2 2 4 6" xfId="13656"/>
    <cellStyle name="20% - 强调文字颜色 3 2 2 4 6 2" xfId="13657"/>
    <cellStyle name="20% - 强调文字颜色 3 2 2 4 7" xfId="13658"/>
    <cellStyle name="20% - 强调文字颜色 3 2 2 4 7 2" xfId="13659"/>
    <cellStyle name="20% - 强调文字颜色 3 2 2 5" xfId="13660"/>
    <cellStyle name="20% - 强调文字颜色 3 2 2 5 2" xfId="13661"/>
    <cellStyle name="20% - 强调文字颜色 3 2 2 5 2 2" xfId="13662"/>
    <cellStyle name="20% - 强调文字颜色 3 2 2 5 2 2 2" xfId="13663"/>
    <cellStyle name="20% - 强调文字颜色 3 2 2 5 2 2 2 2" xfId="13664"/>
    <cellStyle name="20% - 强调文字颜色 3 2 2 5 2 3" xfId="13665"/>
    <cellStyle name="20% - 强调文字颜色 3 2 2 5 2 3 2" xfId="13666"/>
    <cellStyle name="20% - 强调文字颜色 3 2 2 5 2 4" xfId="13667"/>
    <cellStyle name="20% - 强调文字颜色 3 2 2 5 2 4 2" xfId="13668"/>
    <cellStyle name="20% - 强调文字颜色 3 2 2 5 2 5" xfId="13669"/>
    <cellStyle name="20% - 强调文字颜色 3 2 2 5 3" xfId="13670"/>
    <cellStyle name="20% - 强调文字颜色 3 2 2 5 3 2" xfId="13671"/>
    <cellStyle name="20% - 强调文字颜色 3 2 2 5 3 2 2" xfId="13672"/>
    <cellStyle name="20% - 强调文字颜色 3 2 2 5 4" xfId="13673"/>
    <cellStyle name="20% - 强调文字颜色 3 2 2 5 4 2" xfId="13674"/>
    <cellStyle name="20% - 强调文字颜色 3 2 2 5 5" xfId="13675"/>
    <cellStyle name="20% - 强调文字颜色 3 2 2 5 5 2" xfId="13676"/>
    <cellStyle name="20% - 强调文字颜色 3 2 2 5 6" xfId="13677"/>
    <cellStyle name="20% - 强调文字颜色 3 2 2 6" xfId="13678"/>
    <cellStyle name="20% - 强调文字颜色 3 2 2 6 2" xfId="13679"/>
    <cellStyle name="20% - 强调文字颜色 3 2 2 6 2 2" xfId="13680"/>
    <cellStyle name="20% - 强调文字颜色 3 2 2 6 2 2 2" xfId="13681"/>
    <cellStyle name="20% - 强调文字颜色 3 2 2 6 2 2 2 2" xfId="13682"/>
    <cellStyle name="20% - 强调文字颜色 3 2 2 6 2 3" xfId="13683"/>
    <cellStyle name="20% - 强调文字颜色 3 2 2 6 2 3 2" xfId="13684"/>
    <cellStyle name="20% - 强调文字颜色 3 2 2 6 2 4" xfId="13685"/>
    <cellStyle name="20% - 强调文字颜色 3 2 2 6 2 4 2" xfId="13686"/>
    <cellStyle name="20% - 强调文字颜色 3 2 2 6 2 5" xfId="13687"/>
    <cellStyle name="20% - 强调文字颜色 3 2 2 6 3" xfId="13688"/>
    <cellStyle name="20% - 强调文字颜色 3 2 2 6 3 2" xfId="13689"/>
    <cellStyle name="20% - 强调文字颜色 3 2 2 6 3 2 2" xfId="13690"/>
    <cellStyle name="20% - 强调文字颜色 3 2 2 6 4" xfId="13691"/>
    <cellStyle name="20% - 强调文字颜色 3 2 2 6 4 2" xfId="13692"/>
    <cellStyle name="20% - 强调文字颜色 3 2 2 6 5" xfId="13693"/>
    <cellStyle name="20% - 强调文字颜色 3 2 2 6 5 2" xfId="13694"/>
    <cellStyle name="20% - 强调文字颜色 3 2 2 6 6" xfId="13695"/>
    <cellStyle name="20% - 强调文字颜色 3 2 2 7" xfId="13696"/>
    <cellStyle name="20% - 强调文字颜色 3 2 2 7 2" xfId="13697"/>
    <cellStyle name="20% - 强调文字颜色 3 2 2 7 2 2" xfId="13698"/>
    <cellStyle name="20% - 强调文字颜色 3 2 2 7 2 2 2" xfId="13699"/>
    <cellStyle name="20% - 强调文字颜色 3 2 2 7 2 2 2 2" xfId="13700"/>
    <cellStyle name="20% - 强调文字颜色 3 2 2 7 2 3" xfId="13701"/>
    <cellStyle name="20% - 强调文字颜色 3 2 2 7 2 3 2" xfId="13702"/>
    <cellStyle name="20% - 强调文字颜色 3 2 2 7 2 4" xfId="13703"/>
    <cellStyle name="20% - 强调文字颜色 3 2 2 7 2 4 2" xfId="13704"/>
    <cellStyle name="20% - 强调文字颜色 3 2 2 7 2 5" xfId="13705"/>
    <cellStyle name="20% - 强调文字颜色 3 2 2 7 3" xfId="13706"/>
    <cellStyle name="20% - 强调文字颜色 3 2 2 7 3 2" xfId="13707"/>
    <cellStyle name="20% - 强调文字颜色 3 2 2 7 3 2 2" xfId="13708"/>
    <cellStyle name="20% - 强调文字颜色 3 2 2 7 4" xfId="13709"/>
    <cellStyle name="20% - 强调文字颜色 3 2 2 7 4 2" xfId="13710"/>
    <cellStyle name="20% - 强调文字颜色 3 2 2 7 5" xfId="13711"/>
    <cellStyle name="20% - 强调文字颜色 3 2 2 7 5 2" xfId="13712"/>
    <cellStyle name="20% - 强调文字颜色 3 2 2 7 6" xfId="13713"/>
    <cellStyle name="20% - 强调文字颜色 3 2 2 8" xfId="13714"/>
    <cellStyle name="20% - 强调文字颜色 3 2 2 8 2" xfId="13715"/>
    <cellStyle name="20% - 强调文字颜色 3 2 2 8 2 2" xfId="13716"/>
    <cellStyle name="20% - 强调文字颜色 3 2 2 8 2 2 2" xfId="13717"/>
    <cellStyle name="20% - 强调文字颜色 3 2 2 8 3" xfId="13718"/>
    <cellStyle name="20% - 强调文字颜色 3 2 2 8 3 2" xfId="13719"/>
    <cellStyle name="20% - 强调文字颜色 3 2 2 8 4" xfId="13720"/>
    <cellStyle name="20% - 强调文字颜色 3 2 2 8 4 2" xfId="13721"/>
    <cellStyle name="20% - 强调文字颜色 3 2 2 8 5" xfId="13722"/>
    <cellStyle name="20% - 强调文字颜色 3 2 2 9" xfId="13723"/>
    <cellStyle name="20% - 强调文字颜色 3 2 2 9 2" xfId="13724"/>
    <cellStyle name="20% - 强调文字颜色 3 2 2 9 2 2" xfId="13725"/>
    <cellStyle name="20% - 强调文字颜色 3 2 2 9 2 2 2" xfId="13726"/>
    <cellStyle name="20% - 强调文字颜色 3 2 2 9 3" xfId="13727"/>
    <cellStyle name="20% - 强调文字颜色 3 2 2 9 3 2" xfId="13728"/>
    <cellStyle name="20% - 强调文字颜色 3 2 2 9 4" xfId="13729"/>
    <cellStyle name="20% - 强调文字颜色 3 2 2 9 4 2" xfId="13730"/>
    <cellStyle name="20% - 强调文字颜色 3 2 2 9 5" xfId="13731"/>
    <cellStyle name="20% - 强调文字颜色 3 2 3" xfId="13732"/>
    <cellStyle name="20% - 强调文字颜色 3 2 3 10" xfId="13733"/>
    <cellStyle name="20% - 强调文字颜色 3 2 3 10 2" xfId="13734"/>
    <cellStyle name="20% - 强调文字颜色 3 2 3 2" xfId="13735"/>
    <cellStyle name="20% - 强调文字颜色 3 2 3 2 2" xfId="13736"/>
    <cellStyle name="20% - 强调文字颜色 3 2 3 2 2 2" xfId="13737"/>
    <cellStyle name="20% - 强调文字颜色 3 2 3 2 2 2 2" xfId="13738"/>
    <cellStyle name="20% - 强调文字颜色 3 2 3 2 2 2 3" xfId="13739"/>
    <cellStyle name="20% - 强调文字颜色 3 2 3 2 2 2 3 2" xfId="13740"/>
    <cellStyle name="20% - 强调文字颜色 3 2 3 2 2 2 3 2 2" xfId="13741"/>
    <cellStyle name="20% - 强调文字颜色 3 2 3 2 2 2 4" xfId="13742"/>
    <cellStyle name="20% - 强调文字颜色 3 2 3 2 2 2 4 2" xfId="13743"/>
    <cellStyle name="20% - 强调文字颜色 3 2 3 2 2 2 5" xfId="13744"/>
    <cellStyle name="20% - 强调文字颜色 3 2 3 2 2 2 5 2" xfId="13745"/>
    <cellStyle name="20% - 强调文字颜色 3 2 3 2 2 2 6" xfId="13746"/>
    <cellStyle name="20% - 强调文字颜色 3 2 3 2 2 3" xfId="13747"/>
    <cellStyle name="20% - 强调文字颜色 3 2 3 2 2 3 2" xfId="13748"/>
    <cellStyle name="20% - 强调文字颜色 3 2 3 2 2 3 2 2" xfId="13749"/>
    <cellStyle name="20% - 强调文字颜色 3 2 3 2 2 3 2 2 2" xfId="13750"/>
    <cellStyle name="20% - 强调文字颜色 3 2 3 2 2 3 3" xfId="13751"/>
    <cellStyle name="20% - 强调文字颜色 3 2 3 2 2 3 3 2" xfId="13752"/>
    <cellStyle name="20% - 强调文字颜色 3 2 3 2 2 3 4" xfId="13753"/>
    <cellStyle name="20% - 强调文字颜色 3 2 3 2 2 3 4 2" xfId="13754"/>
    <cellStyle name="20% - 强调文字颜色 3 2 3 2 2 3 5" xfId="13755"/>
    <cellStyle name="20% - 强调文字颜色 3 2 3 2 2 4" xfId="13756"/>
    <cellStyle name="20% - 强调文字颜色 3 2 3 2 2 5" xfId="13757"/>
    <cellStyle name="20% - 强调文字颜色 3 2 3 2 2 6" xfId="13758"/>
    <cellStyle name="20% - 强调文字颜色 3 2 3 2 2 6 2" xfId="13759"/>
    <cellStyle name="20% - 强调文字颜色 3 2 3 2 2 7" xfId="13760"/>
    <cellStyle name="20% - 强调文字颜色 3 2 3 2 2 7 2" xfId="13761"/>
    <cellStyle name="20% - 强调文字颜色 3 2 3 2 3" xfId="13762"/>
    <cellStyle name="20% - 强调文字颜色 3 2 3 2 3 2" xfId="13763"/>
    <cellStyle name="20% - 强调文字颜色 3 2 3 2 3 3" xfId="13764"/>
    <cellStyle name="20% - 强调文字颜色 3 2 3 2 3 3 2" xfId="13765"/>
    <cellStyle name="20% - 强调文字颜色 3 2 3 2 3 3 2 2" xfId="13766"/>
    <cellStyle name="20% - 强调文字颜色 3 2 3 2 3 4" xfId="13767"/>
    <cellStyle name="20% - 强调文字颜色 3 2 3 2 3 4 2" xfId="13768"/>
    <cellStyle name="20% - 强调文字颜色 3 2 3 2 3 5" xfId="13769"/>
    <cellStyle name="20% - 强调文字颜色 3 2 3 2 3 5 2" xfId="13770"/>
    <cellStyle name="20% - 强调文字颜色 3 2 3 2 3 6" xfId="13771"/>
    <cellStyle name="20% - 强调文字颜色 3 2 3 2 4" xfId="13772"/>
    <cellStyle name="20% - 强调文字颜色 3 2 3 2 4 2" xfId="13773"/>
    <cellStyle name="20% - 强调文字颜色 3 2 3 2 4 2 2" xfId="13774"/>
    <cellStyle name="20% - 强调文字颜色 3 2 3 2 4 2 2 2" xfId="13775"/>
    <cellStyle name="20% - 强调文字颜色 3 2 3 2 4 3" xfId="13776"/>
    <cellStyle name="20% - 强调文字颜色 3 2 3 2 4 3 2" xfId="13777"/>
    <cellStyle name="20% - 强调文字颜色 3 2 3 2 4 4" xfId="13778"/>
    <cellStyle name="20% - 强调文字颜色 3 2 3 2 4 4 2" xfId="13779"/>
    <cellStyle name="20% - 强调文字颜色 3 2 3 2 4 5" xfId="13780"/>
    <cellStyle name="20% - 强调文字颜色 3 2 3 2 5" xfId="13781"/>
    <cellStyle name="20% - 强调文字颜色 3 2 3 2 6" xfId="13782"/>
    <cellStyle name="20% - 强调文字颜色 3 2 3 2 7" xfId="13783"/>
    <cellStyle name="20% - 强调文字颜色 3 2 3 2 7 2" xfId="13784"/>
    <cellStyle name="20% - 强调文字颜色 3 2 3 2 8" xfId="13785"/>
    <cellStyle name="20% - 强调文字颜色 3 2 3 2 8 2" xfId="13786"/>
    <cellStyle name="20% - 强调文字颜色 3 2 3 3" xfId="13787"/>
    <cellStyle name="20% - 强调文字颜色 3 2 3 3 2" xfId="13788"/>
    <cellStyle name="20% - 强调文字颜色 3 2 3 3 2 2" xfId="13789"/>
    <cellStyle name="20% - 强调文字颜色 3 2 3 3 2 3" xfId="13790"/>
    <cellStyle name="20% - 强调文字颜色 3 2 3 3 2 3 2" xfId="13791"/>
    <cellStyle name="20% - 强调文字颜色 3 2 3 3 2 3 2 2" xfId="13792"/>
    <cellStyle name="20% - 强调文字颜色 3 2 3 3 2 4" xfId="13793"/>
    <cellStyle name="20% - 强调文字颜色 3 2 3 3 2 4 2" xfId="13794"/>
    <cellStyle name="20% - 强调文字颜色 3 2 3 3 2 5" xfId="13795"/>
    <cellStyle name="20% - 强调文字颜色 3 2 3 3 2 5 2" xfId="13796"/>
    <cellStyle name="20% - 强调文字颜色 3 2 3 3 2 6" xfId="13797"/>
    <cellStyle name="20% - 强调文字颜色 3 2 3 3 3" xfId="13798"/>
    <cellStyle name="20% - 强调文字颜色 3 2 3 3 3 2" xfId="13799"/>
    <cellStyle name="20% - 强调文字颜色 3 2 3 3 3 2 2" xfId="13800"/>
    <cellStyle name="20% - 强调文字颜色 3 2 3 3 3 2 2 2" xfId="13801"/>
    <cellStyle name="20% - 强调文字颜色 3 2 3 3 3 3" xfId="13802"/>
    <cellStyle name="20% - 强调文字颜色 3 2 3 3 3 3 2" xfId="13803"/>
    <cellStyle name="20% - 强调文字颜色 3 2 3 3 3 4" xfId="13804"/>
    <cellStyle name="20% - 强调文字颜色 3 2 3 3 3 4 2" xfId="13805"/>
    <cellStyle name="20% - 强调文字颜色 3 2 3 3 3 5" xfId="13806"/>
    <cellStyle name="20% - 强调文字颜色 3 2 3 3 4" xfId="13807"/>
    <cellStyle name="20% - 强调文字颜色 3 2 3 3 5" xfId="13808"/>
    <cellStyle name="20% - 强调文字颜色 3 2 3 3 6" xfId="13809"/>
    <cellStyle name="20% - 强调文字颜色 3 2 3 3 6 2" xfId="13810"/>
    <cellStyle name="20% - 强调文字颜色 3 2 3 3 7" xfId="13811"/>
    <cellStyle name="20% - 强调文字颜色 3 2 3 3 7 2" xfId="13812"/>
    <cellStyle name="20% - 强调文字颜色 3 2 3 4" xfId="13813"/>
    <cellStyle name="20% - 强调文字颜色 3 2 3 4 2" xfId="13814"/>
    <cellStyle name="20% - 强调文字颜色 3 2 3 4 2 2" xfId="13815"/>
    <cellStyle name="20% - 强调文字颜色 3 2 3 4 2 3" xfId="13816"/>
    <cellStyle name="20% - 强调文字颜色 3 2 3 4 2 3 2" xfId="13817"/>
    <cellStyle name="20% - 强调文字颜色 3 2 3 4 2 3 2 2" xfId="13818"/>
    <cellStyle name="20% - 强调文字颜色 3 2 3 4 2 4" xfId="13819"/>
    <cellStyle name="20% - 强调文字颜色 3 2 3 4 2 4 2" xfId="13820"/>
    <cellStyle name="20% - 强调文字颜色 3 2 3 4 2 5" xfId="13821"/>
    <cellStyle name="20% - 强调文字颜色 3 2 3 4 2 5 2" xfId="13822"/>
    <cellStyle name="20% - 强调文字颜色 3 2 3 4 2 6" xfId="13823"/>
    <cellStyle name="20% - 强调文字颜色 3 2 3 4 3" xfId="13824"/>
    <cellStyle name="20% - 强调文字颜色 3 2 3 4 4" xfId="13825"/>
    <cellStyle name="20% - 强调文字颜色 3 2 3 4 5" xfId="13826"/>
    <cellStyle name="20% - 强调文字颜色 3 2 3 4 6" xfId="13827"/>
    <cellStyle name="20% - 强调文字颜色 3 2 3 4 6 2" xfId="13828"/>
    <cellStyle name="20% - 强调文字颜色 3 2 3 4 7" xfId="13829"/>
    <cellStyle name="20% - 强调文字颜色 3 2 3 4 7 2" xfId="13830"/>
    <cellStyle name="20% - 强调文字颜色 3 2 3 5" xfId="13831"/>
    <cellStyle name="20% - 强调文字颜色 3 2 3 5 2" xfId="13832"/>
    <cellStyle name="20% - 强调文字颜色 3 2 3 5 2 2" xfId="13833"/>
    <cellStyle name="20% - 强调文字颜色 3 2 3 5 2 2 2" xfId="13834"/>
    <cellStyle name="20% - 强调文字颜色 3 2 3 5 2 2 2 2" xfId="13835"/>
    <cellStyle name="20% - 强调文字颜色 3 2 3 5 2 3" xfId="13836"/>
    <cellStyle name="20% - 强调文字颜色 3 2 3 5 2 3 2" xfId="13837"/>
    <cellStyle name="20% - 强调文字颜色 3 2 3 5 2 4" xfId="13838"/>
    <cellStyle name="20% - 强调文字颜色 3 2 3 5 2 4 2" xfId="13839"/>
    <cellStyle name="20% - 强调文字颜色 3 2 3 5 2 5" xfId="13840"/>
    <cellStyle name="20% - 强调文字颜色 3 2 3 5 3" xfId="13841"/>
    <cellStyle name="20% - 强调文字颜色 3 2 3 5 3 2" xfId="13842"/>
    <cellStyle name="20% - 强调文字颜色 3 2 3 5 3 2 2" xfId="13843"/>
    <cellStyle name="20% - 强调文字颜色 3 2 3 5 4" xfId="13844"/>
    <cellStyle name="20% - 强调文字颜色 3 2 3 5 4 2" xfId="13845"/>
    <cellStyle name="20% - 强调文字颜色 3 2 3 5 5" xfId="13846"/>
    <cellStyle name="20% - 强调文字颜色 3 2 3 5 5 2" xfId="13847"/>
    <cellStyle name="20% - 强调文字颜色 3 2 3 5 6" xfId="13848"/>
    <cellStyle name="20% - 强调文字颜色 3 2 3 6" xfId="13849"/>
    <cellStyle name="20% - 强调文字颜色 3 2 3 6 2" xfId="13850"/>
    <cellStyle name="20% - 强调文字颜色 3 2 3 6 2 2" xfId="13851"/>
    <cellStyle name="20% - 强调文字颜色 3 2 3 6 2 2 2" xfId="13852"/>
    <cellStyle name="20% - 强调文字颜色 3 2 3 6 3" xfId="13853"/>
    <cellStyle name="20% - 强调文字颜色 3 2 3 6 3 2" xfId="13854"/>
    <cellStyle name="20% - 强调文字颜色 3 2 3 6 4" xfId="13855"/>
    <cellStyle name="20% - 强调文字颜色 3 2 3 6 4 2" xfId="13856"/>
    <cellStyle name="20% - 强调文字颜色 3 2 3 6 5" xfId="13857"/>
    <cellStyle name="20% - 强调文字颜色 3 2 3 7" xfId="13858"/>
    <cellStyle name="20% - 强调文字颜色 3 2 3 7 2" xfId="13859"/>
    <cellStyle name="20% - 强调文字颜色 3 2 3 7 2 2" xfId="13860"/>
    <cellStyle name="20% - 强调文字颜色 3 2 3 7 2 2 2" xfId="13861"/>
    <cellStyle name="20% - 强调文字颜色 3 2 3 7 3" xfId="13862"/>
    <cellStyle name="20% - 强调文字颜色 3 2 3 7 3 2" xfId="13863"/>
    <cellStyle name="20% - 强调文字颜色 3 2 3 7 4" xfId="13864"/>
    <cellStyle name="20% - 强调文字颜色 3 2 3 7 4 2" xfId="13865"/>
    <cellStyle name="20% - 强调文字颜色 3 2 3 7 5" xfId="13866"/>
    <cellStyle name="20% - 强调文字颜色 3 2 3 8" xfId="13867"/>
    <cellStyle name="20% - 强调文字颜色 3 2 3 9" xfId="13868"/>
    <cellStyle name="20% - 强调文字颜色 3 2 3 9 2" xfId="13869"/>
    <cellStyle name="20% - 强调文字颜色 3 2 4" xfId="13870"/>
    <cellStyle name="20% - 强调文字颜色 3 2 4 2" xfId="13871"/>
    <cellStyle name="20% - 强调文字颜色 3 2 4 2 2" xfId="13872"/>
    <cellStyle name="20% - 强调文字颜色 3 2 4 2 3" xfId="13873"/>
    <cellStyle name="20% - 强调文字颜色 3 2 4 2 3 2" xfId="13874"/>
    <cellStyle name="20% - 强调文字颜色 3 2 4 2 3 2 2" xfId="13875"/>
    <cellStyle name="20% - 强调文字颜色 3 2 4 2 4" xfId="13876"/>
    <cellStyle name="20% - 强调文字颜色 3 2 4 2 4 2" xfId="13877"/>
    <cellStyle name="20% - 强调文字颜色 3 2 4 2 5" xfId="13878"/>
    <cellStyle name="20% - 强调文字颜色 3 2 4 2 5 2" xfId="13879"/>
    <cellStyle name="20% - 强调文字颜色 3 2 4 2 6" xfId="13880"/>
    <cellStyle name="20% - 强调文字颜色 3 2 4 3" xfId="13881"/>
    <cellStyle name="20% - 强调文字颜色 3 2 4 3 2" xfId="13882"/>
    <cellStyle name="20% - 强调文字颜色 3 2 4 3 2 2" xfId="13883"/>
    <cellStyle name="20% - 强调文字颜色 3 2 4 3 2 2 2" xfId="13884"/>
    <cellStyle name="20% - 强调文字颜色 3 2 4 3 3" xfId="13885"/>
    <cellStyle name="20% - 强调文字颜色 3 2 4 3 3 2" xfId="13886"/>
    <cellStyle name="20% - 强调文字颜色 3 2 4 3 4" xfId="13887"/>
    <cellStyle name="20% - 强调文字颜色 3 2 4 3 4 2" xfId="13888"/>
    <cellStyle name="20% - 强调文字颜色 3 2 4 3 5" xfId="13889"/>
    <cellStyle name="20% - 强调文字颜色 3 2 4 4" xfId="13890"/>
    <cellStyle name="20% - 强调文字颜色 3 2 4 5" xfId="13891"/>
    <cellStyle name="20% - 强调文字颜色 3 2 4 6" xfId="13892"/>
    <cellStyle name="20% - 强调文字颜色 3 2 4 6 2" xfId="13893"/>
    <cellStyle name="20% - 强调文字颜色 3 2 4 7" xfId="13894"/>
    <cellStyle name="20% - 强调文字颜色 3 2 4 7 2" xfId="13895"/>
    <cellStyle name="20% - 强调文字颜色 3 2 5" xfId="13896"/>
    <cellStyle name="20% - 强调文字颜色 3 2 5 2" xfId="13897"/>
    <cellStyle name="20% - 强调文字颜色 3 2 5 2 2" xfId="13898"/>
    <cellStyle name="20% - 强调文字颜色 3 2 5 2 3" xfId="13899"/>
    <cellStyle name="20% - 强调文字颜色 3 2 5 2 3 2" xfId="13900"/>
    <cellStyle name="20% - 强调文字颜色 3 2 5 2 3 2 2" xfId="13901"/>
    <cellStyle name="20% - 强调文字颜色 3 2 5 2 4" xfId="13902"/>
    <cellStyle name="20% - 强调文字颜色 3 2 5 2 4 2" xfId="13903"/>
    <cellStyle name="20% - 强调文字颜色 3 2 5 2 5" xfId="13904"/>
    <cellStyle name="20% - 强调文字颜色 3 2 5 2 5 2" xfId="13905"/>
    <cellStyle name="20% - 强调文字颜色 3 2 5 2 6" xfId="13906"/>
    <cellStyle name="20% - 强调文字颜色 3 2 5 3" xfId="13907"/>
    <cellStyle name="20% - 强调文字颜色 3 2 5 4" xfId="13908"/>
    <cellStyle name="20% - 强调文字颜色 3 2 5 5" xfId="13909"/>
    <cellStyle name="20% - 强调文字颜色 3 2 5 6" xfId="13910"/>
    <cellStyle name="20% - 强调文字颜色 3 2 5 6 2" xfId="13911"/>
    <cellStyle name="20% - 强调文字颜色 3 2 5 7" xfId="13912"/>
    <cellStyle name="20% - 强调文字颜色 3 2 5 7 2" xfId="13913"/>
    <cellStyle name="20% - 强调文字颜色 3 2 6" xfId="13914"/>
    <cellStyle name="20% - 强调文字颜色 3 2 6 2" xfId="13915"/>
    <cellStyle name="20% - 强调文字颜色 3 2 6 2 2" xfId="13916"/>
    <cellStyle name="20% - 强调文字颜色 3 2 6 2 2 2" xfId="13917"/>
    <cellStyle name="20% - 强调文字颜色 3 2 6 2 2 2 2" xfId="13918"/>
    <cellStyle name="20% - 强调文字颜色 3 2 6 2 3" xfId="13919"/>
    <cellStyle name="20% - 强调文字颜色 3 2 6 2 3 2" xfId="13920"/>
    <cellStyle name="20% - 强调文字颜色 3 2 6 2 4" xfId="13921"/>
    <cellStyle name="20% - 强调文字颜色 3 2 6 2 4 2" xfId="13922"/>
    <cellStyle name="20% - 强调文字颜色 3 2 6 2 5" xfId="13923"/>
    <cellStyle name="20% - 强调文字颜色 3 2 6 3" xfId="13924"/>
    <cellStyle name="20% - 强调文字颜色 3 2 6 3 2" xfId="13925"/>
    <cellStyle name="20% - 强调文字颜色 3 2 6 3 2 2" xfId="13926"/>
    <cellStyle name="20% - 强调文字颜色 3 2 6 4" xfId="13927"/>
    <cellStyle name="20% - 强调文字颜色 3 2 6 4 2" xfId="13928"/>
    <cellStyle name="20% - 强调文字颜色 3 2 6 5" xfId="13929"/>
    <cellStyle name="20% - 强调文字颜色 3 2 6 5 2" xfId="13930"/>
    <cellStyle name="20% - 强调文字颜色 3 2 6 6" xfId="13931"/>
    <cellStyle name="20% - 强调文字颜色 3 2 7" xfId="13932"/>
    <cellStyle name="20% - 强调文字颜色 3 2 7 2" xfId="13933"/>
    <cellStyle name="20% - 强调文字颜色 3 2 7 2 2" xfId="13934"/>
    <cellStyle name="20% - 强调文字颜色 3 2 7 2 2 2" xfId="13935"/>
    <cellStyle name="20% - 强调文字颜色 3 2 7 2 2 2 2" xfId="13936"/>
    <cellStyle name="20% - 强调文字颜色 3 2 7 2 3" xfId="13937"/>
    <cellStyle name="20% - 强调文字颜色 3 2 7 2 3 2" xfId="13938"/>
    <cellStyle name="20% - 强调文字颜色 3 2 7 2 4" xfId="13939"/>
    <cellStyle name="20% - 强调文字颜色 3 2 7 2 4 2" xfId="13940"/>
    <cellStyle name="20% - 强调文字颜色 3 2 7 2 5" xfId="13941"/>
    <cellStyle name="20% - 强调文字颜色 3 2 7 3" xfId="13942"/>
    <cellStyle name="20% - 强调文字颜色 3 2 7 3 2" xfId="13943"/>
    <cellStyle name="20% - 强调文字颜色 3 2 7 3 2 2" xfId="13944"/>
    <cellStyle name="20% - 强调文字颜色 3 2 7 4" xfId="13945"/>
    <cellStyle name="20% - 强调文字颜色 3 2 7 4 2" xfId="13946"/>
    <cellStyle name="20% - 强调文字颜色 3 2 7 5" xfId="13947"/>
    <cellStyle name="20% - 强调文字颜色 3 2 7 5 2" xfId="13948"/>
    <cellStyle name="20% - 强调文字颜色 3 2 7 6" xfId="13949"/>
    <cellStyle name="20% - 强调文字颜色 3 2 8" xfId="13950"/>
    <cellStyle name="20% - 强调文字颜色 3 2 8 2" xfId="13951"/>
    <cellStyle name="20% - 强调文字颜色 3 2 8 2 2" xfId="13952"/>
    <cellStyle name="20% - 强调文字颜色 3 2 8 2 2 2" xfId="13953"/>
    <cellStyle name="20% - 强调文字颜色 3 2 8 2 2 2 2" xfId="13954"/>
    <cellStyle name="20% - 强调文字颜色 3 2 8 2 3" xfId="13955"/>
    <cellStyle name="20% - 强调文字颜色 3 2 8 2 3 2" xfId="13956"/>
    <cellStyle name="20% - 强调文字颜色 3 2 8 2 4" xfId="13957"/>
    <cellStyle name="20% - 强调文字颜色 3 2 8 2 4 2" xfId="13958"/>
    <cellStyle name="20% - 强调文字颜色 3 2 8 2 5" xfId="13959"/>
    <cellStyle name="20% - 强调文字颜色 3 2 8 3" xfId="13960"/>
    <cellStyle name="20% - 强调文字颜色 3 2 8 3 2" xfId="13961"/>
    <cellStyle name="20% - 强调文字颜色 3 2 8 3 2 2" xfId="13962"/>
    <cellStyle name="20% - 强调文字颜色 3 2 8 4" xfId="13963"/>
    <cellStyle name="20% - 强调文字颜色 3 2 8 4 2" xfId="13964"/>
    <cellStyle name="20% - 强调文字颜色 3 2 8 5" xfId="13965"/>
    <cellStyle name="20% - 强调文字颜色 3 2 8 5 2" xfId="13966"/>
    <cellStyle name="20% - 强调文字颜色 3 2 8 6" xfId="13967"/>
    <cellStyle name="20% - 强调文字颜色 3 2 9" xfId="13968"/>
    <cellStyle name="20% - 强调文字颜色 3 2 9 2" xfId="13969"/>
    <cellStyle name="20% - 强调文字颜色 3 2 9 2 2" xfId="13970"/>
    <cellStyle name="20% - 强调文字颜色 3 2 9 2 2 2" xfId="13971"/>
    <cellStyle name="20% - 强调文字颜色 3 2 9 3" xfId="13972"/>
    <cellStyle name="20% - 强调文字颜色 3 2 9 3 2" xfId="13973"/>
    <cellStyle name="20% - 强调文字颜色 3 2 9 4" xfId="13974"/>
    <cellStyle name="20% - 强调文字颜色 3 2 9 4 2" xfId="13975"/>
    <cellStyle name="20% - 强调文字颜色 3 2 9 5" xfId="13976"/>
    <cellStyle name="20% - 强调文字颜色 3 3" xfId="13977"/>
    <cellStyle name="20% - 强调文字颜色 3 3 2" xfId="13978"/>
    <cellStyle name="20% - 强调文字颜色 3 3 2 2" xfId="13979"/>
    <cellStyle name="20% - 强调文字颜色 3 3 2 2 2" xfId="13980"/>
    <cellStyle name="20% - 强调文字颜色 3 3 2 2 2 2" xfId="13981"/>
    <cellStyle name="20% - 强调文字颜色 3 3 2 2 2 3" xfId="13982"/>
    <cellStyle name="20% - 强调文字颜色 3 3 2 2 2 3 2" xfId="13983"/>
    <cellStyle name="20% - 强调文字颜色 3 3 2 2 2 3 2 2" xfId="13984"/>
    <cellStyle name="20% - 强调文字颜色 3 3 2 2 2 4" xfId="13985"/>
    <cellStyle name="20% - 强调文字颜色 3 3 2 2 2 4 2" xfId="13986"/>
    <cellStyle name="20% - 强调文字颜色 3 3 2 2 2 5" xfId="13987"/>
    <cellStyle name="20% - 强调文字颜色 3 3 2 2 2 5 2" xfId="13988"/>
    <cellStyle name="20% - 强调文字颜色 3 3 2 2 2 6" xfId="13989"/>
    <cellStyle name="20% - 强调文字颜色 3 3 2 2 3" xfId="13990"/>
    <cellStyle name="20% - 强调文字颜色 3 3 2 2 3 2" xfId="13991"/>
    <cellStyle name="20% - 强调文字颜色 3 3 2 2 3 2 2" xfId="13992"/>
    <cellStyle name="20% - 强调文字颜色 3 3 2 2 3 2 2 2" xfId="13993"/>
    <cellStyle name="20% - 强调文字颜色 3 3 2 2 3 3" xfId="13994"/>
    <cellStyle name="20% - 强调文字颜色 3 3 2 2 3 3 2" xfId="13995"/>
    <cellStyle name="20% - 强调文字颜色 3 3 2 2 3 4" xfId="13996"/>
    <cellStyle name="20% - 强调文字颜色 3 3 2 2 3 4 2" xfId="13997"/>
    <cellStyle name="20% - 强调文字颜色 3 3 2 2 3 5" xfId="13998"/>
    <cellStyle name="20% - 强调文字颜色 3 3 2 2 4" xfId="13999"/>
    <cellStyle name="20% - 强调文字颜色 3 3 2 2 5" xfId="14000"/>
    <cellStyle name="20% - 强调文字颜色 3 3 2 2 6" xfId="14001"/>
    <cellStyle name="20% - 强调文字颜色 3 3 2 2 6 2" xfId="14002"/>
    <cellStyle name="20% - 强调文字颜色 3 3 2 2 7" xfId="14003"/>
    <cellStyle name="20% - 强调文字颜色 3 3 2 2 7 2" xfId="14004"/>
    <cellStyle name="20% - 强调文字颜色 3 3 2 3" xfId="14005"/>
    <cellStyle name="20% - 强调文字颜色 3 3 2 3 2" xfId="14006"/>
    <cellStyle name="20% - 强调文字颜色 3 3 2 3 3" xfId="14007"/>
    <cellStyle name="20% - 强调文字颜色 3 3 2 3 3 2" xfId="14008"/>
    <cellStyle name="20% - 强调文字颜色 3 3 2 3 3 2 2" xfId="14009"/>
    <cellStyle name="20% - 强调文字颜色 3 3 2 3 4" xfId="14010"/>
    <cellStyle name="20% - 强调文字颜色 3 3 2 3 4 2" xfId="14011"/>
    <cellStyle name="20% - 强调文字颜色 3 3 2 3 5" xfId="14012"/>
    <cellStyle name="20% - 强调文字颜色 3 3 2 3 5 2" xfId="14013"/>
    <cellStyle name="20% - 强调文字颜色 3 3 2 3 6" xfId="14014"/>
    <cellStyle name="20% - 强调文字颜色 3 3 2 4" xfId="14015"/>
    <cellStyle name="20% - 强调文字颜色 3 3 2 4 2" xfId="14016"/>
    <cellStyle name="20% - 强调文字颜色 3 3 2 4 2 2" xfId="14017"/>
    <cellStyle name="20% - 强调文字颜色 3 3 2 4 2 2 2" xfId="14018"/>
    <cellStyle name="20% - 强调文字颜色 3 3 2 4 3" xfId="14019"/>
    <cellStyle name="20% - 强调文字颜色 3 3 2 4 3 2" xfId="14020"/>
    <cellStyle name="20% - 强调文字颜色 3 3 2 4 4" xfId="14021"/>
    <cellStyle name="20% - 强调文字颜色 3 3 2 4 4 2" xfId="14022"/>
    <cellStyle name="20% - 强调文字颜色 3 3 2 4 5" xfId="14023"/>
    <cellStyle name="20% - 强调文字颜色 3 3 2 5" xfId="14024"/>
    <cellStyle name="20% - 强调文字颜色 3 3 2 6" xfId="14025"/>
    <cellStyle name="20% - 强调文字颜色 3 3 2 7" xfId="14026"/>
    <cellStyle name="20% - 强调文字颜色 3 3 2 7 2" xfId="14027"/>
    <cellStyle name="20% - 强调文字颜色 3 3 2 8" xfId="14028"/>
    <cellStyle name="20% - 强调文字颜色 3 3 2 8 2" xfId="14029"/>
    <cellStyle name="20% - 强调文字颜色 3 3 3" xfId="14030"/>
    <cellStyle name="20% - 强调文字颜色 3 3 3 2" xfId="14031"/>
    <cellStyle name="20% - 强调文字颜色 3 3 3 2 2" xfId="14032"/>
    <cellStyle name="20% - 强调文字颜色 3 3 3 2 3" xfId="14033"/>
    <cellStyle name="20% - 强调文字颜色 3 3 3 2 3 2" xfId="14034"/>
    <cellStyle name="20% - 强调文字颜色 3 3 3 2 3 2 2" xfId="14035"/>
    <cellStyle name="20% - 强调文字颜色 3 3 3 2 4" xfId="14036"/>
    <cellStyle name="20% - 强调文字颜色 3 3 3 2 4 2" xfId="14037"/>
    <cellStyle name="20% - 强调文字颜色 3 3 3 2 5" xfId="14038"/>
    <cellStyle name="20% - 强调文字颜色 3 3 3 2 5 2" xfId="14039"/>
    <cellStyle name="20% - 强调文字颜色 3 3 3 2 6" xfId="14040"/>
    <cellStyle name="20% - 强调文字颜色 3 3 3 3" xfId="14041"/>
    <cellStyle name="20% - 强调文字颜色 3 3 3 3 2" xfId="14042"/>
    <cellStyle name="20% - 强调文字颜色 3 3 3 3 2 2" xfId="14043"/>
    <cellStyle name="20% - 强调文字颜色 3 3 3 3 2 2 2" xfId="14044"/>
    <cellStyle name="20% - 强调文字颜色 3 3 3 3 3" xfId="14045"/>
    <cellStyle name="20% - 强调文字颜色 3 3 3 3 3 2" xfId="14046"/>
    <cellStyle name="20% - 强调文字颜色 3 3 3 3 4" xfId="14047"/>
    <cellStyle name="20% - 强调文字颜色 3 3 3 3 4 2" xfId="14048"/>
    <cellStyle name="20% - 强调文字颜色 3 3 3 3 5" xfId="14049"/>
    <cellStyle name="20% - 强调文字颜色 3 3 3 4" xfId="14050"/>
    <cellStyle name="20% - 强调文字颜色 3 3 3 5" xfId="14051"/>
    <cellStyle name="20% - 强调文字颜色 3 3 3 6" xfId="14052"/>
    <cellStyle name="20% - 强调文字颜色 3 3 3 6 2" xfId="14053"/>
    <cellStyle name="20% - 强调文字颜色 3 3 3 7" xfId="14054"/>
    <cellStyle name="20% - 强调文字颜色 3 3 3 7 2" xfId="14055"/>
    <cellStyle name="20% - 强调文字颜色 3 3 4" xfId="14056"/>
    <cellStyle name="20% - 强调文字颜色 3 3 4 2" xfId="14057"/>
    <cellStyle name="20% - 强调文字颜色 3 3 4 2 2" xfId="14058"/>
    <cellStyle name="20% - 强调文字颜色 3 3 4 2 3" xfId="14059"/>
    <cellStyle name="20% - 强调文字颜色 3 3 4 2 3 2" xfId="14060"/>
    <cellStyle name="20% - 强调文字颜色 3 3 4 2 3 2 2" xfId="14061"/>
    <cellStyle name="20% - 强调文字颜色 3 3 4 2 4" xfId="14062"/>
    <cellStyle name="20% - 强调文字颜色 3 3 4 2 4 2" xfId="14063"/>
    <cellStyle name="20% - 强调文字颜色 3 3 4 2 5" xfId="14064"/>
    <cellStyle name="20% - 强调文字颜色 3 3 4 2 5 2" xfId="14065"/>
    <cellStyle name="20% - 强调文字颜色 3 3 4 2 6" xfId="14066"/>
    <cellStyle name="20% - 强调文字颜色 3 3 4 3" xfId="14067"/>
    <cellStyle name="20% - 强调文字颜色 3 3 4 4" xfId="14068"/>
    <cellStyle name="20% - 强调文字颜色 3 3 4 5" xfId="14069"/>
    <cellStyle name="20% - 强调文字颜色 3 3 4 6" xfId="14070"/>
    <cellStyle name="20% - 强调文字颜色 3 3 4 6 2" xfId="14071"/>
    <cellStyle name="20% - 强调文字颜色 3 3 4 7" xfId="14072"/>
    <cellStyle name="20% - 强调文字颜色 3 3 4 7 2" xfId="14073"/>
    <cellStyle name="20% - 强调文字颜色 3 3 5" xfId="14074"/>
    <cellStyle name="20% - 强调文字颜色 3 3 5 2" xfId="14075"/>
    <cellStyle name="20% - 强调文字颜色 3 3 5 2 2" xfId="14076"/>
    <cellStyle name="20% - 强调文字颜色 3 3 5 2 2 2" xfId="14077"/>
    <cellStyle name="20% - 强调文字颜色 3 3 5 2 2 2 2" xfId="14078"/>
    <cellStyle name="20% - 强调文字颜色 3 3 5 2 3" xfId="14079"/>
    <cellStyle name="20% - 强调文字颜色 3 3 5 2 3 2" xfId="14080"/>
    <cellStyle name="20% - 强调文字颜色 3 3 5 2 4" xfId="14081"/>
    <cellStyle name="20% - 强调文字颜色 3 3 5 2 4 2" xfId="14082"/>
    <cellStyle name="20% - 强调文字颜色 3 3 5 2 5" xfId="14083"/>
    <cellStyle name="20% - 强调文字颜色 3 3 5 3" xfId="14084"/>
    <cellStyle name="20% - 强调文字颜色 3 3 5 3 2" xfId="14085"/>
    <cellStyle name="20% - 强调文字颜色 3 3 5 3 2 2" xfId="14086"/>
    <cellStyle name="20% - 强调文字颜色 3 3 5 4" xfId="14087"/>
    <cellStyle name="20% - 强调文字颜色 3 3 5 4 2" xfId="14088"/>
    <cellStyle name="20% - 强调文字颜色 3 3 5 5" xfId="14089"/>
    <cellStyle name="20% - 强调文字颜色 3 3 5 5 2" xfId="14090"/>
    <cellStyle name="20% - 强调文字颜色 3 3 5 6" xfId="14091"/>
    <cellStyle name="20% - 强调文字颜色 3 3 6" xfId="14092"/>
    <cellStyle name="20% - 强调文字颜色 3 3 6 2" xfId="14093"/>
    <cellStyle name="20% - 强调文字颜色 3 3 6 2 2" xfId="14094"/>
    <cellStyle name="20% - 强调文字颜色 3 3 6 2 2 2" xfId="14095"/>
    <cellStyle name="20% - 强调文字颜色 3 3 6 3" xfId="14096"/>
    <cellStyle name="20% - 强调文字颜色 3 3 6 3 2" xfId="14097"/>
    <cellStyle name="20% - 强调文字颜色 3 3 6 4" xfId="14098"/>
    <cellStyle name="20% - 强调文字颜色 3 3 6 4 2" xfId="14099"/>
    <cellStyle name="20% - 强调文字颜色 3 3 6 5" xfId="14100"/>
    <cellStyle name="20% - 强调文字颜色 3 3 7" xfId="14101"/>
    <cellStyle name="20% - 强调文字颜色 3 3 8" xfId="14102"/>
    <cellStyle name="20% - 强调文字颜色 3 3 8 2" xfId="14103"/>
    <cellStyle name="20% - 强调文字颜色 3 3 9" xfId="14104"/>
    <cellStyle name="20% - 强调文字颜色 3 3 9 2" xfId="14105"/>
    <cellStyle name="20% - 强调文字颜色 4 2" xfId="14106"/>
    <cellStyle name="20% - 强调文字颜色 4 2 10" xfId="14107"/>
    <cellStyle name="20% - 强调文字颜色 4 2 11" xfId="14108"/>
    <cellStyle name="20% - 强调文字颜色 4 2 11 2" xfId="14109"/>
    <cellStyle name="20% - 强调文字颜色 4 2 12" xfId="14110"/>
    <cellStyle name="20% - 强调文字颜色 4 2 12 2" xfId="14111"/>
    <cellStyle name="20% - 强调文字颜色 4 2 2" xfId="14112"/>
    <cellStyle name="20% - 强调文字颜色 4 2 2 10" xfId="14113"/>
    <cellStyle name="20% - 强调文字颜色 4 2 2 11" xfId="14114"/>
    <cellStyle name="20% - 强调文字颜色 4 2 2 11 2" xfId="14115"/>
    <cellStyle name="20% - 强调文字颜色 4 2 2 12" xfId="14116"/>
    <cellStyle name="20% - 强调文字颜色 4 2 2 12 2" xfId="14117"/>
    <cellStyle name="20% - 强调文字颜色 4 2 2 2" xfId="14118"/>
    <cellStyle name="20% - 强调文字颜色 4 2 2 2 2" xfId="14119"/>
    <cellStyle name="20% - 强调文字颜色 4 2 2 2 2 2" xfId="14120"/>
    <cellStyle name="20% - 强调文字颜色 4 2 2 2 2 2 2" xfId="14121"/>
    <cellStyle name="20% - 强调文字颜色 4 2 2 2 2 2 3" xfId="14122"/>
    <cellStyle name="20% - 强调文字颜色 4 2 2 2 2 2 3 2" xfId="14123"/>
    <cellStyle name="20% - 强调文字颜色 4 2 2 2 2 2 3 2 2" xfId="14124"/>
    <cellStyle name="20% - 强调文字颜色 4 2 2 2 2 2 4" xfId="14125"/>
    <cellStyle name="20% - 强调文字颜色 4 2 2 2 2 2 4 2" xfId="14126"/>
    <cellStyle name="20% - 强调文字颜色 4 2 2 2 2 2 5" xfId="14127"/>
    <cellStyle name="20% - 强调文字颜色 4 2 2 2 2 2 5 2" xfId="14128"/>
    <cellStyle name="20% - 强调文字颜色 4 2 2 2 2 2 6" xfId="14129"/>
    <cellStyle name="20% - 强调文字颜色 4 2 2 2 2 3" xfId="14130"/>
    <cellStyle name="20% - 强调文字颜色 4 2 2 2 2 3 2" xfId="14131"/>
    <cellStyle name="20% - 强调文字颜色 4 2 2 2 2 3 2 2" xfId="14132"/>
    <cellStyle name="20% - 强调文字颜色 4 2 2 2 2 3 2 2 2" xfId="14133"/>
    <cellStyle name="20% - 强调文字颜色 4 2 2 2 2 3 3" xfId="14134"/>
    <cellStyle name="20% - 强调文字颜色 4 2 2 2 2 3 3 2" xfId="14135"/>
    <cellStyle name="20% - 强调文字颜色 4 2 2 2 2 3 4" xfId="14136"/>
    <cellStyle name="20% - 强调文字颜色 4 2 2 2 2 3 4 2" xfId="14137"/>
    <cellStyle name="20% - 强调文字颜色 4 2 2 2 2 3 5" xfId="14138"/>
    <cellStyle name="20% - 强调文字颜色 4 2 2 2 2 4" xfId="14139"/>
    <cellStyle name="20% - 强调文字颜色 4 2 2 2 2 5" xfId="14140"/>
    <cellStyle name="20% - 强调文字颜色 4 2 2 2 2 6" xfId="14141"/>
    <cellStyle name="20% - 强调文字颜色 4 2 2 2 2 6 2" xfId="14142"/>
    <cellStyle name="20% - 强调文字颜色 4 2 2 2 2 7" xfId="14143"/>
    <cellStyle name="20% - 强调文字颜色 4 2 2 2 2 7 2" xfId="14144"/>
    <cellStyle name="20% - 强调文字颜色 4 2 2 2 3" xfId="14145"/>
    <cellStyle name="20% - 强调文字颜色 4 2 2 2 3 2" xfId="14146"/>
    <cellStyle name="20% - 强调文字颜色 4 2 2 2 3 3" xfId="14147"/>
    <cellStyle name="20% - 强调文字颜色 4 2 2 2 3 3 2" xfId="14148"/>
    <cellStyle name="20% - 强调文字颜色 4 2 2 2 3 3 2 2" xfId="14149"/>
    <cellStyle name="20% - 强调文字颜色 4 2 2 2 3 4" xfId="14150"/>
    <cellStyle name="20% - 强调文字颜色 4 2 2 2 3 4 2" xfId="14151"/>
    <cellStyle name="20% - 强调文字颜色 4 2 2 2 3 5" xfId="14152"/>
    <cellStyle name="20% - 强调文字颜色 4 2 2 2 3 5 2" xfId="14153"/>
    <cellStyle name="20% - 强调文字颜色 4 2 2 2 3 6" xfId="14154"/>
    <cellStyle name="20% - 强调文字颜色 4 2 2 2 4" xfId="14155"/>
    <cellStyle name="20% - 强调文字颜色 4 2 2 2 4 2" xfId="14156"/>
    <cellStyle name="20% - 强调文字颜色 4 2 2 2 4 2 2" xfId="14157"/>
    <cellStyle name="20% - 强调文字颜色 4 2 2 2 4 2 2 2" xfId="14158"/>
    <cellStyle name="20% - 强调文字颜色 4 2 2 2 4 3" xfId="14159"/>
    <cellStyle name="20% - 强调文字颜色 4 2 2 2 4 3 2" xfId="14160"/>
    <cellStyle name="20% - 强调文字颜色 4 2 2 2 4 4" xfId="14161"/>
    <cellStyle name="20% - 强调文字颜色 4 2 2 2 4 4 2" xfId="14162"/>
    <cellStyle name="20% - 强调文字颜色 4 2 2 2 4 5" xfId="14163"/>
    <cellStyle name="20% - 强调文字颜色 4 2 2 2 5" xfId="14164"/>
    <cellStyle name="20% - 强调文字颜色 4 2 2 2 6" xfId="14165"/>
    <cellStyle name="20% - 强调文字颜色 4 2 2 2 7" xfId="14166"/>
    <cellStyle name="20% - 强调文字颜色 4 2 2 2 7 2" xfId="14167"/>
    <cellStyle name="20% - 强调文字颜色 4 2 2 2 8" xfId="14168"/>
    <cellStyle name="20% - 强调文字颜色 4 2 2 2 8 2" xfId="14169"/>
    <cellStyle name="20% - 强调文字颜色 4 2 2 3" xfId="14170"/>
    <cellStyle name="20% - 强调文字颜色 4 2 2 3 2" xfId="14171"/>
    <cellStyle name="20% - 强调文字颜色 4 2 2 3 2 2" xfId="14172"/>
    <cellStyle name="20% - 强调文字颜色 4 2 2 3 2 3" xfId="14173"/>
    <cellStyle name="20% - 强调文字颜色 4 2 2 3 2 3 2" xfId="14174"/>
    <cellStyle name="20% - 强调文字颜色 4 2 2 3 2 3 2 2" xfId="14175"/>
    <cellStyle name="20% - 强调文字颜色 4 2 2 3 2 4" xfId="14176"/>
    <cellStyle name="20% - 强调文字颜色 4 2 2 3 2 4 2" xfId="14177"/>
    <cellStyle name="20% - 强调文字颜色 4 2 2 3 2 5" xfId="14178"/>
    <cellStyle name="20% - 强调文字颜色 4 2 2 3 2 5 2" xfId="14179"/>
    <cellStyle name="20% - 强调文字颜色 4 2 2 3 2 6" xfId="14180"/>
    <cellStyle name="20% - 强调文字颜色 4 2 2 3 3" xfId="14181"/>
    <cellStyle name="20% - 强调文字颜色 4 2 2 3 3 2" xfId="14182"/>
    <cellStyle name="20% - 强调文字颜色 4 2 2 3 3 2 2" xfId="14183"/>
    <cellStyle name="20% - 强调文字颜色 4 2 2 3 3 2 2 2" xfId="14184"/>
    <cellStyle name="20% - 强调文字颜色 4 2 2 3 3 3" xfId="14185"/>
    <cellStyle name="20% - 强调文字颜色 4 2 2 3 3 3 2" xfId="14186"/>
    <cellStyle name="20% - 强调文字颜色 4 2 2 3 3 4" xfId="14187"/>
    <cellStyle name="20% - 强调文字颜色 4 2 2 3 3 4 2" xfId="14188"/>
    <cellStyle name="20% - 强调文字颜色 4 2 2 3 3 5" xfId="14189"/>
    <cellStyle name="20% - 强调文字颜色 4 2 2 3 4" xfId="14190"/>
    <cellStyle name="20% - 强调文字颜色 4 2 2 3 5" xfId="14191"/>
    <cellStyle name="20% - 强调文字颜色 4 2 2 3 6" xfId="14192"/>
    <cellStyle name="20% - 强调文字颜色 4 2 2 3 6 2" xfId="14193"/>
    <cellStyle name="20% - 强调文字颜色 4 2 2 3 7" xfId="14194"/>
    <cellStyle name="20% - 强调文字颜色 4 2 2 3 7 2" xfId="14195"/>
    <cellStyle name="20% - 强调文字颜色 4 2 2 4" xfId="14196"/>
    <cellStyle name="20% - 强调文字颜色 4 2 2 4 2" xfId="14197"/>
    <cellStyle name="20% - 强调文字颜色 4 2 2 4 2 2" xfId="14198"/>
    <cellStyle name="20% - 强调文字颜色 4 2 2 4 2 3" xfId="14199"/>
    <cellStyle name="20% - 强调文字颜色 4 2 2 4 2 3 2" xfId="14200"/>
    <cellStyle name="20% - 强调文字颜色 4 2 2 4 2 3 2 2" xfId="14201"/>
    <cellStyle name="20% - 强调文字颜色 4 2 2 4 2 4" xfId="14202"/>
    <cellStyle name="20% - 强调文字颜色 4 2 2 4 2 4 2" xfId="14203"/>
    <cellStyle name="20% - 强调文字颜色 4 2 2 4 2 5" xfId="14204"/>
    <cellStyle name="20% - 强调文字颜色 4 2 2 4 2 5 2" xfId="14205"/>
    <cellStyle name="20% - 强调文字颜色 4 2 2 4 2 6" xfId="14206"/>
    <cellStyle name="20% - 强调文字颜色 4 2 2 4 3" xfId="14207"/>
    <cellStyle name="20% - 强调文字颜色 4 2 2 4 4" xfId="14208"/>
    <cellStyle name="20% - 强调文字颜色 4 2 2 4 5" xfId="14209"/>
    <cellStyle name="20% - 强调文字颜色 4 2 2 4 6" xfId="14210"/>
    <cellStyle name="20% - 强调文字颜色 4 2 2 4 6 2" xfId="14211"/>
    <cellStyle name="20% - 强调文字颜色 4 2 2 4 7" xfId="14212"/>
    <cellStyle name="20% - 强调文字颜色 4 2 2 4 7 2" xfId="14213"/>
    <cellStyle name="20% - 强调文字颜色 4 2 2 5" xfId="14214"/>
    <cellStyle name="20% - 强调文字颜色 4 2 2 5 2" xfId="14215"/>
    <cellStyle name="20% - 强调文字颜色 4 2 2 5 2 2" xfId="14216"/>
    <cellStyle name="20% - 强调文字颜色 4 2 2 5 2 2 2" xfId="14217"/>
    <cellStyle name="20% - 强调文字颜色 4 2 2 5 2 2 2 2" xfId="14218"/>
    <cellStyle name="20% - 强调文字颜色 4 2 2 5 2 3" xfId="14219"/>
    <cellStyle name="20% - 强调文字颜色 4 2 2 5 2 3 2" xfId="14220"/>
    <cellStyle name="20% - 强调文字颜色 4 2 2 5 2 4" xfId="14221"/>
    <cellStyle name="20% - 强调文字颜色 4 2 2 5 2 4 2" xfId="14222"/>
    <cellStyle name="20% - 强调文字颜色 4 2 2 5 2 5" xfId="14223"/>
    <cellStyle name="20% - 强调文字颜色 4 2 2 5 3" xfId="14224"/>
    <cellStyle name="20% - 强调文字颜色 4 2 2 5 3 2" xfId="14225"/>
    <cellStyle name="20% - 强调文字颜色 4 2 2 5 3 2 2" xfId="14226"/>
    <cellStyle name="20% - 强调文字颜色 4 2 2 5 4" xfId="14227"/>
    <cellStyle name="20% - 强调文字颜色 4 2 2 5 4 2" xfId="14228"/>
    <cellStyle name="20% - 强调文字颜色 4 2 2 5 5" xfId="14229"/>
    <cellStyle name="20% - 强调文字颜色 4 2 2 5 5 2" xfId="14230"/>
    <cellStyle name="20% - 强调文字颜色 4 2 2 5 6" xfId="14231"/>
    <cellStyle name="20% - 强调文字颜色 4 2 2 6" xfId="14232"/>
    <cellStyle name="20% - 强调文字颜色 4 2 2 6 2" xfId="14233"/>
    <cellStyle name="20% - 强调文字颜色 4 2 2 6 2 2" xfId="14234"/>
    <cellStyle name="20% - 强调文字颜色 4 2 2 6 2 2 2" xfId="14235"/>
    <cellStyle name="20% - 强调文字颜色 4 2 2 6 2 2 2 2" xfId="14236"/>
    <cellStyle name="20% - 强调文字颜色 4 2 2 6 2 3" xfId="14237"/>
    <cellStyle name="20% - 强调文字颜色 4 2 2 6 2 3 2" xfId="14238"/>
    <cellStyle name="20% - 强调文字颜色 4 2 2 6 2 4" xfId="14239"/>
    <cellStyle name="20% - 强调文字颜色 4 2 2 6 2 4 2" xfId="14240"/>
    <cellStyle name="20% - 强调文字颜色 4 2 2 6 2 5" xfId="14241"/>
    <cellStyle name="20% - 强调文字颜色 4 2 2 6 3" xfId="14242"/>
    <cellStyle name="20% - 强调文字颜色 4 2 2 6 3 2" xfId="14243"/>
    <cellStyle name="20% - 强调文字颜色 4 2 2 6 3 2 2" xfId="14244"/>
    <cellStyle name="20% - 强调文字颜色 4 2 2 6 4" xfId="14245"/>
    <cellStyle name="20% - 强调文字颜色 4 2 2 6 4 2" xfId="14246"/>
    <cellStyle name="20% - 强调文字颜色 4 2 2 6 5" xfId="14247"/>
    <cellStyle name="20% - 强调文字颜色 4 2 2 6 5 2" xfId="14248"/>
    <cellStyle name="20% - 强调文字颜色 4 2 2 6 6" xfId="14249"/>
    <cellStyle name="20% - 强调文字颜色 4 2 2 7" xfId="14250"/>
    <cellStyle name="20% - 强调文字颜色 4 2 2 7 2" xfId="14251"/>
    <cellStyle name="20% - 强调文字颜色 4 2 2 7 2 2" xfId="14252"/>
    <cellStyle name="20% - 强调文字颜色 4 2 2 7 2 2 2" xfId="14253"/>
    <cellStyle name="20% - 强调文字颜色 4 2 2 7 2 2 2 2" xfId="14254"/>
    <cellStyle name="20% - 强调文字颜色 4 2 2 7 2 3" xfId="14255"/>
    <cellStyle name="20% - 强调文字颜色 4 2 2 7 2 3 2" xfId="14256"/>
    <cellStyle name="20% - 强调文字颜色 4 2 2 7 2 4" xfId="14257"/>
    <cellStyle name="20% - 强调文字颜色 4 2 2 7 2 4 2" xfId="14258"/>
    <cellStyle name="20% - 强调文字颜色 4 2 2 7 2 5" xfId="14259"/>
    <cellStyle name="20% - 强调文字颜色 4 2 2 7 3" xfId="14260"/>
    <cellStyle name="20% - 强调文字颜色 4 2 2 7 3 2" xfId="14261"/>
    <cellStyle name="20% - 强调文字颜色 4 2 2 7 3 2 2" xfId="14262"/>
    <cellStyle name="20% - 强调文字颜色 4 2 2 7 4" xfId="14263"/>
    <cellStyle name="20% - 强调文字颜色 4 2 2 7 4 2" xfId="14264"/>
    <cellStyle name="20% - 强调文字颜色 4 2 2 7 5" xfId="14265"/>
    <cellStyle name="20% - 强调文字颜色 4 2 2 7 5 2" xfId="14266"/>
    <cellStyle name="20% - 强调文字颜色 4 2 2 7 6" xfId="14267"/>
    <cellStyle name="20% - 强调文字颜色 4 2 2 8" xfId="14268"/>
    <cellStyle name="20% - 强调文字颜色 4 2 2 8 2" xfId="14269"/>
    <cellStyle name="20% - 强调文字颜色 4 2 2 8 2 2" xfId="14270"/>
    <cellStyle name="20% - 强调文字颜色 4 2 2 8 2 2 2" xfId="14271"/>
    <cellStyle name="20% - 强调文字颜色 4 2 2 8 3" xfId="14272"/>
    <cellStyle name="20% - 强调文字颜色 4 2 2 8 3 2" xfId="14273"/>
    <cellStyle name="20% - 强调文字颜色 4 2 2 8 4" xfId="14274"/>
    <cellStyle name="20% - 强调文字颜色 4 2 2 8 4 2" xfId="14275"/>
    <cellStyle name="20% - 强调文字颜色 4 2 2 8 5" xfId="14276"/>
    <cellStyle name="20% - 强调文字颜色 4 2 2 9" xfId="14277"/>
    <cellStyle name="20% - 强调文字颜色 4 2 2 9 2" xfId="14278"/>
    <cellStyle name="20% - 强调文字颜色 4 2 2 9 2 2" xfId="14279"/>
    <cellStyle name="20% - 强调文字颜色 4 2 2 9 2 2 2" xfId="14280"/>
    <cellStyle name="20% - 强调文字颜色 4 2 2 9 3" xfId="14281"/>
    <cellStyle name="20% - 强调文字颜色 4 2 2 9 3 2" xfId="14282"/>
    <cellStyle name="20% - 强调文字颜色 4 2 2 9 4" xfId="14283"/>
    <cellStyle name="20% - 强调文字颜色 4 2 2 9 4 2" xfId="14284"/>
    <cellStyle name="20% - 强调文字颜色 4 2 2 9 5" xfId="14285"/>
    <cellStyle name="20% - 强调文字颜色 4 2 3" xfId="14286"/>
    <cellStyle name="20% - 强调文字颜色 4 2 3 10" xfId="14287"/>
    <cellStyle name="20% - 强调文字颜色 4 2 3 10 2" xfId="14288"/>
    <cellStyle name="20% - 强调文字颜色 4 2 3 2" xfId="14289"/>
    <cellStyle name="20% - 强调文字颜色 4 2 3 2 2" xfId="14290"/>
    <cellStyle name="20% - 强调文字颜色 4 2 3 2 2 2" xfId="14291"/>
    <cellStyle name="20% - 强调文字颜色 4 2 3 2 2 2 2" xfId="14292"/>
    <cellStyle name="20% - 强调文字颜色 4 2 3 2 2 2 3" xfId="14293"/>
    <cellStyle name="20% - 强调文字颜色 4 2 3 2 2 2 3 2" xfId="14294"/>
    <cellStyle name="20% - 强调文字颜色 4 2 3 2 2 2 3 2 2" xfId="14295"/>
    <cellStyle name="20% - 强调文字颜色 4 2 3 2 2 2 4" xfId="14296"/>
    <cellStyle name="20% - 强调文字颜色 4 2 3 2 2 2 4 2" xfId="14297"/>
    <cellStyle name="20% - 强调文字颜色 4 2 3 2 2 2 5" xfId="14298"/>
    <cellStyle name="20% - 强调文字颜色 4 2 3 2 2 2 5 2" xfId="14299"/>
    <cellStyle name="20% - 强调文字颜色 4 2 3 2 2 2 6" xfId="14300"/>
    <cellStyle name="20% - 强调文字颜色 4 2 3 2 2 3" xfId="14301"/>
    <cellStyle name="20% - 强调文字颜色 4 2 3 2 2 3 2" xfId="14302"/>
    <cellStyle name="20% - 强调文字颜色 4 2 3 2 2 3 2 2" xfId="14303"/>
    <cellStyle name="20% - 强调文字颜色 4 2 3 2 2 3 2 2 2" xfId="14304"/>
    <cellStyle name="20% - 强调文字颜色 4 2 3 2 2 3 3" xfId="14305"/>
    <cellStyle name="20% - 强调文字颜色 4 2 3 2 2 3 3 2" xfId="14306"/>
    <cellStyle name="20% - 强调文字颜色 4 2 3 2 2 3 4" xfId="14307"/>
    <cellStyle name="20% - 强调文字颜色 4 2 3 2 2 3 4 2" xfId="14308"/>
    <cellStyle name="20% - 强调文字颜色 4 2 3 2 2 3 5" xfId="14309"/>
    <cellStyle name="20% - 强调文字颜色 4 2 3 2 2 4" xfId="14310"/>
    <cellStyle name="20% - 强调文字颜色 4 2 3 2 2 5" xfId="14311"/>
    <cellStyle name="20% - 强调文字颜色 4 2 3 2 2 6" xfId="14312"/>
    <cellStyle name="20% - 强调文字颜色 4 2 3 2 2 6 2" xfId="14313"/>
    <cellStyle name="20% - 强调文字颜色 4 2 3 2 2 7" xfId="14314"/>
    <cellStyle name="20% - 强调文字颜色 4 2 3 2 2 7 2" xfId="14315"/>
    <cellStyle name="20% - 强调文字颜色 4 2 3 2 3" xfId="14316"/>
    <cellStyle name="20% - 强调文字颜色 4 2 3 2 3 2" xfId="14317"/>
    <cellStyle name="20% - 强调文字颜色 4 2 3 2 3 3" xfId="14318"/>
    <cellStyle name="20% - 强调文字颜色 4 2 3 2 3 3 2" xfId="14319"/>
    <cellStyle name="20% - 强调文字颜色 4 2 3 2 3 3 2 2" xfId="14320"/>
    <cellStyle name="20% - 强调文字颜色 4 2 3 2 3 4" xfId="14321"/>
    <cellStyle name="20% - 强调文字颜色 4 2 3 2 3 4 2" xfId="14322"/>
    <cellStyle name="20% - 强调文字颜色 4 2 3 2 3 5" xfId="14323"/>
    <cellStyle name="20% - 强调文字颜色 4 2 3 2 3 5 2" xfId="14324"/>
    <cellStyle name="20% - 强调文字颜色 4 2 3 2 3 6" xfId="14325"/>
    <cellStyle name="20% - 强调文字颜色 4 2 3 2 4" xfId="14326"/>
    <cellStyle name="20% - 强调文字颜色 4 2 3 2 4 2" xfId="14327"/>
    <cellStyle name="20% - 强调文字颜色 4 2 3 2 4 2 2" xfId="14328"/>
    <cellStyle name="20% - 强调文字颜色 4 2 3 2 4 2 2 2" xfId="14329"/>
    <cellStyle name="20% - 强调文字颜色 4 2 3 2 4 3" xfId="14330"/>
    <cellStyle name="20% - 强调文字颜色 4 2 3 2 4 3 2" xfId="14331"/>
    <cellStyle name="20% - 强调文字颜色 4 2 3 2 4 4" xfId="14332"/>
    <cellStyle name="20% - 强调文字颜色 4 2 3 2 4 4 2" xfId="14333"/>
    <cellStyle name="20% - 强调文字颜色 4 2 3 2 4 5" xfId="14334"/>
    <cellStyle name="20% - 强调文字颜色 4 2 3 2 5" xfId="14335"/>
    <cellStyle name="20% - 强调文字颜色 4 2 3 2 6" xfId="14336"/>
    <cellStyle name="20% - 强调文字颜色 4 2 3 2 7" xfId="14337"/>
    <cellStyle name="20% - 强调文字颜色 4 2 3 2 7 2" xfId="14338"/>
    <cellStyle name="20% - 强调文字颜色 4 2 3 2 8" xfId="14339"/>
    <cellStyle name="20% - 强调文字颜色 4 2 3 2 8 2" xfId="14340"/>
    <cellStyle name="20% - 强调文字颜色 4 2 3 3" xfId="14341"/>
    <cellStyle name="20% - 强调文字颜色 4 2 3 3 2" xfId="14342"/>
    <cellStyle name="20% - 强调文字颜色 4 2 3 3 2 2" xfId="14343"/>
    <cellStyle name="20% - 强调文字颜色 4 2 3 3 2 3" xfId="14344"/>
    <cellStyle name="20% - 强调文字颜色 4 2 3 3 2 3 2" xfId="14345"/>
    <cellStyle name="20% - 强调文字颜色 4 2 3 3 2 3 2 2" xfId="14346"/>
    <cellStyle name="20% - 强调文字颜色 4 2 3 3 2 4" xfId="14347"/>
    <cellStyle name="20% - 强调文字颜色 4 2 3 3 2 4 2" xfId="14348"/>
    <cellStyle name="20% - 强调文字颜色 4 2 3 3 2 5" xfId="14349"/>
    <cellStyle name="20% - 强调文字颜色 4 2 3 3 2 5 2" xfId="14350"/>
    <cellStyle name="20% - 强调文字颜色 4 2 3 3 2 6" xfId="14351"/>
    <cellStyle name="20% - 强调文字颜色 4 2 3 3 3" xfId="14352"/>
    <cellStyle name="20% - 强调文字颜色 4 2 3 3 3 2" xfId="14353"/>
    <cellStyle name="20% - 强调文字颜色 4 2 3 3 3 2 2" xfId="14354"/>
    <cellStyle name="20% - 强调文字颜色 4 2 3 3 3 2 2 2" xfId="14355"/>
    <cellStyle name="20% - 强调文字颜色 4 2 3 3 3 3" xfId="14356"/>
    <cellStyle name="20% - 强调文字颜色 4 2 3 3 3 3 2" xfId="14357"/>
    <cellStyle name="20% - 强调文字颜色 4 2 3 3 3 4" xfId="14358"/>
    <cellStyle name="20% - 强调文字颜色 4 2 3 3 3 4 2" xfId="14359"/>
    <cellStyle name="20% - 强调文字颜色 4 2 3 3 3 5" xfId="14360"/>
    <cellStyle name="20% - 强调文字颜色 4 2 3 3 4" xfId="14361"/>
    <cellStyle name="20% - 强调文字颜色 4 2 3 3 5" xfId="14362"/>
    <cellStyle name="20% - 强调文字颜色 4 2 3 3 6" xfId="14363"/>
    <cellStyle name="20% - 强调文字颜色 4 2 3 3 6 2" xfId="14364"/>
    <cellStyle name="20% - 强调文字颜色 4 2 3 3 7" xfId="14365"/>
    <cellStyle name="20% - 强调文字颜色 4 2 3 3 7 2" xfId="14366"/>
    <cellStyle name="20% - 强调文字颜色 4 2 3 4" xfId="14367"/>
    <cellStyle name="20% - 强调文字颜色 4 2 3 4 2" xfId="14368"/>
    <cellStyle name="20% - 强调文字颜色 4 2 3 4 2 2" xfId="14369"/>
    <cellStyle name="20% - 强调文字颜色 4 2 3 4 2 3" xfId="14370"/>
    <cellStyle name="20% - 强调文字颜色 4 2 3 4 2 3 2" xfId="14371"/>
    <cellStyle name="20% - 强调文字颜色 4 2 3 4 2 3 2 2" xfId="14372"/>
    <cellStyle name="20% - 强调文字颜色 4 2 3 4 2 4" xfId="14373"/>
    <cellStyle name="20% - 强调文字颜色 4 2 3 4 2 4 2" xfId="14374"/>
    <cellStyle name="20% - 强调文字颜色 4 2 3 4 2 5" xfId="14375"/>
    <cellStyle name="20% - 强调文字颜色 4 2 3 4 2 5 2" xfId="14376"/>
    <cellStyle name="20% - 强调文字颜色 4 2 3 4 2 6" xfId="14377"/>
    <cellStyle name="20% - 强调文字颜色 4 2 3 4 3" xfId="14378"/>
    <cellStyle name="20% - 强调文字颜色 4 2 3 4 4" xfId="14379"/>
    <cellStyle name="20% - 强调文字颜色 4 2 3 4 5" xfId="14380"/>
    <cellStyle name="20% - 强调文字颜色 4 2 3 4 6" xfId="14381"/>
    <cellStyle name="20% - 强调文字颜色 4 2 3 4 6 2" xfId="14382"/>
    <cellStyle name="20% - 强调文字颜色 4 2 3 4 7" xfId="14383"/>
    <cellStyle name="20% - 强调文字颜色 4 2 3 4 7 2" xfId="14384"/>
    <cellStyle name="20% - 强调文字颜色 4 2 3 5" xfId="14385"/>
    <cellStyle name="20% - 强调文字颜色 4 2 3 5 2" xfId="14386"/>
    <cellStyle name="20% - 强调文字颜色 4 2 3 5 2 2" xfId="14387"/>
    <cellStyle name="20% - 强调文字颜色 4 2 3 5 2 2 2" xfId="14388"/>
    <cellStyle name="20% - 强调文字颜色 4 2 3 5 2 2 2 2" xfId="14389"/>
    <cellStyle name="20% - 强调文字颜色 4 2 3 5 2 3" xfId="14390"/>
    <cellStyle name="20% - 强调文字颜色 4 2 3 5 2 3 2" xfId="14391"/>
    <cellStyle name="20% - 强调文字颜色 4 2 3 5 2 4" xfId="14392"/>
    <cellStyle name="20% - 强调文字颜色 4 2 3 5 2 4 2" xfId="14393"/>
    <cellStyle name="20% - 强调文字颜色 4 2 3 5 2 5" xfId="14394"/>
    <cellStyle name="20% - 强调文字颜色 4 2 3 5 3" xfId="14395"/>
    <cellStyle name="20% - 强调文字颜色 4 2 3 5 3 2" xfId="14396"/>
    <cellStyle name="20% - 强调文字颜色 4 2 3 5 3 2 2" xfId="14397"/>
    <cellStyle name="20% - 强调文字颜色 4 2 3 5 4" xfId="14398"/>
    <cellStyle name="20% - 强调文字颜色 4 2 3 5 4 2" xfId="14399"/>
    <cellStyle name="20% - 强调文字颜色 4 2 3 5 5" xfId="14400"/>
    <cellStyle name="20% - 强调文字颜色 4 2 3 5 5 2" xfId="14401"/>
    <cellStyle name="20% - 强调文字颜色 4 2 3 5 6" xfId="14402"/>
    <cellStyle name="20% - 强调文字颜色 4 2 3 6" xfId="14403"/>
    <cellStyle name="20% - 强调文字颜色 4 2 3 6 2" xfId="14404"/>
    <cellStyle name="20% - 强调文字颜色 4 2 3 6 2 2" xfId="14405"/>
    <cellStyle name="20% - 强调文字颜色 4 2 3 6 2 2 2" xfId="14406"/>
    <cellStyle name="20% - 强调文字颜色 4 2 3 6 3" xfId="14407"/>
    <cellStyle name="20% - 强调文字颜色 4 2 3 6 3 2" xfId="14408"/>
    <cellStyle name="20% - 强调文字颜色 4 2 3 6 4" xfId="14409"/>
    <cellStyle name="20% - 强调文字颜色 4 2 3 6 4 2" xfId="14410"/>
    <cellStyle name="20% - 强调文字颜色 4 2 3 6 5" xfId="14411"/>
    <cellStyle name="20% - 强调文字颜色 4 2 3 7" xfId="14412"/>
    <cellStyle name="20% - 强调文字颜色 4 2 3 7 2" xfId="14413"/>
    <cellStyle name="20% - 强调文字颜色 4 2 3 7 2 2" xfId="14414"/>
    <cellStyle name="20% - 强调文字颜色 4 2 3 7 2 2 2" xfId="14415"/>
    <cellStyle name="20% - 强调文字颜色 4 2 3 7 3" xfId="14416"/>
    <cellStyle name="20% - 强调文字颜色 4 2 3 7 3 2" xfId="14417"/>
    <cellStyle name="20% - 强调文字颜色 4 2 3 7 4" xfId="14418"/>
    <cellStyle name="20% - 强调文字颜色 4 2 3 7 4 2" xfId="14419"/>
    <cellStyle name="20% - 强调文字颜色 4 2 3 7 5" xfId="14420"/>
    <cellStyle name="20% - 强调文字颜色 4 2 3 8" xfId="14421"/>
    <cellStyle name="20% - 强调文字颜色 4 2 3 9" xfId="14422"/>
    <cellStyle name="20% - 强调文字颜色 4 2 3 9 2" xfId="14423"/>
    <cellStyle name="20% - 强调文字颜色 4 2 4" xfId="14424"/>
    <cellStyle name="20% - 强调文字颜色 4 2 4 2" xfId="14425"/>
    <cellStyle name="20% - 强调文字颜色 4 2 4 2 2" xfId="14426"/>
    <cellStyle name="20% - 强调文字颜色 4 2 4 2 3" xfId="14427"/>
    <cellStyle name="20% - 强调文字颜色 4 2 4 2 3 2" xfId="14428"/>
    <cellStyle name="20% - 强调文字颜色 4 2 4 2 3 2 2" xfId="14429"/>
    <cellStyle name="20% - 强调文字颜色 4 2 4 2 4" xfId="14430"/>
    <cellStyle name="20% - 强调文字颜色 4 2 4 2 4 2" xfId="14431"/>
    <cellStyle name="20% - 强调文字颜色 4 2 4 2 5" xfId="14432"/>
    <cellStyle name="20% - 强调文字颜色 4 2 4 2 5 2" xfId="14433"/>
    <cellStyle name="20% - 强调文字颜色 4 2 4 2 6" xfId="14434"/>
    <cellStyle name="20% - 强调文字颜色 4 2 4 3" xfId="14435"/>
    <cellStyle name="20% - 强调文字颜色 4 2 4 3 2" xfId="14436"/>
    <cellStyle name="20% - 强调文字颜色 4 2 4 3 2 2" xfId="14437"/>
    <cellStyle name="20% - 强调文字颜色 4 2 4 3 2 2 2" xfId="14438"/>
    <cellStyle name="20% - 强调文字颜色 4 2 4 3 3" xfId="14439"/>
    <cellStyle name="20% - 强调文字颜色 4 2 4 3 3 2" xfId="14440"/>
    <cellStyle name="20% - 强调文字颜色 4 2 4 3 4" xfId="14441"/>
    <cellStyle name="20% - 强调文字颜色 4 2 4 3 4 2" xfId="14442"/>
    <cellStyle name="20% - 强调文字颜色 4 2 4 3 5" xfId="14443"/>
    <cellStyle name="20% - 强调文字颜色 4 2 4 4" xfId="14444"/>
    <cellStyle name="20% - 强调文字颜色 4 2 4 5" xfId="14445"/>
    <cellStyle name="20% - 强调文字颜色 4 2 4 6" xfId="14446"/>
    <cellStyle name="20% - 强调文字颜色 4 2 4 6 2" xfId="14447"/>
    <cellStyle name="20% - 强调文字颜色 4 2 4 7" xfId="14448"/>
    <cellStyle name="20% - 强调文字颜色 4 2 4 7 2" xfId="14449"/>
    <cellStyle name="20% - 强调文字颜色 4 2 5" xfId="14450"/>
    <cellStyle name="20% - 强调文字颜色 4 2 5 2" xfId="14451"/>
    <cellStyle name="20% - 强调文字颜色 4 2 5 2 2" xfId="14452"/>
    <cellStyle name="20% - 强调文字颜色 4 2 5 2 3" xfId="14453"/>
    <cellStyle name="20% - 强调文字颜色 4 2 5 2 3 2" xfId="14454"/>
    <cellStyle name="20% - 强调文字颜色 4 2 5 2 3 2 2" xfId="14455"/>
    <cellStyle name="20% - 强调文字颜色 4 2 5 2 4" xfId="14456"/>
    <cellStyle name="20% - 强调文字颜色 4 2 5 2 4 2" xfId="14457"/>
    <cellStyle name="20% - 强调文字颜色 4 2 5 2 5" xfId="14458"/>
    <cellStyle name="20% - 强调文字颜色 4 2 5 2 5 2" xfId="14459"/>
    <cellStyle name="20% - 强调文字颜色 4 2 5 2 6" xfId="14460"/>
    <cellStyle name="20% - 强调文字颜色 4 2 5 3" xfId="14461"/>
    <cellStyle name="20% - 强调文字颜色 4 2 5 4" xfId="14462"/>
    <cellStyle name="20% - 强调文字颜色 4 2 5 5" xfId="14463"/>
    <cellStyle name="20% - 强调文字颜色 4 2 5 6" xfId="14464"/>
    <cellStyle name="20% - 强调文字颜色 4 2 5 6 2" xfId="14465"/>
    <cellStyle name="20% - 强调文字颜色 4 2 5 7" xfId="14466"/>
    <cellStyle name="20% - 强调文字颜色 4 2 5 7 2" xfId="14467"/>
    <cellStyle name="20% - 强调文字颜色 4 2 6" xfId="14468"/>
    <cellStyle name="20% - 强调文字颜色 4 2 6 2" xfId="14469"/>
    <cellStyle name="20% - 强调文字颜色 4 2 6 2 2" xfId="14470"/>
    <cellStyle name="20% - 强调文字颜色 4 2 6 2 2 2" xfId="14471"/>
    <cellStyle name="20% - 强调文字颜色 4 2 6 2 2 2 2" xfId="14472"/>
    <cellStyle name="20% - 强调文字颜色 4 2 6 2 3" xfId="14473"/>
    <cellStyle name="20% - 强调文字颜色 4 2 6 2 3 2" xfId="14474"/>
    <cellStyle name="20% - 强调文字颜色 4 2 6 2 4" xfId="14475"/>
    <cellStyle name="20% - 强调文字颜色 4 2 6 2 4 2" xfId="14476"/>
    <cellStyle name="20% - 强调文字颜色 4 2 6 2 5" xfId="14477"/>
    <cellStyle name="20% - 强调文字颜色 4 2 6 3" xfId="14478"/>
    <cellStyle name="20% - 强调文字颜色 4 2 6 3 2" xfId="14479"/>
    <cellStyle name="20% - 强调文字颜色 4 2 6 3 2 2" xfId="14480"/>
    <cellStyle name="20% - 强调文字颜色 4 2 6 4" xfId="14481"/>
    <cellStyle name="20% - 强调文字颜色 4 2 6 4 2" xfId="14482"/>
    <cellStyle name="20% - 强调文字颜色 4 2 6 5" xfId="14483"/>
    <cellStyle name="20% - 强调文字颜色 4 2 6 5 2" xfId="14484"/>
    <cellStyle name="20% - 强调文字颜色 4 2 6 6" xfId="14485"/>
    <cellStyle name="20% - 强调文字颜色 4 2 7" xfId="14486"/>
    <cellStyle name="20% - 强调文字颜色 4 2 7 2" xfId="14487"/>
    <cellStyle name="20% - 强调文字颜色 4 2 7 2 2" xfId="14488"/>
    <cellStyle name="20% - 强调文字颜色 4 2 7 2 2 2" xfId="14489"/>
    <cellStyle name="20% - 强调文字颜色 4 2 7 2 2 2 2" xfId="14490"/>
    <cellStyle name="20% - 强调文字颜色 4 2 7 2 3" xfId="14491"/>
    <cellStyle name="20% - 强调文字颜色 4 2 7 2 3 2" xfId="14492"/>
    <cellStyle name="20% - 强调文字颜色 4 2 7 2 4" xfId="14493"/>
    <cellStyle name="20% - 强调文字颜色 4 2 7 2 4 2" xfId="14494"/>
    <cellStyle name="20% - 强调文字颜色 4 2 7 2 5" xfId="14495"/>
    <cellStyle name="20% - 强调文字颜色 4 2 7 3" xfId="14496"/>
    <cellStyle name="20% - 强调文字颜色 4 2 7 3 2" xfId="14497"/>
    <cellStyle name="20% - 强调文字颜色 4 2 7 3 2 2" xfId="14498"/>
    <cellStyle name="20% - 强调文字颜色 4 2 7 4" xfId="14499"/>
    <cellStyle name="20% - 强调文字颜色 4 2 7 4 2" xfId="14500"/>
    <cellStyle name="20% - 强调文字颜色 4 2 7 5" xfId="14501"/>
    <cellStyle name="20% - 强调文字颜色 4 2 7 5 2" xfId="14502"/>
    <cellStyle name="20% - 强调文字颜色 4 2 7 6" xfId="14503"/>
    <cellStyle name="20% - 强调文字颜色 4 2 8" xfId="14504"/>
    <cellStyle name="20% - 强调文字颜色 4 2 8 2" xfId="14505"/>
    <cellStyle name="20% - 强调文字颜色 4 2 8 2 2" xfId="14506"/>
    <cellStyle name="20% - 强调文字颜色 4 2 8 2 2 2" xfId="14507"/>
    <cellStyle name="20% - 强调文字颜色 4 2 8 2 2 2 2" xfId="14508"/>
    <cellStyle name="20% - 强调文字颜色 4 2 8 2 3" xfId="14509"/>
    <cellStyle name="20% - 强调文字颜色 4 2 8 2 3 2" xfId="14510"/>
    <cellStyle name="20% - 强调文字颜色 4 2 8 2 4" xfId="14511"/>
    <cellStyle name="20% - 强调文字颜色 4 2 8 2 4 2" xfId="14512"/>
    <cellStyle name="20% - 强调文字颜色 4 2 8 2 5" xfId="14513"/>
    <cellStyle name="20% - 强调文字颜色 4 2 8 3" xfId="14514"/>
    <cellStyle name="20% - 强调文字颜色 4 2 8 3 2" xfId="14515"/>
    <cellStyle name="20% - 强调文字颜色 4 2 8 3 2 2" xfId="14516"/>
    <cellStyle name="20% - 强调文字颜色 4 2 8 4" xfId="14517"/>
    <cellStyle name="20% - 强调文字颜色 4 2 8 4 2" xfId="14518"/>
    <cellStyle name="20% - 强调文字颜色 4 2 8 5" xfId="14519"/>
    <cellStyle name="20% - 强调文字颜色 4 2 8 5 2" xfId="14520"/>
    <cellStyle name="20% - 强调文字颜色 4 2 8 6" xfId="14521"/>
    <cellStyle name="20% - 强调文字颜色 4 2 9" xfId="14522"/>
    <cellStyle name="20% - 强调文字颜色 4 2 9 2" xfId="14523"/>
    <cellStyle name="20% - 强调文字颜色 4 2 9 2 2" xfId="14524"/>
    <cellStyle name="20% - 强调文字颜色 4 2 9 2 2 2" xfId="14525"/>
    <cellStyle name="20% - 强调文字颜色 4 2 9 3" xfId="14526"/>
    <cellStyle name="20% - 强调文字颜色 4 2 9 3 2" xfId="14527"/>
    <cellStyle name="20% - 强调文字颜色 4 2 9 4" xfId="14528"/>
    <cellStyle name="20% - 强调文字颜色 4 2 9 4 2" xfId="14529"/>
    <cellStyle name="20% - 强调文字颜色 4 2 9 5" xfId="14530"/>
    <cellStyle name="20% - 强调文字颜色 4 3" xfId="14531"/>
    <cellStyle name="20% - 强调文字颜色 4 3 2" xfId="14532"/>
    <cellStyle name="20% - 强调文字颜色 4 3 2 2" xfId="14533"/>
    <cellStyle name="20% - 强调文字颜色 4 3 2 2 2" xfId="14534"/>
    <cellStyle name="20% - 强调文字颜色 4 3 2 2 2 2" xfId="14535"/>
    <cellStyle name="20% - 强调文字颜色 4 3 2 2 2 3" xfId="14536"/>
    <cellStyle name="20% - 强调文字颜色 4 3 2 2 2 3 2" xfId="14537"/>
    <cellStyle name="20% - 强调文字颜色 4 3 2 2 2 3 2 2" xfId="14538"/>
    <cellStyle name="20% - 强调文字颜色 4 3 2 2 2 4" xfId="14539"/>
    <cellStyle name="20% - 强调文字颜色 4 3 2 2 2 4 2" xfId="14540"/>
    <cellStyle name="20% - 强调文字颜色 4 3 2 2 2 5" xfId="14541"/>
    <cellStyle name="20% - 强调文字颜色 4 3 2 2 2 5 2" xfId="14542"/>
    <cellStyle name="20% - 强调文字颜色 4 3 2 2 2 6" xfId="14543"/>
    <cellStyle name="20% - 强调文字颜色 4 3 2 2 3" xfId="14544"/>
    <cellStyle name="20% - 强调文字颜色 4 3 2 2 3 2" xfId="14545"/>
    <cellStyle name="20% - 强调文字颜色 4 3 2 2 3 2 2" xfId="14546"/>
    <cellStyle name="20% - 强调文字颜色 4 3 2 2 3 2 2 2" xfId="14547"/>
    <cellStyle name="20% - 强调文字颜色 4 3 2 2 3 3" xfId="14548"/>
    <cellStyle name="20% - 强调文字颜色 4 3 2 2 3 3 2" xfId="14549"/>
    <cellStyle name="20% - 强调文字颜色 4 3 2 2 3 4" xfId="14550"/>
    <cellStyle name="20% - 强调文字颜色 4 3 2 2 3 4 2" xfId="14551"/>
    <cellStyle name="20% - 强调文字颜色 4 3 2 2 3 5" xfId="14552"/>
    <cellStyle name="20% - 强调文字颜色 4 3 2 2 4" xfId="14553"/>
    <cellStyle name="20% - 强调文字颜色 4 3 2 2 5" xfId="14554"/>
    <cellStyle name="20% - 强调文字颜色 4 3 2 2 6" xfId="14555"/>
    <cellStyle name="20% - 强调文字颜色 4 3 2 2 6 2" xfId="14556"/>
    <cellStyle name="20% - 强调文字颜色 4 3 2 2 7" xfId="14557"/>
    <cellStyle name="20% - 强调文字颜色 4 3 2 2 7 2" xfId="14558"/>
    <cellStyle name="20% - 强调文字颜色 4 3 2 3" xfId="14559"/>
    <cellStyle name="20% - 强调文字颜色 4 3 2 3 2" xfId="14560"/>
    <cellStyle name="20% - 强调文字颜色 4 3 2 3 3" xfId="14561"/>
    <cellStyle name="20% - 强调文字颜色 4 3 2 3 3 2" xfId="14562"/>
    <cellStyle name="20% - 强调文字颜色 4 3 2 3 3 2 2" xfId="14563"/>
    <cellStyle name="20% - 强调文字颜色 4 3 2 3 4" xfId="14564"/>
    <cellStyle name="20% - 强调文字颜色 4 3 2 3 4 2" xfId="14565"/>
    <cellStyle name="20% - 强调文字颜色 4 3 2 3 5" xfId="14566"/>
    <cellStyle name="20% - 强调文字颜色 4 3 2 3 5 2" xfId="14567"/>
    <cellStyle name="20% - 强调文字颜色 4 3 2 3 6" xfId="14568"/>
    <cellStyle name="20% - 强调文字颜色 4 3 2 4" xfId="14569"/>
    <cellStyle name="20% - 强调文字颜色 4 3 2 4 2" xfId="14570"/>
    <cellStyle name="20% - 强调文字颜色 4 3 2 4 2 2" xfId="14571"/>
    <cellStyle name="20% - 强调文字颜色 4 3 2 4 2 2 2" xfId="14572"/>
    <cellStyle name="20% - 强调文字颜色 4 3 2 4 3" xfId="14573"/>
    <cellStyle name="20% - 强调文字颜色 4 3 2 4 3 2" xfId="14574"/>
    <cellStyle name="20% - 强调文字颜色 4 3 2 4 4" xfId="14575"/>
    <cellStyle name="20% - 强调文字颜色 4 3 2 4 4 2" xfId="14576"/>
    <cellStyle name="20% - 强调文字颜色 4 3 2 4 5" xfId="14577"/>
    <cellStyle name="20% - 强调文字颜色 4 3 2 5" xfId="14578"/>
    <cellStyle name="20% - 强调文字颜色 4 3 2 6" xfId="14579"/>
    <cellStyle name="20% - 强调文字颜色 4 3 2 7" xfId="14580"/>
    <cellStyle name="20% - 强调文字颜色 4 3 2 7 2" xfId="14581"/>
    <cellStyle name="20% - 强调文字颜色 4 3 2 8" xfId="14582"/>
    <cellStyle name="20% - 强调文字颜色 4 3 2 8 2" xfId="14583"/>
    <cellStyle name="20% - 强调文字颜色 4 3 3" xfId="14584"/>
    <cellStyle name="20% - 强调文字颜色 4 3 3 2" xfId="14585"/>
    <cellStyle name="20% - 强调文字颜色 4 3 3 2 2" xfId="14586"/>
    <cellStyle name="20% - 强调文字颜色 4 3 3 2 3" xfId="14587"/>
    <cellStyle name="20% - 强调文字颜色 4 3 3 2 3 2" xfId="14588"/>
    <cellStyle name="20% - 强调文字颜色 4 3 3 2 3 2 2" xfId="14589"/>
    <cellStyle name="20% - 强调文字颜色 4 3 3 2 4" xfId="14590"/>
    <cellStyle name="20% - 强调文字颜色 4 3 3 2 4 2" xfId="14591"/>
    <cellStyle name="20% - 强调文字颜色 4 3 3 2 5" xfId="14592"/>
    <cellStyle name="20% - 强调文字颜色 4 3 3 2 5 2" xfId="14593"/>
    <cellStyle name="20% - 强调文字颜色 4 3 3 2 6" xfId="14594"/>
    <cellStyle name="20% - 强调文字颜色 4 3 3 3" xfId="14595"/>
    <cellStyle name="20% - 强调文字颜色 4 3 3 3 2" xfId="14596"/>
    <cellStyle name="20% - 强调文字颜色 4 3 3 3 2 2" xfId="14597"/>
    <cellStyle name="20% - 强调文字颜色 4 3 3 3 2 2 2" xfId="14598"/>
    <cellStyle name="20% - 强调文字颜色 4 3 3 3 3" xfId="14599"/>
    <cellStyle name="20% - 强调文字颜色 4 3 3 3 3 2" xfId="14600"/>
    <cellStyle name="20% - 强调文字颜色 4 3 3 3 4" xfId="14601"/>
    <cellStyle name="20% - 强调文字颜色 4 3 3 3 4 2" xfId="14602"/>
    <cellStyle name="20% - 强调文字颜色 4 3 3 3 5" xfId="14603"/>
    <cellStyle name="20% - 强调文字颜色 4 3 3 4" xfId="14604"/>
    <cellStyle name="20% - 强调文字颜色 4 3 3 5" xfId="14605"/>
    <cellStyle name="20% - 强调文字颜色 4 3 3 6" xfId="14606"/>
    <cellStyle name="20% - 强调文字颜色 4 3 3 6 2" xfId="14607"/>
    <cellStyle name="20% - 强调文字颜色 4 3 3 7" xfId="14608"/>
    <cellStyle name="20% - 强调文字颜色 4 3 3 7 2" xfId="14609"/>
    <cellStyle name="20% - 强调文字颜色 4 3 4" xfId="14610"/>
    <cellStyle name="20% - 强调文字颜色 4 3 4 2" xfId="14611"/>
    <cellStyle name="20% - 强调文字颜色 4 3 4 2 2" xfId="14612"/>
    <cellStyle name="20% - 强调文字颜色 4 3 4 2 3" xfId="14613"/>
    <cellStyle name="20% - 强调文字颜色 4 3 4 2 3 2" xfId="14614"/>
    <cellStyle name="20% - 强调文字颜色 4 3 4 2 3 2 2" xfId="14615"/>
    <cellStyle name="20% - 强调文字颜色 4 3 4 2 4" xfId="14616"/>
    <cellStyle name="20% - 强调文字颜色 4 3 4 2 4 2" xfId="14617"/>
    <cellStyle name="20% - 强调文字颜色 4 3 4 2 5" xfId="14618"/>
    <cellStyle name="20% - 强调文字颜色 4 3 4 2 5 2" xfId="14619"/>
    <cellStyle name="20% - 强调文字颜色 4 3 4 2 6" xfId="14620"/>
    <cellStyle name="20% - 强调文字颜色 4 3 4 3" xfId="14621"/>
    <cellStyle name="20% - 强调文字颜色 4 3 4 4" xfId="14622"/>
    <cellStyle name="20% - 强调文字颜色 4 3 4 5" xfId="14623"/>
    <cellStyle name="20% - 强调文字颜色 4 3 4 6" xfId="14624"/>
    <cellStyle name="20% - 强调文字颜色 4 3 4 6 2" xfId="14625"/>
    <cellStyle name="20% - 强调文字颜色 4 3 4 7" xfId="14626"/>
    <cellStyle name="20% - 强调文字颜色 4 3 4 7 2" xfId="14627"/>
    <cellStyle name="20% - 强调文字颜色 4 3 5" xfId="14628"/>
    <cellStyle name="20% - 强调文字颜色 4 3 5 2" xfId="14629"/>
    <cellStyle name="20% - 强调文字颜色 4 3 5 2 2" xfId="14630"/>
    <cellStyle name="20% - 强调文字颜色 4 3 5 2 2 2" xfId="14631"/>
    <cellStyle name="20% - 强调文字颜色 4 3 5 2 2 2 2" xfId="14632"/>
    <cellStyle name="20% - 强调文字颜色 4 3 5 2 3" xfId="14633"/>
    <cellStyle name="20% - 强调文字颜色 4 3 5 2 3 2" xfId="14634"/>
    <cellStyle name="20% - 强调文字颜色 4 3 5 2 4" xfId="14635"/>
    <cellStyle name="20% - 强调文字颜色 4 3 5 2 4 2" xfId="14636"/>
    <cellStyle name="20% - 强调文字颜色 4 3 5 2 5" xfId="14637"/>
    <cellStyle name="20% - 强调文字颜色 4 3 5 3" xfId="14638"/>
    <cellStyle name="20% - 强调文字颜色 4 3 5 3 2" xfId="14639"/>
    <cellStyle name="20% - 强调文字颜色 4 3 5 3 2 2" xfId="14640"/>
    <cellStyle name="20% - 强调文字颜色 4 3 5 4" xfId="14641"/>
    <cellStyle name="20% - 强调文字颜色 4 3 5 4 2" xfId="14642"/>
    <cellStyle name="20% - 强调文字颜色 4 3 5 5" xfId="14643"/>
    <cellStyle name="20% - 强调文字颜色 4 3 5 5 2" xfId="14644"/>
    <cellStyle name="20% - 强调文字颜色 4 3 5 6" xfId="14645"/>
    <cellStyle name="20% - 强调文字颜色 4 3 6" xfId="14646"/>
    <cellStyle name="20% - 强调文字颜色 4 3 6 2" xfId="14647"/>
    <cellStyle name="20% - 强调文字颜色 4 3 6 2 2" xfId="14648"/>
    <cellStyle name="20% - 强调文字颜色 4 3 6 2 2 2" xfId="14649"/>
    <cellStyle name="20% - 强调文字颜色 4 3 6 3" xfId="14650"/>
    <cellStyle name="20% - 强调文字颜色 4 3 6 3 2" xfId="14651"/>
    <cellStyle name="20% - 强调文字颜色 4 3 6 4" xfId="14652"/>
    <cellStyle name="20% - 强调文字颜色 4 3 6 4 2" xfId="14653"/>
    <cellStyle name="20% - 强调文字颜色 4 3 6 5" xfId="14654"/>
    <cellStyle name="20% - 强调文字颜色 4 3 7" xfId="14655"/>
    <cellStyle name="20% - 强调文字颜色 4 3 8" xfId="14656"/>
    <cellStyle name="20% - 强调文字颜色 4 3 8 2" xfId="14657"/>
    <cellStyle name="20% - 强调文字颜色 4 3 9" xfId="14658"/>
    <cellStyle name="20% - 强调文字颜色 4 3 9 2" xfId="14659"/>
    <cellStyle name="20% - 强调文字颜色 5 2" xfId="14660"/>
    <cellStyle name="20% - 强调文字颜色 5 2 10" xfId="14661"/>
    <cellStyle name="20% - 强调文字颜色 5 2 11" xfId="14662"/>
    <cellStyle name="20% - 强调文字颜色 5 2 11 2" xfId="14663"/>
    <cellStyle name="20% - 强调文字颜色 5 2 12" xfId="14664"/>
    <cellStyle name="20% - 强调文字颜色 5 2 12 2" xfId="14665"/>
    <cellStyle name="20% - 强调文字颜色 5 2 2" xfId="14666"/>
    <cellStyle name="20% - 强调文字颜色 5 2 2 10" xfId="14667"/>
    <cellStyle name="20% - 强调文字颜色 5 2 2 11" xfId="14668"/>
    <cellStyle name="20% - 强调文字颜色 5 2 2 11 2" xfId="14669"/>
    <cellStyle name="20% - 强调文字颜色 5 2 2 12" xfId="14670"/>
    <cellStyle name="20% - 强调文字颜色 5 2 2 12 2" xfId="14671"/>
    <cellStyle name="20% - 强调文字颜色 5 2 2 2" xfId="14672"/>
    <cellStyle name="20% - 强调文字颜色 5 2 2 2 2" xfId="14673"/>
    <cellStyle name="20% - 强调文字颜色 5 2 2 2 2 2" xfId="14674"/>
    <cellStyle name="20% - 强调文字颜色 5 2 2 2 2 2 2" xfId="14675"/>
    <cellStyle name="20% - 强调文字颜色 5 2 2 2 2 2 3" xfId="14676"/>
    <cellStyle name="20% - 强调文字颜色 5 2 2 2 2 2 3 2" xfId="14677"/>
    <cellStyle name="20% - 强调文字颜色 5 2 2 2 2 2 3 2 2" xfId="14678"/>
    <cellStyle name="20% - 强调文字颜色 5 2 2 2 2 2 4" xfId="14679"/>
    <cellStyle name="20% - 强调文字颜色 5 2 2 2 2 2 4 2" xfId="14680"/>
    <cellStyle name="20% - 强调文字颜色 5 2 2 2 2 2 5" xfId="14681"/>
    <cellStyle name="20% - 强调文字颜色 5 2 2 2 2 2 5 2" xfId="14682"/>
    <cellStyle name="20% - 强调文字颜色 5 2 2 2 2 2 6" xfId="14683"/>
    <cellStyle name="20% - 强调文字颜色 5 2 2 2 2 3" xfId="14684"/>
    <cellStyle name="20% - 强调文字颜色 5 2 2 2 2 3 2" xfId="14685"/>
    <cellStyle name="20% - 强调文字颜色 5 2 2 2 2 3 2 2" xfId="14686"/>
    <cellStyle name="20% - 强调文字颜色 5 2 2 2 2 3 2 2 2" xfId="14687"/>
    <cellStyle name="20% - 强调文字颜色 5 2 2 2 2 3 3" xfId="14688"/>
    <cellStyle name="20% - 强调文字颜色 5 2 2 2 2 3 3 2" xfId="14689"/>
    <cellStyle name="20% - 强调文字颜色 5 2 2 2 2 3 4" xfId="14690"/>
    <cellStyle name="20% - 强调文字颜色 5 2 2 2 2 3 4 2" xfId="14691"/>
    <cellStyle name="20% - 强调文字颜色 5 2 2 2 2 3 5" xfId="14692"/>
    <cellStyle name="20% - 强调文字颜色 5 2 2 2 2 4" xfId="14693"/>
    <cellStyle name="20% - 强调文字颜色 5 2 2 2 2 5" xfId="14694"/>
    <cellStyle name="20% - 强调文字颜色 5 2 2 2 2 6" xfId="14695"/>
    <cellStyle name="20% - 强调文字颜色 5 2 2 2 2 6 2" xfId="14696"/>
    <cellStyle name="20% - 强调文字颜色 5 2 2 2 2 7" xfId="14697"/>
    <cellStyle name="20% - 强调文字颜色 5 2 2 2 2 7 2" xfId="14698"/>
    <cellStyle name="20% - 强调文字颜色 5 2 2 2 3" xfId="14699"/>
    <cellStyle name="20% - 强调文字颜色 5 2 2 2 3 2" xfId="14700"/>
    <cellStyle name="20% - 强调文字颜色 5 2 2 2 3 3" xfId="14701"/>
    <cellStyle name="20% - 强调文字颜色 5 2 2 2 3 3 2" xfId="14702"/>
    <cellStyle name="20% - 强调文字颜色 5 2 2 2 3 3 2 2" xfId="14703"/>
    <cellStyle name="20% - 强调文字颜色 5 2 2 2 3 4" xfId="14704"/>
    <cellStyle name="20% - 强调文字颜色 5 2 2 2 3 4 2" xfId="14705"/>
    <cellStyle name="20% - 强调文字颜色 5 2 2 2 3 5" xfId="14706"/>
    <cellStyle name="20% - 强调文字颜色 5 2 2 2 3 5 2" xfId="14707"/>
    <cellStyle name="20% - 强调文字颜色 5 2 2 2 3 6" xfId="14708"/>
    <cellStyle name="20% - 强调文字颜色 5 2 2 2 4" xfId="14709"/>
    <cellStyle name="20% - 强调文字颜色 5 2 2 2 4 2" xfId="14710"/>
    <cellStyle name="20% - 强调文字颜色 5 2 2 2 4 2 2" xfId="14711"/>
    <cellStyle name="20% - 强调文字颜色 5 2 2 2 4 2 2 2" xfId="14712"/>
    <cellStyle name="20% - 强调文字颜色 5 2 2 2 4 3" xfId="14713"/>
    <cellStyle name="20% - 强调文字颜色 5 2 2 2 4 3 2" xfId="14714"/>
    <cellStyle name="20% - 强调文字颜色 5 2 2 2 4 4" xfId="14715"/>
    <cellStyle name="20% - 强调文字颜色 5 2 2 2 4 4 2" xfId="14716"/>
    <cellStyle name="20% - 强调文字颜色 5 2 2 2 4 5" xfId="14717"/>
    <cellStyle name="20% - 强调文字颜色 5 2 2 2 5" xfId="14718"/>
    <cellStyle name="20% - 强调文字颜色 5 2 2 2 6" xfId="14719"/>
    <cellStyle name="20% - 强调文字颜色 5 2 2 2 7" xfId="14720"/>
    <cellStyle name="20% - 强调文字颜色 5 2 2 2 7 2" xfId="14721"/>
    <cellStyle name="20% - 强调文字颜色 5 2 2 2 8" xfId="14722"/>
    <cellStyle name="20% - 强调文字颜色 5 2 2 2 8 2" xfId="14723"/>
    <cellStyle name="20% - 强调文字颜色 5 2 2 3" xfId="14724"/>
    <cellStyle name="20% - 强调文字颜色 5 2 2 3 2" xfId="14725"/>
    <cellStyle name="20% - 强调文字颜色 5 2 2 3 2 2" xfId="14726"/>
    <cellStyle name="20% - 强调文字颜色 5 2 2 3 2 3" xfId="14727"/>
    <cellStyle name="20% - 强调文字颜色 5 2 2 3 2 3 2" xfId="14728"/>
    <cellStyle name="20% - 强调文字颜色 5 2 2 3 2 3 2 2" xfId="14729"/>
    <cellStyle name="20% - 强调文字颜色 5 2 2 3 2 4" xfId="14730"/>
    <cellStyle name="20% - 强调文字颜色 5 2 2 3 2 4 2" xfId="14731"/>
    <cellStyle name="20% - 强调文字颜色 5 2 2 3 2 5" xfId="14732"/>
    <cellStyle name="20% - 强调文字颜色 5 2 2 3 2 5 2" xfId="14733"/>
    <cellStyle name="20% - 强调文字颜色 5 2 2 3 2 6" xfId="14734"/>
    <cellStyle name="20% - 强调文字颜色 5 2 2 3 3" xfId="14735"/>
    <cellStyle name="20% - 强调文字颜色 5 2 2 3 3 2" xfId="14736"/>
    <cellStyle name="20% - 强调文字颜色 5 2 2 3 3 2 2" xfId="14737"/>
    <cellStyle name="20% - 强调文字颜色 5 2 2 3 3 2 2 2" xfId="14738"/>
    <cellStyle name="20% - 强调文字颜色 5 2 2 3 3 3" xfId="14739"/>
    <cellStyle name="20% - 强调文字颜色 5 2 2 3 3 3 2" xfId="14740"/>
    <cellStyle name="20% - 强调文字颜色 5 2 2 3 3 4" xfId="14741"/>
    <cellStyle name="20% - 强调文字颜色 5 2 2 3 3 4 2" xfId="14742"/>
    <cellStyle name="20% - 强调文字颜色 5 2 2 3 3 5" xfId="14743"/>
    <cellStyle name="20% - 强调文字颜色 5 2 2 3 4" xfId="14744"/>
    <cellStyle name="20% - 强调文字颜色 5 2 2 3 5" xfId="14745"/>
    <cellStyle name="20% - 强调文字颜色 5 2 2 3 6" xfId="14746"/>
    <cellStyle name="20% - 强调文字颜色 5 2 2 3 6 2" xfId="14747"/>
    <cellStyle name="20% - 强调文字颜色 5 2 2 3 7" xfId="14748"/>
    <cellStyle name="20% - 强调文字颜色 5 2 2 3 7 2" xfId="14749"/>
    <cellStyle name="20% - 强调文字颜色 5 2 2 4" xfId="14750"/>
    <cellStyle name="20% - 强调文字颜色 5 2 2 4 2" xfId="14751"/>
    <cellStyle name="20% - 强调文字颜色 5 2 2 4 2 2" xfId="14752"/>
    <cellStyle name="20% - 强调文字颜色 5 2 2 4 2 3" xfId="14753"/>
    <cellStyle name="20% - 强调文字颜色 5 2 2 4 2 3 2" xfId="14754"/>
    <cellStyle name="20% - 强调文字颜色 5 2 2 4 2 3 2 2" xfId="14755"/>
    <cellStyle name="20% - 强调文字颜色 5 2 2 4 2 4" xfId="14756"/>
    <cellStyle name="20% - 强调文字颜色 5 2 2 4 2 4 2" xfId="14757"/>
    <cellStyle name="20% - 强调文字颜色 5 2 2 4 2 5" xfId="14758"/>
    <cellStyle name="20% - 强调文字颜色 5 2 2 4 2 5 2" xfId="14759"/>
    <cellStyle name="20% - 强调文字颜色 5 2 2 4 2 6" xfId="14760"/>
    <cellStyle name="20% - 强调文字颜色 5 2 2 4 3" xfId="14761"/>
    <cellStyle name="20% - 强调文字颜色 5 2 2 4 4" xfId="14762"/>
    <cellStyle name="20% - 强调文字颜色 5 2 2 4 5" xfId="14763"/>
    <cellStyle name="20% - 强调文字颜色 5 2 2 4 6" xfId="14764"/>
    <cellStyle name="20% - 强调文字颜色 5 2 2 4 6 2" xfId="14765"/>
    <cellStyle name="20% - 强调文字颜色 5 2 2 4 7" xfId="14766"/>
    <cellStyle name="20% - 强调文字颜色 5 2 2 4 7 2" xfId="14767"/>
    <cellStyle name="20% - 强调文字颜色 5 2 2 5" xfId="14768"/>
    <cellStyle name="20% - 强调文字颜色 5 2 2 5 2" xfId="14769"/>
    <cellStyle name="20% - 强调文字颜色 5 2 2 5 2 2" xfId="14770"/>
    <cellStyle name="20% - 强调文字颜色 5 2 2 5 2 2 2" xfId="14771"/>
    <cellStyle name="20% - 强调文字颜色 5 2 2 5 2 2 2 2" xfId="14772"/>
    <cellStyle name="20% - 强调文字颜色 5 2 2 5 2 3" xfId="14773"/>
    <cellStyle name="20% - 强调文字颜色 5 2 2 5 2 3 2" xfId="14774"/>
    <cellStyle name="20% - 强调文字颜色 5 2 2 5 2 4" xfId="14775"/>
    <cellStyle name="20% - 强调文字颜色 5 2 2 5 2 4 2" xfId="14776"/>
    <cellStyle name="20% - 强调文字颜色 5 2 2 5 2 5" xfId="14777"/>
    <cellStyle name="20% - 强调文字颜色 5 2 2 5 3" xfId="14778"/>
    <cellStyle name="20% - 强调文字颜色 5 2 2 5 3 2" xfId="14779"/>
    <cellStyle name="20% - 强调文字颜色 5 2 2 5 3 2 2" xfId="14780"/>
    <cellStyle name="20% - 强调文字颜色 5 2 2 5 4" xfId="14781"/>
    <cellStyle name="20% - 强调文字颜色 5 2 2 5 4 2" xfId="14782"/>
    <cellStyle name="20% - 强调文字颜色 5 2 2 5 5" xfId="14783"/>
    <cellStyle name="20% - 强调文字颜色 5 2 2 5 5 2" xfId="14784"/>
    <cellStyle name="20% - 强调文字颜色 5 2 2 5 6" xfId="14785"/>
    <cellStyle name="20% - 强调文字颜色 5 2 2 6" xfId="14786"/>
    <cellStyle name="20% - 强调文字颜色 5 2 2 6 2" xfId="14787"/>
    <cellStyle name="20% - 强调文字颜色 5 2 2 6 2 2" xfId="14788"/>
    <cellStyle name="20% - 强调文字颜色 5 2 2 6 2 2 2" xfId="14789"/>
    <cellStyle name="20% - 强调文字颜色 5 2 2 6 2 2 2 2" xfId="14790"/>
    <cellStyle name="20% - 强调文字颜色 5 2 2 6 2 3" xfId="14791"/>
    <cellStyle name="20% - 强调文字颜色 5 2 2 6 2 3 2" xfId="14792"/>
    <cellStyle name="20% - 强调文字颜色 5 2 2 6 2 4" xfId="14793"/>
    <cellStyle name="20% - 强调文字颜色 5 2 2 6 2 4 2" xfId="14794"/>
    <cellStyle name="20% - 强调文字颜色 5 2 2 6 2 5" xfId="14795"/>
    <cellStyle name="20% - 强调文字颜色 5 2 2 6 3" xfId="14796"/>
    <cellStyle name="20% - 强调文字颜色 5 2 2 6 3 2" xfId="14797"/>
    <cellStyle name="20% - 强调文字颜色 5 2 2 6 3 2 2" xfId="14798"/>
    <cellStyle name="20% - 强调文字颜色 5 2 2 6 4" xfId="14799"/>
    <cellStyle name="20% - 强调文字颜色 5 2 2 6 4 2" xfId="14800"/>
    <cellStyle name="20% - 强调文字颜色 5 2 2 6 5" xfId="14801"/>
    <cellStyle name="20% - 强调文字颜色 5 2 2 6 5 2" xfId="14802"/>
    <cellStyle name="20% - 强调文字颜色 5 2 2 6 6" xfId="14803"/>
    <cellStyle name="20% - 强调文字颜色 5 2 2 7" xfId="14804"/>
    <cellStyle name="20% - 强调文字颜色 5 2 2 7 2" xfId="14805"/>
    <cellStyle name="20% - 强调文字颜色 5 2 2 7 2 2" xfId="14806"/>
    <cellStyle name="20% - 强调文字颜色 5 2 2 7 2 2 2" xfId="14807"/>
    <cellStyle name="20% - 强调文字颜色 5 2 2 7 2 2 2 2" xfId="14808"/>
    <cellStyle name="20% - 强调文字颜色 5 2 2 7 2 3" xfId="14809"/>
    <cellStyle name="20% - 强调文字颜色 5 2 2 7 2 3 2" xfId="14810"/>
    <cellStyle name="20% - 强调文字颜色 5 2 2 7 2 4" xfId="14811"/>
    <cellStyle name="20% - 强调文字颜色 5 2 2 7 2 4 2" xfId="14812"/>
    <cellStyle name="20% - 强调文字颜色 5 2 2 7 2 5" xfId="14813"/>
    <cellStyle name="20% - 强调文字颜色 5 2 2 7 3" xfId="14814"/>
    <cellStyle name="20% - 强调文字颜色 5 2 2 7 3 2" xfId="14815"/>
    <cellStyle name="20% - 强调文字颜色 5 2 2 7 3 2 2" xfId="14816"/>
    <cellStyle name="20% - 强调文字颜色 5 2 2 7 4" xfId="14817"/>
    <cellStyle name="20% - 强调文字颜色 5 2 2 7 4 2" xfId="14818"/>
    <cellStyle name="20% - 强调文字颜色 5 2 2 7 5" xfId="14819"/>
    <cellStyle name="20% - 强调文字颜色 5 2 2 7 5 2" xfId="14820"/>
    <cellStyle name="20% - 强调文字颜色 5 2 2 7 6" xfId="14821"/>
    <cellStyle name="20% - 强调文字颜色 5 2 2 8" xfId="14822"/>
    <cellStyle name="20% - 强调文字颜色 5 2 2 8 2" xfId="14823"/>
    <cellStyle name="20% - 强调文字颜色 5 2 2 8 2 2" xfId="14824"/>
    <cellStyle name="20% - 强调文字颜色 5 2 2 8 2 2 2" xfId="14825"/>
    <cellStyle name="20% - 强调文字颜色 5 2 2 8 3" xfId="14826"/>
    <cellStyle name="20% - 强调文字颜色 5 2 2 8 3 2" xfId="14827"/>
    <cellStyle name="20% - 强调文字颜色 5 2 2 8 4" xfId="14828"/>
    <cellStyle name="20% - 强调文字颜色 5 2 2 8 4 2" xfId="14829"/>
    <cellStyle name="20% - 强调文字颜色 5 2 2 8 5" xfId="14830"/>
    <cellStyle name="20% - 强调文字颜色 5 2 2 9" xfId="14831"/>
    <cellStyle name="20% - 强调文字颜色 5 2 2 9 2" xfId="14832"/>
    <cellStyle name="20% - 强调文字颜色 5 2 2 9 2 2" xfId="14833"/>
    <cellStyle name="20% - 强调文字颜色 5 2 2 9 2 2 2" xfId="14834"/>
    <cellStyle name="20% - 强调文字颜色 5 2 2 9 3" xfId="14835"/>
    <cellStyle name="20% - 强调文字颜色 5 2 2 9 3 2" xfId="14836"/>
    <cellStyle name="20% - 强调文字颜色 5 2 2 9 4" xfId="14837"/>
    <cellStyle name="20% - 强调文字颜色 5 2 2 9 4 2" xfId="14838"/>
    <cellStyle name="20% - 强调文字颜色 5 2 2 9 5" xfId="14839"/>
    <cellStyle name="20% - 强调文字颜色 5 2 3" xfId="14840"/>
    <cellStyle name="20% - 强调文字颜色 5 2 3 10" xfId="14841"/>
    <cellStyle name="20% - 强调文字颜色 5 2 3 10 2" xfId="14842"/>
    <cellStyle name="20% - 强调文字颜色 5 2 3 2" xfId="14843"/>
    <cellStyle name="20% - 强调文字颜色 5 2 3 2 2" xfId="14844"/>
    <cellStyle name="20% - 强调文字颜色 5 2 3 2 2 2" xfId="14845"/>
    <cellStyle name="20% - 强调文字颜色 5 2 3 2 2 2 2" xfId="14846"/>
    <cellStyle name="20% - 强调文字颜色 5 2 3 2 2 2 3" xfId="14847"/>
    <cellStyle name="20% - 强调文字颜色 5 2 3 2 2 2 3 2" xfId="14848"/>
    <cellStyle name="20% - 强调文字颜色 5 2 3 2 2 2 3 2 2" xfId="14849"/>
    <cellStyle name="20% - 强调文字颜色 5 2 3 2 2 2 4" xfId="14850"/>
    <cellStyle name="20% - 强调文字颜色 5 2 3 2 2 2 4 2" xfId="14851"/>
    <cellStyle name="20% - 强调文字颜色 5 2 3 2 2 2 5" xfId="14852"/>
    <cellStyle name="20% - 强调文字颜色 5 2 3 2 2 2 5 2" xfId="14853"/>
    <cellStyle name="20% - 强调文字颜色 5 2 3 2 2 2 6" xfId="14854"/>
    <cellStyle name="20% - 强调文字颜色 5 2 3 2 2 3" xfId="14855"/>
    <cellStyle name="20% - 强调文字颜色 5 2 3 2 2 3 2" xfId="14856"/>
    <cellStyle name="20% - 强调文字颜色 5 2 3 2 2 3 2 2" xfId="14857"/>
    <cellStyle name="20% - 强调文字颜色 5 2 3 2 2 3 2 2 2" xfId="14858"/>
    <cellStyle name="20% - 强调文字颜色 5 2 3 2 2 3 3" xfId="14859"/>
    <cellStyle name="20% - 强调文字颜色 5 2 3 2 2 3 3 2" xfId="14860"/>
    <cellStyle name="20% - 强调文字颜色 5 2 3 2 2 3 4" xfId="14861"/>
    <cellStyle name="20% - 强调文字颜色 5 2 3 2 2 3 4 2" xfId="14862"/>
    <cellStyle name="20% - 强调文字颜色 5 2 3 2 2 3 5" xfId="14863"/>
    <cellStyle name="20% - 强调文字颜色 5 2 3 2 2 4" xfId="14864"/>
    <cellStyle name="20% - 强调文字颜色 5 2 3 2 2 5" xfId="14865"/>
    <cellStyle name="20% - 强调文字颜色 5 2 3 2 2 6" xfId="14866"/>
    <cellStyle name="20% - 强调文字颜色 5 2 3 2 2 6 2" xfId="14867"/>
    <cellStyle name="20% - 强调文字颜色 5 2 3 2 2 7" xfId="14868"/>
    <cellStyle name="20% - 强调文字颜色 5 2 3 2 2 7 2" xfId="14869"/>
    <cellStyle name="20% - 强调文字颜色 5 2 3 2 3" xfId="14870"/>
    <cellStyle name="20% - 强调文字颜色 5 2 3 2 3 2" xfId="14871"/>
    <cellStyle name="20% - 强调文字颜色 5 2 3 2 3 3" xfId="14872"/>
    <cellStyle name="20% - 强调文字颜色 5 2 3 2 3 3 2" xfId="14873"/>
    <cellStyle name="20% - 强调文字颜色 5 2 3 2 3 3 2 2" xfId="14874"/>
    <cellStyle name="20% - 强调文字颜色 5 2 3 2 3 4" xfId="14875"/>
    <cellStyle name="20% - 强调文字颜色 5 2 3 2 3 4 2" xfId="14876"/>
    <cellStyle name="20% - 强调文字颜色 5 2 3 2 3 5" xfId="14877"/>
    <cellStyle name="20% - 强调文字颜色 5 2 3 2 3 5 2" xfId="14878"/>
    <cellStyle name="20% - 强调文字颜色 5 2 3 2 3 6" xfId="14879"/>
    <cellStyle name="20% - 强调文字颜色 5 2 3 2 4" xfId="14880"/>
    <cellStyle name="20% - 强调文字颜色 5 2 3 2 4 2" xfId="14881"/>
    <cellStyle name="20% - 强调文字颜色 5 2 3 2 4 2 2" xfId="14882"/>
    <cellStyle name="20% - 强调文字颜色 5 2 3 2 4 2 2 2" xfId="14883"/>
    <cellStyle name="20% - 强调文字颜色 5 2 3 2 4 3" xfId="14884"/>
    <cellStyle name="20% - 强调文字颜色 5 2 3 2 4 3 2" xfId="14885"/>
    <cellStyle name="20% - 强调文字颜色 5 2 3 2 4 4" xfId="14886"/>
    <cellStyle name="20% - 强调文字颜色 5 2 3 2 4 4 2" xfId="14887"/>
    <cellStyle name="20% - 强调文字颜色 5 2 3 2 4 5" xfId="14888"/>
    <cellStyle name="20% - 强调文字颜色 5 2 3 2 5" xfId="14889"/>
    <cellStyle name="20% - 强调文字颜色 5 2 3 2 6" xfId="14890"/>
    <cellStyle name="20% - 强调文字颜色 5 2 3 2 7" xfId="14891"/>
    <cellStyle name="20% - 强调文字颜色 5 2 3 2 7 2" xfId="14892"/>
    <cellStyle name="20% - 强调文字颜色 5 2 3 2 8" xfId="14893"/>
    <cellStyle name="20% - 强调文字颜色 5 2 3 2 8 2" xfId="14894"/>
    <cellStyle name="20% - 强调文字颜色 5 2 3 3" xfId="14895"/>
    <cellStyle name="20% - 强调文字颜色 5 2 3 3 2" xfId="14896"/>
    <cellStyle name="20% - 强调文字颜色 5 2 3 3 2 2" xfId="14897"/>
    <cellStyle name="20% - 强调文字颜色 5 2 3 3 2 3" xfId="14898"/>
    <cellStyle name="20% - 强调文字颜色 5 2 3 3 2 3 2" xfId="14899"/>
    <cellStyle name="20% - 强调文字颜色 5 2 3 3 2 3 2 2" xfId="14900"/>
    <cellStyle name="20% - 强调文字颜色 5 2 3 3 2 4" xfId="14901"/>
    <cellStyle name="20% - 强调文字颜色 5 2 3 3 2 4 2" xfId="14902"/>
    <cellStyle name="20% - 强调文字颜色 5 2 3 3 2 5" xfId="14903"/>
    <cellStyle name="20% - 强调文字颜色 5 2 3 3 2 5 2" xfId="14904"/>
    <cellStyle name="20% - 强调文字颜色 5 2 3 3 2 6" xfId="14905"/>
    <cellStyle name="20% - 强调文字颜色 5 2 3 3 3" xfId="14906"/>
    <cellStyle name="20% - 强调文字颜色 5 2 3 3 3 2" xfId="14907"/>
    <cellStyle name="20% - 强调文字颜色 5 2 3 3 3 2 2" xfId="14908"/>
    <cellStyle name="20% - 强调文字颜色 5 2 3 3 3 2 2 2" xfId="14909"/>
    <cellStyle name="20% - 强调文字颜色 5 2 3 3 3 3" xfId="14910"/>
    <cellStyle name="20% - 强调文字颜色 5 2 3 3 3 3 2" xfId="14911"/>
    <cellStyle name="20% - 强调文字颜色 5 2 3 3 3 4" xfId="14912"/>
    <cellStyle name="20% - 强调文字颜色 5 2 3 3 3 4 2" xfId="14913"/>
    <cellStyle name="20% - 强调文字颜色 5 2 3 3 3 5" xfId="14914"/>
    <cellStyle name="20% - 强调文字颜色 5 2 3 3 4" xfId="14915"/>
    <cellStyle name="20% - 强调文字颜色 5 2 3 3 5" xfId="14916"/>
    <cellStyle name="20% - 强调文字颜色 5 2 3 3 6" xfId="14917"/>
    <cellStyle name="20% - 强调文字颜色 5 2 3 3 6 2" xfId="14918"/>
    <cellStyle name="20% - 强调文字颜色 5 2 3 3 7" xfId="14919"/>
    <cellStyle name="20% - 强调文字颜色 5 2 3 3 7 2" xfId="14920"/>
    <cellStyle name="20% - 强调文字颜色 5 2 3 4" xfId="14921"/>
    <cellStyle name="20% - 强调文字颜色 5 2 3 4 2" xfId="14922"/>
    <cellStyle name="20% - 强调文字颜色 5 2 3 4 2 2" xfId="14923"/>
    <cellStyle name="20% - 强调文字颜色 5 2 3 4 2 3" xfId="14924"/>
    <cellStyle name="20% - 强调文字颜色 5 2 3 4 2 3 2" xfId="14925"/>
    <cellStyle name="20% - 强调文字颜色 5 2 3 4 2 3 2 2" xfId="14926"/>
    <cellStyle name="20% - 强调文字颜色 5 2 3 4 2 4" xfId="14927"/>
    <cellStyle name="20% - 强调文字颜色 5 2 3 4 2 4 2" xfId="14928"/>
    <cellStyle name="20% - 强调文字颜色 5 2 3 4 2 5" xfId="14929"/>
    <cellStyle name="20% - 强调文字颜色 5 2 3 4 2 5 2" xfId="14930"/>
    <cellStyle name="20% - 强调文字颜色 5 2 3 4 2 6" xfId="14931"/>
    <cellStyle name="20% - 强调文字颜色 5 2 3 4 3" xfId="14932"/>
    <cellStyle name="20% - 强调文字颜色 5 2 3 4 4" xfId="14933"/>
    <cellStyle name="20% - 强调文字颜色 5 2 3 4 5" xfId="14934"/>
    <cellStyle name="20% - 强调文字颜色 5 2 3 4 6" xfId="14935"/>
    <cellStyle name="20% - 强调文字颜色 5 2 3 4 6 2" xfId="14936"/>
    <cellStyle name="20% - 强调文字颜色 5 2 3 4 7" xfId="14937"/>
    <cellStyle name="20% - 强调文字颜色 5 2 3 4 7 2" xfId="14938"/>
    <cellStyle name="20% - 强调文字颜色 5 2 3 5" xfId="14939"/>
    <cellStyle name="20% - 强调文字颜色 5 2 3 5 2" xfId="14940"/>
    <cellStyle name="20% - 强调文字颜色 5 2 3 5 2 2" xfId="14941"/>
    <cellStyle name="20% - 强调文字颜色 5 2 3 5 2 2 2" xfId="14942"/>
    <cellStyle name="20% - 强调文字颜色 5 2 3 5 2 2 2 2" xfId="14943"/>
    <cellStyle name="20% - 强调文字颜色 5 2 3 5 2 3" xfId="14944"/>
    <cellStyle name="20% - 强调文字颜色 5 2 3 5 2 3 2" xfId="14945"/>
    <cellStyle name="20% - 强调文字颜色 5 2 3 5 2 4" xfId="14946"/>
    <cellStyle name="20% - 强调文字颜色 5 2 3 5 2 4 2" xfId="14947"/>
    <cellStyle name="20% - 强调文字颜色 5 2 3 5 2 5" xfId="14948"/>
    <cellStyle name="20% - 强调文字颜色 5 2 3 5 3" xfId="14949"/>
    <cellStyle name="20% - 强调文字颜色 5 2 3 5 3 2" xfId="14950"/>
    <cellStyle name="20% - 强调文字颜色 5 2 3 5 3 2 2" xfId="14951"/>
    <cellStyle name="20% - 强调文字颜色 5 2 3 5 4" xfId="14952"/>
    <cellStyle name="20% - 强调文字颜色 5 2 3 5 4 2" xfId="14953"/>
    <cellStyle name="20% - 强调文字颜色 5 2 3 5 5" xfId="14954"/>
    <cellStyle name="20% - 强调文字颜色 5 2 3 5 5 2" xfId="14955"/>
    <cellStyle name="20% - 强调文字颜色 5 2 3 5 6" xfId="14956"/>
    <cellStyle name="20% - 强调文字颜色 5 2 3 6" xfId="14957"/>
    <cellStyle name="20% - 强调文字颜色 5 2 3 6 2" xfId="14958"/>
    <cellStyle name="20% - 强调文字颜色 5 2 3 6 2 2" xfId="14959"/>
    <cellStyle name="20% - 强调文字颜色 5 2 3 6 2 2 2" xfId="14960"/>
    <cellStyle name="20% - 强调文字颜色 5 2 3 6 3" xfId="14961"/>
    <cellStyle name="20% - 强调文字颜色 5 2 3 6 3 2" xfId="14962"/>
    <cellStyle name="20% - 强调文字颜色 5 2 3 6 4" xfId="14963"/>
    <cellStyle name="20% - 强调文字颜色 5 2 3 6 4 2" xfId="14964"/>
    <cellStyle name="20% - 强调文字颜色 5 2 3 6 5" xfId="14965"/>
    <cellStyle name="20% - 强调文字颜色 5 2 3 7" xfId="14966"/>
    <cellStyle name="20% - 强调文字颜色 5 2 3 7 2" xfId="14967"/>
    <cellStyle name="20% - 强调文字颜色 5 2 3 7 2 2" xfId="14968"/>
    <cellStyle name="20% - 强调文字颜色 5 2 3 7 2 2 2" xfId="14969"/>
    <cellStyle name="20% - 强调文字颜色 5 2 3 7 3" xfId="14970"/>
    <cellStyle name="20% - 强调文字颜色 5 2 3 7 3 2" xfId="14971"/>
    <cellStyle name="20% - 强调文字颜色 5 2 3 7 4" xfId="14972"/>
    <cellStyle name="20% - 强调文字颜色 5 2 3 7 4 2" xfId="14973"/>
    <cellStyle name="20% - 强调文字颜色 5 2 3 7 5" xfId="14974"/>
    <cellStyle name="20% - 强调文字颜色 5 2 3 8" xfId="14975"/>
    <cellStyle name="20% - 强调文字颜色 5 2 3 9" xfId="14976"/>
    <cellStyle name="20% - 强调文字颜色 5 2 3 9 2" xfId="14977"/>
    <cellStyle name="20% - 强调文字颜色 5 2 4" xfId="14978"/>
    <cellStyle name="20% - 强调文字颜色 5 2 4 2" xfId="14979"/>
    <cellStyle name="20% - 强调文字颜色 5 2 4 2 2" xfId="14980"/>
    <cellStyle name="20% - 强调文字颜色 5 2 4 2 3" xfId="14981"/>
    <cellStyle name="20% - 强调文字颜色 5 2 4 2 3 2" xfId="14982"/>
    <cellStyle name="20% - 强调文字颜色 5 2 4 2 3 2 2" xfId="14983"/>
    <cellStyle name="20% - 强调文字颜色 5 2 4 2 4" xfId="14984"/>
    <cellStyle name="20% - 强调文字颜色 5 2 4 2 4 2" xfId="14985"/>
    <cellStyle name="20% - 强调文字颜色 5 2 4 2 5" xfId="14986"/>
    <cellStyle name="20% - 强调文字颜色 5 2 4 2 5 2" xfId="14987"/>
    <cellStyle name="20% - 强调文字颜色 5 2 4 2 6" xfId="14988"/>
    <cellStyle name="20% - 强调文字颜色 5 2 4 3" xfId="14989"/>
    <cellStyle name="20% - 强调文字颜色 5 2 4 3 2" xfId="14990"/>
    <cellStyle name="20% - 强调文字颜色 5 2 4 3 2 2" xfId="14991"/>
    <cellStyle name="20% - 强调文字颜色 5 2 4 3 2 2 2" xfId="14992"/>
    <cellStyle name="20% - 强调文字颜色 5 2 4 3 3" xfId="14993"/>
    <cellStyle name="20% - 强调文字颜色 5 2 4 3 3 2" xfId="14994"/>
    <cellStyle name="20% - 强调文字颜色 5 2 4 3 4" xfId="14995"/>
    <cellStyle name="20% - 强调文字颜色 5 2 4 3 4 2" xfId="14996"/>
    <cellStyle name="20% - 强调文字颜色 5 2 4 3 5" xfId="14997"/>
    <cellStyle name="20% - 强调文字颜色 5 2 4 4" xfId="14998"/>
    <cellStyle name="20% - 强调文字颜色 5 2 4 5" xfId="14999"/>
    <cellStyle name="20% - 强调文字颜色 5 2 4 6" xfId="15000"/>
    <cellStyle name="20% - 强调文字颜色 5 2 4 6 2" xfId="15001"/>
    <cellStyle name="20% - 强调文字颜色 5 2 4 7" xfId="15002"/>
    <cellStyle name="20% - 强调文字颜色 5 2 4 7 2" xfId="15003"/>
    <cellStyle name="20% - 强调文字颜色 5 2 5" xfId="15004"/>
    <cellStyle name="20% - 强调文字颜色 5 2 5 2" xfId="15005"/>
    <cellStyle name="20% - 强调文字颜色 5 2 5 2 2" xfId="15006"/>
    <cellStyle name="20% - 强调文字颜色 5 2 5 2 3" xfId="15007"/>
    <cellStyle name="20% - 强调文字颜色 5 2 5 2 3 2" xfId="15008"/>
    <cellStyle name="20% - 强调文字颜色 5 2 5 2 3 2 2" xfId="15009"/>
    <cellStyle name="20% - 强调文字颜色 5 2 5 2 4" xfId="15010"/>
    <cellStyle name="20% - 强调文字颜色 5 2 5 2 4 2" xfId="15011"/>
    <cellStyle name="20% - 强调文字颜色 5 2 5 2 5" xfId="15012"/>
    <cellStyle name="20% - 强调文字颜色 5 2 5 2 5 2" xfId="15013"/>
    <cellStyle name="20% - 强调文字颜色 5 2 5 2 6" xfId="15014"/>
    <cellStyle name="20% - 强调文字颜色 5 2 5 3" xfId="15015"/>
    <cellStyle name="20% - 强调文字颜色 5 2 5 4" xfId="15016"/>
    <cellStyle name="20% - 强调文字颜色 5 2 5 5" xfId="15017"/>
    <cellStyle name="20% - 强调文字颜色 5 2 5 6" xfId="15018"/>
    <cellStyle name="20% - 强调文字颜色 5 2 5 6 2" xfId="15019"/>
    <cellStyle name="20% - 强调文字颜色 5 2 5 7" xfId="15020"/>
    <cellStyle name="20% - 强调文字颜色 5 2 5 7 2" xfId="15021"/>
    <cellStyle name="20% - 强调文字颜色 5 2 6" xfId="15022"/>
    <cellStyle name="20% - 强调文字颜色 5 2 6 2" xfId="15023"/>
    <cellStyle name="20% - 强调文字颜色 5 2 6 2 2" xfId="15024"/>
    <cellStyle name="20% - 强调文字颜色 5 2 6 2 2 2" xfId="15025"/>
    <cellStyle name="20% - 强调文字颜色 5 2 6 2 2 2 2" xfId="15026"/>
    <cellStyle name="20% - 强调文字颜色 5 2 6 2 3" xfId="15027"/>
    <cellStyle name="20% - 强调文字颜色 5 2 6 2 3 2" xfId="15028"/>
    <cellStyle name="20% - 强调文字颜色 5 2 6 2 4" xfId="15029"/>
    <cellStyle name="20% - 强调文字颜色 5 2 6 2 4 2" xfId="15030"/>
    <cellStyle name="20% - 强调文字颜色 5 2 6 2 5" xfId="15031"/>
    <cellStyle name="20% - 强调文字颜色 5 2 6 3" xfId="15032"/>
    <cellStyle name="20% - 强调文字颜色 5 2 6 3 2" xfId="15033"/>
    <cellStyle name="20% - 强调文字颜色 5 2 6 3 2 2" xfId="15034"/>
    <cellStyle name="20% - 强调文字颜色 5 2 6 4" xfId="15035"/>
    <cellStyle name="20% - 强调文字颜色 5 2 6 4 2" xfId="15036"/>
    <cellStyle name="20% - 强调文字颜色 5 2 6 5" xfId="15037"/>
    <cellStyle name="20% - 强调文字颜色 5 2 6 5 2" xfId="15038"/>
    <cellStyle name="20% - 强调文字颜色 5 2 6 6" xfId="15039"/>
    <cellStyle name="20% - 强调文字颜色 5 2 7" xfId="15040"/>
    <cellStyle name="20% - 强调文字颜色 5 2 7 2" xfId="15041"/>
    <cellStyle name="20% - 强调文字颜色 5 2 7 2 2" xfId="15042"/>
    <cellStyle name="20% - 强调文字颜色 5 2 7 2 2 2" xfId="15043"/>
    <cellStyle name="20% - 强调文字颜色 5 2 7 2 2 2 2" xfId="15044"/>
    <cellStyle name="20% - 强调文字颜色 5 2 7 2 3" xfId="15045"/>
    <cellStyle name="20% - 强调文字颜色 5 2 7 2 3 2" xfId="15046"/>
    <cellStyle name="20% - 强调文字颜色 5 2 7 2 4" xfId="15047"/>
    <cellStyle name="20% - 强调文字颜色 5 2 7 2 4 2" xfId="15048"/>
    <cellStyle name="20% - 强调文字颜色 5 2 7 2 5" xfId="15049"/>
    <cellStyle name="20% - 强调文字颜色 5 2 7 3" xfId="15050"/>
    <cellStyle name="20% - 强调文字颜色 5 2 7 3 2" xfId="15051"/>
    <cellStyle name="20% - 强调文字颜色 5 2 7 3 2 2" xfId="15052"/>
    <cellStyle name="20% - 强调文字颜色 5 2 7 4" xfId="15053"/>
    <cellStyle name="20% - 强调文字颜色 5 2 7 4 2" xfId="15054"/>
    <cellStyle name="20% - 强调文字颜色 5 2 7 5" xfId="15055"/>
    <cellStyle name="20% - 强调文字颜色 5 2 7 5 2" xfId="15056"/>
    <cellStyle name="20% - 强调文字颜色 5 2 7 6" xfId="15057"/>
    <cellStyle name="20% - 强调文字颜色 5 2 8" xfId="15058"/>
    <cellStyle name="20% - 强调文字颜色 5 2 8 2" xfId="15059"/>
    <cellStyle name="20% - 强调文字颜色 5 2 8 2 2" xfId="15060"/>
    <cellStyle name="20% - 强调文字颜色 5 2 8 2 2 2" xfId="15061"/>
    <cellStyle name="20% - 强调文字颜色 5 2 8 2 2 2 2" xfId="15062"/>
    <cellStyle name="20% - 强调文字颜色 5 2 8 2 3" xfId="15063"/>
    <cellStyle name="20% - 强调文字颜色 5 2 8 2 3 2" xfId="15064"/>
    <cellStyle name="20% - 强调文字颜色 5 2 8 2 4" xfId="15065"/>
    <cellStyle name="20% - 强调文字颜色 5 2 8 2 4 2" xfId="15066"/>
    <cellStyle name="20% - 强调文字颜色 5 2 8 2 5" xfId="15067"/>
    <cellStyle name="20% - 强调文字颜色 5 2 8 3" xfId="15068"/>
    <cellStyle name="20% - 强调文字颜色 5 2 8 3 2" xfId="15069"/>
    <cellStyle name="20% - 强调文字颜色 5 2 8 3 2 2" xfId="15070"/>
    <cellStyle name="20% - 强调文字颜色 5 2 8 4" xfId="15071"/>
    <cellStyle name="20% - 强调文字颜色 5 2 8 4 2" xfId="15072"/>
    <cellStyle name="20% - 强调文字颜色 5 2 8 5" xfId="15073"/>
    <cellStyle name="20% - 强调文字颜色 5 2 8 5 2" xfId="15074"/>
    <cellStyle name="20% - 强调文字颜色 5 2 8 6" xfId="15075"/>
    <cellStyle name="20% - 强调文字颜色 5 2 9" xfId="15076"/>
    <cellStyle name="20% - 强调文字颜色 5 2 9 2" xfId="15077"/>
    <cellStyle name="20% - 强调文字颜色 5 2 9 2 2" xfId="15078"/>
    <cellStyle name="20% - 强调文字颜色 5 2 9 2 2 2" xfId="15079"/>
    <cellStyle name="20% - 强调文字颜色 5 2 9 3" xfId="15080"/>
    <cellStyle name="20% - 强调文字颜色 5 2 9 3 2" xfId="15081"/>
    <cellStyle name="20% - 强调文字颜色 5 2 9 4" xfId="15082"/>
    <cellStyle name="20% - 强调文字颜色 5 2 9 4 2" xfId="15083"/>
    <cellStyle name="20% - 强调文字颜色 5 2 9 5" xfId="15084"/>
    <cellStyle name="20% - 强调文字颜色 5 3" xfId="15085"/>
    <cellStyle name="20% - 强调文字颜色 5 3 2" xfId="15086"/>
    <cellStyle name="20% - 强调文字颜色 5 3 2 2" xfId="15087"/>
    <cellStyle name="20% - 强调文字颜色 5 3 2 2 2" xfId="15088"/>
    <cellStyle name="20% - 强调文字颜色 5 3 2 2 2 2" xfId="15089"/>
    <cellStyle name="20% - 强调文字颜色 5 3 2 2 2 3" xfId="15090"/>
    <cellStyle name="20% - 强调文字颜色 5 3 2 2 2 3 2" xfId="15091"/>
    <cellStyle name="20% - 强调文字颜色 5 3 2 2 2 3 2 2" xfId="15092"/>
    <cellStyle name="20% - 强调文字颜色 5 3 2 2 2 4" xfId="15093"/>
    <cellStyle name="20% - 强调文字颜色 5 3 2 2 2 4 2" xfId="15094"/>
    <cellStyle name="20% - 强调文字颜色 5 3 2 2 2 5" xfId="15095"/>
    <cellStyle name="20% - 强调文字颜色 5 3 2 2 2 5 2" xfId="15096"/>
    <cellStyle name="20% - 强调文字颜色 5 3 2 2 2 6" xfId="15097"/>
    <cellStyle name="20% - 强调文字颜色 5 3 2 2 3" xfId="15098"/>
    <cellStyle name="20% - 强调文字颜色 5 3 2 2 3 2" xfId="15099"/>
    <cellStyle name="20% - 强调文字颜色 5 3 2 2 3 2 2" xfId="15100"/>
    <cellStyle name="20% - 强调文字颜色 5 3 2 2 3 2 2 2" xfId="15101"/>
    <cellStyle name="20% - 强调文字颜色 5 3 2 2 3 3" xfId="15102"/>
    <cellStyle name="20% - 强调文字颜色 5 3 2 2 3 3 2" xfId="15103"/>
    <cellStyle name="20% - 强调文字颜色 5 3 2 2 3 4" xfId="15104"/>
    <cellStyle name="20% - 强调文字颜色 5 3 2 2 3 4 2" xfId="15105"/>
    <cellStyle name="20% - 强调文字颜色 5 3 2 2 3 5" xfId="15106"/>
    <cellStyle name="20% - 强调文字颜色 5 3 2 2 4" xfId="15107"/>
    <cellStyle name="20% - 强调文字颜色 5 3 2 2 5" xfId="15108"/>
    <cellStyle name="20% - 强调文字颜色 5 3 2 2 6" xfId="15109"/>
    <cellStyle name="20% - 强调文字颜色 5 3 2 2 6 2" xfId="15110"/>
    <cellStyle name="20% - 强调文字颜色 5 3 2 2 7" xfId="15111"/>
    <cellStyle name="20% - 强调文字颜色 5 3 2 2 7 2" xfId="15112"/>
    <cellStyle name="20% - 强调文字颜色 5 3 2 3" xfId="15113"/>
    <cellStyle name="20% - 强调文字颜色 5 3 2 3 2" xfId="15114"/>
    <cellStyle name="20% - 强调文字颜色 5 3 2 3 3" xfId="15115"/>
    <cellStyle name="20% - 强调文字颜色 5 3 2 3 3 2" xfId="15116"/>
    <cellStyle name="20% - 强调文字颜色 5 3 2 3 3 2 2" xfId="15117"/>
    <cellStyle name="20% - 强调文字颜色 5 3 2 3 4" xfId="15118"/>
    <cellStyle name="20% - 强调文字颜色 5 3 2 3 4 2" xfId="15119"/>
    <cellStyle name="20% - 强调文字颜色 5 3 2 3 5" xfId="15120"/>
    <cellStyle name="20% - 强调文字颜色 5 3 2 3 5 2" xfId="15121"/>
    <cellStyle name="20% - 强调文字颜色 5 3 2 3 6" xfId="15122"/>
    <cellStyle name="20% - 强调文字颜色 5 3 2 4" xfId="15123"/>
    <cellStyle name="20% - 强调文字颜色 5 3 2 4 2" xfId="15124"/>
    <cellStyle name="20% - 强调文字颜色 5 3 2 4 2 2" xfId="15125"/>
    <cellStyle name="20% - 强调文字颜色 5 3 2 4 2 2 2" xfId="15126"/>
    <cellStyle name="20% - 强调文字颜色 5 3 2 4 3" xfId="15127"/>
    <cellStyle name="20% - 强调文字颜色 5 3 2 4 3 2" xfId="15128"/>
    <cellStyle name="20% - 强调文字颜色 5 3 2 4 4" xfId="15129"/>
    <cellStyle name="20% - 强调文字颜色 5 3 2 4 4 2" xfId="15130"/>
    <cellStyle name="20% - 强调文字颜色 5 3 2 4 5" xfId="15131"/>
    <cellStyle name="20% - 强调文字颜色 5 3 2 5" xfId="15132"/>
    <cellStyle name="20% - 强调文字颜色 5 3 2 6" xfId="15133"/>
    <cellStyle name="20% - 强调文字颜色 5 3 2 7" xfId="15134"/>
    <cellStyle name="20% - 强调文字颜色 5 3 2 7 2" xfId="15135"/>
    <cellStyle name="20% - 强调文字颜色 5 3 2 8" xfId="15136"/>
    <cellStyle name="20% - 强调文字颜色 5 3 2 8 2" xfId="15137"/>
    <cellStyle name="20% - 强调文字颜色 5 3 3" xfId="15138"/>
    <cellStyle name="20% - 强调文字颜色 5 3 3 2" xfId="15139"/>
    <cellStyle name="20% - 强调文字颜色 5 3 3 2 2" xfId="15140"/>
    <cellStyle name="20% - 强调文字颜色 5 3 3 2 3" xfId="15141"/>
    <cellStyle name="20% - 强调文字颜色 5 3 3 2 3 2" xfId="15142"/>
    <cellStyle name="20% - 强调文字颜色 5 3 3 2 3 2 2" xfId="15143"/>
    <cellStyle name="20% - 强调文字颜色 5 3 3 2 4" xfId="15144"/>
    <cellStyle name="20% - 强调文字颜色 5 3 3 2 4 2" xfId="15145"/>
    <cellStyle name="20% - 强调文字颜色 5 3 3 2 5" xfId="15146"/>
    <cellStyle name="20% - 强调文字颜色 5 3 3 2 5 2" xfId="15147"/>
    <cellStyle name="20% - 强调文字颜色 5 3 3 2 6" xfId="15148"/>
    <cellStyle name="20% - 强调文字颜色 5 3 3 3" xfId="15149"/>
    <cellStyle name="20% - 强调文字颜色 5 3 3 3 2" xfId="15150"/>
    <cellStyle name="20% - 强调文字颜色 5 3 3 3 2 2" xfId="15151"/>
    <cellStyle name="20% - 强调文字颜色 5 3 3 3 2 2 2" xfId="15152"/>
    <cellStyle name="20% - 强调文字颜色 5 3 3 3 3" xfId="15153"/>
    <cellStyle name="20% - 强调文字颜色 5 3 3 3 3 2" xfId="15154"/>
    <cellStyle name="20% - 强调文字颜色 5 3 3 3 4" xfId="15155"/>
    <cellStyle name="20% - 强调文字颜色 5 3 3 3 4 2" xfId="15156"/>
    <cellStyle name="20% - 强调文字颜色 5 3 3 3 5" xfId="15157"/>
    <cellStyle name="20% - 强调文字颜色 5 3 3 4" xfId="15158"/>
    <cellStyle name="20% - 强调文字颜色 5 3 3 5" xfId="15159"/>
    <cellStyle name="20% - 强调文字颜色 5 3 3 6" xfId="15160"/>
    <cellStyle name="20% - 强调文字颜色 5 3 3 6 2" xfId="15161"/>
    <cellStyle name="20% - 强调文字颜色 5 3 3 7" xfId="15162"/>
    <cellStyle name="20% - 强调文字颜色 5 3 3 7 2" xfId="15163"/>
    <cellStyle name="20% - 强调文字颜色 5 3 4" xfId="15164"/>
    <cellStyle name="20% - 强调文字颜色 5 3 4 2" xfId="15165"/>
    <cellStyle name="20% - 强调文字颜色 5 3 4 2 2" xfId="15166"/>
    <cellStyle name="20% - 强调文字颜色 5 3 4 2 3" xfId="15167"/>
    <cellStyle name="20% - 强调文字颜色 5 3 4 2 3 2" xfId="15168"/>
    <cellStyle name="20% - 强调文字颜色 5 3 4 2 3 2 2" xfId="15169"/>
    <cellStyle name="20% - 强调文字颜色 5 3 4 2 4" xfId="15170"/>
    <cellStyle name="20% - 强调文字颜色 5 3 4 2 4 2" xfId="15171"/>
    <cellStyle name="20% - 强调文字颜色 5 3 4 2 5" xfId="15172"/>
    <cellStyle name="20% - 强调文字颜色 5 3 4 2 5 2" xfId="15173"/>
    <cellStyle name="20% - 强调文字颜色 5 3 4 2 6" xfId="15174"/>
    <cellStyle name="20% - 强调文字颜色 5 3 4 3" xfId="15175"/>
    <cellStyle name="20% - 强调文字颜色 5 3 4 4" xfId="15176"/>
    <cellStyle name="20% - 强调文字颜色 5 3 4 5" xfId="15177"/>
    <cellStyle name="20% - 强调文字颜色 5 3 4 6" xfId="15178"/>
    <cellStyle name="20% - 强调文字颜色 5 3 4 6 2" xfId="15179"/>
    <cellStyle name="20% - 强调文字颜色 5 3 4 7" xfId="15180"/>
    <cellStyle name="20% - 强调文字颜色 5 3 4 7 2" xfId="15181"/>
    <cellStyle name="20% - 强调文字颜色 5 3 5" xfId="15182"/>
    <cellStyle name="20% - 强调文字颜色 5 3 5 2" xfId="15183"/>
    <cellStyle name="20% - 强调文字颜色 5 3 5 2 2" xfId="15184"/>
    <cellStyle name="20% - 强调文字颜色 5 3 5 2 2 2" xfId="15185"/>
    <cellStyle name="20% - 强调文字颜色 5 3 5 2 2 2 2" xfId="15186"/>
    <cellStyle name="20% - 强调文字颜色 5 3 5 2 3" xfId="15187"/>
    <cellStyle name="20% - 强调文字颜色 5 3 5 2 3 2" xfId="15188"/>
    <cellStyle name="20% - 强调文字颜色 5 3 5 2 4" xfId="15189"/>
    <cellStyle name="20% - 强调文字颜色 5 3 5 2 4 2" xfId="15190"/>
    <cellStyle name="20% - 强调文字颜色 5 3 5 2 5" xfId="15191"/>
    <cellStyle name="20% - 强调文字颜色 5 3 5 3" xfId="15192"/>
    <cellStyle name="20% - 强调文字颜色 5 3 5 3 2" xfId="15193"/>
    <cellStyle name="20% - 强调文字颜色 5 3 5 3 2 2" xfId="15194"/>
    <cellStyle name="20% - 强调文字颜色 5 3 5 4" xfId="15195"/>
    <cellStyle name="20% - 强调文字颜色 5 3 5 4 2" xfId="15196"/>
    <cellStyle name="20% - 强调文字颜色 5 3 5 5" xfId="15197"/>
    <cellStyle name="20% - 强调文字颜色 5 3 5 5 2" xfId="15198"/>
    <cellStyle name="20% - 强调文字颜色 5 3 5 6" xfId="15199"/>
    <cellStyle name="20% - 强调文字颜色 5 3 6" xfId="15200"/>
    <cellStyle name="20% - 强调文字颜色 5 3 6 2" xfId="15201"/>
    <cellStyle name="20% - 强调文字颜色 5 3 6 2 2" xfId="15202"/>
    <cellStyle name="20% - 强调文字颜色 5 3 6 2 2 2" xfId="15203"/>
    <cellStyle name="20% - 强调文字颜色 5 3 6 3" xfId="15204"/>
    <cellStyle name="20% - 强调文字颜色 5 3 6 3 2" xfId="15205"/>
    <cellStyle name="20% - 强调文字颜色 5 3 6 4" xfId="15206"/>
    <cellStyle name="20% - 强调文字颜色 5 3 6 4 2" xfId="15207"/>
    <cellStyle name="20% - 强调文字颜色 5 3 6 5" xfId="15208"/>
    <cellStyle name="20% - 强调文字颜色 5 3 7" xfId="15209"/>
    <cellStyle name="20% - 强调文字颜色 5 3 8" xfId="15210"/>
    <cellStyle name="20% - 强调文字颜色 5 3 8 2" xfId="15211"/>
    <cellStyle name="20% - 强调文字颜色 5 3 9" xfId="15212"/>
    <cellStyle name="20% - 强调文字颜色 5 3 9 2" xfId="15213"/>
    <cellStyle name="20% - 强调文字颜色 6 2" xfId="15214"/>
    <cellStyle name="20% - 强调文字颜色 6 2 10" xfId="15215"/>
    <cellStyle name="20% - 强调文字颜色 6 2 11" xfId="15216"/>
    <cellStyle name="20% - 强调文字颜色 6 2 11 2" xfId="15217"/>
    <cellStyle name="20% - 强调文字颜色 6 2 12" xfId="15218"/>
    <cellStyle name="20% - 强调文字颜色 6 2 12 2" xfId="15219"/>
    <cellStyle name="20% - 强调文字颜色 6 2 2" xfId="15220"/>
    <cellStyle name="20% - 强调文字颜色 6 2 2 10" xfId="15221"/>
    <cellStyle name="20% - 强调文字颜色 6 2 2 11" xfId="15222"/>
    <cellStyle name="20% - 强调文字颜色 6 2 2 11 2" xfId="15223"/>
    <cellStyle name="20% - 强调文字颜色 6 2 2 12" xfId="15224"/>
    <cellStyle name="20% - 强调文字颜色 6 2 2 12 2" xfId="15225"/>
    <cellStyle name="20% - 强调文字颜色 6 2 2 2" xfId="15226"/>
    <cellStyle name="20% - 强调文字颜色 6 2 2 2 2" xfId="15227"/>
    <cellStyle name="20% - 强调文字颜色 6 2 2 2 2 2" xfId="15228"/>
    <cellStyle name="20% - 强调文字颜色 6 2 2 2 2 2 2" xfId="15229"/>
    <cellStyle name="20% - 强调文字颜色 6 2 2 2 2 2 3" xfId="15230"/>
    <cellStyle name="20% - 强调文字颜色 6 2 2 2 2 2 3 2" xfId="15231"/>
    <cellStyle name="20% - 强调文字颜色 6 2 2 2 2 2 3 2 2" xfId="15232"/>
    <cellStyle name="20% - 强调文字颜色 6 2 2 2 2 2 4" xfId="15233"/>
    <cellStyle name="20% - 强调文字颜色 6 2 2 2 2 2 4 2" xfId="15234"/>
    <cellStyle name="20% - 强调文字颜色 6 2 2 2 2 2 5" xfId="15235"/>
    <cellStyle name="20% - 强调文字颜色 6 2 2 2 2 2 5 2" xfId="15236"/>
    <cellStyle name="20% - 强调文字颜色 6 2 2 2 2 2 6" xfId="15237"/>
    <cellStyle name="20% - 强调文字颜色 6 2 2 2 2 3" xfId="15238"/>
    <cellStyle name="20% - 强调文字颜色 6 2 2 2 2 3 2" xfId="15239"/>
    <cellStyle name="20% - 强调文字颜色 6 2 2 2 2 3 2 2" xfId="15240"/>
    <cellStyle name="20% - 强调文字颜色 6 2 2 2 2 3 2 2 2" xfId="15241"/>
    <cellStyle name="20% - 强调文字颜色 6 2 2 2 2 3 3" xfId="15242"/>
    <cellStyle name="20% - 强调文字颜色 6 2 2 2 2 3 3 2" xfId="15243"/>
    <cellStyle name="20% - 强调文字颜色 6 2 2 2 2 3 4" xfId="15244"/>
    <cellStyle name="20% - 强调文字颜色 6 2 2 2 2 3 4 2" xfId="15245"/>
    <cellStyle name="20% - 强调文字颜色 6 2 2 2 2 3 5" xfId="15246"/>
    <cellStyle name="20% - 强调文字颜色 6 2 2 2 2 4" xfId="15247"/>
    <cellStyle name="20% - 强调文字颜色 6 2 2 2 2 5" xfId="15248"/>
    <cellStyle name="20% - 强调文字颜色 6 2 2 2 2 6" xfId="15249"/>
    <cellStyle name="20% - 强调文字颜色 6 2 2 2 2 6 2" xfId="15250"/>
    <cellStyle name="20% - 强调文字颜色 6 2 2 2 2 7" xfId="15251"/>
    <cellStyle name="20% - 强调文字颜色 6 2 2 2 2 7 2" xfId="15252"/>
    <cellStyle name="20% - 强调文字颜色 6 2 2 2 3" xfId="15253"/>
    <cellStyle name="20% - 强调文字颜色 6 2 2 2 3 2" xfId="15254"/>
    <cellStyle name="20% - 强调文字颜色 6 2 2 2 3 3" xfId="15255"/>
    <cellStyle name="20% - 强调文字颜色 6 2 2 2 3 3 2" xfId="15256"/>
    <cellStyle name="20% - 强调文字颜色 6 2 2 2 3 3 2 2" xfId="15257"/>
    <cellStyle name="20% - 强调文字颜色 6 2 2 2 3 4" xfId="15258"/>
    <cellStyle name="20% - 强调文字颜色 6 2 2 2 3 4 2" xfId="15259"/>
    <cellStyle name="20% - 强调文字颜色 6 2 2 2 3 5" xfId="15260"/>
    <cellStyle name="20% - 强调文字颜色 6 2 2 2 3 5 2" xfId="15261"/>
    <cellStyle name="20% - 强调文字颜色 6 2 2 2 3 6" xfId="15262"/>
    <cellStyle name="20% - 强调文字颜色 6 2 2 2 4" xfId="15263"/>
    <cellStyle name="20% - 强调文字颜色 6 2 2 2 4 2" xfId="15264"/>
    <cellStyle name="20% - 强调文字颜色 6 2 2 2 4 2 2" xfId="15265"/>
    <cellStyle name="20% - 强调文字颜色 6 2 2 2 4 2 2 2" xfId="15266"/>
    <cellStyle name="20% - 强调文字颜色 6 2 2 2 4 3" xfId="15267"/>
    <cellStyle name="20% - 强调文字颜色 6 2 2 2 4 3 2" xfId="15268"/>
    <cellStyle name="20% - 强调文字颜色 6 2 2 2 4 4" xfId="15269"/>
    <cellStyle name="20% - 强调文字颜色 6 2 2 2 4 4 2" xfId="15270"/>
    <cellStyle name="20% - 强调文字颜色 6 2 2 2 4 5" xfId="15271"/>
    <cellStyle name="20% - 强调文字颜色 6 2 2 2 5" xfId="15272"/>
    <cellStyle name="20% - 强调文字颜色 6 2 2 2 6" xfId="15273"/>
    <cellStyle name="20% - 强调文字颜色 6 2 2 2 7" xfId="15274"/>
    <cellStyle name="20% - 强调文字颜色 6 2 2 2 7 2" xfId="15275"/>
    <cellStyle name="20% - 强调文字颜色 6 2 2 2 8" xfId="15276"/>
    <cellStyle name="20% - 强调文字颜色 6 2 2 2 8 2" xfId="15277"/>
    <cellStyle name="20% - 强调文字颜色 6 2 2 3" xfId="15278"/>
    <cellStyle name="20% - 强调文字颜色 6 2 2 3 2" xfId="15279"/>
    <cellStyle name="20% - 强调文字颜色 6 2 2 3 2 2" xfId="15280"/>
    <cellStyle name="20% - 强调文字颜色 6 2 2 3 2 3" xfId="15281"/>
    <cellStyle name="20% - 强调文字颜色 6 2 2 3 2 3 2" xfId="15282"/>
    <cellStyle name="20% - 强调文字颜色 6 2 2 3 2 3 2 2" xfId="15283"/>
    <cellStyle name="20% - 强调文字颜色 6 2 2 3 2 4" xfId="15284"/>
    <cellStyle name="20% - 强调文字颜色 6 2 2 3 2 4 2" xfId="15285"/>
    <cellStyle name="20% - 强调文字颜色 6 2 2 3 2 5" xfId="15286"/>
    <cellStyle name="20% - 强调文字颜色 6 2 2 3 2 5 2" xfId="15287"/>
    <cellStyle name="20% - 强调文字颜色 6 2 2 3 2 6" xfId="15288"/>
    <cellStyle name="20% - 强调文字颜色 6 2 2 3 3" xfId="15289"/>
    <cellStyle name="20% - 强调文字颜色 6 2 2 3 3 2" xfId="15290"/>
    <cellStyle name="20% - 强调文字颜色 6 2 2 3 3 2 2" xfId="15291"/>
    <cellStyle name="20% - 强调文字颜色 6 2 2 3 3 2 2 2" xfId="15292"/>
    <cellStyle name="20% - 强调文字颜色 6 2 2 3 3 3" xfId="15293"/>
    <cellStyle name="20% - 强调文字颜色 6 2 2 3 3 3 2" xfId="15294"/>
    <cellStyle name="20% - 强调文字颜色 6 2 2 3 3 4" xfId="15295"/>
    <cellStyle name="20% - 强调文字颜色 6 2 2 3 3 4 2" xfId="15296"/>
    <cellStyle name="20% - 强调文字颜色 6 2 2 3 3 5" xfId="15297"/>
    <cellStyle name="20% - 强调文字颜色 6 2 2 3 4" xfId="15298"/>
    <cellStyle name="20% - 强调文字颜色 6 2 2 3 5" xfId="15299"/>
    <cellStyle name="20% - 强调文字颜色 6 2 2 3 6" xfId="15300"/>
    <cellStyle name="20% - 强调文字颜色 6 2 2 3 6 2" xfId="15301"/>
    <cellStyle name="20% - 强调文字颜色 6 2 2 3 7" xfId="15302"/>
    <cellStyle name="20% - 强调文字颜色 6 2 2 3 7 2" xfId="15303"/>
    <cellStyle name="20% - 强调文字颜色 6 2 2 4" xfId="15304"/>
    <cellStyle name="20% - 强调文字颜色 6 2 2 4 2" xfId="15305"/>
    <cellStyle name="20% - 强调文字颜色 6 2 2 4 2 2" xfId="15306"/>
    <cellStyle name="20% - 强调文字颜色 6 2 2 4 2 3" xfId="15307"/>
    <cellStyle name="20% - 强调文字颜色 6 2 2 4 2 3 2" xfId="15308"/>
    <cellStyle name="20% - 强调文字颜色 6 2 2 4 2 3 2 2" xfId="15309"/>
    <cellStyle name="20% - 强调文字颜色 6 2 2 4 2 4" xfId="15310"/>
    <cellStyle name="20% - 强调文字颜色 6 2 2 4 2 4 2" xfId="15311"/>
    <cellStyle name="20% - 强调文字颜色 6 2 2 4 2 5" xfId="15312"/>
    <cellStyle name="20% - 强调文字颜色 6 2 2 4 2 5 2" xfId="15313"/>
    <cellStyle name="20% - 强调文字颜色 6 2 2 4 2 6" xfId="15314"/>
    <cellStyle name="20% - 强调文字颜色 6 2 2 4 3" xfId="15315"/>
    <cellStyle name="20% - 强调文字颜色 6 2 2 4 4" xfId="15316"/>
    <cellStyle name="20% - 强调文字颜色 6 2 2 4 5" xfId="15317"/>
    <cellStyle name="20% - 强调文字颜色 6 2 2 4 6" xfId="15318"/>
    <cellStyle name="20% - 强调文字颜色 6 2 2 4 6 2" xfId="15319"/>
    <cellStyle name="20% - 强调文字颜色 6 2 2 4 7" xfId="15320"/>
    <cellStyle name="20% - 强调文字颜色 6 2 2 4 7 2" xfId="15321"/>
    <cellStyle name="20% - 强调文字颜色 6 2 2 5" xfId="15322"/>
    <cellStyle name="20% - 强调文字颜色 6 2 2 5 2" xfId="15323"/>
    <cellStyle name="20% - 强调文字颜色 6 2 2 5 2 2" xfId="15324"/>
    <cellStyle name="20% - 强调文字颜色 6 2 2 5 2 2 2" xfId="15325"/>
    <cellStyle name="20% - 强调文字颜色 6 2 2 5 2 2 2 2" xfId="15326"/>
    <cellStyle name="20% - 强调文字颜色 6 2 2 5 2 3" xfId="15327"/>
    <cellStyle name="20% - 强调文字颜色 6 2 2 5 2 3 2" xfId="15328"/>
    <cellStyle name="20% - 强调文字颜色 6 2 2 5 2 4" xfId="15329"/>
    <cellStyle name="20% - 强调文字颜色 6 2 2 5 2 4 2" xfId="15330"/>
    <cellStyle name="20% - 强调文字颜色 6 2 2 5 2 5" xfId="15331"/>
    <cellStyle name="20% - 强调文字颜色 6 2 2 5 3" xfId="15332"/>
    <cellStyle name="20% - 强调文字颜色 6 2 2 5 3 2" xfId="15333"/>
    <cellStyle name="20% - 强调文字颜色 6 2 2 5 3 2 2" xfId="15334"/>
    <cellStyle name="20% - 强调文字颜色 6 2 2 5 4" xfId="15335"/>
    <cellStyle name="20% - 强调文字颜色 6 2 2 5 4 2" xfId="15336"/>
    <cellStyle name="20% - 强调文字颜色 6 2 2 5 5" xfId="15337"/>
    <cellStyle name="20% - 强调文字颜色 6 2 2 5 5 2" xfId="15338"/>
    <cellStyle name="20% - 强调文字颜色 6 2 2 5 6" xfId="15339"/>
    <cellStyle name="20% - 强调文字颜色 6 2 2 6" xfId="15340"/>
    <cellStyle name="20% - 强调文字颜色 6 2 2 6 2" xfId="15341"/>
    <cellStyle name="20% - 强调文字颜色 6 2 2 6 2 2" xfId="15342"/>
    <cellStyle name="20% - 强调文字颜色 6 2 2 6 2 2 2" xfId="15343"/>
    <cellStyle name="20% - 强调文字颜色 6 2 2 6 2 2 2 2" xfId="15344"/>
    <cellStyle name="20% - 强调文字颜色 6 2 2 6 2 3" xfId="15345"/>
    <cellStyle name="20% - 强调文字颜色 6 2 2 6 2 3 2" xfId="15346"/>
    <cellStyle name="20% - 强调文字颜色 6 2 2 6 2 4" xfId="15347"/>
    <cellStyle name="20% - 强调文字颜色 6 2 2 6 2 4 2" xfId="15348"/>
    <cellStyle name="20% - 强调文字颜色 6 2 2 6 2 5" xfId="15349"/>
    <cellStyle name="20% - 强调文字颜色 6 2 2 6 3" xfId="15350"/>
    <cellStyle name="20% - 强调文字颜色 6 2 2 6 3 2" xfId="15351"/>
    <cellStyle name="20% - 强调文字颜色 6 2 2 6 3 2 2" xfId="15352"/>
    <cellStyle name="20% - 强调文字颜色 6 2 2 6 4" xfId="15353"/>
    <cellStyle name="20% - 强调文字颜色 6 2 2 6 4 2" xfId="15354"/>
    <cellStyle name="20% - 强调文字颜色 6 2 2 6 5" xfId="15355"/>
    <cellStyle name="20% - 强调文字颜色 6 2 2 6 5 2" xfId="15356"/>
    <cellStyle name="20% - 强调文字颜色 6 2 2 6 6" xfId="15357"/>
    <cellStyle name="20% - 强调文字颜色 6 2 2 7" xfId="15358"/>
    <cellStyle name="20% - 强调文字颜色 6 2 2 7 2" xfId="15359"/>
    <cellStyle name="20% - 强调文字颜色 6 2 2 7 2 2" xfId="15360"/>
    <cellStyle name="20% - 强调文字颜色 6 2 2 7 2 2 2" xfId="15361"/>
    <cellStyle name="20% - 强调文字颜色 6 2 2 7 2 2 2 2" xfId="15362"/>
    <cellStyle name="20% - 强调文字颜色 6 2 2 7 2 3" xfId="15363"/>
    <cellStyle name="20% - 强调文字颜色 6 2 2 7 2 3 2" xfId="15364"/>
    <cellStyle name="20% - 强调文字颜色 6 2 2 7 2 4" xfId="15365"/>
    <cellStyle name="20% - 强调文字颜色 6 2 2 7 2 4 2" xfId="15366"/>
    <cellStyle name="20% - 强调文字颜色 6 2 2 7 2 5" xfId="15367"/>
    <cellStyle name="20% - 强调文字颜色 6 2 2 7 3" xfId="15368"/>
    <cellStyle name="20% - 强调文字颜色 6 2 2 7 3 2" xfId="15369"/>
    <cellStyle name="20% - 强调文字颜色 6 2 2 7 3 2 2" xfId="15370"/>
    <cellStyle name="20% - 强调文字颜色 6 2 2 7 4" xfId="15371"/>
    <cellStyle name="20% - 强调文字颜色 6 2 2 7 4 2" xfId="15372"/>
    <cellStyle name="20% - 强调文字颜色 6 2 2 7 5" xfId="15373"/>
    <cellStyle name="20% - 强调文字颜色 6 2 2 7 5 2" xfId="15374"/>
    <cellStyle name="20% - 强调文字颜色 6 2 2 7 6" xfId="15375"/>
    <cellStyle name="20% - 强调文字颜色 6 2 2 8" xfId="15376"/>
    <cellStyle name="20% - 强调文字颜色 6 2 2 8 2" xfId="15377"/>
    <cellStyle name="20% - 强调文字颜色 6 2 2 8 2 2" xfId="15378"/>
    <cellStyle name="20% - 强调文字颜色 6 2 2 8 2 2 2" xfId="15379"/>
    <cellStyle name="20% - 强调文字颜色 6 2 2 8 3" xfId="15380"/>
    <cellStyle name="20% - 强调文字颜色 6 2 2 8 3 2" xfId="15381"/>
    <cellStyle name="20% - 强调文字颜色 6 2 2 8 4" xfId="15382"/>
    <cellStyle name="20% - 强调文字颜色 6 2 2 8 4 2" xfId="15383"/>
    <cellStyle name="20% - 强调文字颜色 6 2 2 8 5" xfId="15384"/>
    <cellStyle name="20% - 强调文字颜色 6 2 2 9" xfId="15385"/>
    <cellStyle name="20% - 强调文字颜色 6 2 2 9 2" xfId="15386"/>
    <cellStyle name="20% - 强调文字颜色 6 2 2 9 2 2" xfId="15387"/>
    <cellStyle name="20% - 强调文字颜色 6 2 2 9 2 2 2" xfId="15388"/>
    <cellStyle name="20% - 强调文字颜色 6 2 2 9 3" xfId="15389"/>
    <cellStyle name="20% - 强调文字颜色 6 2 2 9 3 2" xfId="15390"/>
    <cellStyle name="20% - 强调文字颜色 6 2 2 9 4" xfId="15391"/>
    <cellStyle name="20% - 强调文字颜色 6 2 2 9 4 2" xfId="15392"/>
    <cellStyle name="20% - 强调文字颜色 6 2 2 9 5" xfId="15393"/>
    <cellStyle name="20% - 强调文字颜色 6 2 3" xfId="15394"/>
    <cellStyle name="20% - 强调文字颜色 6 2 3 10" xfId="15395"/>
    <cellStyle name="20% - 强调文字颜色 6 2 3 10 2" xfId="15396"/>
    <cellStyle name="20% - 强调文字颜色 6 2 3 2" xfId="15397"/>
    <cellStyle name="20% - 强调文字颜色 6 2 3 2 2" xfId="15398"/>
    <cellStyle name="20% - 强调文字颜色 6 2 3 2 2 2" xfId="15399"/>
    <cellStyle name="20% - 强调文字颜色 6 2 3 2 2 2 2" xfId="15400"/>
    <cellStyle name="20% - 强调文字颜色 6 2 3 2 2 2 3" xfId="15401"/>
    <cellStyle name="20% - 强调文字颜色 6 2 3 2 2 2 3 2" xfId="15402"/>
    <cellStyle name="20% - 强调文字颜色 6 2 3 2 2 2 3 2 2" xfId="15403"/>
    <cellStyle name="20% - 强调文字颜色 6 2 3 2 2 2 4" xfId="15404"/>
    <cellStyle name="20% - 强调文字颜色 6 2 3 2 2 2 4 2" xfId="15405"/>
    <cellStyle name="20% - 强调文字颜色 6 2 3 2 2 2 5" xfId="15406"/>
    <cellStyle name="20% - 强调文字颜色 6 2 3 2 2 2 5 2" xfId="15407"/>
    <cellStyle name="20% - 强调文字颜色 6 2 3 2 2 2 6" xfId="15408"/>
    <cellStyle name="20% - 强调文字颜色 6 2 3 2 2 3" xfId="15409"/>
    <cellStyle name="20% - 强调文字颜色 6 2 3 2 2 3 2" xfId="15410"/>
    <cellStyle name="20% - 强调文字颜色 6 2 3 2 2 3 2 2" xfId="15411"/>
    <cellStyle name="20% - 强调文字颜色 6 2 3 2 2 3 2 2 2" xfId="15412"/>
    <cellStyle name="20% - 强调文字颜色 6 2 3 2 2 3 3" xfId="15413"/>
    <cellStyle name="20% - 强调文字颜色 6 2 3 2 2 3 3 2" xfId="15414"/>
    <cellStyle name="20% - 强调文字颜色 6 2 3 2 2 3 4" xfId="15415"/>
    <cellStyle name="20% - 强调文字颜色 6 2 3 2 2 3 4 2" xfId="15416"/>
    <cellStyle name="20% - 强调文字颜色 6 2 3 2 2 3 5" xfId="15417"/>
    <cellStyle name="20% - 强调文字颜色 6 2 3 2 2 4" xfId="15418"/>
    <cellStyle name="20% - 强调文字颜色 6 2 3 2 2 5" xfId="15419"/>
    <cellStyle name="20% - 强调文字颜色 6 2 3 2 2 6" xfId="15420"/>
    <cellStyle name="20% - 强调文字颜色 6 2 3 2 2 6 2" xfId="15421"/>
    <cellStyle name="20% - 强调文字颜色 6 2 3 2 2 7" xfId="15422"/>
    <cellStyle name="20% - 强调文字颜色 6 2 3 2 2 7 2" xfId="15423"/>
    <cellStyle name="20% - 强调文字颜色 6 2 3 2 3" xfId="15424"/>
    <cellStyle name="20% - 强调文字颜色 6 2 3 2 3 2" xfId="15425"/>
    <cellStyle name="20% - 强调文字颜色 6 2 3 2 3 3" xfId="15426"/>
    <cellStyle name="20% - 强调文字颜色 6 2 3 2 3 3 2" xfId="15427"/>
    <cellStyle name="20% - 强调文字颜色 6 2 3 2 3 3 2 2" xfId="15428"/>
    <cellStyle name="20% - 强调文字颜色 6 2 3 2 3 4" xfId="15429"/>
    <cellStyle name="20% - 强调文字颜色 6 2 3 2 3 4 2" xfId="15430"/>
    <cellStyle name="20% - 强调文字颜色 6 2 3 2 3 5" xfId="15431"/>
    <cellStyle name="20% - 强调文字颜色 6 2 3 2 3 5 2" xfId="15432"/>
    <cellStyle name="20% - 强调文字颜色 6 2 3 2 3 6" xfId="15433"/>
    <cellStyle name="20% - 强调文字颜色 6 2 3 2 4" xfId="15434"/>
    <cellStyle name="20% - 强调文字颜色 6 2 3 2 4 2" xfId="15435"/>
    <cellStyle name="20% - 强调文字颜色 6 2 3 2 4 2 2" xfId="15436"/>
    <cellStyle name="20% - 强调文字颜色 6 2 3 2 4 2 2 2" xfId="15437"/>
    <cellStyle name="20% - 强调文字颜色 6 2 3 2 4 3" xfId="15438"/>
    <cellStyle name="20% - 强调文字颜色 6 2 3 2 4 3 2" xfId="15439"/>
    <cellStyle name="20% - 强调文字颜色 6 2 3 2 4 4" xfId="15440"/>
    <cellStyle name="20% - 强调文字颜色 6 2 3 2 4 4 2" xfId="15441"/>
    <cellStyle name="20% - 强调文字颜色 6 2 3 2 4 5" xfId="15442"/>
    <cellStyle name="20% - 强调文字颜色 6 2 3 2 5" xfId="15443"/>
    <cellStyle name="20% - 强调文字颜色 6 2 3 2 6" xfId="15444"/>
    <cellStyle name="20% - 强调文字颜色 6 2 3 2 7" xfId="15445"/>
    <cellStyle name="20% - 强调文字颜色 6 2 3 2 7 2" xfId="15446"/>
    <cellStyle name="20% - 强调文字颜色 6 2 3 2 8" xfId="15447"/>
    <cellStyle name="20% - 强调文字颜色 6 2 3 2 8 2" xfId="15448"/>
    <cellStyle name="20% - 强调文字颜色 6 2 3 3" xfId="15449"/>
    <cellStyle name="20% - 强调文字颜色 6 2 3 3 2" xfId="15450"/>
    <cellStyle name="20% - 强调文字颜色 6 2 3 3 2 2" xfId="15451"/>
    <cellStyle name="20% - 强调文字颜色 6 2 3 3 2 3" xfId="15452"/>
    <cellStyle name="20% - 强调文字颜色 6 2 3 3 2 3 2" xfId="15453"/>
    <cellStyle name="20% - 强调文字颜色 6 2 3 3 2 3 2 2" xfId="15454"/>
    <cellStyle name="20% - 强调文字颜色 6 2 3 3 2 4" xfId="15455"/>
    <cellStyle name="20% - 强调文字颜色 6 2 3 3 2 4 2" xfId="15456"/>
    <cellStyle name="20% - 强调文字颜色 6 2 3 3 2 5" xfId="15457"/>
    <cellStyle name="20% - 强调文字颜色 6 2 3 3 2 5 2" xfId="15458"/>
    <cellStyle name="20% - 强调文字颜色 6 2 3 3 2 6" xfId="15459"/>
    <cellStyle name="20% - 强调文字颜色 6 2 3 3 3" xfId="15460"/>
    <cellStyle name="20% - 强调文字颜色 6 2 3 3 3 2" xfId="15461"/>
    <cellStyle name="20% - 强调文字颜色 6 2 3 3 3 2 2" xfId="15462"/>
    <cellStyle name="20% - 强调文字颜色 6 2 3 3 3 2 2 2" xfId="15463"/>
    <cellStyle name="20% - 强调文字颜色 6 2 3 3 3 3" xfId="15464"/>
    <cellStyle name="20% - 强调文字颜色 6 2 3 3 3 3 2" xfId="15465"/>
    <cellStyle name="20% - 强调文字颜色 6 2 3 3 3 4" xfId="15466"/>
    <cellStyle name="20% - 强调文字颜色 6 2 3 3 3 4 2" xfId="15467"/>
    <cellStyle name="20% - 强调文字颜色 6 2 3 3 3 5" xfId="15468"/>
    <cellStyle name="20% - 强调文字颜色 6 2 3 3 4" xfId="15469"/>
    <cellStyle name="20% - 强调文字颜色 6 2 3 3 5" xfId="15470"/>
    <cellStyle name="20% - 强调文字颜色 6 2 3 3 6" xfId="15471"/>
    <cellStyle name="20% - 强调文字颜色 6 2 3 3 6 2" xfId="15472"/>
    <cellStyle name="20% - 强调文字颜色 6 2 3 3 7" xfId="15473"/>
    <cellStyle name="20% - 强调文字颜色 6 2 3 3 7 2" xfId="15474"/>
    <cellStyle name="20% - 强调文字颜色 6 2 3 4" xfId="15475"/>
    <cellStyle name="20% - 强调文字颜色 6 2 3 4 2" xfId="15476"/>
    <cellStyle name="20% - 强调文字颜色 6 2 3 4 2 2" xfId="15477"/>
    <cellStyle name="20% - 强调文字颜色 6 2 3 4 2 3" xfId="15478"/>
    <cellStyle name="20% - 强调文字颜色 6 2 3 4 2 3 2" xfId="15479"/>
    <cellStyle name="20% - 强调文字颜色 6 2 3 4 2 3 2 2" xfId="15480"/>
    <cellStyle name="20% - 强调文字颜色 6 2 3 4 2 4" xfId="15481"/>
    <cellStyle name="20% - 强调文字颜色 6 2 3 4 2 4 2" xfId="15482"/>
    <cellStyle name="20% - 强调文字颜色 6 2 3 4 2 5" xfId="15483"/>
    <cellStyle name="20% - 强调文字颜色 6 2 3 4 2 5 2" xfId="15484"/>
    <cellStyle name="20% - 强调文字颜色 6 2 3 4 2 6" xfId="15485"/>
    <cellStyle name="20% - 强调文字颜色 6 2 3 4 3" xfId="15486"/>
    <cellStyle name="20% - 强调文字颜色 6 2 3 4 4" xfId="15487"/>
    <cellStyle name="20% - 强调文字颜色 6 2 3 4 5" xfId="15488"/>
    <cellStyle name="20% - 强调文字颜色 6 2 3 4 6" xfId="15489"/>
    <cellStyle name="20% - 强调文字颜色 6 2 3 4 6 2" xfId="15490"/>
    <cellStyle name="20% - 强调文字颜色 6 2 3 4 7" xfId="15491"/>
    <cellStyle name="20% - 强调文字颜色 6 2 3 4 7 2" xfId="15492"/>
    <cellStyle name="20% - 强调文字颜色 6 2 3 5" xfId="15493"/>
    <cellStyle name="20% - 强调文字颜色 6 2 3 5 2" xfId="15494"/>
    <cellStyle name="20% - 强调文字颜色 6 2 3 5 2 2" xfId="15495"/>
    <cellStyle name="20% - 强调文字颜色 6 2 3 5 2 2 2" xfId="15496"/>
    <cellStyle name="20% - 强调文字颜色 6 2 3 5 2 2 2 2" xfId="15497"/>
    <cellStyle name="20% - 强调文字颜色 6 2 3 5 2 3" xfId="15498"/>
    <cellStyle name="20% - 强调文字颜色 6 2 3 5 2 3 2" xfId="15499"/>
    <cellStyle name="20% - 强调文字颜色 6 2 3 5 2 4" xfId="15500"/>
    <cellStyle name="20% - 强调文字颜色 6 2 3 5 2 4 2" xfId="15501"/>
    <cellStyle name="20% - 强调文字颜色 6 2 3 5 2 5" xfId="15502"/>
    <cellStyle name="20% - 强调文字颜色 6 2 3 5 3" xfId="15503"/>
    <cellStyle name="20% - 强调文字颜色 6 2 3 5 3 2" xfId="15504"/>
    <cellStyle name="20% - 强调文字颜色 6 2 3 5 3 2 2" xfId="15505"/>
    <cellStyle name="20% - 强调文字颜色 6 2 3 5 4" xfId="15506"/>
    <cellStyle name="20% - 强调文字颜色 6 2 3 5 4 2" xfId="15507"/>
    <cellStyle name="20% - 强调文字颜色 6 2 3 5 5" xfId="15508"/>
    <cellStyle name="20% - 强调文字颜色 6 2 3 5 5 2" xfId="15509"/>
    <cellStyle name="20% - 强调文字颜色 6 2 3 5 6" xfId="15510"/>
    <cellStyle name="20% - 强调文字颜色 6 2 3 6" xfId="15511"/>
    <cellStyle name="20% - 强调文字颜色 6 2 3 6 2" xfId="15512"/>
    <cellStyle name="20% - 强调文字颜色 6 2 3 6 2 2" xfId="15513"/>
    <cellStyle name="20% - 强调文字颜色 6 2 3 6 2 2 2" xfId="15514"/>
    <cellStyle name="20% - 强调文字颜色 6 2 3 6 3" xfId="15515"/>
    <cellStyle name="20% - 强调文字颜色 6 2 3 6 3 2" xfId="15516"/>
    <cellStyle name="20% - 强调文字颜色 6 2 3 6 4" xfId="15517"/>
    <cellStyle name="20% - 强调文字颜色 6 2 3 6 4 2" xfId="15518"/>
    <cellStyle name="20% - 强调文字颜色 6 2 3 6 5" xfId="15519"/>
    <cellStyle name="20% - 强调文字颜色 6 2 3 7" xfId="15520"/>
    <cellStyle name="20% - 强调文字颜色 6 2 3 7 2" xfId="15521"/>
    <cellStyle name="20% - 强调文字颜色 6 2 3 7 2 2" xfId="15522"/>
    <cellStyle name="20% - 强调文字颜色 6 2 3 7 2 2 2" xfId="15523"/>
    <cellStyle name="20% - 强调文字颜色 6 2 3 7 3" xfId="15524"/>
    <cellStyle name="20% - 强调文字颜色 6 2 3 7 3 2" xfId="15525"/>
    <cellStyle name="20% - 强调文字颜色 6 2 3 7 4" xfId="15526"/>
    <cellStyle name="20% - 强调文字颜色 6 2 3 7 4 2" xfId="15527"/>
    <cellStyle name="20% - 强调文字颜色 6 2 3 7 5" xfId="15528"/>
    <cellStyle name="20% - 强调文字颜色 6 2 3 8" xfId="15529"/>
    <cellStyle name="20% - 强调文字颜色 6 2 3 9" xfId="15530"/>
    <cellStyle name="20% - 强调文字颜色 6 2 3 9 2" xfId="15531"/>
    <cellStyle name="20% - 强调文字颜色 6 2 4" xfId="15532"/>
    <cellStyle name="20% - 强调文字颜色 6 2 4 2" xfId="15533"/>
    <cellStyle name="20% - 强调文字颜色 6 2 4 2 2" xfId="15534"/>
    <cellStyle name="20% - 强调文字颜色 6 2 4 2 3" xfId="15535"/>
    <cellStyle name="20% - 强调文字颜色 6 2 4 2 3 2" xfId="15536"/>
    <cellStyle name="20% - 强调文字颜色 6 2 4 2 3 2 2" xfId="15537"/>
    <cellStyle name="20% - 强调文字颜色 6 2 4 2 4" xfId="15538"/>
    <cellStyle name="20% - 强调文字颜色 6 2 4 2 4 2" xfId="15539"/>
    <cellStyle name="20% - 强调文字颜色 6 2 4 2 5" xfId="15540"/>
    <cellStyle name="20% - 强调文字颜色 6 2 4 2 5 2" xfId="15541"/>
    <cellStyle name="20% - 强调文字颜色 6 2 4 2 6" xfId="15542"/>
    <cellStyle name="20% - 强调文字颜色 6 2 4 3" xfId="15543"/>
    <cellStyle name="20% - 强调文字颜色 6 2 4 3 2" xfId="15544"/>
    <cellStyle name="20% - 强调文字颜色 6 2 4 3 2 2" xfId="15545"/>
    <cellStyle name="20% - 强调文字颜色 6 2 4 3 2 2 2" xfId="15546"/>
    <cellStyle name="20% - 强调文字颜色 6 2 4 3 3" xfId="15547"/>
    <cellStyle name="20% - 强调文字颜色 6 2 4 3 3 2" xfId="15548"/>
    <cellStyle name="20% - 强调文字颜色 6 2 4 3 4" xfId="15549"/>
    <cellStyle name="20% - 强调文字颜色 6 2 4 3 4 2" xfId="15550"/>
    <cellStyle name="20% - 强调文字颜色 6 2 4 3 5" xfId="15551"/>
    <cellStyle name="20% - 强调文字颜色 6 2 4 4" xfId="15552"/>
    <cellStyle name="20% - 强调文字颜色 6 2 4 5" xfId="15553"/>
    <cellStyle name="20% - 强调文字颜色 6 2 4 6" xfId="15554"/>
    <cellStyle name="20% - 强调文字颜色 6 2 4 6 2" xfId="15555"/>
    <cellStyle name="20% - 强调文字颜色 6 2 4 7" xfId="15556"/>
    <cellStyle name="20% - 强调文字颜色 6 2 4 7 2" xfId="15557"/>
    <cellStyle name="20% - 强调文字颜色 6 2 5" xfId="15558"/>
    <cellStyle name="20% - 强调文字颜色 6 2 5 2" xfId="15559"/>
    <cellStyle name="20% - 强调文字颜色 6 2 5 2 2" xfId="15560"/>
    <cellStyle name="20% - 强调文字颜色 6 2 5 2 3" xfId="15561"/>
    <cellStyle name="20% - 强调文字颜色 6 2 5 2 3 2" xfId="15562"/>
    <cellStyle name="20% - 强调文字颜色 6 2 5 2 3 2 2" xfId="15563"/>
    <cellStyle name="20% - 强调文字颜色 6 2 5 2 4" xfId="15564"/>
    <cellStyle name="20% - 强调文字颜色 6 2 5 2 4 2" xfId="15565"/>
    <cellStyle name="20% - 强调文字颜色 6 2 5 2 5" xfId="15566"/>
    <cellStyle name="20% - 强调文字颜色 6 2 5 2 5 2" xfId="15567"/>
    <cellStyle name="20% - 强调文字颜色 6 2 5 2 6" xfId="15568"/>
    <cellStyle name="20% - 强调文字颜色 6 2 5 3" xfId="15569"/>
    <cellStyle name="20% - 强调文字颜色 6 2 5 4" xfId="15570"/>
    <cellStyle name="20% - 强调文字颜色 6 2 5 5" xfId="15571"/>
    <cellStyle name="20% - 强调文字颜色 6 2 5 6" xfId="15572"/>
    <cellStyle name="20% - 强调文字颜色 6 2 5 6 2" xfId="15573"/>
    <cellStyle name="20% - 强调文字颜色 6 2 5 7" xfId="15574"/>
    <cellStyle name="20% - 强调文字颜色 6 2 5 7 2" xfId="15575"/>
    <cellStyle name="20% - 强调文字颜色 6 2 6" xfId="15576"/>
    <cellStyle name="20% - 强调文字颜色 6 2 6 2" xfId="15577"/>
    <cellStyle name="20% - 强调文字颜色 6 2 6 2 2" xfId="15578"/>
    <cellStyle name="20% - 强调文字颜色 6 2 6 2 2 2" xfId="15579"/>
    <cellStyle name="20% - 强调文字颜色 6 2 6 2 2 2 2" xfId="15580"/>
    <cellStyle name="20% - 强调文字颜色 6 2 6 2 3" xfId="15581"/>
    <cellStyle name="20% - 强调文字颜色 6 2 6 2 3 2" xfId="15582"/>
    <cellStyle name="20% - 强调文字颜色 6 2 6 2 4" xfId="15583"/>
    <cellStyle name="20% - 强调文字颜色 6 2 6 2 4 2" xfId="15584"/>
    <cellStyle name="20% - 强调文字颜色 6 2 6 2 5" xfId="15585"/>
    <cellStyle name="20% - 强调文字颜色 6 2 6 3" xfId="15586"/>
    <cellStyle name="20% - 强调文字颜色 6 2 6 3 2" xfId="15587"/>
    <cellStyle name="20% - 强调文字颜色 6 2 6 3 2 2" xfId="15588"/>
    <cellStyle name="20% - 强调文字颜色 6 2 6 4" xfId="15589"/>
    <cellStyle name="20% - 强调文字颜色 6 2 6 4 2" xfId="15590"/>
    <cellStyle name="20% - 强调文字颜色 6 2 6 5" xfId="15591"/>
    <cellStyle name="20% - 强调文字颜色 6 2 6 5 2" xfId="15592"/>
    <cellStyle name="20% - 强调文字颜色 6 2 6 6" xfId="15593"/>
    <cellStyle name="20% - 强调文字颜色 6 2 7" xfId="15594"/>
    <cellStyle name="20% - 强调文字颜色 6 2 7 2" xfId="15595"/>
    <cellStyle name="20% - 强调文字颜色 6 2 7 2 2" xfId="15596"/>
    <cellStyle name="20% - 强调文字颜色 6 2 7 2 2 2" xfId="15597"/>
    <cellStyle name="20% - 强调文字颜色 6 2 7 2 2 2 2" xfId="15598"/>
    <cellStyle name="20% - 强调文字颜色 6 2 7 2 3" xfId="15599"/>
    <cellStyle name="20% - 强调文字颜色 6 2 7 2 3 2" xfId="15600"/>
    <cellStyle name="20% - 强调文字颜色 6 2 7 2 4" xfId="15601"/>
    <cellStyle name="20% - 强调文字颜色 6 2 7 2 4 2" xfId="15602"/>
    <cellStyle name="20% - 强调文字颜色 6 2 7 2 5" xfId="15603"/>
    <cellStyle name="20% - 强调文字颜色 6 2 7 3" xfId="15604"/>
    <cellStyle name="20% - 强调文字颜色 6 2 7 3 2" xfId="15605"/>
    <cellStyle name="20% - 强调文字颜色 6 2 7 3 2 2" xfId="15606"/>
    <cellStyle name="20% - 强调文字颜色 6 2 7 4" xfId="15607"/>
    <cellStyle name="20% - 强调文字颜色 6 2 7 4 2" xfId="15608"/>
    <cellStyle name="20% - 强调文字颜色 6 2 7 5" xfId="15609"/>
    <cellStyle name="20% - 强调文字颜色 6 2 7 5 2" xfId="15610"/>
    <cellStyle name="20% - 强调文字颜色 6 2 7 6" xfId="15611"/>
    <cellStyle name="20% - 强调文字颜色 6 2 8" xfId="15612"/>
    <cellStyle name="20% - 强调文字颜色 6 2 8 2" xfId="15613"/>
    <cellStyle name="20% - 强调文字颜色 6 2 8 2 2" xfId="15614"/>
    <cellStyle name="20% - 强调文字颜色 6 2 8 2 2 2" xfId="15615"/>
    <cellStyle name="20% - 强调文字颜色 6 2 8 2 2 2 2" xfId="15616"/>
    <cellStyle name="20% - 强调文字颜色 6 2 8 2 3" xfId="15617"/>
    <cellStyle name="20% - 强调文字颜色 6 2 8 2 3 2" xfId="15618"/>
    <cellStyle name="20% - 强调文字颜色 6 2 8 2 4" xfId="15619"/>
    <cellStyle name="20% - 强调文字颜色 6 2 8 2 4 2" xfId="15620"/>
    <cellStyle name="20% - 强调文字颜色 6 2 8 2 5" xfId="15621"/>
    <cellStyle name="20% - 强调文字颜色 6 2 8 3" xfId="15622"/>
    <cellStyle name="20% - 强调文字颜色 6 2 8 3 2" xfId="15623"/>
    <cellStyle name="20% - 强调文字颜色 6 2 8 3 2 2" xfId="15624"/>
    <cellStyle name="20% - 强调文字颜色 6 2 8 4" xfId="15625"/>
    <cellStyle name="20% - 强调文字颜色 6 2 8 4 2" xfId="15626"/>
    <cellStyle name="20% - 强调文字颜色 6 2 8 5" xfId="15627"/>
    <cellStyle name="20% - 强调文字颜色 6 2 8 5 2" xfId="15628"/>
    <cellStyle name="20% - 强调文字颜色 6 2 8 6" xfId="15629"/>
    <cellStyle name="20% - 强调文字颜色 6 2 9" xfId="15630"/>
    <cellStyle name="20% - 强调文字颜色 6 2 9 2" xfId="15631"/>
    <cellStyle name="20% - 强调文字颜色 6 2 9 2 2" xfId="15632"/>
    <cellStyle name="20% - 强调文字颜色 6 2 9 2 2 2" xfId="15633"/>
    <cellStyle name="20% - 强调文字颜色 6 2 9 3" xfId="15634"/>
    <cellStyle name="20% - 强调文字颜色 6 2 9 3 2" xfId="15635"/>
    <cellStyle name="20% - 强调文字颜色 6 2 9 4" xfId="15636"/>
    <cellStyle name="20% - 强调文字颜色 6 2 9 4 2" xfId="15637"/>
    <cellStyle name="20% - 强调文字颜色 6 2 9 5" xfId="15638"/>
    <cellStyle name="20% - 强调文字颜色 6 3" xfId="15639"/>
    <cellStyle name="20% - 强调文字颜色 6 3 2" xfId="15640"/>
    <cellStyle name="20% - 强调文字颜色 6 3 2 2" xfId="15641"/>
    <cellStyle name="20% - 强调文字颜色 6 3 2 2 2" xfId="15642"/>
    <cellStyle name="20% - 强调文字颜色 6 3 2 2 2 2" xfId="15643"/>
    <cellStyle name="20% - 强调文字颜色 6 3 2 2 2 3" xfId="15644"/>
    <cellStyle name="20% - 强调文字颜色 6 3 2 2 2 3 2" xfId="15645"/>
    <cellStyle name="20% - 强调文字颜色 6 3 2 2 2 3 2 2" xfId="15646"/>
    <cellStyle name="20% - 强调文字颜色 6 3 2 2 2 4" xfId="15647"/>
    <cellStyle name="20% - 强调文字颜色 6 3 2 2 2 4 2" xfId="15648"/>
    <cellStyle name="20% - 强调文字颜色 6 3 2 2 2 5" xfId="15649"/>
    <cellStyle name="20% - 强调文字颜色 6 3 2 2 2 5 2" xfId="15650"/>
    <cellStyle name="20% - 强调文字颜色 6 3 2 2 2 6" xfId="15651"/>
    <cellStyle name="20% - 强调文字颜色 6 3 2 2 3" xfId="15652"/>
    <cellStyle name="20% - 强调文字颜色 6 3 2 2 3 2" xfId="15653"/>
    <cellStyle name="20% - 强调文字颜色 6 3 2 2 3 2 2" xfId="15654"/>
    <cellStyle name="20% - 强调文字颜色 6 3 2 2 3 2 2 2" xfId="15655"/>
    <cellStyle name="20% - 强调文字颜色 6 3 2 2 3 3" xfId="15656"/>
    <cellStyle name="20% - 强调文字颜色 6 3 2 2 3 3 2" xfId="15657"/>
    <cellStyle name="20% - 强调文字颜色 6 3 2 2 3 4" xfId="15658"/>
    <cellStyle name="20% - 强调文字颜色 6 3 2 2 3 4 2" xfId="15659"/>
    <cellStyle name="20% - 强调文字颜色 6 3 2 2 3 5" xfId="15660"/>
    <cellStyle name="20% - 强调文字颜色 6 3 2 2 4" xfId="15661"/>
    <cellStyle name="20% - 强调文字颜色 6 3 2 2 5" xfId="15662"/>
    <cellStyle name="20% - 强调文字颜色 6 3 2 2 6" xfId="15663"/>
    <cellStyle name="20% - 强调文字颜色 6 3 2 2 6 2" xfId="15664"/>
    <cellStyle name="20% - 强调文字颜色 6 3 2 2 7" xfId="15665"/>
    <cellStyle name="20% - 强调文字颜色 6 3 2 2 7 2" xfId="15666"/>
    <cellStyle name="20% - 强调文字颜色 6 3 2 3" xfId="15667"/>
    <cellStyle name="20% - 强调文字颜色 6 3 2 3 2" xfId="15668"/>
    <cellStyle name="20% - 强调文字颜色 6 3 2 3 3" xfId="15669"/>
    <cellStyle name="20% - 强调文字颜色 6 3 2 3 3 2" xfId="15670"/>
    <cellStyle name="20% - 强调文字颜色 6 3 2 3 3 2 2" xfId="15671"/>
    <cellStyle name="20% - 强调文字颜色 6 3 2 3 4" xfId="15672"/>
    <cellStyle name="20% - 强调文字颜色 6 3 2 3 4 2" xfId="15673"/>
    <cellStyle name="20% - 强调文字颜色 6 3 2 3 5" xfId="15674"/>
    <cellStyle name="20% - 强调文字颜色 6 3 2 3 5 2" xfId="15675"/>
    <cellStyle name="20% - 强调文字颜色 6 3 2 3 6" xfId="15676"/>
    <cellStyle name="20% - 强调文字颜色 6 3 2 4" xfId="15677"/>
    <cellStyle name="20% - 强调文字颜色 6 3 2 4 2" xfId="15678"/>
    <cellStyle name="20% - 强调文字颜色 6 3 2 4 2 2" xfId="15679"/>
    <cellStyle name="20% - 强调文字颜色 6 3 2 4 2 2 2" xfId="15680"/>
    <cellStyle name="20% - 强调文字颜色 6 3 2 4 3" xfId="15681"/>
    <cellStyle name="20% - 强调文字颜色 6 3 2 4 3 2" xfId="15682"/>
    <cellStyle name="20% - 强调文字颜色 6 3 2 4 4" xfId="15683"/>
    <cellStyle name="20% - 强调文字颜色 6 3 2 4 4 2" xfId="15684"/>
    <cellStyle name="20% - 强调文字颜色 6 3 2 4 5" xfId="15685"/>
    <cellStyle name="20% - 强调文字颜色 6 3 2 5" xfId="15686"/>
    <cellStyle name="20% - 强调文字颜色 6 3 2 6" xfId="15687"/>
    <cellStyle name="20% - 强调文字颜色 6 3 2 7" xfId="15688"/>
    <cellStyle name="20% - 强调文字颜色 6 3 2 7 2" xfId="15689"/>
    <cellStyle name="20% - 强调文字颜色 6 3 2 8" xfId="15690"/>
    <cellStyle name="20% - 强调文字颜色 6 3 2 8 2" xfId="15691"/>
    <cellStyle name="20% - 强调文字颜色 6 3 3" xfId="15692"/>
    <cellStyle name="20% - 强调文字颜色 6 3 3 2" xfId="15693"/>
    <cellStyle name="20% - 强调文字颜色 6 3 3 2 2" xfId="15694"/>
    <cellStyle name="20% - 强调文字颜色 6 3 3 2 3" xfId="15695"/>
    <cellStyle name="20% - 强调文字颜色 6 3 3 2 3 2" xfId="15696"/>
    <cellStyle name="20% - 强调文字颜色 6 3 3 2 3 2 2" xfId="15697"/>
    <cellStyle name="20% - 强调文字颜色 6 3 3 2 4" xfId="15698"/>
    <cellStyle name="20% - 强调文字颜色 6 3 3 2 4 2" xfId="15699"/>
    <cellStyle name="20% - 强调文字颜色 6 3 3 2 5" xfId="15700"/>
    <cellStyle name="20% - 强调文字颜色 6 3 3 2 5 2" xfId="15701"/>
    <cellStyle name="20% - 强调文字颜色 6 3 3 2 6" xfId="15702"/>
    <cellStyle name="20% - 强调文字颜色 6 3 3 3" xfId="15703"/>
    <cellStyle name="20% - 强调文字颜色 6 3 3 3 2" xfId="15704"/>
    <cellStyle name="20% - 强调文字颜色 6 3 3 3 2 2" xfId="15705"/>
    <cellStyle name="20% - 强调文字颜色 6 3 3 3 2 2 2" xfId="15706"/>
    <cellStyle name="20% - 强调文字颜色 6 3 3 3 3" xfId="15707"/>
    <cellStyle name="20% - 强调文字颜色 6 3 3 3 3 2" xfId="15708"/>
    <cellStyle name="20% - 强调文字颜色 6 3 3 3 4" xfId="15709"/>
    <cellStyle name="20% - 强调文字颜色 6 3 3 3 4 2" xfId="15710"/>
    <cellStyle name="20% - 强调文字颜色 6 3 3 3 5" xfId="15711"/>
    <cellStyle name="20% - 强调文字颜色 6 3 3 4" xfId="15712"/>
    <cellStyle name="20% - 强调文字颜色 6 3 3 5" xfId="15713"/>
    <cellStyle name="20% - 强调文字颜色 6 3 3 6" xfId="15714"/>
    <cellStyle name="20% - 强调文字颜色 6 3 3 6 2" xfId="15715"/>
    <cellStyle name="20% - 强调文字颜色 6 3 3 7" xfId="15716"/>
    <cellStyle name="20% - 强调文字颜色 6 3 3 7 2" xfId="15717"/>
    <cellStyle name="20% - 强调文字颜色 6 3 4" xfId="15718"/>
    <cellStyle name="20% - 强调文字颜色 6 3 4 2" xfId="15719"/>
    <cellStyle name="20% - 强调文字颜色 6 3 4 2 2" xfId="15720"/>
    <cellStyle name="20% - 强调文字颜色 6 3 4 2 3" xfId="15721"/>
    <cellStyle name="20% - 强调文字颜色 6 3 4 2 3 2" xfId="15722"/>
    <cellStyle name="20% - 强调文字颜色 6 3 4 2 3 2 2" xfId="15723"/>
    <cellStyle name="20% - 强调文字颜色 6 3 4 2 4" xfId="15724"/>
    <cellStyle name="20% - 强调文字颜色 6 3 4 2 4 2" xfId="15725"/>
    <cellStyle name="20% - 强调文字颜色 6 3 4 2 5" xfId="15726"/>
    <cellStyle name="20% - 强调文字颜色 6 3 4 2 5 2" xfId="15727"/>
    <cellStyle name="20% - 强调文字颜色 6 3 4 2 6" xfId="15728"/>
    <cellStyle name="20% - 强调文字颜色 6 3 4 3" xfId="15729"/>
    <cellStyle name="20% - 强调文字颜色 6 3 4 4" xfId="15730"/>
    <cellStyle name="20% - 强调文字颜色 6 3 4 5" xfId="15731"/>
    <cellStyle name="20% - 强调文字颜色 6 3 4 6" xfId="15732"/>
    <cellStyle name="20% - 强调文字颜色 6 3 4 6 2" xfId="15733"/>
    <cellStyle name="20% - 强调文字颜色 6 3 4 7" xfId="15734"/>
    <cellStyle name="20% - 强调文字颜色 6 3 4 7 2" xfId="15735"/>
    <cellStyle name="20% - 强调文字颜色 6 3 5" xfId="15736"/>
    <cellStyle name="20% - 强调文字颜色 6 3 5 2" xfId="15737"/>
    <cellStyle name="20% - 强调文字颜色 6 3 5 2 2" xfId="15738"/>
    <cellStyle name="20% - 强调文字颜色 6 3 5 2 2 2" xfId="15739"/>
    <cellStyle name="20% - 强调文字颜色 6 3 5 2 2 2 2" xfId="15740"/>
    <cellStyle name="20% - 强调文字颜色 6 3 5 2 3" xfId="15741"/>
    <cellStyle name="20% - 强调文字颜色 6 3 5 2 3 2" xfId="15742"/>
    <cellStyle name="20% - 强调文字颜色 6 3 5 2 4" xfId="15743"/>
    <cellStyle name="20% - 强调文字颜色 6 3 5 2 4 2" xfId="15744"/>
    <cellStyle name="20% - 强调文字颜色 6 3 5 2 5" xfId="15745"/>
    <cellStyle name="20% - 强调文字颜色 6 3 5 3" xfId="15746"/>
    <cellStyle name="20% - 强调文字颜色 6 3 5 3 2" xfId="15747"/>
    <cellStyle name="20% - 强调文字颜色 6 3 5 3 2 2" xfId="15748"/>
    <cellStyle name="20% - 强调文字颜色 6 3 5 4" xfId="15749"/>
    <cellStyle name="20% - 强调文字颜色 6 3 5 4 2" xfId="15750"/>
    <cellStyle name="20% - 强调文字颜色 6 3 5 5" xfId="15751"/>
    <cellStyle name="20% - 强调文字颜色 6 3 5 5 2" xfId="15752"/>
    <cellStyle name="20% - 强调文字颜色 6 3 5 6" xfId="15753"/>
    <cellStyle name="20% - 强调文字颜色 6 3 6" xfId="15754"/>
    <cellStyle name="20% - 强调文字颜色 6 3 6 2" xfId="15755"/>
    <cellStyle name="20% - 强调文字颜色 6 3 6 2 2" xfId="15756"/>
    <cellStyle name="20% - 强调文字颜色 6 3 6 2 2 2" xfId="15757"/>
    <cellStyle name="20% - 强调文字颜色 6 3 6 3" xfId="15758"/>
    <cellStyle name="20% - 强调文字颜色 6 3 6 3 2" xfId="15759"/>
    <cellStyle name="20% - 强调文字颜色 6 3 6 4" xfId="15760"/>
    <cellStyle name="20% - 强调文字颜色 6 3 6 4 2" xfId="15761"/>
    <cellStyle name="20% - 强调文字颜色 6 3 6 5" xfId="15762"/>
    <cellStyle name="20% - 强调文字颜色 6 3 7" xfId="15763"/>
    <cellStyle name="20% - 强调文字颜色 6 3 8" xfId="15764"/>
    <cellStyle name="20% - 强调文字颜色 6 3 8 2" xfId="15765"/>
    <cellStyle name="20% - 强调文字颜色 6 3 9" xfId="15766"/>
    <cellStyle name="20% - 强调文字颜色 6 3 9 2" xfId="15767"/>
    <cellStyle name="40% - ?????? 1oft\Sh" xfId="15768"/>
    <cellStyle name="40% - ?????? 1oft\Sh 2" xfId="15769"/>
    <cellStyle name="40% - ?????? 1oft\Sh 2 2" xfId="15770"/>
    <cellStyle name="40% - ?????? 1oft\Sh 3" xfId="15771"/>
    <cellStyle name="40% - ?????? 1oft\Sh 3 2" xfId="15772"/>
    <cellStyle name="40% - ?????? 1oft\Sh 3 3" xfId="15773"/>
    <cellStyle name="40% - ?????? 1oft\Sh 4" xfId="15774"/>
    <cellStyle name="40% - ?????? 1oft\Sh 4 2" xfId="15775"/>
    <cellStyle name="40% - ?????? 2oft\Sh" xfId="15776"/>
    <cellStyle name="40% - ?????? 2oft\Sh 2" xfId="15777"/>
    <cellStyle name="40% - ?????? 2oft\Sh 2 2" xfId="15778"/>
    <cellStyle name="40% - ?????? 2oft\Sh 3" xfId="15779"/>
    <cellStyle name="40% - ?????? 2oft\Sh 3 2" xfId="15780"/>
    <cellStyle name="40% - ?????? 2oft\Sh 3 3" xfId="15781"/>
    <cellStyle name="40% - ?????? 2oft\Sh 4" xfId="15782"/>
    <cellStyle name="40% - ?????? 2oft\Sh 4 2" xfId="15783"/>
    <cellStyle name="40% - ?????? 3oft\Sh" xfId="15784"/>
    <cellStyle name="40% - ?????? 3oft\Sh 2" xfId="15785"/>
    <cellStyle name="40% - ?????? 3oft\Sh 2 2" xfId="15786"/>
    <cellStyle name="40% - ?????? 3oft\Sh 3" xfId="15787"/>
    <cellStyle name="40% - ?????? 3oft\Sh 3 2" xfId="15788"/>
    <cellStyle name="40% - ?????? 3oft\Sh 3 3" xfId="15789"/>
    <cellStyle name="40% - ?????? 3oft\Sh 4" xfId="15790"/>
    <cellStyle name="40% - ?????? 3oft\Sh 4 2" xfId="15791"/>
    <cellStyle name="40% - ?????? 4oft\Sh" xfId="15792"/>
    <cellStyle name="40% - ?????? 4oft\Sh 2" xfId="15793"/>
    <cellStyle name="40% - ?????? 4oft\Sh 2 2" xfId="15794"/>
    <cellStyle name="40% - ?????? 4oft\Sh 3" xfId="15795"/>
    <cellStyle name="40% - ?????? 4oft\Sh 3 2" xfId="15796"/>
    <cellStyle name="40% - ?????? 4oft\Sh 3 3" xfId="15797"/>
    <cellStyle name="40% - ?????? 4oft\Sh 4" xfId="15798"/>
    <cellStyle name="40% - ?????? 4oft\Sh 4 2" xfId="15799"/>
    <cellStyle name="40% - ?????? 5oft\Sh" xfId="15800"/>
    <cellStyle name="40% - ?????? 5oft\Sh 2" xfId="15801"/>
    <cellStyle name="40% - ?????? 5oft\Sh 2 2" xfId="15802"/>
    <cellStyle name="40% - ?????? 5oft\Sh 3" xfId="15803"/>
    <cellStyle name="40% - ?????? 5oft\Sh 3 2" xfId="15804"/>
    <cellStyle name="40% - ?????? 5oft\Sh 3 3" xfId="15805"/>
    <cellStyle name="40% - ?????? 5oft\Sh 4" xfId="15806"/>
    <cellStyle name="40% - ?????? 5oft\Sh 4 2" xfId="15807"/>
    <cellStyle name="40% - ?????? 6oft\Sh" xfId="15808"/>
    <cellStyle name="40% - ?????? 6oft\Sh 2" xfId="15809"/>
    <cellStyle name="40% - ?????? 6oft\Sh 2 2" xfId="15810"/>
    <cellStyle name="40% - ?????? 6oft\Sh 3" xfId="15811"/>
    <cellStyle name="40% - ?????? 6oft\Sh 3 2" xfId="15812"/>
    <cellStyle name="40% - ?????? 6oft\Sh 3 3" xfId="15813"/>
    <cellStyle name="40% - ?????? 6oft\Sh 4" xfId="15814"/>
    <cellStyle name="40% - ?????? 6oft\Sh 4 2" xfId="15815"/>
    <cellStyle name="40% - ???1nt6" xfId="15816"/>
    <cellStyle name="40% - ???1nt6 2" xfId="15817"/>
    <cellStyle name="40% - ???1nt6 3" xfId="15818"/>
    <cellStyle name="40% - ???1nt6 3 2" xfId="15819"/>
    <cellStyle name="40% - ???1nt6 3 3" xfId="15820"/>
    <cellStyle name="40% - ???1nt6 4" xfId="15821"/>
    <cellStyle name="40% - ???2nt6" xfId="15822"/>
    <cellStyle name="40% - ???2nt6 2" xfId="15823"/>
    <cellStyle name="40% - ???2nt6 3" xfId="15824"/>
    <cellStyle name="40% - ???2nt6 3 2" xfId="15825"/>
    <cellStyle name="40% - ???2nt6 3 3" xfId="15826"/>
    <cellStyle name="40% - ???2nt6 4" xfId="15827"/>
    <cellStyle name="40% - ???3nt6" xfId="15828"/>
    <cellStyle name="40% - ???3nt6 2" xfId="15829"/>
    <cellStyle name="40% - ???3nt6 3" xfId="15830"/>
    <cellStyle name="40% - ???3nt6 3 2" xfId="15831"/>
    <cellStyle name="40% - ???3nt6 3 3" xfId="15832"/>
    <cellStyle name="40% - ???3nt6 4" xfId="15833"/>
    <cellStyle name="40% - ???4nt6" xfId="15834"/>
    <cellStyle name="40% - ???4nt6 2" xfId="15835"/>
    <cellStyle name="40% - ???4nt6 3" xfId="15836"/>
    <cellStyle name="40% - ???4nt6 3 2" xfId="15837"/>
    <cellStyle name="40% - ???4nt6 3 3" xfId="15838"/>
    <cellStyle name="40% - ???4nt6 4" xfId="15839"/>
    <cellStyle name="40% - ???5nt6" xfId="15840"/>
    <cellStyle name="40% - ???5nt6 2" xfId="15841"/>
    <cellStyle name="40% - ???5nt6 3" xfId="15842"/>
    <cellStyle name="40% - ???5nt6 3 2" xfId="15843"/>
    <cellStyle name="40% - ???5nt6 3 3" xfId="15844"/>
    <cellStyle name="40% - ???5nt6 4" xfId="15845"/>
    <cellStyle name="40% - ???6nt6" xfId="15846"/>
    <cellStyle name="40% - ???6nt6 2" xfId="15847"/>
    <cellStyle name="40% - ???6nt6 3" xfId="15848"/>
    <cellStyle name="40% - ???6nt6 3 2" xfId="15849"/>
    <cellStyle name="40% - ???6nt6 3 3" xfId="15850"/>
    <cellStyle name="40% - ???6nt6 4" xfId="15851"/>
    <cellStyle name="40% - Accent1 10" xfId="15852"/>
    <cellStyle name="40% - Accent1 10 2" xfId="15853"/>
    <cellStyle name="40% - Accent1 2" xfId="15854"/>
    <cellStyle name="40% - Accent1 2 2" xfId="15855"/>
    <cellStyle name="40% - Accent1 2 3" xfId="15856"/>
    <cellStyle name="40% - Accent1 3" xfId="15857"/>
    <cellStyle name="40% - Accent1 3 2" xfId="15858"/>
    <cellStyle name="40% - Accent1 4" xfId="15859"/>
    <cellStyle name="40% - Accent1 4 2" xfId="15860"/>
    <cellStyle name="40% - Accent1 5" xfId="15861"/>
    <cellStyle name="40% - Accent1 5 2" xfId="15862"/>
    <cellStyle name="40% - Accent1 6" xfId="15863"/>
    <cellStyle name="40% - Accent1 7" xfId="15864"/>
    <cellStyle name="40% - Accent1 8" xfId="15865"/>
    <cellStyle name="40% - Accent1 9" xfId="15866"/>
    <cellStyle name="40% - Accent2 10" xfId="15867"/>
    <cellStyle name="40% - Accent2 10 2" xfId="15868"/>
    <cellStyle name="40% - Accent2 2" xfId="15869"/>
    <cellStyle name="40% - Accent2 2 2" xfId="15870"/>
    <cellStyle name="40% - Accent2 2 3" xfId="15871"/>
    <cellStyle name="40% - Accent2 3" xfId="15872"/>
    <cellStyle name="40% - Accent2 3 2" xfId="15873"/>
    <cellStyle name="40% - Accent2 4" xfId="15874"/>
    <cellStyle name="40% - Accent2 4 2" xfId="15875"/>
    <cellStyle name="40% - Accent2 5" xfId="15876"/>
    <cellStyle name="40% - Accent2 5 2" xfId="15877"/>
    <cellStyle name="40% - Accent2 6" xfId="15878"/>
    <cellStyle name="40% - Accent2 7" xfId="15879"/>
    <cellStyle name="40% - Accent2 8" xfId="15880"/>
    <cellStyle name="40% - Accent2 9" xfId="15881"/>
    <cellStyle name="40% - Accent3 10" xfId="15882"/>
    <cellStyle name="40% - Accent3 10 2" xfId="15883"/>
    <cellStyle name="40% - Accent3 2" xfId="15884"/>
    <cellStyle name="40% - Accent3 2 2" xfId="15885"/>
    <cellStyle name="40% - Accent3 2 3" xfId="15886"/>
    <cellStyle name="40% - Accent3 3" xfId="15887"/>
    <cellStyle name="40% - Accent3 3 2" xfId="15888"/>
    <cellStyle name="40% - Accent3 4" xfId="15889"/>
    <cellStyle name="40% - Accent3 4 2" xfId="15890"/>
    <cellStyle name="40% - Accent3 5" xfId="15891"/>
    <cellStyle name="40% - Accent3 5 2" xfId="15892"/>
    <cellStyle name="40% - Accent3 6" xfId="15893"/>
    <cellStyle name="40% - Accent3 7" xfId="15894"/>
    <cellStyle name="40% - Accent3 8" xfId="15895"/>
    <cellStyle name="40% - Accent3 9" xfId="15896"/>
    <cellStyle name="40% - Accent4 10" xfId="15897"/>
    <cellStyle name="40% - Accent4 10 2" xfId="15898"/>
    <cellStyle name="40% - Accent4 2" xfId="15899"/>
    <cellStyle name="40% - Accent4 2 2" xfId="15900"/>
    <cellStyle name="40% - Accent4 2 3" xfId="15901"/>
    <cellStyle name="40% - Accent4 3" xfId="15902"/>
    <cellStyle name="40% - Accent4 3 2" xfId="15903"/>
    <cellStyle name="40% - Accent4 4" xfId="15904"/>
    <cellStyle name="40% - Accent4 4 2" xfId="15905"/>
    <cellStyle name="40% - Accent4 5" xfId="15906"/>
    <cellStyle name="40% - Accent4 5 2" xfId="15907"/>
    <cellStyle name="40% - Accent4 6" xfId="15908"/>
    <cellStyle name="40% - Accent4 7" xfId="15909"/>
    <cellStyle name="40% - Accent4 8" xfId="15910"/>
    <cellStyle name="40% - Accent4 9" xfId="15911"/>
    <cellStyle name="40% - Accent5 10" xfId="15912"/>
    <cellStyle name="40% - Accent5 10 2" xfId="15913"/>
    <cellStyle name="40% - Accent5 2" xfId="15914"/>
    <cellStyle name="40% - Accent5 2 2" xfId="15915"/>
    <cellStyle name="40% - Accent5 2 3" xfId="15916"/>
    <cellStyle name="40% - Accent5 2 4" xfId="15917"/>
    <cellStyle name="40% - Accent5 3" xfId="15918"/>
    <cellStyle name="40% - Accent5 3 2" xfId="15919"/>
    <cellStyle name="40% - Accent5 4" xfId="15920"/>
    <cellStyle name="40% - Accent5 4 2" xfId="15921"/>
    <cellStyle name="40% - Accent5 5" xfId="15922"/>
    <cellStyle name="40% - Accent5 5 2" xfId="15923"/>
    <cellStyle name="40% - Accent5 6" xfId="15924"/>
    <cellStyle name="40% - Accent5 7" xfId="15925"/>
    <cellStyle name="40% - Accent5 8" xfId="15926"/>
    <cellStyle name="40% - Accent5 9" xfId="15927"/>
    <cellStyle name="40% - Accent6 10" xfId="15928"/>
    <cellStyle name="40% - Accent6 10 2" xfId="15929"/>
    <cellStyle name="40% - Accent6 2" xfId="15930"/>
    <cellStyle name="40% - Accent6 2 2" xfId="15931"/>
    <cellStyle name="40% - Accent6 2 3" xfId="15932"/>
    <cellStyle name="40% - Accent6 3" xfId="15933"/>
    <cellStyle name="40% - Accent6 3 2" xfId="15934"/>
    <cellStyle name="40% - Accent6 4" xfId="15935"/>
    <cellStyle name="40% - Accent6 4 2" xfId="15936"/>
    <cellStyle name="40% - Accent6 5" xfId="15937"/>
    <cellStyle name="40% - Accent6 5 2" xfId="15938"/>
    <cellStyle name="40% - Accent6 6" xfId="15939"/>
    <cellStyle name="40% - Accent6 7" xfId="15940"/>
    <cellStyle name="40% - Accent6 8" xfId="15941"/>
    <cellStyle name="40% - Accent6 9" xfId="15942"/>
    <cellStyle name="40% — акцент1 2" xfId="15943"/>
    <cellStyle name="40% — акцент1 2 2" xfId="15944"/>
    <cellStyle name="40% — акцент1 2 2 2" xfId="15945"/>
    <cellStyle name="40% — акцент1 2 2 3" xfId="15946"/>
    <cellStyle name="40% — акцент1 2 2 4" xfId="15947"/>
    <cellStyle name="40% — акцент1 2 2 5" xfId="15948"/>
    <cellStyle name="40% — акцент1 2 2 6" xfId="15949"/>
    <cellStyle name="40% — акцент1 2 3" xfId="15950"/>
    <cellStyle name="40% — акцент1 2 4" xfId="15951"/>
    <cellStyle name="40% — акцент1 2 5" xfId="15952"/>
    <cellStyle name="40% — акцент1 2 6" xfId="15953"/>
    <cellStyle name="40% — акцент1 2 7" xfId="15954"/>
    <cellStyle name="40% — акцент1 2 8" xfId="15955"/>
    <cellStyle name="40% — акцент1 3" xfId="15956"/>
    <cellStyle name="40% — акцент1 3 2" xfId="15957"/>
    <cellStyle name="40% — акцент1 3 3" xfId="15958"/>
    <cellStyle name="40% — акцент1 3 4" xfId="15959"/>
    <cellStyle name="40% — акцент1 3 5" xfId="15960"/>
    <cellStyle name="40% — акцент1 3 6" xfId="15961"/>
    <cellStyle name="40% — акцент1 4" xfId="15962"/>
    <cellStyle name="40% — акцент1 5" xfId="15963"/>
    <cellStyle name="40% — акцент2 2" xfId="15964"/>
    <cellStyle name="40% — акцент2 2 2" xfId="15965"/>
    <cellStyle name="40% — акцент2 2 2 2" xfId="15966"/>
    <cellStyle name="40% — акцент2 2 2 3" xfId="15967"/>
    <cellStyle name="40% — акцент2 2 2 4" xfId="15968"/>
    <cellStyle name="40% — акцент2 2 2 5" xfId="15969"/>
    <cellStyle name="40% — акцент2 2 2 6" xfId="15970"/>
    <cellStyle name="40% — акцент2 2 3" xfId="15971"/>
    <cellStyle name="40% — акцент2 2 4" xfId="15972"/>
    <cellStyle name="40% — акцент2 2 5" xfId="15973"/>
    <cellStyle name="40% — акцент2 2 6" xfId="15974"/>
    <cellStyle name="40% — акцент2 2 7" xfId="15975"/>
    <cellStyle name="40% — акцент2 2 8" xfId="15976"/>
    <cellStyle name="40% — акцент2 3" xfId="15977"/>
    <cellStyle name="40% — акцент2 3 2" xfId="15978"/>
    <cellStyle name="40% — акцент2 3 3" xfId="15979"/>
    <cellStyle name="40% — акцент2 3 4" xfId="15980"/>
    <cellStyle name="40% — акцент2 3 5" xfId="15981"/>
    <cellStyle name="40% — акцент2 3 6" xfId="15982"/>
    <cellStyle name="40% — акцент2 4" xfId="15983"/>
    <cellStyle name="40% — акцент2 5" xfId="15984"/>
    <cellStyle name="40% — акцент3 2" xfId="15985"/>
    <cellStyle name="40% — акцент3 2 2" xfId="15986"/>
    <cellStyle name="40% — акцент3 2 2 2" xfId="15987"/>
    <cellStyle name="40% — акцент3 2 2 3" xfId="15988"/>
    <cellStyle name="40% — акцент3 2 2 4" xfId="15989"/>
    <cellStyle name="40% — акцент3 2 2 5" xfId="15990"/>
    <cellStyle name="40% — акцент3 2 2 6" xfId="15991"/>
    <cellStyle name="40% — акцент3 2 3" xfId="15992"/>
    <cellStyle name="40% — акцент3 2 4" xfId="15993"/>
    <cellStyle name="40% — акцент3 2 5" xfId="15994"/>
    <cellStyle name="40% — акцент3 2 6" xfId="15995"/>
    <cellStyle name="40% — акцент3 2 7" xfId="15996"/>
    <cellStyle name="40% — акцент3 2 8" xfId="15997"/>
    <cellStyle name="40% — акцент3 3" xfId="15998"/>
    <cellStyle name="40% — акцент3 3 2" xfId="15999"/>
    <cellStyle name="40% — акцент3 3 3" xfId="16000"/>
    <cellStyle name="40% — акцент3 3 4" xfId="16001"/>
    <cellStyle name="40% — акцент3 3 5" xfId="16002"/>
    <cellStyle name="40% — акцент3 3 6" xfId="16003"/>
    <cellStyle name="40% — акцент3 4" xfId="16004"/>
    <cellStyle name="40% — акцент3 5" xfId="16005"/>
    <cellStyle name="40% — акцент4 2" xfId="16006"/>
    <cellStyle name="40% — акцент4 2 2" xfId="16007"/>
    <cellStyle name="40% — акцент4 2 2 2" xfId="16008"/>
    <cellStyle name="40% — акцент4 2 2 3" xfId="16009"/>
    <cellStyle name="40% — акцент4 2 2 4" xfId="16010"/>
    <cellStyle name="40% — акцент4 2 2 5" xfId="16011"/>
    <cellStyle name="40% — акцент4 2 2 6" xfId="16012"/>
    <cellStyle name="40% — акцент4 2 3" xfId="16013"/>
    <cellStyle name="40% — акцент4 2 4" xfId="16014"/>
    <cellStyle name="40% — акцент4 2 5" xfId="16015"/>
    <cellStyle name="40% — акцент4 2 6" xfId="16016"/>
    <cellStyle name="40% — акцент4 2 7" xfId="16017"/>
    <cellStyle name="40% — акцент4 2 8" xfId="16018"/>
    <cellStyle name="40% — акцент4 3" xfId="16019"/>
    <cellStyle name="40% — акцент4 3 2" xfId="16020"/>
    <cellStyle name="40% — акцент4 3 3" xfId="16021"/>
    <cellStyle name="40% — акцент4 3 4" xfId="16022"/>
    <cellStyle name="40% — акцент4 3 5" xfId="16023"/>
    <cellStyle name="40% — акцент4 3 6" xfId="16024"/>
    <cellStyle name="40% — акцент4 4" xfId="16025"/>
    <cellStyle name="40% — акцент4 5" xfId="16026"/>
    <cellStyle name="40% — акцент5 2" xfId="16027"/>
    <cellStyle name="40% — акцент5 2 2" xfId="16028"/>
    <cellStyle name="40% — акцент5 2 2 2" xfId="16029"/>
    <cellStyle name="40% — акцент5 2 2 3" xfId="16030"/>
    <cellStyle name="40% — акцент5 2 2 4" xfId="16031"/>
    <cellStyle name="40% — акцент5 2 2 5" xfId="16032"/>
    <cellStyle name="40% — акцент5 2 2 6" xfId="16033"/>
    <cellStyle name="40% — акцент5 2 3" xfId="16034"/>
    <cellStyle name="40% — акцент5 2 4" xfId="16035"/>
    <cellStyle name="40% — акцент5 2 5" xfId="16036"/>
    <cellStyle name="40% — акцент5 2 6" xfId="16037"/>
    <cellStyle name="40% — акцент5 2 7" xfId="16038"/>
    <cellStyle name="40% — акцент5 2 8" xfId="16039"/>
    <cellStyle name="40% — акцент5 3" xfId="16040"/>
    <cellStyle name="40% — акцент5 3 2" xfId="16041"/>
    <cellStyle name="40% — акцент5 3 3" xfId="16042"/>
    <cellStyle name="40% — акцент5 3 4" xfId="16043"/>
    <cellStyle name="40% — акцент5 3 5" xfId="16044"/>
    <cellStyle name="40% — акцент5 3 6" xfId="16045"/>
    <cellStyle name="40% — акцент5 4" xfId="16046"/>
    <cellStyle name="40% — акцент5 5" xfId="16047"/>
    <cellStyle name="40% — акцент6 2" xfId="16048"/>
    <cellStyle name="40% — акцент6 2 2" xfId="16049"/>
    <cellStyle name="40% — акцент6 2 2 2" xfId="16050"/>
    <cellStyle name="40% — акцент6 2 2 3" xfId="16051"/>
    <cellStyle name="40% — акцент6 2 2 4" xfId="16052"/>
    <cellStyle name="40% — акцент6 2 2 5" xfId="16053"/>
    <cellStyle name="40% — акцент6 2 2 6" xfId="16054"/>
    <cellStyle name="40% — акцент6 2 3" xfId="16055"/>
    <cellStyle name="40% — акцент6 2 4" xfId="16056"/>
    <cellStyle name="40% — акцент6 2 5" xfId="16057"/>
    <cellStyle name="40% — акцент6 2 6" xfId="16058"/>
    <cellStyle name="40% — акцент6 2 7" xfId="16059"/>
    <cellStyle name="40% — акцент6 2 8" xfId="16060"/>
    <cellStyle name="40% — акцент6 3" xfId="16061"/>
    <cellStyle name="40% — акцент6 3 2" xfId="16062"/>
    <cellStyle name="40% — акцент6 3 3" xfId="16063"/>
    <cellStyle name="40% — акцент6 3 4" xfId="16064"/>
    <cellStyle name="40% — акцент6 3 5" xfId="16065"/>
    <cellStyle name="40% — акцент6 3 6" xfId="16066"/>
    <cellStyle name="40% — акцент6 4" xfId="16067"/>
    <cellStyle name="40% — акцент6 5" xfId="16068"/>
    <cellStyle name="40% - 强调文字颜色 1 2" xfId="16069"/>
    <cellStyle name="40% - 强调文字颜色 1 2 10" xfId="16070"/>
    <cellStyle name="40% - 强调文字颜色 1 2 11" xfId="16071"/>
    <cellStyle name="40% - 强调文字颜色 1 2 11 2" xfId="16072"/>
    <cellStyle name="40% - 强调文字颜色 1 2 12" xfId="16073"/>
    <cellStyle name="40% - 强调文字颜色 1 2 12 2" xfId="16074"/>
    <cellStyle name="40% - 强调文字颜色 1 2 2" xfId="16075"/>
    <cellStyle name="40% - 强调文字颜色 1 2 2 10" xfId="16076"/>
    <cellStyle name="40% - 强调文字颜色 1 2 2 11" xfId="16077"/>
    <cellStyle name="40% - 强调文字颜色 1 2 2 11 2" xfId="16078"/>
    <cellStyle name="40% - 强调文字颜色 1 2 2 12" xfId="16079"/>
    <cellStyle name="40% - 强调文字颜色 1 2 2 12 2" xfId="16080"/>
    <cellStyle name="40% - 强调文字颜色 1 2 2 2" xfId="16081"/>
    <cellStyle name="40% - 强调文字颜色 1 2 2 2 2" xfId="16082"/>
    <cellStyle name="40% - 强调文字颜色 1 2 2 2 2 2" xfId="16083"/>
    <cellStyle name="40% - 强调文字颜色 1 2 2 2 2 2 2" xfId="16084"/>
    <cellStyle name="40% - 强调文字颜色 1 2 2 2 2 2 3" xfId="16085"/>
    <cellStyle name="40% - 强调文字颜色 1 2 2 2 2 2 3 2" xfId="16086"/>
    <cellStyle name="40% - 强调文字颜色 1 2 2 2 2 2 3 2 2" xfId="16087"/>
    <cellStyle name="40% - 强调文字颜色 1 2 2 2 2 2 4" xfId="16088"/>
    <cellStyle name="40% - 强调文字颜色 1 2 2 2 2 2 4 2" xfId="16089"/>
    <cellStyle name="40% - 强调文字颜色 1 2 2 2 2 2 5" xfId="16090"/>
    <cellStyle name="40% - 强调文字颜色 1 2 2 2 2 2 5 2" xfId="16091"/>
    <cellStyle name="40% - 强调文字颜色 1 2 2 2 2 2 6" xfId="16092"/>
    <cellStyle name="40% - 强调文字颜色 1 2 2 2 2 3" xfId="16093"/>
    <cellStyle name="40% - 强调文字颜色 1 2 2 2 2 3 2" xfId="16094"/>
    <cellStyle name="40% - 强调文字颜色 1 2 2 2 2 3 2 2" xfId="16095"/>
    <cellStyle name="40% - 强调文字颜色 1 2 2 2 2 3 2 2 2" xfId="16096"/>
    <cellStyle name="40% - 强调文字颜色 1 2 2 2 2 3 3" xfId="16097"/>
    <cellStyle name="40% - 强调文字颜色 1 2 2 2 2 3 3 2" xfId="16098"/>
    <cellStyle name="40% - 强调文字颜色 1 2 2 2 2 3 4" xfId="16099"/>
    <cellStyle name="40% - 强调文字颜色 1 2 2 2 2 3 4 2" xfId="16100"/>
    <cellStyle name="40% - 强调文字颜色 1 2 2 2 2 3 5" xfId="16101"/>
    <cellStyle name="40% - 强调文字颜色 1 2 2 2 2 4" xfId="16102"/>
    <cellStyle name="40% - 强调文字颜色 1 2 2 2 2 5" xfId="16103"/>
    <cellStyle name="40% - 强调文字颜色 1 2 2 2 2 6" xfId="16104"/>
    <cellStyle name="40% - 强调文字颜色 1 2 2 2 2 6 2" xfId="16105"/>
    <cellStyle name="40% - 强调文字颜色 1 2 2 2 2 7" xfId="16106"/>
    <cellStyle name="40% - 强调文字颜色 1 2 2 2 2 7 2" xfId="16107"/>
    <cellStyle name="40% - 强调文字颜色 1 2 2 2 3" xfId="16108"/>
    <cellStyle name="40% - 强调文字颜色 1 2 2 2 3 2" xfId="16109"/>
    <cellStyle name="40% - 强调文字颜色 1 2 2 2 3 3" xfId="16110"/>
    <cellStyle name="40% - 强调文字颜色 1 2 2 2 3 3 2" xfId="16111"/>
    <cellStyle name="40% - 强调文字颜色 1 2 2 2 3 3 2 2" xfId="16112"/>
    <cellStyle name="40% - 强调文字颜色 1 2 2 2 3 4" xfId="16113"/>
    <cellStyle name="40% - 强调文字颜色 1 2 2 2 3 4 2" xfId="16114"/>
    <cellStyle name="40% - 强调文字颜色 1 2 2 2 3 5" xfId="16115"/>
    <cellStyle name="40% - 强调文字颜色 1 2 2 2 3 5 2" xfId="16116"/>
    <cellStyle name="40% - 强调文字颜色 1 2 2 2 3 6" xfId="16117"/>
    <cellStyle name="40% - 强调文字颜色 1 2 2 2 4" xfId="16118"/>
    <cellStyle name="40% - 强调文字颜色 1 2 2 2 4 2" xfId="16119"/>
    <cellStyle name="40% - 强调文字颜色 1 2 2 2 4 2 2" xfId="16120"/>
    <cellStyle name="40% - 强调文字颜色 1 2 2 2 4 2 2 2" xfId="16121"/>
    <cellStyle name="40% - 强调文字颜色 1 2 2 2 4 3" xfId="16122"/>
    <cellStyle name="40% - 强调文字颜色 1 2 2 2 4 3 2" xfId="16123"/>
    <cellStyle name="40% - 强调文字颜色 1 2 2 2 4 4" xfId="16124"/>
    <cellStyle name="40% - 强调文字颜色 1 2 2 2 4 4 2" xfId="16125"/>
    <cellStyle name="40% - 强调文字颜色 1 2 2 2 4 5" xfId="16126"/>
    <cellStyle name="40% - 强调文字颜色 1 2 2 2 5" xfId="16127"/>
    <cellStyle name="40% - 强调文字颜色 1 2 2 2 6" xfId="16128"/>
    <cellStyle name="40% - 强调文字颜色 1 2 2 2 7" xfId="16129"/>
    <cellStyle name="40% - 强调文字颜色 1 2 2 2 7 2" xfId="16130"/>
    <cellStyle name="40% - 强调文字颜色 1 2 2 2 8" xfId="16131"/>
    <cellStyle name="40% - 强调文字颜色 1 2 2 2 8 2" xfId="16132"/>
    <cellStyle name="40% - 强调文字颜色 1 2 2 3" xfId="16133"/>
    <cellStyle name="40% - 强调文字颜色 1 2 2 3 2" xfId="16134"/>
    <cellStyle name="40% - 强调文字颜色 1 2 2 3 2 2" xfId="16135"/>
    <cellStyle name="40% - 强调文字颜色 1 2 2 3 2 3" xfId="16136"/>
    <cellStyle name="40% - 强调文字颜色 1 2 2 3 2 3 2" xfId="16137"/>
    <cellStyle name="40% - 强调文字颜色 1 2 2 3 2 3 2 2" xfId="16138"/>
    <cellStyle name="40% - 强调文字颜色 1 2 2 3 2 4" xfId="16139"/>
    <cellStyle name="40% - 强调文字颜色 1 2 2 3 2 4 2" xfId="16140"/>
    <cellStyle name="40% - 强调文字颜色 1 2 2 3 2 5" xfId="16141"/>
    <cellStyle name="40% - 强调文字颜色 1 2 2 3 2 5 2" xfId="16142"/>
    <cellStyle name="40% - 强调文字颜色 1 2 2 3 2 6" xfId="16143"/>
    <cellStyle name="40% - 强调文字颜色 1 2 2 3 3" xfId="16144"/>
    <cellStyle name="40% - 强调文字颜色 1 2 2 3 3 2" xfId="16145"/>
    <cellStyle name="40% - 强调文字颜色 1 2 2 3 3 2 2" xfId="16146"/>
    <cellStyle name="40% - 强调文字颜色 1 2 2 3 3 2 2 2" xfId="16147"/>
    <cellStyle name="40% - 强调文字颜色 1 2 2 3 3 3" xfId="16148"/>
    <cellStyle name="40% - 强调文字颜色 1 2 2 3 3 3 2" xfId="16149"/>
    <cellStyle name="40% - 强调文字颜色 1 2 2 3 3 4" xfId="16150"/>
    <cellStyle name="40% - 强调文字颜色 1 2 2 3 3 4 2" xfId="16151"/>
    <cellStyle name="40% - 强调文字颜色 1 2 2 3 3 5" xfId="16152"/>
    <cellStyle name="40% - 强调文字颜色 1 2 2 3 4" xfId="16153"/>
    <cellStyle name="40% - 强调文字颜色 1 2 2 3 5" xfId="16154"/>
    <cellStyle name="40% - 强调文字颜色 1 2 2 3 6" xfId="16155"/>
    <cellStyle name="40% - 强调文字颜色 1 2 2 3 6 2" xfId="16156"/>
    <cellStyle name="40% - 强调文字颜色 1 2 2 3 7" xfId="16157"/>
    <cellStyle name="40% - 强调文字颜色 1 2 2 3 7 2" xfId="16158"/>
    <cellStyle name="40% - 强调文字颜色 1 2 2 4" xfId="16159"/>
    <cellStyle name="40% - 强调文字颜色 1 2 2 4 2" xfId="16160"/>
    <cellStyle name="40% - 强调文字颜色 1 2 2 4 2 2" xfId="16161"/>
    <cellStyle name="40% - 强调文字颜色 1 2 2 4 2 3" xfId="16162"/>
    <cellStyle name="40% - 强调文字颜色 1 2 2 4 2 3 2" xfId="16163"/>
    <cellStyle name="40% - 强调文字颜色 1 2 2 4 2 3 2 2" xfId="16164"/>
    <cellStyle name="40% - 强调文字颜色 1 2 2 4 2 4" xfId="16165"/>
    <cellStyle name="40% - 强调文字颜色 1 2 2 4 2 4 2" xfId="16166"/>
    <cellStyle name="40% - 强调文字颜色 1 2 2 4 2 5" xfId="16167"/>
    <cellStyle name="40% - 强调文字颜色 1 2 2 4 2 5 2" xfId="16168"/>
    <cellStyle name="40% - 强调文字颜色 1 2 2 4 2 6" xfId="16169"/>
    <cellStyle name="40% - 强调文字颜色 1 2 2 4 3" xfId="16170"/>
    <cellStyle name="40% - 强调文字颜色 1 2 2 4 4" xfId="16171"/>
    <cellStyle name="40% - 强调文字颜色 1 2 2 4 5" xfId="16172"/>
    <cellStyle name="40% - 强调文字颜色 1 2 2 4 6" xfId="16173"/>
    <cellStyle name="40% - 强调文字颜色 1 2 2 4 6 2" xfId="16174"/>
    <cellStyle name="40% - 强调文字颜色 1 2 2 4 7" xfId="16175"/>
    <cellStyle name="40% - 强调文字颜色 1 2 2 4 7 2" xfId="16176"/>
    <cellStyle name="40% - 强调文字颜色 1 2 2 5" xfId="16177"/>
    <cellStyle name="40% - 强调文字颜色 1 2 2 5 2" xfId="16178"/>
    <cellStyle name="40% - 强调文字颜色 1 2 2 5 2 2" xfId="16179"/>
    <cellStyle name="40% - 强调文字颜色 1 2 2 5 2 2 2" xfId="16180"/>
    <cellStyle name="40% - 强调文字颜色 1 2 2 5 2 2 2 2" xfId="16181"/>
    <cellStyle name="40% - 强调文字颜色 1 2 2 5 2 3" xfId="16182"/>
    <cellStyle name="40% - 强调文字颜色 1 2 2 5 2 3 2" xfId="16183"/>
    <cellStyle name="40% - 强调文字颜色 1 2 2 5 2 4" xfId="16184"/>
    <cellStyle name="40% - 强调文字颜色 1 2 2 5 2 4 2" xfId="16185"/>
    <cellStyle name="40% - 强调文字颜色 1 2 2 5 2 5" xfId="16186"/>
    <cellStyle name="40% - 强调文字颜色 1 2 2 5 3" xfId="16187"/>
    <cellStyle name="40% - 强调文字颜色 1 2 2 5 3 2" xfId="16188"/>
    <cellStyle name="40% - 强调文字颜色 1 2 2 5 3 2 2" xfId="16189"/>
    <cellStyle name="40% - 强调文字颜色 1 2 2 5 4" xfId="16190"/>
    <cellStyle name="40% - 强调文字颜色 1 2 2 5 4 2" xfId="16191"/>
    <cellStyle name="40% - 强调文字颜色 1 2 2 5 5" xfId="16192"/>
    <cellStyle name="40% - 强调文字颜色 1 2 2 5 5 2" xfId="16193"/>
    <cellStyle name="40% - 强调文字颜色 1 2 2 5 6" xfId="16194"/>
    <cellStyle name="40% - 强调文字颜色 1 2 2 6" xfId="16195"/>
    <cellStyle name="40% - 强调文字颜色 1 2 2 6 2" xfId="16196"/>
    <cellStyle name="40% - 强调文字颜色 1 2 2 6 2 2" xfId="16197"/>
    <cellStyle name="40% - 强调文字颜色 1 2 2 6 2 2 2" xfId="16198"/>
    <cellStyle name="40% - 强调文字颜色 1 2 2 6 2 2 2 2" xfId="16199"/>
    <cellStyle name="40% - 强调文字颜色 1 2 2 6 2 3" xfId="16200"/>
    <cellStyle name="40% - 强调文字颜色 1 2 2 6 2 3 2" xfId="16201"/>
    <cellStyle name="40% - 强调文字颜色 1 2 2 6 2 4" xfId="16202"/>
    <cellStyle name="40% - 强调文字颜色 1 2 2 6 2 4 2" xfId="16203"/>
    <cellStyle name="40% - 强调文字颜色 1 2 2 6 2 5" xfId="16204"/>
    <cellStyle name="40% - 强调文字颜色 1 2 2 6 3" xfId="16205"/>
    <cellStyle name="40% - 强调文字颜色 1 2 2 6 3 2" xfId="16206"/>
    <cellStyle name="40% - 强调文字颜色 1 2 2 6 3 2 2" xfId="16207"/>
    <cellStyle name="40% - 强调文字颜色 1 2 2 6 4" xfId="16208"/>
    <cellStyle name="40% - 强调文字颜色 1 2 2 6 4 2" xfId="16209"/>
    <cellStyle name="40% - 强调文字颜色 1 2 2 6 5" xfId="16210"/>
    <cellStyle name="40% - 强调文字颜色 1 2 2 6 5 2" xfId="16211"/>
    <cellStyle name="40% - 强调文字颜色 1 2 2 6 6" xfId="16212"/>
    <cellStyle name="40% - 强调文字颜色 1 2 2 7" xfId="16213"/>
    <cellStyle name="40% - 强调文字颜色 1 2 2 7 2" xfId="16214"/>
    <cellStyle name="40% - 强调文字颜色 1 2 2 7 2 2" xfId="16215"/>
    <cellStyle name="40% - 强调文字颜色 1 2 2 7 2 2 2" xfId="16216"/>
    <cellStyle name="40% - 强调文字颜色 1 2 2 7 2 2 2 2" xfId="16217"/>
    <cellStyle name="40% - 强调文字颜色 1 2 2 7 2 3" xfId="16218"/>
    <cellStyle name="40% - 强调文字颜色 1 2 2 7 2 3 2" xfId="16219"/>
    <cellStyle name="40% - 强调文字颜色 1 2 2 7 2 4" xfId="16220"/>
    <cellStyle name="40% - 强调文字颜色 1 2 2 7 2 4 2" xfId="16221"/>
    <cellStyle name="40% - 强调文字颜色 1 2 2 7 2 5" xfId="16222"/>
    <cellStyle name="40% - 强调文字颜色 1 2 2 7 3" xfId="16223"/>
    <cellStyle name="40% - 强调文字颜色 1 2 2 7 3 2" xfId="16224"/>
    <cellStyle name="40% - 强调文字颜色 1 2 2 7 3 2 2" xfId="16225"/>
    <cellStyle name="40% - 强调文字颜色 1 2 2 7 4" xfId="16226"/>
    <cellStyle name="40% - 强调文字颜色 1 2 2 7 4 2" xfId="16227"/>
    <cellStyle name="40% - 强调文字颜色 1 2 2 7 5" xfId="16228"/>
    <cellStyle name="40% - 强调文字颜色 1 2 2 7 5 2" xfId="16229"/>
    <cellStyle name="40% - 强调文字颜色 1 2 2 7 6" xfId="16230"/>
    <cellStyle name="40% - 强调文字颜色 1 2 2 8" xfId="16231"/>
    <cellStyle name="40% - 强调文字颜色 1 2 2 8 2" xfId="16232"/>
    <cellStyle name="40% - 强调文字颜色 1 2 2 8 2 2" xfId="16233"/>
    <cellStyle name="40% - 强调文字颜色 1 2 2 8 2 2 2" xfId="16234"/>
    <cellStyle name="40% - 强调文字颜色 1 2 2 8 3" xfId="16235"/>
    <cellStyle name="40% - 强调文字颜色 1 2 2 8 3 2" xfId="16236"/>
    <cellStyle name="40% - 强调文字颜色 1 2 2 8 4" xfId="16237"/>
    <cellStyle name="40% - 强调文字颜色 1 2 2 8 4 2" xfId="16238"/>
    <cellStyle name="40% - 强调文字颜色 1 2 2 8 5" xfId="16239"/>
    <cellStyle name="40% - 强调文字颜色 1 2 2 9" xfId="16240"/>
    <cellStyle name="40% - 强调文字颜色 1 2 2 9 2" xfId="16241"/>
    <cellStyle name="40% - 强调文字颜色 1 2 2 9 2 2" xfId="16242"/>
    <cellStyle name="40% - 强调文字颜色 1 2 2 9 2 2 2" xfId="16243"/>
    <cellStyle name="40% - 强调文字颜色 1 2 2 9 3" xfId="16244"/>
    <cellStyle name="40% - 强调文字颜色 1 2 2 9 3 2" xfId="16245"/>
    <cellStyle name="40% - 强调文字颜色 1 2 2 9 4" xfId="16246"/>
    <cellStyle name="40% - 强调文字颜色 1 2 2 9 4 2" xfId="16247"/>
    <cellStyle name="40% - 强调文字颜色 1 2 2 9 5" xfId="16248"/>
    <cellStyle name="40% - 强调文字颜色 1 2 3" xfId="16249"/>
    <cellStyle name="40% - 强调文字颜色 1 2 3 10" xfId="16250"/>
    <cellStyle name="40% - 强调文字颜色 1 2 3 10 2" xfId="16251"/>
    <cellStyle name="40% - 强调文字颜色 1 2 3 2" xfId="16252"/>
    <cellStyle name="40% - 强调文字颜色 1 2 3 2 2" xfId="16253"/>
    <cellStyle name="40% - 强调文字颜色 1 2 3 2 2 2" xfId="16254"/>
    <cellStyle name="40% - 强调文字颜色 1 2 3 2 2 2 2" xfId="16255"/>
    <cellStyle name="40% - 强调文字颜色 1 2 3 2 2 2 3" xfId="16256"/>
    <cellStyle name="40% - 强调文字颜色 1 2 3 2 2 2 3 2" xfId="16257"/>
    <cellStyle name="40% - 强调文字颜色 1 2 3 2 2 2 3 2 2" xfId="16258"/>
    <cellStyle name="40% - 强调文字颜色 1 2 3 2 2 2 4" xfId="16259"/>
    <cellStyle name="40% - 强调文字颜色 1 2 3 2 2 2 4 2" xfId="16260"/>
    <cellStyle name="40% - 强调文字颜色 1 2 3 2 2 2 5" xfId="16261"/>
    <cellStyle name="40% - 强调文字颜色 1 2 3 2 2 2 5 2" xfId="16262"/>
    <cellStyle name="40% - 强调文字颜色 1 2 3 2 2 2 6" xfId="16263"/>
    <cellStyle name="40% - 强调文字颜色 1 2 3 2 2 3" xfId="16264"/>
    <cellStyle name="40% - 强调文字颜色 1 2 3 2 2 3 2" xfId="16265"/>
    <cellStyle name="40% - 强调文字颜色 1 2 3 2 2 3 2 2" xfId="16266"/>
    <cellStyle name="40% - 强调文字颜色 1 2 3 2 2 3 2 2 2" xfId="16267"/>
    <cellStyle name="40% - 强调文字颜色 1 2 3 2 2 3 3" xfId="16268"/>
    <cellStyle name="40% - 强调文字颜色 1 2 3 2 2 3 3 2" xfId="16269"/>
    <cellStyle name="40% - 强调文字颜色 1 2 3 2 2 3 4" xfId="16270"/>
    <cellStyle name="40% - 强调文字颜色 1 2 3 2 2 3 4 2" xfId="16271"/>
    <cellStyle name="40% - 强调文字颜色 1 2 3 2 2 3 5" xfId="16272"/>
    <cellStyle name="40% - 强调文字颜色 1 2 3 2 2 4" xfId="16273"/>
    <cellStyle name="40% - 强调文字颜色 1 2 3 2 2 5" xfId="16274"/>
    <cellStyle name="40% - 强调文字颜色 1 2 3 2 2 6" xfId="16275"/>
    <cellStyle name="40% - 强调文字颜色 1 2 3 2 2 6 2" xfId="16276"/>
    <cellStyle name="40% - 强调文字颜色 1 2 3 2 2 7" xfId="16277"/>
    <cellStyle name="40% - 强调文字颜色 1 2 3 2 2 7 2" xfId="16278"/>
    <cellStyle name="40% - 强调文字颜色 1 2 3 2 3" xfId="16279"/>
    <cellStyle name="40% - 强调文字颜色 1 2 3 2 3 2" xfId="16280"/>
    <cellStyle name="40% - 强调文字颜色 1 2 3 2 3 3" xfId="16281"/>
    <cellStyle name="40% - 强调文字颜色 1 2 3 2 3 3 2" xfId="16282"/>
    <cellStyle name="40% - 强调文字颜色 1 2 3 2 3 3 2 2" xfId="16283"/>
    <cellStyle name="40% - 强调文字颜色 1 2 3 2 3 4" xfId="16284"/>
    <cellStyle name="40% - 强调文字颜色 1 2 3 2 3 4 2" xfId="16285"/>
    <cellStyle name="40% - 强调文字颜色 1 2 3 2 3 5" xfId="16286"/>
    <cellStyle name="40% - 强调文字颜色 1 2 3 2 3 5 2" xfId="16287"/>
    <cellStyle name="40% - 强调文字颜色 1 2 3 2 3 6" xfId="16288"/>
    <cellStyle name="40% - 强调文字颜色 1 2 3 2 4" xfId="16289"/>
    <cellStyle name="40% - 强调文字颜色 1 2 3 2 4 2" xfId="16290"/>
    <cellStyle name="40% - 强调文字颜色 1 2 3 2 4 2 2" xfId="16291"/>
    <cellStyle name="40% - 强调文字颜色 1 2 3 2 4 2 2 2" xfId="16292"/>
    <cellStyle name="40% - 强调文字颜色 1 2 3 2 4 3" xfId="16293"/>
    <cellStyle name="40% - 强调文字颜色 1 2 3 2 4 3 2" xfId="16294"/>
    <cellStyle name="40% - 强调文字颜色 1 2 3 2 4 4" xfId="16295"/>
    <cellStyle name="40% - 强调文字颜色 1 2 3 2 4 4 2" xfId="16296"/>
    <cellStyle name="40% - 强调文字颜色 1 2 3 2 4 5" xfId="16297"/>
    <cellStyle name="40% - 强调文字颜色 1 2 3 2 5" xfId="16298"/>
    <cellStyle name="40% - 强调文字颜色 1 2 3 2 6" xfId="16299"/>
    <cellStyle name="40% - 强调文字颜色 1 2 3 2 7" xfId="16300"/>
    <cellStyle name="40% - 强调文字颜色 1 2 3 2 7 2" xfId="16301"/>
    <cellStyle name="40% - 强调文字颜色 1 2 3 2 8" xfId="16302"/>
    <cellStyle name="40% - 强调文字颜色 1 2 3 2 8 2" xfId="16303"/>
    <cellStyle name="40% - 强调文字颜色 1 2 3 3" xfId="16304"/>
    <cellStyle name="40% - 强调文字颜色 1 2 3 3 2" xfId="16305"/>
    <cellStyle name="40% - 强调文字颜色 1 2 3 3 2 2" xfId="16306"/>
    <cellStyle name="40% - 强调文字颜色 1 2 3 3 2 3" xfId="16307"/>
    <cellStyle name="40% - 强调文字颜色 1 2 3 3 2 3 2" xfId="16308"/>
    <cellStyle name="40% - 强调文字颜色 1 2 3 3 2 3 2 2" xfId="16309"/>
    <cellStyle name="40% - 强调文字颜色 1 2 3 3 2 4" xfId="16310"/>
    <cellStyle name="40% - 强调文字颜色 1 2 3 3 2 4 2" xfId="16311"/>
    <cellStyle name="40% - 强调文字颜色 1 2 3 3 2 5" xfId="16312"/>
    <cellStyle name="40% - 强调文字颜色 1 2 3 3 2 5 2" xfId="16313"/>
    <cellStyle name="40% - 强调文字颜色 1 2 3 3 2 6" xfId="16314"/>
    <cellStyle name="40% - 强调文字颜色 1 2 3 3 3" xfId="16315"/>
    <cellStyle name="40% - 强调文字颜色 1 2 3 3 3 2" xfId="16316"/>
    <cellStyle name="40% - 强调文字颜色 1 2 3 3 3 2 2" xfId="16317"/>
    <cellStyle name="40% - 强调文字颜色 1 2 3 3 3 2 2 2" xfId="16318"/>
    <cellStyle name="40% - 强调文字颜色 1 2 3 3 3 3" xfId="16319"/>
    <cellStyle name="40% - 强调文字颜色 1 2 3 3 3 3 2" xfId="16320"/>
    <cellStyle name="40% - 强调文字颜色 1 2 3 3 3 4" xfId="16321"/>
    <cellStyle name="40% - 强调文字颜色 1 2 3 3 3 4 2" xfId="16322"/>
    <cellStyle name="40% - 强调文字颜色 1 2 3 3 3 5" xfId="16323"/>
    <cellStyle name="40% - 强调文字颜色 1 2 3 3 4" xfId="16324"/>
    <cellStyle name="40% - 强调文字颜色 1 2 3 3 5" xfId="16325"/>
    <cellStyle name="40% - 强调文字颜色 1 2 3 3 6" xfId="16326"/>
    <cellStyle name="40% - 强调文字颜色 1 2 3 3 6 2" xfId="16327"/>
    <cellStyle name="40% - 强调文字颜色 1 2 3 3 7" xfId="16328"/>
    <cellStyle name="40% - 强调文字颜色 1 2 3 3 7 2" xfId="16329"/>
    <cellStyle name="40% - 强调文字颜色 1 2 3 4" xfId="16330"/>
    <cellStyle name="40% - 强调文字颜色 1 2 3 4 2" xfId="16331"/>
    <cellStyle name="40% - 强调文字颜色 1 2 3 4 2 2" xfId="16332"/>
    <cellStyle name="40% - 强调文字颜色 1 2 3 4 2 3" xfId="16333"/>
    <cellStyle name="40% - 强调文字颜色 1 2 3 4 2 3 2" xfId="16334"/>
    <cellStyle name="40% - 强调文字颜色 1 2 3 4 2 3 2 2" xfId="16335"/>
    <cellStyle name="40% - 强调文字颜色 1 2 3 4 2 4" xfId="16336"/>
    <cellStyle name="40% - 强调文字颜色 1 2 3 4 2 4 2" xfId="16337"/>
    <cellStyle name="40% - 强调文字颜色 1 2 3 4 2 5" xfId="16338"/>
    <cellStyle name="40% - 强调文字颜色 1 2 3 4 2 5 2" xfId="16339"/>
    <cellStyle name="40% - 强调文字颜色 1 2 3 4 2 6" xfId="16340"/>
    <cellStyle name="40% - 强调文字颜色 1 2 3 4 3" xfId="16341"/>
    <cellStyle name="40% - 强调文字颜色 1 2 3 4 4" xfId="16342"/>
    <cellStyle name="40% - 强调文字颜色 1 2 3 4 5" xfId="16343"/>
    <cellStyle name="40% - 强调文字颜色 1 2 3 4 6" xfId="16344"/>
    <cellStyle name="40% - 强调文字颜色 1 2 3 4 6 2" xfId="16345"/>
    <cellStyle name="40% - 强调文字颜色 1 2 3 4 7" xfId="16346"/>
    <cellStyle name="40% - 强调文字颜色 1 2 3 4 7 2" xfId="16347"/>
    <cellStyle name="40% - 强调文字颜色 1 2 3 5" xfId="16348"/>
    <cellStyle name="40% - 强调文字颜色 1 2 3 5 2" xfId="16349"/>
    <cellStyle name="40% - 强调文字颜色 1 2 3 5 2 2" xfId="16350"/>
    <cellStyle name="40% - 强调文字颜色 1 2 3 5 2 2 2" xfId="16351"/>
    <cellStyle name="40% - 强调文字颜色 1 2 3 5 2 2 2 2" xfId="16352"/>
    <cellStyle name="40% - 强调文字颜色 1 2 3 5 2 3" xfId="16353"/>
    <cellStyle name="40% - 强调文字颜色 1 2 3 5 2 3 2" xfId="16354"/>
    <cellStyle name="40% - 强调文字颜色 1 2 3 5 2 4" xfId="16355"/>
    <cellStyle name="40% - 强调文字颜色 1 2 3 5 2 4 2" xfId="16356"/>
    <cellStyle name="40% - 强调文字颜色 1 2 3 5 2 5" xfId="16357"/>
    <cellStyle name="40% - 强调文字颜色 1 2 3 5 3" xfId="16358"/>
    <cellStyle name="40% - 强调文字颜色 1 2 3 5 3 2" xfId="16359"/>
    <cellStyle name="40% - 强调文字颜色 1 2 3 5 3 2 2" xfId="16360"/>
    <cellStyle name="40% - 强调文字颜色 1 2 3 5 4" xfId="16361"/>
    <cellStyle name="40% - 强调文字颜色 1 2 3 5 4 2" xfId="16362"/>
    <cellStyle name="40% - 强调文字颜色 1 2 3 5 5" xfId="16363"/>
    <cellStyle name="40% - 强调文字颜色 1 2 3 5 5 2" xfId="16364"/>
    <cellStyle name="40% - 强调文字颜色 1 2 3 5 6" xfId="16365"/>
    <cellStyle name="40% - 强调文字颜色 1 2 3 6" xfId="16366"/>
    <cellStyle name="40% - 强调文字颜色 1 2 3 6 2" xfId="16367"/>
    <cellStyle name="40% - 强调文字颜色 1 2 3 6 2 2" xfId="16368"/>
    <cellStyle name="40% - 强调文字颜色 1 2 3 6 2 2 2" xfId="16369"/>
    <cellStyle name="40% - 强调文字颜色 1 2 3 6 3" xfId="16370"/>
    <cellStyle name="40% - 强调文字颜色 1 2 3 6 3 2" xfId="16371"/>
    <cellStyle name="40% - 强调文字颜色 1 2 3 6 4" xfId="16372"/>
    <cellStyle name="40% - 强调文字颜色 1 2 3 6 4 2" xfId="16373"/>
    <cellStyle name="40% - 强调文字颜色 1 2 3 6 5" xfId="16374"/>
    <cellStyle name="40% - 强调文字颜色 1 2 3 7" xfId="16375"/>
    <cellStyle name="40% - 强调文字颜色 1 2 3 7 2" xfId="16376"/>
    <cellStyle name="40% - 强调文字颜色 1 2 3 7 2 2" xfId="16377"/>
    <cellStyle name="40% - 强调文字颜色 1 2 3 7 2 2 2" xfId="16378"/>
    <cellStyle name="40% - 强调文字颜色 1 2 3 7 3" xfId="16379"/>
    <cellStyle name="40% - 强调文字颜色 1 2 3 7 3 2" xfId="16380"/>
    <cellStyle name="40% - 强调文字颜色 1 2 3 7 4" xfId="16381"/>
    <cellStyle name="40% - 强调文字颜色 1 2 3 7 4 2" xfId="16382"/>
    <cellStyle name="40% - 强调文字颜色 1 2 3 7 5" xfId="16383"/>
    <cellStyle name="40% - 强调文字颜色 1 2 3 8" xfId="16384"/>
    <cellStyle name="40% - 强调文字颜色 1 2 3 9" xfId="16385"/>
    <cellStyle name="40% - 强调文字颜色 1 2 3 9 2" xfId="16386"/>
    <cellStyle name="40% - 强调文字颜色 1 2 4" xfId="16387"/>
    <cellStyle name="40% - 强调文字颜色 1 2 4 2" xfId="16388"/>
    <cellStyle name="40% - 强调文字颜色 1 2 4 2 2" xfId="16389"/>
    <cellStyle name="40% - 强调文字颜色 1 2 4 2 3" xfId="16390"/>
    <cellStyle name="40% - 强调文字颜色 1 2 4 2 3 2" xfId="16391"/>
    <cellStyle name="40% - 强调文字颜色 1 2 4 2 3 2 2" xfId="16392"/>
    <cellStyle name="40% - 强调文字颜色 1 2 4 2 4" xfId="16393"/>
    <cellStyle name="40% - 强调文字颜色 1 2 4 2 4 2" xfId="16394"/>
    <cellStyle name="40% - 强调文字颜色 1 2 4 2 5" xfId="16395"/>
    <cellStyle name="40% - 强调文字颜色 1 2 4 2 5 2" xfId="16396"/>
    <cellStyle name="40% - 强调文字颜色 1 2 4 2 6" xfId="16397"/>
    <cellStyle name="40% - 强调文字颜色 1 2 4 3" xfId="16398"/>
    <cellStyle name="40% - 强调文字颜色 1 2 4 3 2" xfId="16399"/>
    <cellStyle name="40% - 强调文字颜色 1 2 4 3 2 2" xfId="16400"/>
    <cellStyle name="40% - 强调文字颜色 1 2 4 3 2 2 2" xfId="16401"/>
    <cellStyle name="40% - 强调文字颜色 1 2 4 3 3" xfId="16402"/>
    <cellStyle name="40% - 强调文字颜色 1 2 4 3 3 2" xfId="16403"/>
    <cellStyle name="40% - 强调文字颜色 1 2 4 3 4" xfId="16404"/>
    <cellStyle name="40% - 强调文字颜色 1 2 4 3 4 2" xfId="16405"/>
    <cellStyle name="40% - 强调文字颜色 1 2 4 3 5" xfId="16406"/>
    <cellStyle name="40% - 强调文字颜色 1 2 4 4" xfId="16407"/>
    <cellStyle name="40% - 强调文字颜色 1 2 4 5" xfId="16408"/>
    <cellStyle name="40% - 强调文字颜色 1 2 4 6" xfId="16409"/>
    <cellStyle name="40% - 强调文字颜色 1 2 4 6 2" xfId="16410"/>
    <cellStyle name="40% - 强调文字颜色 1 2 4 7" xfId="16411"/>
    <cellStyle name="40% - 强调文字颜色 1 2 4 7 2" xfId="16412"/>
    <cellStyle name="40% - 强调文字颜色 1 2 5" xfId="16413"/>
    <cellStyle name="40% - 强调文字颜色 1 2 5 2" xfId="16414"/>
    <cellStyle name="40% - 强调文字颜色 1 2 5 2 2" xfId="16415"/>
    <cellStyle name="40% - 强调文字颜色 1 2 5 2 3" xfId="16416"/>
    <cellStyle name="40% - 强调文字颜色 1 2 5 2 3 2" xfId="16417"/>
    <cellStyle name="40% - 强调文字颜色 1 2 5 2 3 2 2" xfId="16418"/>
    <cellStyle name="40% - 强调文字颜色 1 2 5 2 4" xfId="16419"/>
    <cellStyle name="40% - 强调文字颜色 1 2 5 2 4 2" xfId="16420"/>
    <cellStyle name="40% - 强调文字颜色 1 2 5 2 5" xfId="16421"/>
    <cellStyle name="40% - 强调文字颜色 1 2 5 2 5 2" xfId="16422"/>
    <cellStyle name="40% - 强调文字颜色 1 2 5 2 6" xfId="16423"/>
    <cellStyle name="40% - 强调文字颜色 1 2 5 3" xfId="16424"/>
    <cellStyle name="40% - 强调文字颜色 1 2 5 4" xfId="16425"/>
    <cellStyle name="40% - 强调文字颜色 1 2 5 5" xfId="16426"/>
    <cellStyle name="40% - 强调文字颜色 1 2 5 6" xfId="16427"/>
    <cellStyle name="40% - 强调文字颜色 1 2 5 6 2" xfId="16428"/>
    <cellStyle name="40% - 强调文字颜色 1 2 5 7" xfId="16429"/>
    <cellStyle name="40% - 强调文字颜色 1 2 5 7 2" xfId="16430"/>
    <cellStyle name="40% - 强调文字颜色 1 2 6" xfId="16431"/>
    <cellStyle name="40% - 强调文字颜色 1 2 6 2" xfId="16432"/>
    <cellStyle name="40% - 强调文字颜色 1 2 6 2 2" xfId="16433"/>
    <cellStyle name="40% - 强调文字颜色 1 2 6 2 2 2" xfId="16434"/>
    <cellStyle name="40% - 强调文字颜色 1 2 6 2 2 2 2" xfId="16435"/>
    <cellStyle name="40% - 强调文字颜色 1 2 6 2 3" xfId="16436"/>
    <cellStyle name="40% - 强调文字颜色 1 2 6 2 3 2" xfId="16437"/>
    <cellStyle name="40% - 强调文字颜色 1 2 6 2 4" xfId="16438"/>
    <cellStyle name="40% - 强调文字颜色 1 2 6 2 4 2" xfId="16439"/>
    <cellStyle name="40% - 强调文字颜色 1 2 6 2 5" xfId="16440"/>
    <cellStyle name="40% - 强调文字颜色 1 2 6 3" xfId="16441"/>
    <cellStyle name="40% - 强调文字颜色 1 2 6 3 2" xfId="16442"/>
    <cellStyle name="40% - 强调文字颜色 1 2 6 3 2 2" xfId="16443"/>
    <cellStyle name="40% - 强调文字颜色 1 2 6 4" xfId="16444"/>
    <cellStyle name="40% - 强调文字颜色 1 2 6 4 2" xfId="16445"/>
    <cellStyle name="40% - 强调文字颜色 1 2 6 5" xfId="16446"/>
    <cellStyle name="40% - 强调文字颜色 1 2 6 5 2" xfId="16447"/>
    <cellStyle name="40% - 强调文字颜色 1 2 6 6" xfId="16448"/>
    <cellStyle name="40% - 强调文字颜色 1 2 7" xfId="16449"/>
    <cellStyle name="40% - 强调文字颜色 1 2 7 2" xfId="16450"/>
    <cellStyle name="40% - 强调文字颜色 1 2 7 2 2" xfId="16451"/>
    <cellStyle name="40% - 强调文字颜色 1 2 7 2 2 2" xfId="16452"/>
    <cellStyle name="40% - 强调文字颜色 1 2 7 2 2 2 2" xfId="16453"/>
    <cellStyle name="40% - 强调文字颜色 1 2 7 2 3" xfId="16454"/>
    <cellStyle name="40% - 强调文字颜色 1 2 7 2 3 2" xfId="16455"/>
    <cellStyle name="40% - 强调文字颜色 1 2 7 2 4" xfId="16456"/>
    <cellStyle name="40% - 强调文字颜色 1 2 7 2 4 2" xfId="16457"/>
    <cellStyle name="40% - 强调文字颜色 1 2 7 2 5" xfId="16458"/>
    <cellStyle name="40% - 强调文字颜色 1 2 7 3" xfId="16459"/>
    <cellStyle name="40% - 强调文字颜色 1 2 7 3 2" xfId="16460"/>
    <cellStyle name="40% - 强调文字颜色 1 2 7 3 2 2" xfId="16461"/>
    <cellStyle name="40% - 强调文字颜色 1 2 7 4" xfId="16462"/>
    <cellStyle name="40% - 强调文字颜色 1 2 7 4 2" xfId="16463"/>
    <cellStyle name="40% - 强调文字颜色 1 2 7 5" xfId="16464"/>
    <cellStyle name="40% - 强调文字颜色 1 2 7 5 2" xfId="16465"/>
    <cellStyle name="40% - 强调文字颜色 1 2 7 6" xfId="16466"/>
    <cellStyle name="40% - 强调文字颜色 1 2 8" xfId="16467"/>
    <cellStyle name="40% - 强调文字颜色 1 2 8 2" xfId="16468"/>
    <cellStyle name="40% - 强调文字颜色 1 2 8 2 2" xfId="16469"/>
    <cellStyle name="40% - 强调文字颜色 1 2 8 2 2 2" xfId="16470"/>
    <cellStyle name="40% - 强调文字颜色 1 2 8 2 2 2 2" xfId="16471"/>
    <cellStyle name="40% - 强调文字颜色 1 2 8 2 3" xfId="16472"/>
    <cellStyle name="40% - 强调文字颜色 1 2 8 2 3 2" xfId="16473"/>
    <cellStyle name="40% - 强调文字颜色 1 2 8 2 4" xfId="16474"/>
    <cellStyle name="40% - 强调文字颜色 1 2 8 2 4 2" xfId="16475"/>
    <cellStyle name="40% - 强调文字颜色 1 2 8 2 5" xfId="16476"/>
    <cellStyle name="40% - 强调文字颜色 1 2 8 3" xfId="16477"/>
    <cellStyle name="40% - 强调文字颜色 1 2 8 3 2" xfId="16478"/>
    <cellStyle name="40% - 强调文字颜色 1 2 8 3 2 2" xfId="16479"/>
    <cellStyle name="40% - 强调文字颜色 1 2 8 4" xfId="16480"/>
    <cellStyle name="40% - 强调文字颜色 1 2 8 4 2" xfId="16481"/>
    <cellStyle name="40% - 强调文字颜色 1 2 8 5" xfId="16482"/>
    <cellStyle name="40% - 强调文字颜色 1 2 8 5 2" xfId="16483"/>
    <cellStyle name="40% - 强调文字颜色 1 2 8 6" xfId="16484"/>
    <cellStyle name="40% - 强调文字颜色 1 2 9" xfId="16485"/>
    <cellStyle name="40% - 强调文字颜色 1 2 9 2" xfId="16486"/>
    <cellStyle name="40% - 强调文字颜色 1 2 9 2 2" xfId="16487"/>
    <cellStyle name="40% - 强调文字颜色 1 2 9 2 2 2" xfId="16488"/>
    <cellStyle name="40% - 强调文字颜色 1 2 9 3" xfId="16489"/>
    <cellStyle name="40% - 强调文字颜色 1 2 9 3 2" xfId="16490"/>
    <cellStyle name="40% - 强调文字颜色 1 2 9 4" xfId="16491"/>
    <cellStyle name="40% - 强调文字颜色 1 2 9 4 2" xfId="16492"/>
    <cellStyle name="40% - 强调文字颜色 1 2 9 5" xfId="16493"/>
    <cellStyle name="40% - 强调文字颜色 1 3" xfId="16494"/>
    <cellStyle name="40% - 强调文字颜色 1 3 2" xfId="16495"/>
    <cellStyle name="40% - 强调文字颜色 1 3 2 2" xfId="16496"/>
    <cellStyle name="40% - 强调文字颜色 1 3 2 2 2" xfId="16497"/>
    <cellStyle name="40% - 强调文字颜色 1 3 2 2 2 2" xfId="16498"/>
    <cellStyle name="40% - 强调文字颜色 1 3 2 2 2 3" xfId="16499"/>
    <cellStyle name="40% - 强调文字颜色 1 3 2 2 2 3 2" xfId="16500"/>
    <cellStyle name="40% - 强调文字颜色 1 3 2 2 2 3 2 2" xfId="16501"/>
    <cellStyle name="40% - 强调文字颜色 1 3 2 2 2 4" xfId="16502"/>
    <cellStyle name="40% - 强调文字颜色 1 3 2 2 2 4 2" xfId="16503"/>
    <cellStyle name="40% - 强调文字颜色 1 3 2 2 2 5" xfId="16504"/>
    <cellStyle name="40% - 强调文字颜色 1 3 2 2 2 5 2" xfId="16505"/>
    <cellStyle name="40% - 强调文字颜色 1 3 2 2 2 6" xfId="16506"/>
    <cellStyle name="40% - 强调文字颜色 1 3 2 2 3" xfId="16507"/>
    <cellStyle name="40% - 强调文字颜色 1 3 2 2 3 2" xfId="16508"/>
    <cellStyle name="40% - 强调文字颜色 1 3 2 2 3 2 2" xfId="16509"/>
    <cellStyle name="40% - 强调文字颜色 1 3 2 2 3 2 2 2" xfId="16510"/>
    <cellStyle name="40% - 强调文字颜色 1 3 2 2 3 3" xfId="16511"/>
    <cellStyle name="40% - 强调文字颜色 1 3 2 2 3 3 2" xfId="16512"/>
    <cellStyle name="40% - 强调文字颜色 1 3 2 2 3 4" xfId="16513"/>
    <cellStyle name="40% - 强调文字颜色 1 3 2 2 3 4 2" xfId="16514"/>
    <cellStyle name="40% - 强调文字颜色 1 3 2 2 3 5" xfId="16515"/>
    <cellStyle name="40% - 强调文字颜色 1 3 2 2 4" xfId="16516"/>
    <cellStyle name="40% - 强调文字颜色 1 3 2 2 5" xfId="16517"/>
    <cellStyle name="40% - 强调文字颜色 1 3 2 2 6" xfId="16518"/>
    <cellStyle name="40% - 强调文字颜色 1 3 2 2 6 2" xfId="16519"/>
    <cellStyle name="40% - 强调文字颜色 1 3 2 2 7" xfId="16520"/>
    <cellStyle name="40% - 强调文字颜色 1 3 2 2 7 2" xfId="16521"/>
    <cellStyle name="40% - 强调文字颜色 1 3 2 3" xfId="16522"/>
    <cellStyle name="40% - 强调文字颜色 1 3 2 3 2" xfId="16523"/>
    <cellStyle name="40% - 强调文字颜色 1 3 2 3 3" xfId="16524"/>
    <cellStyle name="40% - 强调文字颜色 1 3 2 3 3 2" xfId="16525"/>
    <cellStyle name="40% - 强调文字颜色 1 3 2 3 3 2 2" xfId="16526"/>
    <cellStyle name="40% - 强调文字颜色 1 3 2 3 4" xfId="16527"/>
    <cellStyle name="40% - 强调文字颜色 1 3 2 3 4 2" xfId="16528"/>
    <cellStyle name="40% - 强调文字颜色 1 3 2 3 5" xfId="16529"/>
    <cellStyle name="40% - 强调文字颜色 1 3 2 3 5 2" xfId="16530"/>
    <cellStyle name="40% - 强调文字颜色 1 3 2 3 6" xfId="16531"/>
    <cellStyle name="40% - 强调文字颜色 1 3 2 4" xfId="16532"/>
    <cellStyle name="40% - 强调文字颜色 1 3 2 4 2" xfId="16533"/>
    <cellStyle name="40% - 强调文字颜色 1 3 2 4 2 2" xfId="16534"/>
    <cellStyle name="40% - 强调文字颜色 1 3 2 4 2 2 2" xfId="16535"/>
    <cellStyle name="40% - 强调文字颜色 1 3 2 4 3" xfId="16536"/>
    <cellStyle name="40% - 强调文字颜色 1 3 2 4 3 2" xfId="16537"/>
    <cellStyle name="40% - 强调文字颜色 1 3 2 4 4" xfId="16538"/>
    <cellStyle name="40% - 强调文字颜色 1 3 2 4 4 2" xfId="16539"/>
    <cellStyle name="40% - 强调文字颜色 1 3 2 4 5" xfId="16540"/>
    <cellStyle name="40% - 强调文字颜色 1 3 2 5" xfId="16541"/>
    <cellStyle name="40% - 强调文字颜色 1 3 2 6" xfId="16542"/>
    <cellStyle name="40% - 强调文字颜色 1 3 2 7" xfId="16543"/>
    <cellStyle name="40% - 强调文字颜色 1 3 2 7 2" xfId="16544"/>
    <cellStyle name="40% - 强调文字颜色 1 3 2 8" xfId="16545"/>
    <cellStyle name="40% - 强调文字颜色 1 3 2 8 2" xfId="16546"/>
    <cellStyle name="40% - 强调文字颜色 1 3 3" xfId="16547"/>
    <cellStyle name="40% - 强调文字颜色 1 3 3 2" xfId="16548"/>
    <cellStyle name="40% - 强调文字颜色 1 3 3 2 2" xfId="16549"/>
    <cellStyle name="40% - 强调文字颜色 1 3 3 2 3" xfId="16550"/>
    <cellStyle name="40% - 强调文字颜色 1 3 3 2 3 2" xfId="16551"/>
    <cellStyle name="40% - 强调文字颜色 1 3 3 2 3 2 2" xfId="16552"/>
    <cellStyle name="40% - 强调文字颜色 1 3 3 2 4" xfId="16553"/>
    <cellStyle name="40% - 强调文字颜色 1 3 3 2 4 2" xfId="16554"/>
    <cellStyle name="40% - 强调文字颜色 1 3 3 2 5" xfId="16555"/>
    <cellStyle name="40% - 强调文字颜色 1 3 3 2 5 2" xfId="16556"/>
    <cellStyle name="40% - 强调文字颜色 1 3 3 2 6" xfId="16557"/>
    <cellStyle name="40% - 强调文字颜色 1 3 3 3" xfId="16558"/>
    <cellStyle name="40% - 强调文字颜色 1 3 3 3 2" xfId="16559"/>
    <cellStyle name="40% - 强调文字颜色 1 3 3 3 2 2" xfId="16560"/>
    <cellStyle name="40% - 强调文字颜色 1 3 3 3 2 2 2" xfId="16561"/>
    <cellStyle name="40% - 强调文字颜色 1 3 3 3 3" xfId="16562"/>
    <cellStyle name="40% - 强调文字颜色 1 3 3 3 3 2" xfId="16563"/>
    <cellStyle name="40% - 强调文字颜色 1 3 3 3 4" xfId="16564"/>
    <cellStyle name="40% - 强调文字颜色 1 3 3 3 4 2" xfId="16565"/>
    <cellStyle name="40% - 强调文字颜色 1 3 3 3 5" xfId="16566"/>
    <cellStyle name="40% - 强调文字颜色 1 3 3 4" xfId="16567"/>
    <cellStyle name="40% - 强调文字颜色 1 3 3 5" xfId="16568"/>
    <cellStyle name="40% - 强调文字颜色 1 3 3 6" xfId="16569"/>
    <cellStyle name="40% - 强调文字颜色 1 3 3 6 2" xfId="16570"/>
    <cellStyle name="40% - 强调文字颜色 1 3 3 7" xfId="16571"/>
    <cellStyle name="40% - 强调文字颜色 1 3 3 7 2" xfId="16572"/>
    <cellStyle name="40% - 强调文字颜色 1 3 4" xfId="16573"/>
    <cellStyle name="40% - 强调文字颜色 1 3 4 2" xfId="16574"/>
    <cellStyle name="40% - 强调文字颜色 1 3 4 2 2" xfId="16575"/>
    <cellStyle name="40% - 强调文字颜色 1 3 4 2 3" xfId="16576"/>
    <cellStyle name="40% - 强调文字颜色 1 3 4 2 3 2" xfId="16577"/>
    <cellStyle name="40% - 强调文字颜色 1 3 4 2 3 2 2" xfId="16578"/>
    <cellStyle name="40% - 强调文字颜色 1 3 4 2 4" xfId="16579"/>
    <cellStyle name="40% - 强调文字颜色 1 3 4 2 4 2" xfId="16580"/>
    <cellStyle name="40% - 强调文字颜色 1 3 4 2 5" xfId="16581"/>
    <cellStyle name="40% - 强调文字颜色 1 3 4 2 5 2" xfId="16582"/>
    <cellStyle name="40% - 强调文字颜色 1 3 4 2 6" xfId="16583"/>
    <cellStyle name="40% - 强调文字颜色 1 3 4 3" xfId="16584"/>
    <cellStyle name="40% - 强调文字颜色 1 3 4 4" xfId="16585"/>
    <cellStyle name="40% - 强调文字颜色 1 3 4 5" xfId="16586"/>
    <cellStyle name="40% - 强调文字颜色 1 3 4 6" xfId="16587"/>
    <cellStyle name="40% - 强调文字颜色 1 3 4 6 2" xfId="16588"/>
    <cellStyle name="40% - 强调文字颜色 1 3 4 7" xfId="16589"/>
    <cellStyle name="40% - 强调文字颜色 1 3 4 7 2" xfId="16590"/>
    <cellStyle name="40% - 强调文字颜色 1 3 5" xfId="16591"/>
    <cellStyle name="40% - 强调文字颜色 1 3 5 2" xfId="16592"/>
    <cellStyle name="40% - 强调文字颜色 1 3 5 2 2" xfId="16593"/>
    <cellStyle name="40% - 强调文字颜色 1 3 5 2 2 2" xfId="16594"/>
    <cellStyle name="40% - 强调文字颜色 1 3 5 2 2 2 2" xfId="16595"/>
    <cellStyle name="40% - 强调文字颜色 1 3 5 2 3" xfId="16596"/>
    <cellStyle name="40% - 强调文字颜色 1 3 5 2 3 2" xfId="16597"/>
    <cellStyle name="40% - 强调文字颜色 1 3 5 2 4" xfId="16598"/>
    <cellStyle name="40% - 强调文字颜色 1 3 5 2 4 2" xfId="16599"/>
    <cellStyle name="40% - 强调文字颜色 1 3 5 2 5" xfId="16600"/>
    <cellStyle name="40% - 强调文字颜色 1 3 5 3" xfId="16601"/>
    <cellStyle name="40% - 强调文字颜色 1 3 5 3 2" xfId="16602"/>
    <cellStyle name="40% - 强调文字颜色 1 3 5 3 2 2" xfId="16603"/>
    <cellStyle name="40% - 强调文字颜色 1 3 5 4" xfId="16604"/>
    <cellStyle name="40% - 强调文字颜色 1 3 5 4 2" xfId="16605"/>
    <cellStyle name="40% - 强调文字颜色 1 3 5 5" xfId="16606"/>
    <cellStyle name="40% - 强调文字颜色 1 3 5 5 2" xfId="16607"/>
    <cellStyle name="40% - 强调文字颜色 1 3 5 6" xfId="16608"/>
    <cellStyle name="40% - 强调文字颜色 1 3 6" xfId="16609"/>
    <cellStyle name="40% - 强调文字颜色 1 3 6 2" xfId="16610"/>
    <cellStyle name="40% - 强调文字颜色 1 3 6 2 2" xfId="16611"/>
    <cellStyle name="40% - 强调文字颜色 1 3 6 2 2 2" xfId="16612"/>
    <cellStyle name="40% - 强调文字颜色 1 3 6 3" xfId="16613"/>
    <cellStyle name="40% - 强调文字颜色 1 3 6 3 2" xfId="16614"/>
    <cellStyle name="40% - 强调文字颜色 1 3 6 4" xfId="16615"/>
    <cellStyle name="40% - 强调文字颜色 1 3 6 4 2" xfId="16616"/>
    <cellStyle name="40% - 强调文字颜色 1 3 6 5" xfId="16617"/>
    <cellStyle name="40% - 强调文字颜色 1 3 7" xfId="16618"/>
    <cellStyle name="40% - 强调文字颜色 1 3 8" xfId="16619"/>
    <cellStyle name="40% - 强调文字颜色 1 3 8 2" xfId="16620"/>
    <cellStyle name="40% - 强调文字颜色 1 3 9" xfId="16621"/>
    <cellStyle name="40% - 强调文字颜色 1 3 9 2" xfId="16622"/>
    <cellStyle name="40% - 强调文字颜色 2 2" xfId="16623"/>
    <cellStyle name="40% - 强调文字颜色 2 2 10" xfId="16624"/>
    <cellStyle name="40% - 强调文字颜色 2 2 11" xfId="16625"/>
    <cellStyle name="40% - 强调文字颜色 2 2 11 2" xfId="16626"/>
    <cellStyle name="40% - 强调文字颜色 2 2 12" xfId="16627"/>
    <cellStyle name="40% - 强调文字颜色 2 2 12 2" xfId="16628"/>
    <cellStyle name="40% - 强调文字颜色 2 2 2" xfId="16629"/>
    <cellStyle name="40% - 强调文字颜色 2 2 2 10" xfId="16630"/>
    <cellStyle name="40% - 强调文字颜色 2 2 2 11" xfId="16631"/>
    <cellStyle name="40% - 强调文字颜色 2 2 2 11 2" xfId="16632"/>
    <cellStyle name="40% - 强调文字颜色 2 2 2 12" xfId="16633"/>
    <cellStyle name="40% - 强调文字颜色 2 2 2 12 2" xfId="16634"/>
    <cellStyle name="40% - 强调文字颜色 2 2 2 2" xfId="16635"/>
    <cellStyle name="40% - 强调文字颜色 2 2 2 2 2" xfId="16636"/>
    <cellStyle name="40% - 强调文字颜色 2 2 2 2 2 2" xfId="16637"/>
    <cellStyle name="40% - 强调文字颜色 2 2 2 2 2 2 2" xfId="16638"/>
    <cellStyle name="40% - 强调文字颜色 2 2 2 2 2 2 3" xfId="16639"/>
    <cellStyle name="40% - 强调文字颜色 2 2 2 2 2 2 3 2" xfId="16640"/>
    <cellStyle name="40% - 强调文字颜色 2 2 2 2 2 2 3 2 2" xfId="16641"/>
    <cellStyle name="40% - 强调文字颜色 2 2 2 2 2 2 4" xfId="16642"/>
    <cellStyle name="40% - 强调文字颜色 2 2 2 2 2 2 4 2" xfId="16643"/>
    <cellStyle name="40% - 强调文字颜色 2 2 2 2 2 2 5" xfId="16644"/>
    <cellStyle name="40% - 强调文字颜色 2 2 2 2 2 2 5 2" xfId="16645"/>
    <cellStyle name="40% - 强调文字颜色 2 2 2 2 2 2 6" xfId="16646"/>
    <cellStyle name="40% - 强调文字颜色 2 2 2 2 2 3" xfId="16647"/>
    <cellStyle name="40% - 强调文字颜色 2 2 2 2 2 3 2" xfId="16648"/>
    <cellStyle name="40% - 强调文字颜色 2 2 2 2 2 3 2 2" xfId="16649"/>
    <cellStyle name="40% - 强调文字颜色 2 2 2 2 2 3 2 2 2" xfId="16650"/>
    <cellStyle name="40% - 强调文字颜色 2 2 2 2 2 3 3" xfId="16651"/>
    <cellStyle name="40% - 强调文字颜色 2 2 2 2 2 3 3 2" xfId="16652"/>
    <cellStyle name="40% - 强调文字颜色 2 2 2 2 2 3 4" xfId="16653"/>
    <cellStyle name="40% - 强调文字颜色 2 2 2 2 2 3 4 2" xfId="16654"/>
    <cellStyle name="40% - 强调文字颜色 2 2 2 2 2 3 5" xfId="16655"/>
    <cellStyle name="40% - 强调文字颜色 2 2 2 2 2 4" xfId="16656"/>
    <cellStyle name="40% - 强调文字颜色 2 2 2 2 2 5" xfId="16657"/>
    <cellStyle name="40% - 强调文字颜色 2 2 2 2 2 6" xfId="16658"/>
    <cellStyle name="40% - 强调文字颜色 2 2 2 2 2 6 2" xfId="16659"/>
    <cellStyle name="40% - 强调文字颜色 2 2 2 2 2 7" xfId="16660"/>
    <cellStyle name="40% - 强调文字颜色 2 2 2 2 2 7 2" xfId="16661"/>
    <cellStyle name="40% - 强调文字颜色 2 2 2 2 3" xfId="16662"/>
    <cellStyle name="40% - 强调文字颜色 2 2 2 2 3 2" xfId="16663"/>
    <cellStyle name="40% - 强调文字颜色 2 2 2 2 3 3" xfId="16664"/>
    <cellStyle name="40% - 强调文字颜色 2 2 2 2 3 3 2" xfId="16665"/>
    <cellStyle name="40% - 强调文字颜色 2 2 2 2 3 3 2 2" xfId="16666"/>
    <cellStyle name="40% - 强调文字颜色 2 2 2 2 3 4" xfId="16667"/>
    <cellStyle name="40% - 强调文字颜色 2 2 2 2 3 4 2" xfId="16668"/>
    <cellStyle name="40% - 强调文字颜色 2 2 2 2 3 5" xfId="16669"/>
    <cellStyle name="40% - 强调文字颜色 2 2 2 2 3 5 2" xfId="16670"/>
    <cellStyle name="40% - 强调文字颜色 2 2 2 2 3 6" xfId="16671"/>
    <cellStyle name="40% - 强调文字颜色 2 2 2 2 4" xfId="16672"/>
    <cellStyle name="40% - 强调文字颜色 2 2 2 2 4 2" xfId="16673"/>
    <cellStyle name="40% - 强调文字颜色 2 2 2 2 4 2 2" xfId="16674"/>
    <cellStyle name="40% - 强调文字颜色 2 2 2 2 4 2 2 2" xfId="16675"/>
    <cellStyle name="40% - 强调文字颜色 2 2 2 2 4 3" xfId="16676"/>
    <cellStyle name="40% - 强调文字颜色 2 2 2 2 4 3 2" xfId="16677"/>
    <cellStyle name="40% - 强调文字颜色 2 2 2 2 4 4" xfId="16678"/>
    <cellStyle name="40% - 强调文字颜色 2 2 2 2 4 4 2" xfId="16679"/>
    <cellStyle name="40% - 强调文字颜色 2 2 2 2 4 5" xfId="16680"/>
    <cellStyle name="40% - 强调文字颜色 2 2 2 2 5" xfId="16681"/>
    <cellStyle name="40% - 强调文字颜色 2 2 2 2 6" xfId="16682"/>
    <cellStyle name="40% - 强调文字颜色 2 2 2 2 7" xfId="16683"/>
    <cellStyle name="40% - 强调文字颜色 2 2 2 2 7 2" xfId="16684"/>
    <cellStyle name="40% - 强调文字颜色 2 2 2 2 8" xfId="16685"/>
    <cellStyle name="40% - 强调文字颜色 2 2 2 2 8 2" xfId="16686"/>
    <cellStyle name="40% - 强调文字颜色 2 2 2 3" xfId="16687"/>
    <cellStyle name="40% - 强调文字颜色 2 2 2 3 2" xfId="16688"/>
    <cellStyle name="40% - 强调文字颜色 2 2 2 3 2 2" xfId="16689"/>
    <cellStyle name="40% - 强调文字颜色 2 2 2 3 2 3" xfId="16690"/>
    <cellStyle name="40% - 强调文字颜色 2 2 2 3 2 3 2" xfId="16691"/>
    <cellStyle name="40% - 强调文字颜色 2 2 2 3 2 3 2 2" xfId="16692"/>
    <cellStyle name="40% - 强调文字颜色 2 2 2 3 2 4" xfId="16693"/>
    <cellStyle name="40% - 强调文字颜色 2 2 2 3 2 4 2" xfId="16694"/>
    <cellStyle name="40% - 强调文字颜色 2 2 2 3 2 5" xfId="16695"/>
    <cellStyle name="40% - 强调文字颜色 2 2 2 3 2 5 2" xfId="16696"/>
    <cellStyle name="40% - 强调文字颜色 2 2 2 3 2 6" xfId="16697"/>
    <cellStyle name="40% - 强调文字颜色 2 2 2 3 3" xfId="16698"/>
    <cellStyle name="40% - 强调文字颜色 2 2 2 3 3 2" xfId="16699"/>
    <cellStyle name="40% - 强调文字颜色 2 2 2 3 3 2 2" xfId="16700"/>
    <cellStyle name="40% - 强调文字颜色 2 2 2 3 3 2 2 2" xfId="16701"/>
    <cellStyle name="40% - 强调文字颜色 2 2 2 3 3 3" xfId="16702"/>
    <cellStyle name="40% - 强调文字颜色 2 2 2 3 3 3 2" xfId="16703"/>
    <cellStyle name="40% - 强调文字颜色 2 2 2 3 3 4" xfId="16704"/>
    <cellStyle name="40% - 强调文字颜色 2 2 2 3 3 4 2" xfId="16705"/>
    <cellStyle name="40% - 强调文字颜色 2 2 2 3 3 5" xfId="16706"/>
    <cellStyle name="40% - 强调文字颜色 2 2 2 3 4" xfId="16707"/>
    <cellStyle name="40% - 强调文字颜色 2 2 2 3 5" xfId="16708"/>
    <cellStyle name="40% - 强调文字颜色 2 2 2 3 6" xfId="16709"/>
    <cellStyle name="40% - 强调文字颜色 2 2 2 3 6 2" xfId="16710"/>
    <cellStyle name="40% - 强调文字颜色 2 2 2 3 7" xfId="16711"/>
    <cellStyle name="40% - 强调文字颜色 2 2 2 3 7 2" xfId="16712"/>
    <cellStyle name="40% - 强调文字颜色 2 2 2 4" xfId="16713"/>
    <cellStyle name="40% - 强调文字颜色 2 2 2 4 2" xfId="16714"/>
    <cellStyle name="40% - 强调文字颜色 2 2 2 4 2 2" xfId="16715"/>
    <cellStyle name="40% - 强调文字颜色 2 2 2 4 2 3" xfId="16716"/>
    <cellStyle name="40% - 强调文字颜色 2 2 2 4 2 3 2" xfId="16717"/>
    <cellStyle name="40% - 强调文字颜色 2 2 2 4 2 3 2 2" xfId="16718"/>
    <cellStyle name="40% - 强调文字颜色 2 2 2 4 2 4" xfId="16719"/>
    <cellStyle name="40% - 强调文字颜色 2 2 2 4 2 4 2" xfId="16720"/>
    <cellStyle name="40% - 强调文字颜色 2 2 2 4 2 5" xfId="16721"/>
    <cellStyle name="40% - 强调文字颜色 2 2 2 4 2 5 2" xfId="16722"/>
    <cellStyle name="40% - 强调文字颜色 2 2 2 4 2 6" xfId="16723"/>
    <cellStyle name="40% - 强调文字颜色 2 2 2 4 3" xfId="16724"/>
    <cellStyle name="40% - 强调文字颜色 2 2 2 4 4" xfId="16725"/>
    <cellStyle name="40% - 强调文字颜色 2 2 2 4 5" xfId="16726"/>
    <cellStyle name="40% - 强调文字颜色 2 2 2 4 6" xfId="16727"/>
    <cellStyle name="40% - 强调文字颜色 2 2 2 4 6 2" xfId="16728"/>
    <cellStyle name="40% - 强调文字颜色 2 2 2 4 7" xfId="16729"/>
    <cellStyle name="40% - 强调文字颜色 2 2 2 4 7 2" xfId="16730"/>
    <cellStyle name="40% - 强调文字颜色 2 2 2 5" xfId="16731"/>
    <cellStyle name="40% - 强调文字颜色 2 2 2 5 2" xfId="16732"/>
    <cellStyle name="40% - 强调文字颜色 2 2 2 5 2 2" xfId="16733"/>
    <cellStyle name="40% - 强调文字颜色 2 2 2 5 2 2 2" xfId="16734"/>
    <cellStyle name="40% - 强调文字颜色 2 2 2 5 2 2 2 2" xfId="16735"/>
    <cellStyle name="40% - 强调文字颜色 2 2 2 5 2 3" xfId="16736"/>
    <cellStyle name="40% - 强调文字颜色 2 2 2 5 2 3 2" xfId="16737"/>
    <cellStyle name="40% - 强调文字颜色 2 2 2 5 2 4" xfId="16738"/>
    <cellStyle name="40% - 强调文字颜色 2 2 2 5 2 4 2" xfId="16739"/>
    <cellStyle name="40% - 强调文字颜色 2 2 2 5 2 5" xfId="16740"/>
    <cellStyle name="40% - 强调文字颜色 2 2 2 5 3" xfId="16741"/>
    <cellStyle name="40% - 强调文字颜色 2 2 2 5 3 2" xfId="16742"/>
    <cellStyle name="40% - 强调文字颜色 2 2 2 5 3 2 2" xfId="16743"/>
    <cellStyle name="40% - 强调文字颜色 2 2 2 5 4" xfId="16744"/>
    <cellStyle name="40% - 强调文字颜色 2 2 2 5 4 2" xfId="16745"/>
    <cellStyle name="40% - 强调文字颜色 2 2 2 5 5" xfId="16746"/>
    <cellStyle name="40% - 强调文字颜色 2 2 2 5 5 2" xfId="16747"/>
    <cellStyle name="40% - 强调文字颜色 2 2 2 5 6" xfId="16748"/>
    <cellStyle name="40% - 强调文字颜色 2 2 2 6" xfId="16749"/>
    <cellStyle name="40% - 强调文字颜色 2 2 2 6 2" xfId="16750"/>
    <cellStyle name="40% - 强调文字颜色 2 2 2 6 2 2" xfId="16751"/>
    <cellStyle name="40% - 强调文字颜色 2 2 2 6 2 2 2" xfId="16752"/>
    <cellStyle name="40% - 强调文字颜色 2 2 2 6 2 2 2 2" xfId="16753"/>
    <cellStyle name="40% - 强调文字颜色 2 2 2 6 2 3" xfId="16754"/>
    <cellStyle name="40% - 强调文字颜色 2 2 2 6 2 3 2" xfId="16755"/>
    <cellStyle name="40% - 强调文字颜色 2 2 2 6 2 4" xfId="16756"/>
    <cellStyle name="40% - 强调文字颜色 2 2 2 6 2 4 2" xfId="16757"/>
    <cellStyle name="40% - 强调文字颜色 2 2 2 6 2 5" xfId="16758"/>
    <cellStyle name="40% - 强调文字颜色 2 2 2 6 3" xfId="16759"/>
    <cellStyle name="40% - 强调文字颜色 2 2 2 6 3 2" xfId="16760"/>
    <cellStyle name="40% - 强调文字颜色 2 2 2 6 3 2 2" xfId="16761"/>
    <cellStyle name="40% - 强调文字颜色 2 2 2 6 4" xfId="16762"/>
    <cellStyle name="40% - 强调文字颜色 2 2 2 6 4 2" xfId="16763"/>
    <cellStyle name="40% - 强调文字颜色 2 2 2 6 5" xfId="16764"/>
    <cellStyle name="40% - 强调文字颜色 2 2 2 6 5 2" xfId="16765"/>
    <cellStyle name="40% - 强调文字颜色 2 2 2 6 6" xfId="16766"/>
    <cellStyle name="40% - 强调文字颜色 2 2 2 7" xfId="16767"/>
    <cellStyle name="40% - 强调文字颜色 2 2 2 7 2" xfId="16768"/>
    <cellStyle name="40% - 强调文字颜色 2 2 2 7 2 2" xfId="16769"/>
    <cellStyle name="40% - 强调文字颜色 2 2 2 7 2 2 2" xfId="16770"/>
    <cellStyle name="40% - 强调文字颜色 2 2 2 7 2 2 2 2" xfId="16771"/>
    <cellStyle name="40% - 强调文字颜色 2 2 2 7 2 3" xfId="16772"/>
    <cellStyle name="40% - 强调文字颜色 2 2 2 7 2 3 2" xfId="16773"/>
    <cellStyle name="40% - 强调文字颜色 2 2 2 7 2 4" xfId="16774"/>
    <cellStyle name="40% - 强调文字颜色 2 2 2 7 2 4 2" xfId="16775"/>
    <cellStyle name="40% - 强调文字颜色 2 2 2 7 2 5" xfId="16776"/>
    <cellStyle name="40% - 强调文字颜色 2 2 2 7 3" xfId="16777"/>
    <cellStyle name="40% - 强调文字颜色 2 2 2 7 3 2" xfId="16778"/>
    <cellStyle name="40% - 强调文字颜色 2 2 2 7 3 2 2" xfId="16779"/>
    <cellStyle name="40% - 强调文字颜色 2 2 2 7 4" xfId="16780"/>
    <cellStyle name="40% - 强调文字颜色 2 2 2 7 4 2" xfId="16781"/>
    <cellStyle name="40% - 强调文字颜色 2 2 2 7 5" xfId="16782"/>
    <cellStyle name="40% - 强调文字颜色 2 2 2 7 5 2" xfId="16783"/>
    <cellStyle name="40% - 强调文字颜色 2 2 2 7 6" xfId="16784"/>
    <cellStyle name="40% - 强调文字颜色 2 2 2 8" xfId="16785"/>
    <cellStyle name="40% - 强调文字颜色 2 2 2 8 2" xfId="16786"/>
    <cellStyle name="40% - 强调文字颜色 2 2 2 8 2 2" xfId="16787"/>
    <cellStyle name="40% - 强调文字颜色 2 2 2 8 2 2 2" xfId="16788"/>
    <cellStyle name="40% - 强调文字颜色 2 2 2 8 3" xfId="16789"/>
    <cellStyle name="40% - 强调文字颜色 2 2 2 8 3 2" xfId="16790"/>
    <cellStyle name="40% - 强调文字颜色 2 2 2 8 4" xfId="16791"/>
    <cellStyle name="40% - 强调文字颜色 2 2 2 8 4 2" xfId="16792"/>
    <cellStyle name="40% - 强调文字颜色 2 2 2 8 5" xfId="16793"/>
    <cellStyle name="40% - 强调文字颜色 2 2 2 9" xfId="16794"/>
    <cellStyle name="40% - 强调文字颜色 2 2 2 9 2" xfId="16795"/>
    <cellStyle name="40% - 强调文字颜色 2 2 2 9 2 2" xfId="16796"/>
    <cellStyle name="40% - 强调文字颜色 2 2 2 9 2 2 2" xfId="16797"/>
    <cellStyle name="40% - 强调文字颜色 2 2 2 9 3" xfId="16798"/>
    <cellStyle name="40% - 强调文字颜色 2 2 2 9 3 2" xfId="16799"/>
    <cellStyle name="40% - 强调文字颜色 2 2 2 9 4" xfId="16800"/>
    <cellStyle name="40% - 强调文字颜色 2 2 2 9 4 2" xfId="16801"/>
    <cellStyle name="40% - 强调文字颜色 2 2 2 9 5" xfId="16802"/>
    <cellStyle name="40% - 强调文字颜色 2 2 3" xfId="16803"/>
    <cellStyle name="40% - 强调文字颜色 2 2 3 10" xfId="16804"/>
    <cellStyle name="40% - 强调文字颜色 2 2 3 10 2" xfId="16805"/>
    <cellStyle name="40% - 强调文字颜色 2 2 3 2" xfId="16806"/>
    <cellStyle name="40% - 强调文字颜色 2 2 3 2 2" xfId="16807"/>
    <cellStyle name="40% - 强调文字颜色 2 2 3 2 2 2" xfId="16808"/>
    <cellStyle name="40% - 强调文字颜色 2 2 3 2 2 2 2" xfId="16809"/>
    <cellStyle name="40% - 强调文字颜色 2 2 3 2 2 2 3" xfId="16810"/>
    <cellStyle name="40% - 强调文字颜色 2 2 3 2 2 2 3 2" xfId="16811"/>
    <cellStyle name="40% - 强调文字颜色 2 2 3 2 2 2 3 2 2" xfId="16812"/>
    <cellStyle name="40% - 强调文字颜色 2 2 3 2 2 2 4" xfId="16813"/>
    <cellStyle name="40% - 强调文字颜色 2 2 3 2 2 2 4 2" xfId="16814"/>
    <cellStyle name="40% - 强调文字颜色 2 2 3 2 2 2 5" xfId="16815"/>
    <cellStyle name="40% - 强调文字颜色 2 2 3 2 2 2 5 2" xfId="16816"/>
    <cellStyle name="40% - 强调文字颜色 2 2 3 2 2 2 6" xfId="16817"/>
    <cellStyle name="40% - 强调文字颜色 2 2 3 2 2 3" xfId="16818"/>
    <cellStyle name="40% - 强调文字颜色 2 2 3 2 2 3 2" xfId="16819"/>
    <cellStyle name="40% - 强调文字颜色 2 2 3 2 2 3 2 2" xfId="16820"/>
    <cellStyle name="40% - 强调文字颜色 2 2 3 2 2 3 2 2 2" xfId="16821"/>
    <cellStyle name="40% - 强调文字颜色 2 2 3 2 2 3 3" xfId="16822"/>
    <cellStyle name="40% - 强调文字颜色 2 2 3 2 2 3 3 2" xfId="16823"/>
    <cellStyle name="40% - 强调文字颜色 2 2 3 2 2 3 4" xfId="16824"/>
    <cellStyle name="40% - 强调文字颜色 2 2 3 2 2 3 4 2" xfId="16825"/>
    <cellStyle name="40% - 强调文字颜色 2 2 3 2 2 3 5" xfId="16826"/>
    <cellStyle name="40% - 强调文字颜色 2 2 3 2 2 4" xfId="16827"/>
    <cellStyle name="40% - 强调文字颜色 2 2 3 2 2 5" xfId="16828"/>
    <cellStyle name="40% - 强调文字颜色 2 2 3 2 2 6" xfId="16829"/>
    <cellStyle name="40% - 强调文字颜色 2 2 3 2 2 6 2" xfId="16830"/>
    <cellStyle name="40% - 强调文字颜色 2 2 3 2 2 7" xfId="16831"/>
    <cellStyle name="40% - 强调文字颜色 2 2 3 2 2 7 2" xfId="16832"/>
    <cellStyle name="40% - 强调文字颜色 2 2 3 2 3" xfId="16833"/>
    <cellStyle name="40% - 强调文字颜色 2 2 3 2 3 2" xfId="16834"/>
    <cellStyle name="40% - 强调文字颜色 2 2 3 2 3 3" xfId="16835"/>
    <cellStyle name="40% - 强调文字颜色 2 2 3 2 3 3 2" xfId="16836"/>
    <cellStyle name="40% - 强调文字颜色 2 2 3 2 3 3 2 2" xfId="16837"/>
    <cellStyle name="40% - 强调文字颜色 2 2 3 2 3 4" xfId="16838"/>
    <cellStyle name="40% - 强调文字颜色 2 2 3 2 3 4 2" xfId="16839"/>
    <cellStyle name="40% - 强调文字颜色 2 2 3 2 3 5" xfId="16840"/>
    <cellStyle name="40% - 强调文字颜色 2 2 3 2 3 5 2" xfId="16841"/>
    <cellStyle name="40% - 强调文字颜色 2 2 3 2 3 6" xfId="16842"/>
    <cellStyle name="40% - 强调文字颜色 2 2 3 2 4" xfId="16843"/>
    <cellStyle name="40% - 强调文字颜色 2 2 3 2 4 2" xfId="16844"/>
    <cellStyle name="40% - 强调文字颜色 2 2 3 2 4 2 2" xfId="16845"/>
    <cellStyle name="40% - 强调文字颜色 2 2 3 2 4 2 2 2" xfId="16846"/>
    <cellStyle name="40% - 强调文字颜色 2 2 3 2 4 3" xfId="16847"/>
    <cellStyle name="40% - 强调文字颜色 2 2 3 2 4 3 2" xfId="16848"/>
    <cellStyle name="40% - 强调文字颜色 2 2 3 2 4 4" xfId="16849"/>
    <cellStyle name="40% - 强调文字颜色 2 2 3 2 4 4 2" xfId="16850"/>
    <cellStyle name="40% - 强调文字颜色 2 2 3 2 4 5" xfId="16851"/>
    <cellStyle name="40% - 强调文字颜色 2 2 3 2 5" xfId="16852"/>
    <cellStyle name="40% - 强调文字颜色 2 2 3 2 6" xfId="16853"/>
    <cellStyle name="40% - 强调文字颜色 2 2 3 2 7" xfId="16854"/>
    <cellStyle name="40% - 强调文字颜色 2 2 3 2 7 2" xfId="16855"/>
    <cellStyle name="40% - 强调文字颜色 2 2 3 2 8" xfId="16856"/>
    <cellStyle name="40% - 强调文字颜色 2 2 3 2 8 2" xfId="16857"/>
    <cellStyle name="40% - 强调文字颜色 2 2 3 3" xfId="16858"/>
    <cellStyle name="40% - 强调文字颜色 2 2 3 3 2" xfId="16859"/>
    <cellStyle name="40% - 强调文字颜色 2 2 3 3 2 2" xfId="16860"/>
    <cellStyle name="40% - 强调文字颜色 2 2 3 3 2 3" xfId="16861"/>
    <cellStyle name="40% - 强调文字颜色 2 2 3 3 2 3 2" xfId="16862"/>
    <cellStyle name="40% - 强调文字颜色 2 2 3 3 2 3 2 2" xfId="16863"/>
    <cellStyle name="40% - 强调文字颜色 2 2 3 3 2 4" xfId="16864"/>
    <cellStyle name="40% - 强调文字颜色 2 2 3 3 2 4 2" xfId="16865"/>
    <cellStyle name="40% - 强调文字颜色 2 2 3 3 2 5" xfId="16866"/>
    <cellStyle name="40% - 强调文字颜色 2 2 3 3 2 5 2" xfId="16867"/>
    <cellStyle name="40% - 强调文字颜色 2 2 3 3 2 6" xfId="16868"/>
    <cellStyle name="40% - 强调文字颜色 2 2 3 3 3" xfId="16869"/>
    <cellStyle name="40% - 强调文字颜色 2 2 3 3 3 2" xfId="16870"/>
    <cellStyle name="40% - 强调文字颜色 2 2 3 3 3 2 2" xfId="16871"/>
    <cellStyle name="40% - 强调文字颜色 2 2 3 3 3 2 2 2" xfId="16872"/>
    <cellStyle name="40% - 强调文字颜色 2 2 3 3 3 3" xfId="16873"/>
    <cellStyle name="40% - 强调文字颜色 2 2 3 3 3 3 2" xfId="16874"/>
    <cellStyle name="40% - 强调文字颜色 2 2 3 3 3 4" xfId="16875"/>
    <cellStyle name="40% - 强调文字颜色 2 2 3 3 3 4 2" xfId="16876"/>
    <cellStyle name="40% - 强调文字颜色 2 2 3 3 3 5" xfId="16877"/>
    <cellStyle name="40% - 强调文字颜色 2 2 3 3 4" xfId="16878"/>
    <cellStyle name="40% - 强调文字颜色 2 2 3 3 5" xfId="16879"/>
    <cellStyle name="40% - 强调文字颜色 2 2 3 3 6" xfId="16880"/>
    <cellStyle name="40% - 强调文字颜色 2 2 3 3 6 2" xfId="16881"/>
    <cellStyle name="40% - 强调文字颜色 2 2 3 3 7" xfId="16882"/>
    <cellStyle name="40% - 强调文字颜色 2 2 3 3 7 2" xfId="16883"/>
    <cellStyle name="40% - 强调文字颜色 2 2 3 4" xfId="16884"/>
    <cellStyle name="40% - 强调文字颜色 2 2 3 4 2" xfId="16885"/>
    <cellStyle name="40% - 强调文字颜色 2 2 3 4 2 2" xfId="16886"/>
    <cellStyle name="40% - 强调文字颜色 2 2 3 4 2 3" xfId="16887"/>
    <cellStyle name="40% - 强调文字颜色 2 2 3 4 2 3 2" xfId="16888"/>
    <cellStyle name="40% - 强调文字颜色 2 2 3 4 2 3 2 2" xfId="16889"/>
    <cellStyle name="40% - 强调文字颜色 2 2 3 4 2 4" xfId="16890"/>
    <cellStyle name="40% - 强调文字颜色 2 2 3 4 2 4 2" xfId="16891"/>
    <cellStyle name="40% - 强调文字颜色 2 2 3 4 2 5" xfId="16892"/>
    <cellStyle name="40% - 强调文字颜色 2 2 3 4 2 5 2" xfId="16893"/>
    <cellStyle name="40% - 强调文字颜色 2 2 3 4 2 6" xfId="16894"/>
    <cellStyle name="40% - 强调文字颜色 2 2 3 4 3" xfId="16895"/>
    <cellStyle name="40% - 强调文字颜色 2 2 3 4 4" xfId="16896"/>
    <cellStyle name="40% - 强调文字颜色 2 2 3 4 5" xfId="16897"/>
    <cellStyle name="40% - 强调文字颜色 2 2 3 4 6" xfId="16898"/>
    <cellStyle name="40% - 强调文字颜色 2 2 3 4 6 2" xfId="16899"/>
    <cellStyle name="40% - 强调文字颜色 2 2 3 4 7" xfId="16900"/>
    <cellStyle name="40% - 强调文字颜色 2 2 3 4 7 2" xfId="16901"/>
    <cellStyle name="40% - 强调文字颜色 2 2 3 5" xfId="16902"/>
    <cellStyle name="40% - 强调文字颜色 2 2 3 5 2" xfId="16903"/>
    <cellStyle name="40% - 强调文字颜色 2 2 3 5 2 2" xfId="16904"/>
    <cellStyle name="40% - 强调文字颜色 2 2 3 5 2 2 2" xfId="16905"/>
    <cellStyle name="40% - 强调文字颜色 2 2 3 5 2 2 2 2" xfId="16906"/>
    <cellStyle name="40% - 强调文字颜色 2 2 3 5 2 3" xfId="16907"/>
    <cellStyle name="40% - 强调文字颜色 2 2 3 5 2 3 2" xfId="16908"/>
    <cellStyle name="40% - 强调文字颜色 2 2 3 5 2 4" xfId="16909"/>
    <cellStyle name="40% - 强调文字颜色 2 2 3 5 2 4 2" xfId="16910"/>
    <cellStyle name="40% - 强调文字颜色 2 2 3 5 2 5" xfId="16911"/>
    <cellStyle name="40% - 强调文字颜色 2 2 3 5 3" xfId="16912"/>
    <cellStyle name="40% - 强调文字颜色 2 2 3 5 3 2" xfId="16913"/>
    <cellStyle name="40% - 强调文字颜色 2 2 3 5 3 2 2" xfId="16914"/>
    <cellStyle name="40% - 强调文字颜色 2 2 3 5 4" xfId="16915"/>
    <cellStyle name="40% - 强调文字颜色 2 2 3 5 4 2" xfId="16916"/>
    <cellStyle name="40% - 强调文字颜色 2 2 3 5 5" xfId="16917"/>
    <cellStyle name="40% - 强调文字颜色 2 2 3 5 5 2" xfId="16918"/>
    <cellStyle name="40% - 强调文字颜色 2 2 3 5 6" xfId="16919"/>
    <cellStyle name="40% - 强调文字颜色 2 2 3 6" xfId="16920"/>
    <cellStyle name="40% - 强调文字颜色 2 2 3 6 2" xfId="16921"/>
    <cellStyle name="40% - 强调文字颜色 2 2 3 6 2 2" xfId="16922"/>
    <cellStyle name="40% - 强调文字颜色 2 2 3 6 2 2 2" xfId="16923"/>
    <cellStyle name="40% - 强调文字颜色 2 2 3 6 3" xfId="16924"/>
    <cellStyle name="40% - 强调文字颜色 2 2 3 6 3 2" xfId="16925"/>
    <cellStyle name="40% - 强调文字颜色 2 2 3 6 4" xfId="16926"/>
    <cellStyle name="40% - 强调文字颜色 2 2 3 6 4 2" xfId="16927"/>
    <cellStyle name="40% - 强调文字颜色 2 2 3 6 5" xfId="16928"/>
    <cellStyle name="40% - 强调文字颜色 2 2 3 7" xfId="16929"/>
    <cellStyle name="40% - 强调文字颜色 2 2 3 7 2" xfId="16930"/>
    <cellStyle name="40% - 强调文字颜色 2 2 3 7 2 2" xfId="16931"/>
    <cellStyle name="40% - 强调文字颜色 2 2 3 7 2 2 2" xfId="16932"/>
    <cellStyle name="40% - 强调文字颜色 2 2 3 7 3" xfId="16933"/>
    <cellStyle name="40% - 强调文字颜色 2 2 3 7 3 2" xfId="16934"/>
    <cellStyle name="40% - 强调文字颜色 2 2 3 7 4" xfId="16935"/>
    <cellStyle name="40% - 强调文字颜色 2 2 3 7 4 2" xfId="16936"/>
    <cellStyle name="40% - 强调文字颜色 2 2 3 7 5" xfId="16937"/>
    <cellStyle name="40% - 强调文字颜色 2 2 3 8" xfId="16938"/>
    <cellStyle name="40% - 强调文字颜色 2 2 3 9" xfId="16939"/>
    <cellStyle name="40% - 强调文字颜色 2 2 3 9 2" xfId="16940"/>
    <cellStyle name="40% - 强调文字颜色 2 2 4" xfId="16941"/>
    <cellStyle name="40% - 强调文字颜色 2 2 4 2" xfId="16942"/>
    <cellStyle name="40% - 强调文字颜色 2 2 4 2 2" xfId="16943"/>
    <cellStyle name="40% - 强调文字颜色 2 2 4 2 3" xfId="16944"/>
    <cellStyle name="40% - 强调文字颜色 2 2 4 2 3 2" xfId="16945"/>
    <cellStyle name="40% - 强调文字颜色 2 2 4 2 3 2 2" xfId="16946"/>
    <cellStyle name="40% - 强调文字颜色 2 2 4 2 4" xfId="16947"/>
    <cellStyle name="40% - 强调文字颜色 2 2 4 2 4 2" xfId="16948"/>
    <cellStyle name="40% - 强调文字颜色 2 2 4 2 5" xfId="16949"/>
    <cellStyle name="40% - 强调文字颜色 2 2 4 2 5 2" xfId="16950"/>
    <cellStyle name="40% - 强调文字颜色 2 2 4 2 6" xfId="16951"/>
    <cellStyle name="40% - 强调文字颜色 2 2 4 3" xfId="16952"/>
    <cellStyle name="40% - 强调文字颜色 2 2 4 3 2" xfId="16953"/>
    <cellStyle name="40% - 强调文字颜色 2 2 4 3 2 2" xfId="16954"/>
    <cellStyle name="40% - 强调文字颜色 2 2 4 3 2 2 2" xfId="16955"/>
    <cellStyle name="40% - 强调文字颜色 2 2 4 3 3" xfId="16956"/>
    <cellStyle name="40% - 强调文字颜色 2 2 4 3 3 2" xfId="16957"/>
    <cellStyle name="40% - 强调文字颜色 2 2 4 3 4" xfId="16958"/>
    <cellStyle name="40% - 强调文字颜色 2 2 4 3 4 2" xfId="16959"/>
    <cellStyle name="40% - 强调文字颜色 2 2 4 3 5" xfId="16960"/>
    <cellStyle name="40% - 强调文字颜色 2 2 4 4" xfId="16961"/>
    <cellStyle name="40% - 强调文字颜色 2 2 4 5" xfId="16962"/>
    <cellStyle name="40% - 强调文字颜色 2 2 4 6" xfId="16963"/>
    <cellStyle name="40% - 强调文字颜色 2 2 4 6 2" xfId="16964"/>
    <cellStyle name="40% - 强调文字颜色 2 2 4 7" xfId="16965"/>
    <cellStyle name="40% - 强调文字颜色 2 2 4 7 2" xfId="16966"/>
    <cellStyle name="40% - 强调文字颜色 2 2 5" xfId="16967"/>
    <cellStyle name="40% - 强调文字颜色 2 2 5 2" xfId="16968"/>
    <cellStyle name="40% - 强调文字颜色 2 2 5 2 2" xfId="16969"/>
    <cellStyle name="40% - 强调文字颜色 2 2 5 2 3" xfId="16970"/>
    <cellStyle name="40% - 强调文字颜色 2 2 5 2 3 2" xfId="16971"/>
    <cellStyle name="40% - 强调文字颜色 2 2 5 2 3 2 2" xfId="16972"/>
    <cellStyle name="40% - 强调文字颜色 2 2 5 2 4" xfId="16973"/>
    <cellStyle name="40% - 强调文字颜色 2 2 5 2 4 2" xfId="16974"/>
    <cellStyle name="40% - 强调文字颜色 2 2 5 2 5" xfId="16975"/>
    <cellStyle name="40% - 强调文字颜色 2 2 5 2 5 2" xfId="16976"/>
    <cellStyle name="40% - 强调文字颜色 2 2 5 2 6" xfId="16977"/>
    <cellStyle name="40% - 强调文字颜色 2 2 5 3" xfId="16978"/>
    <cellStyle name="40% - 强调文字颜色 2 2 5 4" xfId="16979"/>
    <cellStyle name="40% - 强调文字颜色 2 2 5 5" xfId="16980"/>
    <cellStyle name="40% - 强调文字颜色 2 2 5 6" xfId="16981"/>
    <cellStyle name="40% - 强调文字颜色 2 2 5 6 2" xfId="16982"/>
    <cellStyle name="40% - 强调文字颜色 2 2 5 7" xfId="16983"/>
    <cellStyle name="40% - 强调文字颜色 2 2 5 7 2" xfId="16984"/>
    <cellStyle name="40% - 强调文字颜色 2 2 6" xfId="16985"/>
    <cellStyle name="40% - 强调文字颜色 2 2 6 2" xfId="16986"/>
    <cellStyle name="40% - 强调文字颜色 2 2 6 2 2" xfId="16987"/>
    <cellStyle name="40% - 强调文字颜色 2 2 6 2 2 2" xfId="16988"/>
    <cellStyle name="40% - 强调文字颜色 2 2 6 2 2 2 2" xfId="16989"/>
    <cellStyle name="40% - 强调文字颜色 2 2 6 2 3" xfId="16990"/>
    <cellStyle name="40% - 强调文字颜色 2 2 6 2 3 2" xfId="16991"/>
    <cellStyle name="40% - 强调文字颜色 2 2 6 2 4" xfId="16992"/>
    <cellStyle name="40% - 强调文字颜色 2 2 6 2 4 2" xfId="16993"/>
    <cellStyle name="40% - 强调文字颜色 2 2 6 2 5" xfId="16994"/>
    <cellStyle name="40% - 强调文字颜色 2 2 6 3" xfId="16995"/>
    <cellStyle name="40% - 强调文字颜色 2 2 6 3 2" xfId="16996"/>
    <cellStyle name="40% - 强调文字颜色 2 2 6 3 2 2" xfId="16997"/>
    <cellStyle name="40% - 强调文字颜色 2 2 6 4" xfId="16998"/>
    <cellStyle name="40% - 强调文字颜色 2 2 6 4 2" xfId="16999"/>
    <cellStyle name="40% - 强调文字颜色 2 2 6 5" xfId="17000"/>
    <cellStyle name="40% - 强调文字颜色 2 2 6 5 2" xfId="17001"/>
    <cellStyle name="40% - 强调文字颜色 2 2 6 6" xfId="17002"/>
    <cellStyle name="40% - 强调文字颜色 2 2 7" xfId="17003"/>
    <cellStyle name="40% - 强调文字颜色 2 2 7 2" xfId="17004"/>
    <cellStyle name="40% - 强调文字颜色 2 2 7 2 2" xfId="17005"/>
    <cellStyle name="40% - 强调文字颜色 2 2 7 2 2 2" xfId="17006"/>
    <cellStyle name="40% - 强调文字颜色 2 2 7 2 2 2 2" xfId="17007"/>
    <cellStyle name="40% - 强调文字颜色 2 2 7 2 3" xfId="17008"/>
    <cellStyle name="40% - 强调文字颜色 2 2 7 2 3 2" xfId="17009"/>
    <cellStyle name="40% - 强调文字颜色 2 2 7 2 4" xfId="17010"/>
    <cellStyle name="40% - 强调文字颜色 2 2 7 2 4 2" xfId="17011"/>
    <cellStyle name="40% - 强调文字颜色 2 2 7 2 5" xfId="17012"/>
    <cellStyle name="40% - 强调文字颜色 2 2 7 3" xfId="17013"/>
    <cellStyle name="40% - 强调文字颜色 2 2 7 3 2" xfId="17014"/>
    <cellStyle name="40% - 强调文字颜色 2 2 7 3 2 2" xfId="17015"/>
    <cellStyle name="40% - 强调文字颜色 2 2 7 4" xfId="17016"/>
    <cellStyle name="40% - 强调文字颜色 2 2 7 4 2" xfId="17017"/>
    <cellStyle name="40% - 强调文字颜色 2 2 7 5" xfId="17018"/>
    <cellStyle name="40% - 强调文字颜色 2 2 7 5 2" xfId="17019"/>
    <cellStyle name="40% - 强调文字颜色 2 2 7 6" xfId="17020"/>
    <cellStyle name="40% - 强调文字颜色 2 2 8" xfId="17021"/>
    <cellStyle name="40% - 强调文字颜色 2 2 8 2" xfId="17022"/>
    <cellStyle name="40% - 强调文字颜色 2 2 8 2 2" xfId="17023"/>
    <cellStyle name="40% - 强调文字颜色 2 2 8 2 2 2" xfId="17024"/>
    <cellStyle name="40% - 强调文字颜色 2 2 8 2 2 2 2" xfId="17025"/>
    <cellStyle name="40% - 强调文字颜色 2 2 8 2 3" xfId="17026"/>
    <cellStyle name="40% - 强调文字颜色 2 2 8 2 3 2" xfId="17027"/>
    <cellStyle name="40% - 强调文字颜色 2 2 8 2 4" xfId="17028"/>
    <cellStyle name="40% - 强调文字颜色 2 2 8 2 4 2" xfId="17029"/>
    <cellStyle name="40% - 强调文字颜色 2 2 8 2 5" xfId="17030"/>
    <cellStyle name="40% - 强调文字颜色 2 2 8 3" xfId="17031"/>
    <cellStyle name="40% - 强调文字颜色 2 2 8 3 2" xfId="17032"/>
    <cellStyle name="40% - 强调文字颜色 2 2 8 3 2 2" xfId="17033"/>
    <cellStyle name="40% - 强调文字颜色 2 2 8 4" xfId="17034"/>
    <cellStyle name="40% - 强调文字颜色 2 2 8 4 2" xfId="17035"/>
    <cellStyle name="40% - 强调文字颜色 2 2 8 5" xfId="17036"/>
    <cellStyle name="40% - 强调文字颜色 2 2 8 5 2" xfId="17037"/>
    <cellStyle name="40% - 强调文字颜色 2 2 8 6" xfId="17038"/>
    <cellStyle name="40% - 强调文字颜色 2 2 9" xfId="17039"/>
    <cellStyle name="40% - 强调文字颜色 2 2 9 2" xfId="17040"/>
    <cellStyle name="40% - 强调文字颜色 2 2 9 2 2" xfId="17041"/>
    <cellStyle name="40% - 强调文字颜色 2 2 9 2 2 2" xfId="17042"/>
    <cellStyle name="40% - 强调文字颜色 2 2 9 3" xfId="17043"/>
    <cellStyle name="40% - 强调文字颜色 2 2 9 3 2" xfId="17044"/>
    <cellStyle name="40% - 强调文字颜色 2 2 9 4" xfId="17045"/>
    <cellStyle name="40% - 强调文字颜色 2 2 9 4 2" xfId="17046"/>
    <cellStyle name="40% - 强调文字颜色 2 2 9 5" xfId="17047"/>
    <cellStyle name="40% - 强调文字颜色 2 3" xfId="17048"/>
    <cellStyle name="40% - 强调文字颜色 2 3 2" xfId="17049"/>
    <cellStyle name="40% - 强调文字颜色 2 3 2 2" xfId="17050"/>
    <cellStyle name="40% - 强调文字颜色 2 3 2 2 2" xfId="17051"/>
    <cellStyle name="40% - 强调文字颜色 2 3 2 2 2 2" xfId="17052"/>
    <cellStyle name="40% - 强调文字颜色 2 3 2 2 2 3" xfId="17053"/>
    <cellStyle name="40% - 强调文字颜色 2 3 2 2 2 3 2" xfId="17054"/>
    <cellStyle name="40% - 强调文字颜色 2 3 2 2 2 3 2 2" xfId="17055"/>
    <cellStyle name="40% - 强调文字颜色 2 3 2 2 2 4" xfId="17056"/>
    <cellStyle name="40% - 强调文字颜色 2 3 2 2 2 4 2" xfId="17057"/>
    <cellStyle name="40% - 强调文字颜色 2 3 2 2 2 5" xfId="17058"/>
    <cellStyle name="40% - 强调文字颜色 2 3 2 2 2 5 2" xfId="17059"/>
    <cellStyle name="40% - 强调文字颜色 2 3 2 2 2 6" xfId="17060"/>
    <cellStyle name="40% - 强调文字颜色 2 3 2 2 3" xfId="17061"/>
    <cellStyle name="40% - 强调文字颜色 2 3 2 2 3 2" xfId="17062"/>
    <cellStyle name="40% - 强调文字颜色 2 3 2 2 3 2 2" xfId="17063"/>
    <cellStyle name="40% - 强调文字颜色 2 3 2 2 3 2 2 2" xfId="17064"/>
    <cellStyle name="40% - 强调文字颜色 2 3 2 2 3 3" xfId="17065"/>
    <cellStyle name="40% - 强调文字颜色 2 3 2 2 3 3 2" xfId="17066"/>
    <cellStyle name="40% - 强调文字颜色 2 3 2 2 3 4" xfId="17067"/>
    <cellStyle name="40% - 强调文字颜色 2 3 2 2 3 4 2" xfId="17068"/>
    <cellStyle name="40% - 强调文字颜色 2 3 2 2 3 5" xfId="17069"/>
    <cellStyle name="40% - 强调文字颜色 2 3 2 2 4" xfId="17070"/>
    <cellStyle name="40% - 强调文字颜色 2 3 2 2 5" xfId="17071"/>
    <cellStyle name="40% - 强调文字颜色 2 3 2 2 6" xfId="17072"/>
    <cellStyle name="40% - 强调文字颜色 2 3 2 2 6 2" xfId="17073"/>
    <cellStyle name="40% - 强调文字颜色 2 3 2 2 7" xfId="17074"/>
    <cellStyle name="40% - 强调文字颜色 2 3 2 2 7 2" xfId="17075"/>
    <cellStyle name="40% - 强调文字颜色 2 3 2 3" xfId="17076"/>
    <cellStyle name="40% - 强调文字颜色 2 3 2 3 2" xfId="17077"/>
    <cellStyle name="40% - 强调文字颜色 2 3 2 3 3" xfId="17078"/>
    <cellStyle name="40% - 强调文字颜色 2 3 2 3 3 2" xfId="17079"/>
    <cellStyle name="40% - 强调文字颜色 2 3 2 3 3 2 2" xfId="17080"/>
    <cellStyle name="40% - 强调文字颜色 2 3 2 3 4" xfId="17081"/>
    <cellStyle name="40% - 强调文字颜色 2 3 2 3 4 2" xfId="17082"/>
    <cellStyle name="40% - 强调文字颜色 2 3 2 3 5" xfId="17083"/>
    <cellStyle name="40% - 强调文字颜色 2 3 2 3 5 2" xfId="17084"/>
    <cellStyle name="40% - 强调文字颜色 2 3 2 3 6" xfId="17085"/>
    <cellStyle name="40% - 强调文字颜色 2 3 2 4" xfId="17086"/>
    <cellStyle name="40% - 强调文字颜色 2 3 2 4 2" xfId="17087"/>
    <cellStyle name="40% - 强调文字颜色 2 3 2 4 2 2" xfId="17088"/>
    <cellStyle name="40% - 强调文字颜色 2 3 2 4 2 2 2" xfId="17089"/>
    <cellStyle name="40% - 强调文字颜色 2 3 2 4 3" xfId="17090"/>
    <cellStyle name="40% - 强调文字颜色 2 3 2 4 3 2" xfId="17091"/>
    <cellStyle name="40% - 强调文字颜色 2 3 2 4 4" xfId="17092"/>
    <cellStyle name="40% - 强调文字颜色 2 3 2 4 4 2" xfId="17093"/>
    <cellStyle name="40% - 强调文字颜色 2 3 2 4 5" xfId="17094"/>
    <cellStyle name="40% - 强调文字颜色 2 3 2 5" xfId="17095"/>
    <cellStyle name="40% - 强调文字颜色 2 3 2 6" xfId="17096"/>
    <cellStyle name="40% - 强调文字颜色 2 3 2 7" xfId="17097"/>
    <cellStyle name="40% - 强调文字颜色 2 3 2 7 2" xfId="17098"/>
    <cellStyle name="40% - 强调文字颜色 2 3 2 8" xfId="17099"/>
    <cellStyle name="40% - 强调文字颜色 2 3 2 8 2" xfId="17100"/>
    <cellStyle name="40% - 强调文字颜色 2 3 3" xfId="17101"/>
    <cellStyle name="40% - 强调文字颜色 2 3 3 2" xfId="17102"/>
    <cellStyle name="40% - 强调文字颜色 2 3 3 2 2" xfId="17103"/>
    <cellStyle name="40% - 强调文字颜色 2 3 3 2 3" xfId="17104"/>
    <cellStyle name="40% - 强调文字颜色 2 3 3 2 3 2" xfId="17105"/>
    <cellStyle name="40% - 强调文字颜色 2 3 3 2 3 2 2" xfId="17106"/>
    <cellStyle name="40% - 强调文字颜色 2 3 3 2 4" xfId="17107"/>
    <cellStyle name="40% - 强调文字颜色 2 3 3 2 4 2" xfId="17108"/>
    <cellStyle name="40% - 强调文字颜色 2 3 3 2 5" xfId="17109"/>
    <cellStyle name="40% - 强调文字颜色 2 3 3 2 5 2" xfId="17110"/>
    <cellStyle name="40% - 强调文字颜色 2 3 3 2 6" xfId="17111"/>
    <cellStyle name="40% - 强调文字颜色 2 3 3 3" xfId="17112"/>
    <cellStyle name="40% - 强调文字颜色 2 3 3 3 2" xfId="17113"/>
    <cellStyle name="40% - 强调文字颜色 2 3 3 3 2 2" xfId="17114"/>
    <cellStyle name="40% - 强调文字颜色 2 3 3 3 2 2 2" xfId="17115"/>
    <cellStyle name="40% - 强调文字颜色 2 3 3 3 3" xfId="17116"/>
    <cellStyle name="40% - 强调文字颜色 2 3 3 3 3 2" xfId="17117"/>
    <cellStyle name="40% - 强调文字颜色 2 3 3 3 4" xfId="17118"/>
    <cellStyle name="40% - 强调文字颜色 2 3 3 3 4 2" xfId="17119"/>
    <cellStyle name="40% - 强调文字颜色 2 3 3 3 5" xfId="17120"/>
    <cellStyle name="40% - 强调文字颜色 2 3 3 4" xfId="17121"/>
    <cellStyle name="40% - 强调文字颜色 2 3 3 5" xfId="17122"/>
    <cellStyle name="40% - 强调文字颜色 2 3 3 6" xfId="17123"/>
    <cellStyle name="40% - 强调文字颜色 2 3 3 6 2" xfId="17124"/>
    <cellStyle name="40% - 强调文字颜色 2 3 3 7" xfId="17125"/>
    <cellStyle name="40% - 强调文字颜色 2 3 3 7 2" xfId="17126"/>
    <cellStyle name="40% - 强调文字颜色 2 3 4" xfId="17127"/>
    <cellStyle name="40% - 强调文字颜色 2 3 4 2" xfId="17128"/>
    <cellStyle name="40% - 强调文字颜色 2 3 4 2 2" xfId="17129"/>
    <cellStyle name="40% - 强调文字颜色 2 3 4 2 3" xfId="17130"/>
    <cellStyle name="40% - 强调文字颜色 2 3 4 2 3 2" xfId="17131"/>
    <cellStyle name="40% - 强调文字颜色 2 3 4 2 3 2 2" xfId="17132"/>
    <cellStyle name="40% - 强调文字颜色 2 3 4 2 4" xfId="17133"/>
    <cellStyle name="40% - 强调文字颜色 2 3 4 2 4 2" xfId="17134"/>
    <cellStyle name="40% - 强调文字颜色 2 3 4 2 5" xfId="17135"/>
    <cellStyle name="40% - 强调文字颜色 2 3 4 2 5 2" xfId="17136"/>
    <cellStyle name="40% - 强调文字颜色 2 3 4 2 6" xfId="17137"/>
    <cellStyle name="40% - 强调文字颜色 2 3 4 3" xfId="17138"/>
    <cellStyle name="40% - 强调文字颜色 2 3 4 4" xfId="17139"/>
    <cellStyle name="40% - 强调文字颜色 2 3 4 5" xfId="17140"/>
    <cellStyle name="40% - 强调文字颜色 2 3 4 6" xfId="17141"/>
    <cellStyle name="40% - 强调文字颜色 2 3 4 6 2" xfId="17142"/>
    <cellStyle name="40% - 强调文字颜色 2 3 4 7" xfId="17143"/>
    <cellStyle name="40% - 强调文字颜色 2 3 4 7 2" xfId="17144"/>
    <cellStyle name="40% - 强调文字颜色 2 3 5" xfId="17145"/>
    <cellStyle name="40% - 强调文字颜色 2 3 5 2" xfId="17146"/>
    <cellStyle name="40% - 强调文字颜色 2 3 5 2 2" xfId="17147"/>
    <cellStyle name="40% - 强调文字颜色 2 3 5 2 2 2" xfId="17148"/>
    <cellStyle name="40% - 强调文字颜色 2 3 5 2 2 2 2" xfId="17149"/>
    <cellStyle name="40% - 强调文字颜色 2 3 5 2 3" xfId="17150"/>
    <cellStyle name="40% - 强调文字颜色 2 3 5 2 3 2" xfId="17151"/>
    <cellStyle name="40% - 强调文字颜色 2 3 5 2 4" xfId="17152"/>
    <cellStyle name="40% - 强调文字颜色 2 3 5 2 4 2" xfId="17153"/>
    <cellStyle name="40% - 强调文字颜色 2 3 5 2 5" xfId="17154"/>
    <cellStyle name="40% - 强调文字颜色 2 3 5 3" xfId="17155"/>
    <cellStyle name="40% - 强调文字颜色 2 3 5 3 2" xfId="17156"/>
    <cellStyle name="40% - 强调文字颜色 2 3 5 3 2 2" xfId="17157"/>
    <cellStyle name="40% - 强调文字颜色 2 3 5 4" xfId="17158"/>
    <cellStyle name="40% - 强调文字颜色 2 3 5 4 2" xfId="17159"/>
    <cellStyle name="40% - 强调文字颜色 2 3 5 5" xfId="17160"/>
    <cellStyle name="40% - 强调文字颜色 2 3 5 5 2" xfId="17161"/>
    <cellStyle name="40% - 强调文字颜色 2 3 5 6" xfId="17162"/>
    <cellStyle name="40% - 强调文字颜色 2 3 6" xfId="17163"/>
    <cellStyle name="40% - 强调文字颜色 2 3 6 2" xfId="17164"/>
    <cellStyle name="40% - 强调文字颜色 2 3 6 2 2" xfId="17165"/>
    <cellStyle name="40% - 强调文字颜色 2 3 6 2 2 2" xfId="17166"/>
    <cellStyle name="40% - 强调文字颜色 2 3 6 3" xfId="17167"/>
    <cellStyle name="40% - 强调文字颜色 2 3 6 3 2" xfId="17168"/>
    <cellStyle name="40% - 强调文字颜色 2 3 6 4" xfId="17169"/>
    <cellStyle name="40% - 强调文字颜色 2 3 6 4 2" xfId="17170"/>
    <cellStyle name="40% - 强调文字颜色 2 3 6 5" xfId="17171"/>
    <cellStyle name="40% - 强调文字颜色 2 3 7" xfId="17172"/>
    <cellStyle name="40% - 强调文字颜色 2 3 8" xfId="17173"/>
    <cellStyle name="40% - 强调文字颜色 2 3 8 2" xfId="17174"/>
    <cellStyle name="40% - 强调文字颜色 2 3 9" xfId="17175"/>
    <cellStyle name="40% - 强调文字颜色 2 3 9 2" xfId="17176"/>
    <cellStyle name="40% - 强调文字颜色 3 2" xfId="17177"/>
    <cellStyle name="40% - 强调文字颜色 3 2 10" xfId="17178"/>
    <cellStyle name="40% - 强调文字颜色 3 2 11" xfId="17179"/>
    <cellStyle name="40% - 强调文字颜色 3 2 11 2" xfId="17180"/>
    <cellStyle name="40% - 强调文字颜色 3 2 12" xfId="17181"/>
    <cellStyle name="40% - 强调文字颜色 3 2 12 2" xfId="17182"/>
    <cellStyle name="40% - 强调文字颜色 3 2 2" xfId="17183"/>
    <cellStyle name="40% - 强调文字颜色 3 2 2 10" xfId="17184"/>
    <cellStyle name="40% - 强调文字颜色 3 2 2 11" xfId="17185"/>
    <cellStyle name="40% - 强调文字颜色 3 2 2 11 2" xfId="17186"/>
    <cellStyle name="40% - 强调文字颜色 3 2 2 12" xfId="17187"/>
    <cellStyle name="40% - 强调文字颜色 3 2 2 12 2" xfId="17188"/>
    <cellStyle name="40% - 强调文字颜色 3 2 2 2" xfId="17189"/>
    <cellStyle name="40% - 强调文字颜色 3 2 2 2 2" xfId="17190"/>
    <cellStyle name="40% - 强调文字颜色 3 2 2 2 2 2" xfId="17191"/>
    <cellStyle name="40% - 强调文字颜色 3 2 2 2 2 2 2" xfId="17192"/>
    <cellStyle name="40% - 强调文字颜色 3 2 2 2 2 2 3" xfId="17193"/>
    <cellStyle name="40% - 强调文字颜色 3 2 2 2 2 2 3 2" xfId="17194"/>
    <cellStyle name="40% - 强调文字颜色 3 2 2 2 2 2 3 2 2" xfId="17195"/>
    <cellStyle name="40% - 强调文字颜色 3 2 2 2 2 2 4" xfId="17196"/>
    <cellStyle name="40% - 强调文字颜色 3 2 2 2 2 2 4 2" xfId="17197"/>
    <cellStyle name="40% - 强调文字颜色 3 2 2 2 2 2 5" xfId="17198"/>
    <cellStyle name="40% - 强调文字颜色 3 2 2 2 2 2 5 2" xfId="17199"/>
    <cellStyle name="40% - 强调文字颜色 3 2 2 2 2 2 6" xfId="17200"/>
    <cellStyle name="40% - 强调文字颜色 3 2 2 2 2 3" xfId="17201"/>
    <cellStyle name="40% - 强调文字颜色 3 2 2 2 2 3 2" xfId="17202"/>
    <cellStyle name="40% - 强调文字颜色 3 2 2 2 2 3 2 2" xfId="17203"/>
    <cellStyle name="40% - 强调文字颜色 3 2 2 2 2 3 2 2 2" xfId="17204"/>
    <cellStyle name="40% - 强调文字颜色 3 2 2 2 2 3 3" xfId="17205"/>
    <cellStyle name="40% - 强调文字颜色 3 2 2 2 2 3 3 2" xfId="17206"/>
    <cellStyle name="40% - 强调文字颜色 3 2 2 2 2 3 4" xfId="17207"/>
    <cellStyle name="40% - 强调文字颜色 3 2 2 2 2 3 4 2" xfId="17208"/>
    <cellStyle name="40% - 强调文字颜色 3 2 2 2 2 3 5" xfId="17209"/>
    <cellStyle name="40% - 强调文字颜色 3 2 2 2 2 4" xfId="17210"/>
    <cellStyle name="40% - 强调文字颜色 3 2 2 2 2 5" xfId="17211"/>
    <cellStyle name="40% - 强调文字颜色 3 2 2 2 2 6" xfId="17212"/>
    <cellStyle name="40% - 强调文字颜色 3 2 2 2 2 6 2" xfId="17213"/>
    <cellStyle name="40% - 强调文字颜色 3 2 2 2 2 7" xfId="17214"/>
    <cellStyle name="40% - 强调文字颜色 3 2 2 2 2 7 2" xfId="17215"/>
    <cellStyle name="40% - 强调文字颜色 3 2 2 2 3" xfId="17216"/>
    <cellStyle name="40% - 强调文字颜色 3 2 2 2 3 2" xfId="17217"/>
    <cellStyle name="40% - 强调文字颜色 3 2 2 2 3 3" xfId="17218"/>
    <cellStyle name="40% - 强调文字颜色 3 2 2 2 3 3 2" xfId="17219"/>
    <cellStyle name="40% - 强调文字颜色 3 2 2 2 3 3 2 2" xfId="17220"/>
    <cellStyle name="40% - 强调文字颜色 3 2 2 2 3 4" xfId="17221"/>
    <cellStyle name="40% - 强调文字颜色 3 2 2 2 3 4 2" xfId="17222"/>
    <cellStyle name="40% - 强调文字颜色 3 2 2 2 3 5" xfId="17223"/>
    <cellStyle name="40% - 强调文字颜色 3 2 2 2 3 5 2" xfId="17224"/>
    <cellStyle name="40% - 强调文字颜色 3 2 2 2 3 6" xfId="17225"/>
    <cellStyle name="40% - 强调文字颜色 3 2 2 2 4" xfId="17226"/>
    <cellStyle name="40% - 强调文字颜色 3 2 2 2 4 2" xfId="17227"/>
    <cellStyle name="40% - 强调文字颜色 3 2 2 2 4 2 2" xfId="17228"/>
    <cellStyle name="40% - 强调文字颜色 3 2 2 2 4 2 2 2" xfId="17229"/>
    <cellStyle name="40% - 强调文字颜色 3 2 2 2 4 3" xfId="17230"/>
    <cellStyle name="40% - 强调文字颜色 3 2 2 2 4 3 2" xfId="17231"/>
    <cellStyle name="40% - 强调文字颜色 3 2 2 2 4 4" xfId="17232"/>
    <cellStyle name="40% - 强调文字颜色 3 2 2 2 4 4 2" xfId="17233"/>
    <cellStyle name="40% - 强调文字颜色 3 2 2 2 4 5" xfId="17234"/>
    <cellStyle name="40% - 强调文字颜色 3 2 2 2 5" xfId="17235"/>
    <cellStyle name="40% - 强调文字颜色 3 2 2 2 6" xfId="17236"/>
    <cellStyle name="40% - 强调文字颜色 3 2 2 2 7" xfId="17237"/>
    <cellStyle name="40% - 强调文字颜色 3 2 2 2 7 2" xfId="17238"/>
    <cellStyle name="40% - 强调文字颜色 3 2 2 2 8" xfId="17239"/>
    <cellStyle name="40% - 强调文字颜色 3 2 2 2 8 2" xfId="17240"/>
    <cellStyle name="40% - 强调文字颜色 3 2 2 3" xfId="17241"/>
    <cellStyle name="40% - 强调文字颜色 3 2 2 3 2" xfId="17242"/>
    <cellStyle name="40% - 强调文字颜色 3 2 2 3 2 2" xfId="17243"/>
    <cellStyle name="40% - 强调文字颜色 3 2 2 3 2 3" xfId="17244"/>
    <cellStyle name="40% - 强调文字颜色 3 2 2 3 2 3 2" xfId="17245"/>
    <cellStyle name="40% - 强调文字颜色 3 2 2 3 2 3 2 2" xfId="17246"/>
    <cellStyle name="40% - 强调文字颜色 3 2 2 3 2 4" xfId="17247"/>
    <cellStyle name="40% - 强调文字颜色 3 2 2 3 2 4 2" xfId="17248"/>
    <cellStyle name="40% - 强调文字颜色 3 2 2 3 2 5" xfId="17249"/>
    <cellStyle name="40% - 强调文字颜色 3 2 2 3 2 5 2" xfId="17250"/>
    <cellStyle name="40% - 强调文字颜色 3 2 2 3 2 6" xfId="17251"/>
    <cellStyle name="40% - 强调文字颜色 3 2 2 3 3" xfId="17252"/>
    <cellStyle name="40% - 强调文字颜色 3 2 2 3 3 2" xfId="17253"/>
    <cellStyle name="40% - 强调文字颜色 3 2 2 3 3 2 2" xfId="17254"/>
    <cellStyle name="40% - 强调文字颜色 3 2 2 3 3 2 2 2" xfId="17255"/>
    <cellStyle name="40% - 强调文字颜色 3 2 2 3 3 3" xfId="17256"/>
    <cellStyle name="40% - 强调文字颜色 3 2 2 3 3 3 2" xfId="17257"/>
    <cellStyle name="40% - 强调文字颜色 3 2 2 3 3 4" xfId="17258"/>
    <cellStyle name="40% - 强调文字颜色 3 2 2 3 3 4 2" xfId="17259"/>
    <cellStyle name="40% - 强调文字颜色 3 2 2 3 3 5" xfId="17260"/>
    <cellStyle name="40% - 强调文字颜色 3 2 2 3 4" xfId="17261"/>
    <cellStyle name="40% - 强调文字颜色 3 2 2 3 5" xfId="17262"/>
    <cellStyle name="40% - 强调文字颜色 3 2 2 3 6" xfId="17263"/>
    <cellStyle name="40% - 强调文字颜色 3 2 2 3 6 2" xfId="17264"/>
    <cellStyle name="40% - 强调文字颜色 3 2 2 3 7" xfId="17265"/>
    <cellStyle name="40% - 强调文字颜色 3 2 2 3 7 2" xfId="17266"/>
    <cellStyle name="40% - 强调文字颜色 3 2 2 4" xfId="17267"/>
    <cellStyle name="40% - 强调文字颜色 3 2 2 4 2" xfId="17268"/>
    <cellStyle name="40% - 强调文字颜色 3 2 2 4 2 2" xfId="17269"/>
    <cellStyle name="40% - 强调文字颜色 3 2 2 4 2 3" xfId="17270"/>
    <cellStyle name="40% - 强调文字颜色 3 2 2 4 2 3 2" xfId="17271"/>
    <cellStyle name="40% - 强调文字颜色 3 2 2 4 2 3 2 2" xfId="17272"/>
    <cellStyle name="40% - 强调文字颜色 3 2 2 4 2 4" xfId="17273"/>
    <cellStyle name="40% - 强调文字颜色 3 2 2 4 2 4 2" xfId="17274"/>
    <cellStyle name="40% - 强调文字颜色 3 2 2 4 2 5" xfId="17275"/>
    <cellStyle name="40% - 强调文字颜色 3 2 2 4 2 5 2" xfId="17276"/>
    <cellStyle name="40% - 强调文字颜色 3 2 2 4 2 6" xfId="17277"/>
    <cellStyle name="40% - 强调文字颜色 3 2 2 4 3" xfId="17278"/>
    <cellStyle name="40% - 强调文字颜色 3 2 2 4 4" xfId="17279"/>
    <cellStyle name="40% - 强调文字颜色 3 2 2 4 5" xfId="17280"/>
    <cellStyle name="40% - 强调文字颜色 3 2 2 4 6" xfId="17281"/>
    <cellStyle name="40% - 强调文字颜色 3 2 2 4 6 2" xfId="17282"/>
    <cellStyle name="40% - 强调文字颜色 3 2 2 4 7" xfId="17283"/>
    <cellStyle name="40% - 强调文字颜色 3 2 2 4 7 2" xfId="17284"/>
    <cellStyle name="40% - 强调文字颜色 3 2 2 5" xfId="17285"/>
    <cellStyle name="40% - 强调文字颜色 3 2 2 5 2" xfId="17286"/>
    <cellStyle name="40% - 强调文字颜色 3 2 2 5 2 2" xfId="17287"/>
    <cellStyle name="40% - 强调文字颜色 3 2 2 5 2 2 2" xfId="17288"/>
    <cellStyle name="40% - 强调文字颜色 3 2 2 5 2 2 2 2" xfId="17289"/>
    <cellStyle name="40% - 强调文字颜色 3 2 2 5 2 3" xfId="17290"/>
    <cellStyle name="40% - 强调文字颜色 3 2 2 5 2 3 2" xfId="17291"/>
    <cellStyle name="40% - 强调文字颜色 3 2 2 5 2 4" xfId="17292"/>
    <cellStyle name="40% - 强调文字颜色 3 2 2 5 2 4 2" xfId="17293"/>
    <cellStyle name="40% - 强调文字颜色 3 2 2 5 2 5" xfId="17294"/>
    <cellStyle name="40% - 强调文字颜色 3 2 2 5 3" xfId="17295"/>
    <cellStyle name="40% - 强调文字颜色 3 2 2 5 3 2" xfId="17296"/>
    <cellStyle name="40% - 强调文字颜色 3 2 2 5 3 2 2" xfId="17297"/>
    <cellStyle name="40% - 强调文字颜色 3 2 2 5 4" xfId="17298"/>
    <cellStyle name="40% - 强调文字颜色 3 2 2 5 4 2" xfId="17299"/>
    <cellStyle name="40% - 强调文字颜色 3 2 2 5 5" xfId="17300"/>
    <cellStyle name="40% - 强调文字颜色 3 2 2 5 5 2" xfId="17301"/>
    <cellStyle name="40% - 强调文字颜色 3 2 2 5 6" xfId="17302"/>
    <cellStyle name="40% - 强调文字颜色 3 2 2 6" xfId="17303"/>
    <cellStyle name="40% - 强调文字颜色 3 2 2 6 2" xfId="17304"/>
    <cellStyle name="40% - 强调文字颜色 3 2 2 6 2 2" xfId="17305"/>
    <cellStyle name="40% - 强调文字颜色 3 2 2 6 2 2 2" xfId="17306"/>
    <cellStyle name="40% - 强调文字颜色 3 2 2 6 2 2 2 2" xfId="17307"/>
    <cellStyle name="40% - 强调文字颜色 3 2 2 6 2 3" xfId="17308"/>
    <cellStyle name="40% - 强调文字颜色 3 2 2 6 2 3 2" xfId="17309"/>
    <cellStyle name="40% - 强调文字颜色 3 2 2 6 2 4" xfId="17310"/>
    <cellStyle name="40% - 强调文字颜色 3 2 2 6 2 4 2" xfId="17311"/>
    <cellStyle name="40% - 强调文字颜色 3 2 2 6 2 5" xfId="17312"/>
    <cellStyle name="40% - 强调文字颜色 3 2 2 6 3" xfId="17313"/>
    <cellStyle name="40% - 强调文字颜色 3 2 2 6 3 2" xfId="17314"/>
    <cellStyle name="40% - 强调文字颜色 3 2 2 6 3 2 2" xfId="17315"/>
    <cellStyle name="40% - 强调文字颜色 3 2 2 6 4" xfId="17316"/>
    <cellStyle name="40% - 强调文字颜色 3 2 2 6 4 2" xfId="17317"/>
    <cellStyle name="40% - 强调文字颜色 3 2 2 6 5" xfId="17318"/>
    <cellStyle name="40% - 强调文字颜色 3 2 2 6 5 2" xfId="17319"/>
    <cellStyle name="40% - 强调文字颜色 3 2 2 6 6" xfId="17320"/>
    <cellStyle name="40% - 强调文字颜色 3 2 2 7" xfId="17321"/>
    <cellStyle name="40% - 强调文字颜色 3 2 2 7 2" xfId="17322"/>
    <cellStyle name="40% - 强调文字颜色 3 2 2 7 2 2" xfId="17323"/>
    <cellStyle name="40% - 强调文字颜色 3 2 2 7 2 2 2" xfId="17324"/>
    <cellStyle name="40% - 强调文字颜色 3 2 2 7 2 2 2 2" xfId="17325"/>
    <cellStyle name="40% - 强调文字颜色 3 2 2 7 2 3" xfId="17326"/>
    <cellStyle name="40% - 强调文字颜色 3 2 2 7 2 3 2" xfId="17327"/>
    <cellStyle name="40% - 强调文字颜色 3 2 2 7 2 4" xfId="17328"/>
    <cellStyle name="40% - 强调文字颜色 3 2 2 7 2 4 2" xfId="17329"/>
    <cellStyle name="40% - 强调文字颜色 3 2 2 7 2 5" xfId="17330"/>
    <cellStyle name="40% - 强调文字颜色 3 2 2 7 3" xfId="17331"/>
    <cellStyle name="40% - 强调文字颜色 3 2 2 7 3 2" xfId="17332"/>
    <cellStyle name="40% - 强调文字颜色 3 2 2 7 3 2 2" xfId="17333"/>
    <cellStyle name="40% - 强调文字颜色 3 2 2 7 4" xfId="17334"/>
    <cellStyle name="40% - 强调文字颜色 3 2 2 7 4 2" xfId="17335"/>
    <cellStyle name="40% - 强调文字颜色 3 2 2 7 5" xfId="17336"/>
    <cellStyle name="40% - 强调文字颜色 3 2 2 7 5 2" xfId="17337"/>
    <cellStyle name="40% - 强调文字颜色 3 2 2 7 6" xfId="17338"/>
    <cellStyle name="40% - 强调文字颜色 3 2 2 8" xfId="17339"/>
    <cellStyle name="40% - 强调文字颜色 3 2 2 8 2" xfId="17340"/>
    <cellStyle name="40% - 强调文字颜色 3 2 2 8 2 2" xfId="17341"/>
    <cellStyle name="40% - 强调文字颜色 3 2 2 8 2 2 2" xfId="17342"/>
    <cellStyle name="40% - 强调文字颜色 3 2 2 8 3" xfId="17343"/>
    <cellStyle name="40% - 强调文字颜色 3 2 2 8 3 2" xfId="17344"/>
    <cellStyle name="40% - 强调文字颜色 3 2 2 8 4" xfId="17345"/>
    <cellStyle name="40% - 强调文字颜色 3 2 2 8 4 2" xfId="17346"/>
    <cellStyle name="40% - 强调文字颜色 3 2 2 8 5" xfId="17347"/>
    <cellStyle name="40% - 强调文字颜色 3 2 2 9" xfId="17348"/>
    <cellStyle name="40% - 强调文字颜色 3 2 2 9 2" xfId="17349"/>
    <cellStyle name="40% - 强调文字颜色 3 2 2 9 2 2" xfId="17350"/>
    <cellStyle name="40% - 强调文字颜色 3 2 2 9 2 2 2" xfId="17351"/>
    <cellStyle name="40% - 强调文字颜色 3 2 2 9 3" xfId="17352"/>
    <cellStyle name="40% - 强调文字颜色 3 2 2 9 3 2" xfId="17353"/>
    <cellStyle name="40% - 强调文字颜色 3 2 2 9 4" xfId="17354"/>
    <cellStyle name="40% - 强调文字颜色 3 2 2 9 4 2" xfId="17355"/>
    <cellStyle name="40% - 强调文字颜色 3 2 2 9 5" xfId="17356"/>
    <cellStyle name="40% - 强调文字颜色 3 2 3" xfId="17357"/>
    <cellStyle name="40% - 强调文字颜色 3 2 3 10" xfId="17358"/>
    <cellStyle name="40% - 强调文字颜色 3 2 3 10 2" xfId="17359"/>
    <cellStyle name="40% - 强调文字颜色 3 2 3 2" xfId="17360"/>
    <cellStyle name="40% - 强调文字颜色 3 2 3 2 2" xfId="17361"/>
    <cellStyle name="40% - 强调文字颜色 3 2 3 2 2 2" xfId="17362"/>
    <cellStyle name="40% - 强调文字颜色 3 2 3 2 2 2 2" xfId="17363"/>
    <cellStyle name="40% - 强调文字颜色 3 2 3 2 2 2 3" xfId="17364"/>
    <cellStyle name="40% - 强调文字颜色 3 2 3 2 2 2 3 2" xfId="17365"/>
    <cellStyle name="40% - 强调文字颜色 3 2 3 2 2 2 3 2 2" xfId="17366"/>
    <cellStyle name="40% - 强调文字颜色 3 2 3 2 2 2 4" xfId="17367"/>
    <cellStyle name="40% - 强调文字颜色 3 2 3 2 2 2 4 2" xfId="17368"/>
    <cellStyle name="40% - 强调文字颜色 3 2 3 2 2 2 5" xfId="17369"/>
    <cellStyle name="40% - 强调文字颜色 3 2 3 2 2 2 5 2" xfId="17370"/>
    <cellStyle name="40% - 强调文字颜色 3 2 3 2 2 2 6" xfId="17371"/>
    <cellStyle name="40% - 强调文字颜色 3 2 3 2 2 3" xfId="17372"/>
    <cellStyle name="40% - 强调文字颜色 3 2 3 2 2 3 2" xfId="17373"/>
    <cellStyle name="40% - 强调文字颜色 3 2 3 2 2 3 2 2" xfId="17374"/>
    <cellStyle name="40% - 强调文字颜色 3 2 3 2 2 3 2 2 2" xfId="17375"/>
    <cellStyle name="40% - 强调文字颜色 3 2 3 2 2 3 3" xfId="17376"/>
    <cellStyle name="40% - 强调文字颜色 3 2 3 2 2 3 3 2" xfId="17377"/>
    <cellStyle name="40% - 强调文字颜色 3 2 3 2 2 3 4" xfId="17378"/>
    <cellStyle name="40% - 强调文字颜色 3 2 3 2 2 3 4 2" xfId="17379"/>
    <cellStyle name="40% - 强调文字颜色 3 2 3 2 2 3 5" xfId="17380"/>
    <cellStyle name="40% - 强调文字颜色 3 2 3 2 2 4" xfId="17381"/>
    <cellStyle name="40% - 强调文字颜色 3 2 3 2 2 5" xfId="17382"/>
    <cellStyle name="40% - 强调文字颜色 3 2 3 2 2 6" xfId="17383"/>
    <cellStyle name="40% - 强调文字颜色 3 2 3 2 2 6 2" xfId="17384"/>
    <cellStyle name="40% - 强调文字颜色 3 2 3 2 2 7" xfId="17385"/>
    <cellStyle name="40% - 强调文字颜色 3 2 3 2 2 7 2" xfId="17386"/>
    <cellStyle name="40% - 强调文字颜色 3 2 3 2 3" xfId="17387"/>
    <cellStyle name="40% - 强调文字颜色 3 2 3 2 3 2" xfId="17388"/>
    <cellStyle name="40% - 强调文字颜色 3 2 3 2 3 3" xfId="17389"/>
    <cellStyle name="40% - 强调文字颜色 3 2 3 2 3 3 2" xfId="17390"/>
    <cellStyle name="40% - 强调文字颜色 3 2 3 2 3 3 2 2" xfId="17391"/>
    <cellStyle name="40% - 强调文字颜色 3 2 3 2 3 4" xfId="17392"/>
    <cellStyle name="40% - 强调文字颜色 3 2 3 2 3 4 2" xfId="17393"/>
    <cellStyle name="40% - 强调文字颜色 3 2 3 2 3 5" xfId="17394"/>
    <cellStyle name="40% - 强调文字颜色 3 2 3 2 3 5 2" xfId="17395"/>
    <cellStyle name="40% - 强调文字颜色 3 2 3 2 3 6" xfId="17396"/>
    <cellStyle name="40% - 强调文字颜色 3 2 3 2 4" xfId="17397"/>
    <cellStyle name="40% - 强调文字颜色 3 2 3 2 4 2" xfId="17398"/>
    <cellStyle name="40% - 强调文字颜色 3 2 3 2 4 2 2" xfId="17399"/>
    <cellStyle name="40% - 强调文字颜色 3 2 3 2 4 2 2 2" xfId="17400"/>
    <cellStyle name="40% - 强调文字颜色 3 2 3 2 4 3" xfId="17401"/>
    <cellStyle name="40% - 强调文字颜色 3 2 3 2 4 3 2" xfId="17402"/>
    <cellStyle name="40% - 强调文字颜色 3 2 3 2 4 4" xfId="17403"/>
    <cellStyle name="40% - 强调文字颜色 3 2 3 2 4 4 2" xfId="17404"/>
    <cellStyle name="40% - 强调文字颜色 3 2 3 2 4 5" xfId="17405"/>
    <cellStyle name="40% - 强调文字颜色 3 2 3 2 5" xfId="17406"/>
    <cellStyle name="40% - 强调文字颜色 3 2 3 2 6" xfId="17407"/>
    <cellStyle name="40% - 强调文字颜色 3 2 3 2 7" xfId="17408"/>
    <cellStyle name="40% - 强调文字颜色 3 2 3 2 7 2" xfId="17409"/>
    <cellStyle name="40% - 强调文字颜色 3 2 3 2 8" xfId="17410"/>
    <cellStyle name="40% - 强调文字颜色 3 2 3 2 8 2" xfId="17411"/>
    <cellStyle name="40% - 强调文字颜色 3 2 3 3" xfId="17412"/>
    <cellStyle name="40% - 强调文字颜色 3 2 3 3 2" xfId="17413"/>
    <cellStyle name="40% - 强调文字颜色 3 2 3 3 2 2" xfId="17414"/>
    <cellStyle name="40% - 强调文字颜色 3 2 3 3 2 3" xfId="17415"/>
    <cellStyle name="40% - 强调文字颜色 3 2 3 3 2 3 2" xfId="17416"/>
    <cellStyle name="40% - 强调文字颜色 3 2 3 3 2 3 2 2" xfId="17417"/>
    <cellStyle name="40% - 强调文字颜色 3 2 3 3 2 4" xfId="17418"/>
    <cellStyle name="40% - 强调文字颜色 3 2 3 3 2 4 2" xfId="17419"/>
    <cellStyle name="40% - 强调文字颜色 3 2 3 3 2 5" xfId="17420"/>
    <cellStyle name="40% - 强调文字颜色 3 2 3 3 2 5 2" xfId="17421"/>
    <cellStyle name="40% - 强调文字颜色 3 2 3 3 2 6" xfId="17422"/>
    <cellStyle name="40% - 强调文字颜色 3 2 3 3 3" xfId="17423"/>
    <cellStyle name="40% - 强调文字颜色 3 2 3 3 3 2" xfId="17424"/>
    <cellStyle name="40% - 强调文字颜色 3 2 3 3 3 2 2" xfId="17425"/>
    <cellStyle name="40% - 强调文字颜色 3 2 3 3 3 2 2 2" xfId="17426"/>
    <cellStyle name="40% - 强调文字颜色 3 2 3 3 3 3" xfId="17427"/>
    <cellStyle name="40% - 强调文字颜色 3 2 3 3 3 3 2" xfId="17428"/>
    <cellStyle name="40% - 强调文字颜色 3 2 3 3 3 4" xfId="17429"/>
    <cellStyle name="40% - 强调文字颜色 3 2 3 3 3 4 2" xfId="17430"/>
    <cellStyle name="40% - 强调文字颜色 3 2 3 3 3 5" xfId="17431"/>
    <cellStyle name="40% - 强调文字颜色 3 2 3 3 4" xfId="17432"/>
    <cellStyle name="40% - 强调文字颜色 3 2 3 3 5" xfId="17433"/>
    <cellStyle name="40% - 强调文字颜色 3 2 3 3 6" xfId="17434"/>
    <cellStyle name="40% - 强调文字颜色 3 2 3 3 6 2" xfId="17435"/>
    <cellStyle name="40% - 强调文字颜色 3 2 3 3 7" xfId="17436"/>
    <cellStyle name="40% - 强调文字颜色 3 2 3 3 7 2" xfId="17437"/>
    <cellStyle name="40% - 强调文字颜色 3 2 3 4" xfId="17438"/>
    <cellStyle name="40% - 强调文字颜色 3 2 3 4 2" xfId="17439"/>
    <cellStyle name="40% - 强调文字颜色 3 2 3 4 2 2" xfId="17440"/>
    <cellStyle name="40% - 强调文字颜色 3 2 3 4 2 3" xfId="17441"/>
    <cellStyle name="40% - 强调文字颜色 3 2 3 4 2 3 2" xfId="17442"/>
    <cellStyle name="40% - 强调文字颜色 3 2 3 4 2 3 2 2" xfId="17443"/>
    <cellStyle name="40% - 强调文字颜色 3 2 3 4 2 4" xfId="17444"/>
    <cellStyle name="40% - 强调文字颜色 3 2 3 4 2 4 2" xfId="17445"/>
    <cellStyle name="40% - 强调文字颜色 3 2 3 4 2 5" xfId="17446"/>
    <cellStyle name="40% - 强调文字颜色 3 2 3 4 2 5 2" xfId="17447"/>
    <cellStyle name="40% - 强调文字颜色 3 2 3 4 2 6" xfId="17448"/>
    <cellStyle name="40% - 强调文字颜色 3 2 3 4 3" xfId="17449"/>
    <cellStyle name="40% - 强调文字颜色 3 2 3 4 4" xfId="17450"/>
    <cellStyle name="40% - 强调文字颜色 3 2 3 4 5" xfId="17451"/>
    <cellStyle name="40% - 强调文字颜色 3 2 3 4 6" xfId="17452"/>
    <cellStyle name="40% - 强调文字颜色 3 2 3 4 6 2" xfId="17453"/>
    <cellStyle name="40% - 强调文字颜色 3 2 3 4 7" xfId="17454"/>
    <cellStyle name="40% - 强调文字颜色 3 2 3 4 7 2" xfId="17455"/>
    <cellStyle name="40% - 强调文字颜色 3 2 3 5" xfId="17456"/>
    <cellStyle name="40% - 强调文字颜色 3 2 3 5 2" xfId="17457"/>
    <cellStyle name="40% - 强调文字颜色 3 2 3 5 2 2" xfId="17458"/>
    <cellStyle name="40% - 强调文字颜色 3 2 3 5 2 2 2" xfId="17459"/>
    <cellStyle name="40% - 强调文字颜色 3 2 3 5 2 2 2 2" xfId="17460"/>
    <cellStyle name="40% - 强调文字颜色 3 2 3 5 2 3" xfId="17461"/>
    <cellStyle name="40% - 强调文字颜色 3 2 3 5 2 3 2" xfId="17462"/>
    <cellStyle name="40% - 强调文字颜色 3 2 3 5 2 4" xfId="17463"/>
    <cellStyle name="40% - 强调文字颜色 3 2 3 5 2 4 2" xfId="17464"/>
    <cellStyle name="40% - 强调文字颜色 3 2 3 5 2 5" xfId="17465"/>
    <cellStyle name="40% - 强调文字颜色 3 2 3 5 3" xfId="17466"/>
    <cellStyle name="40% - 强调文字颜色 3 2 3 5 3 2" xfId="17467"/>
    <cellStyle name="40% - 强调文字颜色 3 2 3 5 3 2 2" xfId="17468"/>
    <cellStyle name="40% - 强调文字颜色 3 2 3 5 4" xfId="17469"/>
    <cellStyle name="40% - 强调文字颜色 3 2 3 5 4 2" xfId="17470"/>
    <cellStyle name="40% - 强调文字颜色 3 2 3 5 5" xfId="17471"/>
    <cellStyle name="40% - 强调文字颜色 3 2 3 5 5 2" xfId="17472"/>
    <cellStyle name="40% - 强调文字颜色 3 2 3 5 6" xfId="17473"/>
    <cellStyle name="40% - 强调文字颜色 3 2 3 6" xfId="17474"/>
    <cellStyle name="40% - 强调文字颜色 3 2 3 6 2" xfId="17475"/>
    <cellStyle name="40% - 强调文字颜色 3 2 3 6 2 2" xfId="17476"/>
    <cellStyle name="40% - 强调文字颜色 3 2 3 6 2 2 2" xfId="17477"/>
    <cellStyle name="40% - 强调文字颜色 3 2 3 6 3" xfId="17478"/>
    <cellStyle name="40% - 强调文字颜色 3 2 3 6 3 2" xfId="17479"/>
    <cellStyle name="40% - 强调文字颜色 3 2 3 6 4" xfId="17480"/>
    <cellStyle name="40% - 强调文字颜色 3 2 3 6 4 2" xfId="17481"/>
    <cellStyle name="40% - 强调文字颜色 3 2 3 6 5" xfId="17482"/>
    <cellStyle name="40% - 强调文字颜色 3 2 3 7" xfId="17483"/>
    <cellStyle name="40% - 强调文字颜色 3 2 3 7 2" xfId="17484"/>
    <cellStyle name="40% - 强调文字颜色 3 2 3 7 2 2" xfId="17485"/>
    <cellStyle name="40% - 强调文字颜色 3 2 3 7 2 2 2" xfId="17486"/>
    <cellStyle name="40% - 强调文字颜色 3 2 3 7 3" xfId="17487"/>
    <cellStyle name="40% - 强调文字颜色 3 2 3 7 3 2" xfId="17488"/>
    <cellStyle name="40% - 强调文字颜色 3 2 3 7 4" xfId="17489"/>
    <cellStyle name="40% - 强调文字颜色 3 2 3 7 4 2" xfId="17490"/>
    <cellStyle name="40% - 强调文字颜色 3 2 3 7 5" xfId="17491"/>
    <cellStyle name="40% - 强调文字颜色 3 2 3 8" xfId="17492"/>
    <cellStyle name="40% - 强调文字颜色 3 2 3 9" xfId="17493"/>
    <cellStyle name="40% - 强调文字颜色 3 2 3 9 2" xfId="17494"/>
    <cellStyle name="40% - 强调文字颜色 3 2 4" xfId="17495"/>
    <cellStyle name="40% - 强调文字颜色 3 2 4 2" xfId="17496"/>
    <cellStyle name="40% - 强调文字颜色 3 2 4 2 2" xfId="17497"/>
    <cellStyle name="40% - 强调文字颜色 3 2 4 2 3" xfId="17498"/>
    <cellStyle name="40% - 强调文字颜色 3 2 4 2 3 2" xfId="17499"/>
    <cellStyle name="40% - 强调文字颜色 3 2 4 2 3 2 2" xfId="17500"/>
    <cellStyle name="40% - 强调文字颜色 3 2 4 2 4" xfId="17501"/>
    <cellStyle name="40% - 强调文字颜色 3 2 4 2 4 2" xfId="17502"/>
    <cellStyle name="40% - 强调文字颜色 3 2 4 2 5" xfId="17503"/>
    <cellStyle name="40% - 强调文字颜色 3 2 4 2 5 2" xfId="17504"/>
    <cellStyle name="40% - 强调文字颜色 3 2 4 2 6" xfId="17505"/>
    <cellStyle name="40% - 强调文字颜色 3 2 4 3" xfId="17506"/>
    <cellStyle name="40% - 强调文字颜色 3 2 4 3 2" xfId="17507"/>
    <cellStyle name="40% - 强调文字颜色 3 2 4 3 2 2" xfId="17508"/>
    <cellStyle name="40% - 强调文字颜色 3 2 4 3 2 2 2" xfId="17509"/>
    <cellStyle name="40% - 强调文字颜色 3 2 4 3 3" xfId="17510"/>
    <cellStyle name="40% - 强调文字颜色 3 2 4 3 3 2" xfId="17511"/>
    <cellStyle name="40% - 强调文字颜色 3 2 4 3 4" xfId="17512"/>
    <cellStyle name="40% - 强调文字颜色 3 2 4 3 4 2" xfId="17513"/>
    <cellStyle name="40% - 强调文字颜色 3 2 4 3 5" xfId="17514"/>
    <cellStyle name="40% - 强调文字颜色 3 2 4 4" xfId="17515"/>
    <cellStyle name="40% - 强调文字颜色 3 2 4 5" xfId="17516"/>
    <cellStyle name="40% - 强调文字颜色 3 2 4 6" xfId="17517"/>
    <cellStyle name="40% - 强调文字颜色 3 2 4 6 2" xfId="17518"/>
    <cellStyle name="40% - 强调文字颜色 3 2 4 7" xfId="17519"/>
    <cellStyle name="40% - 强调文字颜色 3 2 4 7 2" xfId="17520"/>
    <cellStyle name="40% - 强调文字颜色 3 2 5" xfId="17521"/>
    <cellStyle name="40% - 强调文字颜色 3 2 5 2" xfId="17522"/>
    <cellStyle name="40% - 强调文字颜色 3 2 5 2 2" xfId="17523"/>
    <cellStyle name="40% - 强调文字颜色 3 2 5 2 3" xfId="17524"/>
    <cellStyle name="40% - 强调文字颜色 3 2 5 2 3 2" xfId="17525"/>
    <cellStyle name="40% - 强调文字颜色 3 2 5 2 3 2 2" xfId="17526"/>
    <cellStyle name="40% - 强调文字颜色 3 2 5 2 4" xfId="17527"/>
    <cellStyle name="40% - 强调文字颜色 3 2 5 2 4 2" xfId="17528"/>
    <cellStyle name="40% - 强调文字颜色 3 2 5 2 5" xfId="17529"/>
    <cellStyle name="40% - 强调文字颜色 3 2 5 2 5 2" xfId="17530"/>
    <cellStyle name="40% - 强调文字颜色 3 2 5 2 6" xfId="17531"/>
    <cellStyle name="40% - 强调文字颜色 3 2 5 3" xfId="17532"/>
    <cellStyle name="40% - 强调文字颜色 3 2 5 4" xfId="17533"/>
    <cellStyle name="40% - 强调文字颜色 3 2 5 5" xfId="17534"/>
    <cellStyle name="40% - 强调文字颜色 3 2 5 6" xfId="17535"/>
    <cellStyle name="40% - 强调文字颜色 3 2 5 6 2" xfId="17536"/>
    <cellStyle name="40% - 强调文字颜色 3 2 5 7" xfId="17537"/>
    <cellStyle name="40% - 强调文字颜色 3 2 5 7 2" xfId="17538"/>
    <cellStyle name="40% - 强调文字颜色 3 2 6" xfId="17539"/>
    <cellStyle name="40% - 强调文字颜色 3 2 6 2" xfId="17540"/>
    <cellStyle name="40% - 强调文字颜色 3 2 6 2 2" xfId="17541"/>
    <cellStyle name="40% - 强调文字颜色 3 2 6 2 2 2" xfId="17542"/>
    <cellStyle name="40% - 强调文字颜色 3 2 6 2 2 2 2" xfId="17543"/>
    <cellStyle name="40% - 强调文字颜色 3 2 6 2 3" xfId="17544"/>
    <cellStyle name="40% - 强调文字颜色 3 2 6 2 3 2" xfId="17545"/>
    <cellStyle name="40% - 强调文字颜色 3 2 6 2 4" xfId="17546"/>
    <cellStyle name="40% - 强调文字颜色 3 2 6 2 4 2" xfId="17547"/>
    <cellStyle name="40% - 强调文字颜色 3 2 6 2 5" xfId="17548"/>
    <cellStyle name="40% - 强调文字颜色 3 2 6 3" xfId="17549"/>
    <cellStyle name="40% - 强调文字颜色 3 2 6 3 2" xfId="17550"/>
    <cellStyle name="40% - 强调文字颜色 3 2 6 3 2 2" xfId="17551"/>
    <cellStyle name="40% - 强调文字颜色 3 2 6 4" xfId="17552"/>
    <cellStyle name="40% - 强调文字颜色 3 2 6 4 2" xfId="17553"/>
    <cellStyle name="40% - 强调文字颜色 3 2 6 5" xfId="17554"/>
    <cellStyle name="40% - 强调文字颜色 3 2 6 5 2" xfId="17555"/>
    <cellStyle name="40% - 强调文字颜色 3 2 6 6" xfId="17556"/>
    <cellStyle name="40% - 强调文字颜色 3 2 7" xfId="17557"/>
    <cellStyle name="40% - 强调文字颜色 3 2 7 2" xfId="17558"/>
    <cellStyle name="40% - 强调文字颜色 3 2 7 2 2" xfId="17559"/>
    <cellStyle name="40% - 强调文字颜色 3 2 7 2 2 2" xfId="17560"/>
    <cellStyle name="40% - 强调文字颜色 3 2 7 2 2 2 2" xfId="17561"/>
    <cellStyle name="40% - 强调文字颜色 3 2 7 2 3" xfId="17562"/>
    <cellStyle name="40% - 强调文字颜色 3 2 7 2 3 2" xfId="17563"/>
    <cellStyle name="40% - 强调文字颜色 3 2 7 2 4" xfId="17564"/>
    <cellStyle name="40% - 强调文字颜色 3 2 7 2 4 2" xfId="17565"/>
    <cellStyle name="40% - 强调文字颜色 3 2 7 2 5" xfId="17566"/>
    <cellStyle name="40% - 强调文字颜色 3 2 7 3" xfId="17567"/>
    <cellStyle name="40% - 强调文字颜色 3 2 7 3 2" xfId="17568"/>
    <cellStyle name="40% - 强调文字颜色 3 2 7 3 2 2" xfId="17569"/>
    <cellStyle name="40% - 强调文字颜色 3 2 7 4" xfId="17570"/>
    <cellStyle name="40% - 强调文字颜色 3 2 7 4 2" xfId="17571"/>
    <cellStyle name="40% - 强调文字颜色 3 2 7 5" xfId="17572"/>
    <cellStyle name="40% - 强调文字颜色 3 2 7 5 2" xfId="17573"/>
    <cellStyle name="40% - 强调文字颜色 3 2 7 6" xfId="17574"/>
    <cellStyle name="40% - 强调文字颜色 3 2 8" xfId="17575"/>
    <cellStyle name="40% - 强调文字颜色 3 2 8 2" xfId="17576"/>
    <cellStyle name="40% - 强调文字颜色 3 2 8 2 2" xfId="17577"/>
    <cellStyle name="40% - 强调文字颜色 3 2 8 2 2 2" xfId="17578"/>
    <cellStyle name="40% - 强调文字颜色 3 2 8 2 2 2 2" xfId="17579"/>
    <cellStyle name="40% - 强调文字颜色 3 2 8 2 3" xfId="17580"/>
    <cellStyle name="40% - 强调文字颜色 3 2 8 2 3 2" xfId="17581"/>
    <cellStyle name="40% - 强调文字颜色 3 2 8 2 4" xfId="17582"/>
    <cellStyle name="40% - 强调文字颜色 3 2 8 2 4 2" xfId="17583"/>
    <cellStyle name="40% - 强调文字颜色 3 2 8 2 5" xfId="17584"/>
    <cellStyle name="40% - 强调文字颜色 3 2 8 3" xfId="17585"/>
    <cellStyle name="40% - 强调文字颜色 3 2 8 3 2" xfId="17586"/>
    <cellStyle name="40% - 强调文字颜色 3 2 8 3 2 2" xfId="17587"/>
    <cellStyle name="40% - 强调文字颜色 3 2 8 4" xfId="17588"/>
    <cellStyle name="40% - 强调文字颜色 3 2 8 4 2" xfId="17589"/>
    <cellStyle name="40% - 强调文字颜色 3 2 8 5" xfId="17590"/>
    <cellStyle name="40% - 强调文字颜色 3 2 8 5 2" xfId="17591"/>
    <cellStyle name="40% - 强调文字颜色 3 2 8 6" xfId="17592"/>
    <cellStyle name="40% - 强调文字颜色 3 2 9" xfId="17593"/>
    <cellStyle name="40% - 强调文字颜色 3 2 9 2" xfId="17594"/>
    <cellStyle name="40% - 强调文字颜色 3 2 9 2 2" xfId="17595"/>
    <cellStyle name="40% - 强调文字颜色 3 2 9 2 2 2" xfId="17596"/>
    <cellStyle name="40% - 强调文字颜色 3 2 9 3" xfId="17597"/>
    <cellStyle name="40% - 强调文字颜色 3 2 9 3 2" xfId="17598"/>
    <cellStyle name="40% - 强调文字颜色 3 2 9 4" xfId="17599"/>
    <cellStyle name="40% - 强调文字颜色 3 2 9 4 2" xfId="17600"/>
    <cellStyle name="40% - 强调文字颜色 3 2 9 5" xfId="17601"/>
    <cellStyle name="40% - 强调文字颜色 3 3" xfId="17602"/>
    <cellStyle name="40% - 强调文字颜色 3 3 2" xfId="17603"/>
    <cellStyle name="40% - 强调文字颜色 3 3 2 2" xfId="17604"/>
    <cellStyle name="40% - 强调文字颜色 3 3 2 2 2" xfId="17605"/>
    <cellStyle name="40% - 强调文字颜色 3 3 2 2 2 2" xfId="17606"/>
    <cellStyle name="40% - 强调文字颜色 3 3 2 2 2 3" xfId="17607"/>
    <cellStyle name="40% - 强调文字颜色 3 3 2 2 2 3 2" xfId="17608"/>
    <cellStyle name="40% - 强调文字颜色 3 3 2 2 2 3 2 2" xfId="17609"/>
    <cellStyle name="40% - 强调文字颜色 3 3 2 2 2 4" xfId="17610"/>
    <cellStyle name="40% - 强调文字颜色 3 3 2 2 2 4 2" xfId="17611"/>
    <cellStyle name="40% - 强调文字颜色 3 3 2 2 2 5" xfId="17612"/>
    <cellStyle name="40% - 强调文字颜色 3 3 2 2 2 5 2" xfId="17613"/>
    <cellStyle name="40% - 强调文字颜色 3 3 2 2 2 6" xfId="17614"/>
    <cellStyle name="40% - 强调文字颜色 3 3 2 2 3" xfId="17615"/>
    <cellStyle name="40% - 强调文字颜色 3 3 2 2 3 2" xfId="17616"/>
    <cellStyle name="40% - 强调文字颜色 3 3 2 2 3 2 2" xfId="17617"/>
    <cellStyle name="40% - 强调文字颜色 3 3 2 2 3 2 2 2" xfId="17618"/>
    <cellStyle name="40% - 强调文字颜色 3 3 2 2 3 3" xfId="17619"/>
    <cellStyle name="40% - 强调文字颜色 3 3 2 2 3 3 2" xfId="17620"/>
    <cellStyle name="40% - 强调文字颜色 3 3 2 2 3 4" xfId="17621"/>
    <cellStyle name="40% - 强调文字颜色 3 3 2 2 3 4 2" xfId="17622"/>
    <cellStyle name="40% - 强调文字颜色 3 3 2 2 3 5" xfId="17623"/>
    <cellStyle name="40% - 强调文字颜色 3 3 2 2 4" xfId="17624"/>
    <cellStyle name="40% - 强调文字颜色 3 3 2 2 5" xfId="17625"/>
    <cellStyle name="40% - 强调文字颜色 3 3 2 2 6" xfId="17626"/>
    <cellStyle name="40% - 强调文字颜色 3 3 2 2 6 2" xfId="17627"/>
    <cellStyle name="40% - 强调文字颜色 3 3 2 2 7" xfId="17628"/>
    <cellStyle name="40% - 强调文字颜色 3 3 2 2 7 2" xfId="17629"/>
    <cellStyle name="40% - 强调文字颜色 3 3 2 3" xfId="17630"/>
    <cellStyle name="40% - 强调文字颜色 3 3 2 3 2" xfId="17631"/>
    <cellStyle name="40% - 强调文字颜色 3 3 2 3 3" xfId="17632"/>
    <cellStyle name="40% - 强调文字颜色 3 3 2 3 3 2" xfId="17633"/>
    <cellStyle name="40% - 强调文字颜色 3 3 2 3 3 2 2" xfId="17634"/>
    <cellStyle name="40% - 强调文字颜色 3 3 2 3 4" xfId="17635"/>
    <cellStyle name="40% - 强调文字颜色 3 3 2 3 4 2" xfId="17636"/>
    <cellStyle name="40% - 强调文字颜色 3 3 2 3 5" xfId="17637"/>
    <cellStyle name="40% - 强调文字颜色 3 3 2 3 5 2" xfId="17638"/>
    <cellStyle name="40% - 强调文字颜色 3 3 2 3 6" xfId="17639"/>
    <cellStyle name="40% - 强调文字颜色 3 3 2 4" xfId="17640"/>
    <cellStyle name="40% - 强调文字颜色 3 3 2 4 2" xfId="17641"/>
    <cellStyle name="40% - 强调文字颜色 3 3 2 4 2 2" xfId="17642"/>
    <cellStyle name="40% - 强调文字颜色 3 3 2 4 2 2 2" xfId="17643"/>
    <cellStyle name="40% - 强调文字颜色 3 3 2 4 3" xfId="17644"/>
    <cellStyle name="40% - 强调文字颜色 3 3 2 4 3 2" xfId="17645"/>
    <cellStyle name="40% - 强调文字颜色 3 3 2 4 4" xfId="17646"/>
    <cellStyle name="40% - 强调文字颜色 3 3 2 4 4 2" xfId="17647"/>
    <cellStyle name="40% - 强调文字颜色 3 3 2 4 5" xfId="17648"/>
    <cellStyle name="40% - 强调文字颜色 3 3 2 5" xfId="17649"/>
    <cellStyle name="40% - 强调文字颜色 3 3 2 6" xfId="17650"/>
    <cellStyle name="40% - 强调文字颜色 3 3 2 7" xfId="17651"/>
    <cellStyle name="40% - 强调文字颜色 3 3 2 7 2" xfId="17652"/>
    <cellStyle name="40% - 强调文字颜色 3 3 2 8" xfId="17653"/>
    <cellStyle name="40% - 强调文字颜色 3 3 2 8 2" xfId="17654"/>
    <cellStyle name="40% - 强调文字颜色 3 3 3" xfId="17655"/>
    <cellStyle name="40% - 强调文字颜色 3 3 3 2" xfId="17656"/>
    <cellStyle name="40% - 强调文字颜色 3 3 3 2 2" xfId="17657"/>
    <cellStyle name="40% - 强调文字颜色 3 3 3 2 3" xfId="17658"/>
    <cellStyle name="40% - 强调文字颜色 3 3 3 2 3 2" xfId="17659"/>
    <cellStyle name="40% - 强调文字颜色 3 3 3 2 3 2 2" xfId="17660"/>
    <cellStyle name="40% - 强调文字颜色 3 3 3 2 4" xfId="17661"/>
    <cellStyle name="40% - 强调文字颜色 3 3 3 2 4 2" xfId="17662"/>
    <cellStyle name="40% - 强调文字颜色 3 3 3 2 5" xfId="17663"/>
    <cellStyle name="40% - 强调文字颜色 3 3 3 2 5 2" xfId="17664"/>
    <cellStyle name="40% - 强调文字颜色 3 3 3 2 6" xfId="17665"/>
    <cellStyle name="40% - 强调文字颜色 3 3 3 3" xfId="17666"/>
    <cellStyle name="40% - 强调文字颜色 3 3 3 3 2" xfId="17667"/>
    <cellStyle name="40% - 强调文字颜色 3 3 3 3 2 2" xfId="17668"/>
    <cellStyle name="40% - 强调文字颜色 3 3 3 3 2 2 2" xfId="17669"/>
    <cellStyle name="40% - 强调文字颜色 3 3 3 3 3" xfId="17670"/>
    <cellStyle name="40% - 强调文字颜色 3 3 3 3 3 2" xfId="17671"/>
    <cellStyle name="40% - 强调文字颜色 3 3 3 3 4" xfId="17672"/>
    <cellStyle name="40% - 强调文字颜色 3 3 3 3 4 2" xfId="17673"/>
    <cellStyle name="40% - 强调文字颜色 3 3 3 3 5" xfId="17674"/>
    <cellStyle name="40% - 强调文字颜色 3 3 3 4" xfId="17675"/>
    <cellStyle name="40% - 强调文字颜色 3 3 3 5" xfId="17676"/>
    <cellStyle name="40% - 强调文字颜色 3 3 3 6" xfId="17677"/>
    <cellStyle name="40% - 强调文字颜色 3 3 3 6 2" xfId="17678"/>
    <cellStyle name="40% - 强调文字颜色 3 3 3 7" xfId="17679"/>
    <cellStyle name="40% - 强调文字颜色 3 3 3 7 2" xfId="17680"/>
    <cellStyle name="40% - 强调文字颜色 3 3 4" xfId="17681"/>
    <cellStyle name="40% - 强调文字颜色 3 3 4 2" xfId="17682"/>
    <cellStyle name="40% - 强调文字颜色 3 3 4 2 2" xfId="17683"/>
    <cellStyle name="40% - 强调文字颜色 3 3 4 2 3" xfId="17684"/>
    <cellStyle name="40% - 强调文字颜色 3 3 4 2 3 2" xfId="17685"/>
    <cellStyle name="40% - 强调文字颜色 3 3 4 2 3 2 2" xfId="17686"/>
    <cellStyle name="40% - 强调文字颜色 3 3 4 2 4" xfId="17687"/>
    <cellStyle name="40% - 强调文字颜色 3 3 4 2 4 2" xfId="17688"/>
    <cellStyle name="40% - 强调文字颜色 3 3 4 2 5" xfId="17689"/>
    <cellStyle name="40% - 强调文字颜色 3 3 4 2 5 2" xfId="17690"/>
    <cellStyle name="40% - 强调文字颜色 3 3 4 2 6" xfId="17691"/>
    <cellStyle name="40% - 强调文字颜色 3 3 4 3" xfId="17692"/>
    <cellStyle name="40% - 强调文字颜色 3 3 4 4" xfId="17693"/>
    <cellStyle name="40% - 强调文字颜色 3 3 4 5" xfId="17694"/>
    <cellStyle name="40% - 强调文字颜色 3 3 4 6" xfId="17695"/>
    <cellStyle name="40% - 强调文字颜色 3 3 4 6 2" xfId="17696"/>
    <cellStyle name="40% - 强调文字颜色 3 3 4 7" xfId="17697"/>
    <cellStyle name="40% - 强调文字颜色 3 3 4 7 2" xfId="17698"/>
    <cellStyle name="40% - 强调文字颜色 3 3 5" xfId="17699"/>
    <cellStyle name="40% - 强调文字颜色 3 3 5 2" xfId="17700"/>
    <cellStyle name="40% - 强调文字颜色 3 3 5 2 2" xfId="17701"/>
    <cellStyle name="40% - 强调文字颜色 3 3 5 2 2 2" xfId="17702"/>
    <cellStyle name="40% - 强调文字颜色 3 3 5 2 2 2 2" xfId="17703"/>
    <cellStyle name="40% - 强调文字颜色 3 3 5 2 3" xfId="17704"/>
    <cellStyle name="40% - 强调文字颜色 3 3 5 2 3 2" xfId="17705"/>
    <cellStyle name="40% - 强调文字颜色 3 3 5 2 4" xfId="17706"/>
    <cellStyle name="40% - 强调文字颜色 3 3 5 2 4 2" xfId="17707"/>
    <cellStyle name="40% - 强调文字颜色 3 3 5 2 5" xfId="17708"/>
    <cellStyle name="40% - 强调文字颜色 3 3 5 3" xfId="17709"/>
    <cellStyle name="40% - 强调文字颜色 3 3 5 3 2" xfId="17710"/>
    <cellStyle name="40% - 强调文字颜色 3 3 5 3 2 2" xfId="17711"/>
    <cellStyle name="40% - 强调文字颜色 3 3 5 4" xfId="17712"/>
    <cellStyle name="40% - 强调文字颜色 3 3 5 4 2" xfId="17713"/>
    <cellStyle name="40% - 强调文字颜色 3 3 5 5" xfId="17714"/>
    <cellStyle name="40% - 强调文字颜色 3 3 5 5 2" xfId="17715"/>
    <cellStyle name="40% - 强调文字颜色 3 3 5 6" xfId="17716"/>
    <cellStyle name="40% - 强调文字颜色 3 3 6" xfId="17717"/>
    <cellStyle name="40% - 强调文字颜色 3 3 6 2" xfId="17718"/>
    <cellStyle name="40% - 强调文字颜色 3 3 6 2 2" xfId="17719"/>
    <cellStyle name="40% - 强调文字颜色 3 3 6 2 2 2" xfId="17720"/>
    <cellStyle name="40% - 强调文字颜色 3 3 6 3" xfId="17721"/>
    <cellStyle name="40% - 强调文字颜色 3 3 6 3 2" xfId="17722"/>
    <cellStyle name="40% - 强调文字颜色 3 3 6 4" xfId="17723"/>
    <cellStyle name="40% - 强调文字颜色 3 3 6 4 2" xfId="17724"/>
    <cellStyle name="40% - 强调文字颜色 3 3 6 5" xfId="17725"/>
    <cellStyle name="40% - 强调文字颜色 3 3 7" xfId="17726"/>
    <cellStyle name="40% - 强调文字颜色 3 3 8" xfId="17727"/>
    <cellStyle name="40% - 强调文字颜色 3 3 8 2" xfId="17728"/>
    <cellStyle name="40% - 强调文字颜色 3 3 9" xfId="17729"/>
    <cellStyle name="40% - 强调文字颜色 3 3 9 2" xfId="17730"/>
    <cellStyle name="40% - 强调文字颜色 4 2" xfId="17731"/>
    <cellStyle name="40% - 强调文字颜色 4 2 10" xfId="17732"/>
    <cellStyle name="40% - 强调文字颜色 4 2 11" xfId="17733"/>
    <cellStyle name="40% - 强调文字颜色 4 2 11 2" xfId="17734"/>
    <cellStyle name="40% - 强调文字颜色 4 2 12" xfId="17735"/>
    <cellStyle name="40% - 强调文字颜色 4 2 12 2" xfId="17736"/>
    <cellStyle name="40% - 强调文字颜色 4 2 2" xfId="17737"/>
    <cellStyle name="40% - 强调文字颜色 4 2 2 10" xfId="17738"/>
    <cellStyle name="40% - 强调文字颜色 4 2 2 11" xfId="17739"/>
    <cellStyle name="40% - 强调文字颜色 4 2 2 11 2" xfId="17740"/>
    <cellStyle name="40% - 强调文字颜色 4 2 2 12" xfId="17741"/>
    <cellStyle name="40% - 强调文字颜色 4 2 2 12 2" xfId="17742"/>
    <cellStyle name="40% - 强调文字颜色 4 2 2 2" xfId="17743"/>
    <cellStyle name="40% - 强调文字颜色 4 2 2 2 2" xfId="17744"/>
    <cellStyle name="40% - 强调文字颜色 4 2 2 2 2 2" xfId="17745"/>
    <cellStyle name="40% - 强调文字颜色 4 2 2 2 2 2 2" xfId="17746"/>
    <cellStyle name="40% - 强调文字颜色 4 2 2 2 2 2 3" xfId="17747"/>
    <cellStyle name="40% - 强调文字颜色 4 2 2 2 2 2 3 2" xfId="17748"/>
    <cellStyle name="40% - 强调文字颜色 4 2 2 2 2 2 3 2 2" xfId="17749"/>
    <cellStyle name="40% - 强调文字颜色 4 2 2 2 2 2 4" xfId="17750"/>
    <cellStyle name="40% - 强调文字颜色 4 2 2 2 2 2 4 2" xfId="17751"/>
    <cellStyle name="40% - 强调文字颜色 4 2 2 2 2 2 5" xfId="17752"/>
    <cellStyle name="40% - 强调文字颜色 4 2 2 2 2 2 5 2" xfId="17753"/>
    <cellStyle name="40% - 强调文字颜色 4 2 2 2 2 2 6" xfId="17754"/>
    <cellStyle name="40% - 强调文字颜色 4 2 2 2 2 3" xfId="17755"/>
    <cellStyle name="40% - 强调文字颜色 4 2 2 2 2 3 2" xfId="17756"/>
    <cellStyle name="40% - 强调文字颜色 4 2 2 2 2 3 2 2" xfId="17757"/>
    <cellStyle name="40% - 强调文字颜色 4 2 2 2 2 3 2 2 2" xfId="17758"/>
    <cellStyle name="40% - 强调文字颜色 4 2 2 2 2 3 3" xfId="17759"/>
    <cellStyle name="40% - 强调文字颜色 4 2 2 2 2 3 3 2" xfId="17760"/>
    <cellStyle name="40% - 强调文字颜色 4 2 2 2 2 3 4" xfId="17761"/>
    <cellStyle name="40% - 强调文字颜色 4 2 2 2 2 3 4 2" xfId="17762"/>
    <cellStyle name="40% - 强调文字颜色 4 2 2 2 2 3 5" xfId="17763"/>
    <cellStyle name="40% - 强调文字颜色 4 2 2 2 2 4" xfId="17764"/>
    <cellStyle name="40% - 强调文字颜色 4 2 2 2 2 5" xfId="17765"/>
    <cellStyle name="40% - 强调文字颜色 4 2 2 2 2 6" xfId="17766"/>
    <cellStyle name="40% - 强调文字颜色 4 2 2 2 2 6 2" xfId="17767"/>
    <cellStyle name="40% - 强调文字颜色 4 2 2 2 2 7" xfId="17768"/>
    <cellStyle name="40% - 强调文字颜色 4 2 2 2 2 7 2" xfId="17769"/>
    <cellStyle name="40% - 强调文字颜色 4 2 2 2 3" xfId="17770"/>
    <cellStyle name="40% - 强调文字颜色 4 2 2 2 3 2" xfId="17771"/>
    <cellStyle name="40% - 强调文字颜色 4 2 2 2 3 3" xfId="17772"/>
    <cellStyle name="40% - 强调文字颜色 4 2 2 2 3 3 2" xfId="17773"/>
    <cellStyle name="40% - 强调文字颜色 4 2 2 2 3 3 2 2" xfId="17774"/>
    <cellStyle name="40% - 强调文字颜色 4 2 2 2 3 4" xfId="17775"/>
    <cellStyle name="40% - 强调文字颜色 4 2 2 2 3 4 2" xfId="17776"/>
    <cellStyle name="40% - 强调文字颜色 4 2 2 2 3 5" xfId="17777"/>
    <cellStyle name="40% - 强调文字颜色 4 2 2 2 3 5 2" xfId="17778"/>
    <cellStyle name="40% - 强调文字颜色 4 2 2 2 3 6" xfId="17779"/>
    <cellStyle name="40% - 强调文字颜色 4 2 2 2 4" xfId="17780"/>
    <cellStyle name="40% - 强调文字颜色 4 2 2 2 4 2" xfId="17781"/>
    <cellStyle name="40% - 强调文字颜色 4 2 2 2 4 2 2" xfId="17782"/>
    <cellStyle name="40% - 强调文字颜色 4 2 2 2 4 2 2 2" xfId="17783"/>
    <cellStyle name="40% - 强调文字颜色 4 2 2 2 4 3" xfId="17784"/>
    <cellStyle name="40% - 强调文字颜色 4 2 2 2 4 3 2" xfId="17785"/>
    <cellStyle name="40% - 强调文字颜色 4 2 2 2 4 4" xfId="17786"/>
    <cellStyle name="40% - 强调文字颜色 4 2 2 2 4 4 2" xfId="17787"/>
    <cellStyle name="40% - 强调文字颜色 4 2 2 2 4 5" xfId="17788"/>
    <cellStyle name="40% - 强调文字颜色 4 2 2 2 5" xfId="17789"/>
    <cellStyle name="40% - 强调文字颜色 4 2 2 2 6" xfId="17790"/>
    <cellStyle name="40% - 强调文字颜色 4 2 2 2 7" xfId="17791"/>
    <cellStyle name="40% - 强调文字颜色 4 2 2 2 7 2" xfId="17792"/>
    <cellStyle name="40% - 强调文字颜色 4 2 2 2 8" xfId="17793"/>
    <cellStyle name="40% - 强调文字颜色 4 2 2 2 8 2" xfId="17794"/>
    <cellStyle name="40% - 强调文字颜色 4 2 2 3" xfId="17795"/>
    <cellStyle name="40% - 强调文字颜色 4 2 2 3 2" xfId="17796"/>
    <cellStyle name="40% - 强调文字颜色 4 2 2 3 2 2" xfId="17797"/>
    <cellStyle name="40% - 强调文字颜色 4 2 2 3 2 3" xfId="17798"/>
    <cellStyle name="40% - 强调文字颜色 4 2 2 3 2 3 2" xfId="17799"/>
    <cellStyle name="40% - 强调文字颜色 4 2 2 3 2 3 2 2" xfId="17800"/>
    <cellStyle name="40% - 强调文字颜色 4 2 2 3 2 4" xfId="17801"/>
    <cellStyle name="40% - 强调文字颜色 4 2 2 3 2 4 2" xfId="17802"/>
    <cellStyle name="40% - 强调文字颜色 4 2 2 3 2 5" xfId="17803"/>
    <cellStyle name="40% - 强调文字颜色 4 2 2 3 2 5 2" xfId="17804"/>
    <cellStyle name="40% - 强调文字颜色 4 2 2 3 2 6" xfId="17805"/>
    <cellStyle name="40% - 强调文字颜色 4 2 2 3 3" xfId="17806"/>
    <cellStyle name="40% - 强调文字颜色 4 2 2 3 3 2" xfId="17807"/>
    <cellStyle name="40% - 强调文字颜色 4 2 2 3 3 2 2" xfId="17808"/>
    <cellStyle name="40% - 强调文字颜色 4 2 2 3 3 2 2 2" xfId="17809"/>
    <cellStyle name="40% - 强调文字颜色 4 2 2 3 3 3" xfId="17810"/>
    <cellStyle name="40% - 强调文字颜色 4 2 2 3 3 3 2" xfId="17811"/>
    <cellStyle name="40% - 强调文字颜色 4 2 2 3 3 4" xfId="17812"/>
    <cellStyle name="40% - 强调文字颜色 4 2 2 3 3 4 2" xfId="17813"/>
    <cellStyle name="40% - 强调文字颜色 4 2 2 3 3 5" xfId="17814"/>
    <cellStyle name="40% - 强调文字颜色 4 2 2 3 4" xfId="17815"/>
    <cellStyle name="40% - 强调文字颜色 4 2 2 3 5" xfId="17816"/>
    <cellStyle name="40% - 强调文字颜色 4 2 2 3 6" xfId="17817"/>
    <cellStyle name="40% - 强调文字颜色 4 2 2 3 6 2" xfId="17818"/>
    <cellStyle name="40% - 强调文字颜色 4 2 2 3 7" xfId="17819"/>
    <cellStyle name="40% - 强调文字颜色 4 2 2 3 7 2" xfId="17820"/>
    <cellStyle name="40% - 强调文字颜色 4 2 2 4" xfId="17821"/>
    <cellStyle name="40% - 强调文字颜色 4 2 2 4 2" xfId="17822"/>
    <cellStyle name="40% - 强调文字颜色 4 2 2 4 2 2" xfId="17823"/>
    <cellStyle name="40% - 强调文字颜色 4 2 2 4 2 3" xfId="17824"/>
    <cellStyle name="40% - 强调文字颜色 4 2 2 4 2 3 2" xfId="17825"/>
    <cellStyle name="40% - 强调文字颜色 4 2 2 4 2 3 2 2" xfId="17826"/>
    <cellStyle name="40% - 强调文字颜色 4 2 2 4 2 4" xfId="17827"/>
    <cellStyle name="40% - 强调文字颜色 4 2 2 4 2 4 2" xfId="17828"/>
    <cellStyle name="40% - 强调文字颜色 4 2 2 4 2 5" xfId="17829"/>
    <cellStyle name="40% - 强调文字颜色 4 2 2 4 2 5 2" xfId="17830"/>
    <cellStyle name="40% - 强调文字颜色 4 2 2 4 2 6" xfId="17831"/>
    <cellStyle name="40% - 强调文字颜色 4 2 2 4 3" xfId="17832"/>
    <cellStyle name="40% - 强调文字颜色 4 2 2 4 4" xfId="17833"/>
    <cellStyle name="40% - 强调文字颜色 4 2 2 4 5" xfId="17834"/>
    <cellStyle name="40% - 强调文字颜色 4 2 2 4 6" xfId="17835"/>
    <cellStyle name="40% - 强调文字颜色 4 2 2 4 6 2" xfId="17836"/>
    <cellStyle name="40% - 强调文字颜色 4 2 2 4 7" xfId="17837"/>
    <cellStyle name="40% - 强调文字颜色 4 2 2 4 7 2" xfId="17838"/>
    <cellStyle name="40% - 强调文字颜色 4 2 2 5" xfId="17839"/>
    <cellStyle name="40% - 强调文字颜色 4 2 2 5 2" xfId="17840"/>
    <cellStyle name="40% - 强调文字颜色 4 2 2 5 2 2" xfId="17841"/>
    <cellStyle name="40% - 强调文字颜色 4 2 2 5 2 2 2" xfId="17842"/>
    <cellStyle name="40% - 强调文字颜色 4 2 2 5 2 2 2 2" xfId="17843"/>
    <cellStyle name="40% - 强调文字颜色 4 2 2 5 2 3" xfId="17844"/>
    <cellStyle name="40% - 强调文字颜色 4 2 2 5 2 3 2" xfId="17845"/>
    <cellStyle name="40% - 强调文字颜色 4 2 2 5 2 4" xfId="17846"/>
    <cellStyle name="40% - 强调文字颜色 4 2 2 5 2 4 2" xfId="17847"/>
    <cellStyle name="40% - 强调文字颜色 4 2 2 5 2 5" xfId="17848"/>
    <cellStyle name="40% - 强调文字颜色 4 2 2 5 3" xfId="17849"/>
    <cellStyle name="40% - 强调文字颜色 4 2 2 5 3 2" xfId="17850"/>
    <cellStyle name="40% - 强调文字颜色 4 2 2 5 3 2 2" xfId="17851"/>
    <cellStyle name="40% - 强调文字颜色 4 2 2 5 4" xfId="17852"/>
    <cellStyle name="40% - 强调文字颜色 4 2 2 5 4 2" xfId="17853"/>
    <cellStyle name="40% - 强调文字颜色 4 2 2 5 5" xfId="17854"/>
    <cellStyle name="40% - 强调文字颜色 4 2 2 5 5 2" xfId="17855"/>
    <cellStyle name="40% - 强调文字颜色 4 2 2 5 6" xfId="17856"/>
    <cellStyle name="40% - 强调文字颜色 4 2 2 6" xfId="17857"/>
    <cellStyle name="40% - 强调文字颜色 4 2 2 6 2" xfId="17858"/>
    <cellStyle name="40% - 强调文字颜色 4 2 2 6 2 2" xfId="17859"/>
    <cellStyle name="40% - 强调文字颜色 4 2 2 6 2 2 2" xfId="17860"/>
    <cellStyle name="40% - 强调文字颜色 4 2 2 6 2 2 2 2" xfId="17861"/>
    <cellStyle name="40% - 强调文字颜色 4 2 2 6 2 3" xfId="17862"/>
    <cellStyle name="40% - 强调文字颜色 4 2 2 6 2 3 2" xfId="17863"/>
    <cellStyle name="40% - 强调文字颜色 4 2 2 6 2 4" xfId="17864"/>
    <cellStyle name="40% - 强调文字颜色 4 2 2 6 2 4 2" xfId="17865"/>
    <cellStyle name="40% - 强调文字颜色 4 2 2 6 2 5" xfId="17866"/>
    <cellStyle name="40% - 强调文字颜色 4 2 2 6 3" xfId="17867"/>
    <cellStyle name="40% - 强调文字颜色 4 2 2 6 3 2" xfId="17868"/>
    <cellStyle name="40% - 强调文字颜色 4 2 2 6 3 2 2" xfId="17869"/>
    <cellStyle name="40% - 强调文字颜色 4 2 2 6 4" xfId="17870"/>
    <cellStyle name="40% - 强调文字颜色 4 2 2 6 4 2" xfId="17871"/>
    <cellStyle name="40% - 强调文字颜色 4 2 2 6 5" xfId="17872"/>
    <cellStyle name="40% - 强调文字颜色 4 2 2 6 5 2" xfId="17873"/>
    <cellStyle name="40% - 强调文字颜色 4 2 2 6 6" xfId="17874"/>
    <cellStyle name="40% - 强调文字颜色 4 2 2 7" xfId="17875"/>
    <cellStyle name="40% - 强调文字颜色 4 2 2 7 2" xfId="17876"/>
    <cellStyle name="40% - 强调文字颜色 4 2 2 7 2 2" xfId="17877"/>
    <cellStyle name="40% - 强调文字颜色 4 2 2 7 2 2 2" xfId="17878"/>
    <cellStyle name="40% - 强调文字颜色 4 2 2 7 2 2 2 2" xfId="17879"/>
    <cellStyle name="40% - 强调文字颜色 4 2 2 7 2 3" xfId="17880"/>
    <cellStyle name="40% - 强调文字颜色 4 2 2 7 2 3 2" xfId="17881"/>
    <cellStyle name="40% - 强调文字颜色 4 2 2 7 2 4" xfId="17882"/>
    <cellStyle name="40% - 强调文字颜色 4 2 2 7 2 4 2" xfId="17883"/>
    <cellStyle name="40% - 强调文字颜色 4 2 2 7 2 5" xfId="17884"/>
    <cellStyle name="40% - 强调文字颜色 4 2 2 7 3" xfId="17885"/>
    <cellStyle name="40% - 强调文字颜色 4 2 2 7 3 2" xfId="17886"/>
    <cellStyle name="40% - 强调文字颜色 4 2 2 7 3 2 2" xfId="17887"/>
    <cellStyle name="40% - 强调文字颜色 4 2 2 7 4" xfId="17888"/>
    <cellStyle name="40% - 强调文字颜色 4 2 2 7 4 2" xfId="17889"/>
    <cellStyle name="40% - 强调文字颜色 4 2 2 7 5" xfId="17890"/>
    <cellStyle name="40% - 强调文字颜色 4 2 2 7 5 2" xfId="17891"/>
    <cellStyle name="40% - 强调文字颜色 4 2 2 7 6" xfId="17892"/>
    <cellStyle name="40% - 强调文字颜色 4 2 2 8" xfId="17893"/>
    <cellStyle name="40% - 强调文字颜色 4 2 2 8 2" xfId="17894"/>
    <cellStyle name="40% - 强调文字颜色 4 2 2 8 2 2" xfId="17895"/>
    <cellStyle name="40% - 强调文字颜色 4 2 2 8 2 2 2" xfId="17896"/>
    <cellStyle name="40% - 强调文字颜色 4 2 2 8 3" xfId="17897"/>
    <cellStyle name="40% - 强调文字颜色 4 2 2 8 3 2" xfId="17898"/>
    <cellStyle name="40% - 强调文字颜色 4 2 2 8 4" xfId="17899"/>
    <cellStyle name="40% - 强调文字颜色 4 2 2 8 4 2" xfId="17900"/>
    <cellStyle name="40% - 强调文字颜色 4 2 2 8 5" xfId="17901"/>
    <cellStyle name="40% - 强调文字颜色 4 2 2 9" xfId="17902"/>
    <cellStyle name="40% - 强调文字颜色 4 2 2 9 2" xfId="17903"/>
    <cellStyle name="40% - 强调文字颜色 4 2 2 9 2 2" xfId="17904"/>
    <cellStyle name="40% - 强调文字颜色 4 2 2 9 2 2 2" xfId="17905"/>
    <cellStyle name="40% - 强调文字颜色 4 2 2 9 3" xfId="17906"/>
    <cellStyle name="40% - 强调文字颜色 4 2 2 9 3 2" xfId="17907"/>
    <cellStyle name="40% - 强调文字颜色 4 2 2 9 4" xfId="17908"/>
    <cellStyle name="40% - 强调文字颜色 4 2 2 9 4 2" xfId="17909"/>
    <cellStyle name="40% - 强调文字颜色 4 2 2 9 5" xfId="17910"/>
    <cellStyle name="40% - 强调文字颜色 4 2 3" xfId="17911"/>
    <cellStyle name="40% - 强调文字颜色 4 2 3 10" xfId="17912"/>
    <cellStyle name="40% - 强调文字颜色 4 2 3 10 2" xfId="17913"/>
    <cellStyle name="40% - 强调文字颜色 4 2 3 2" xfId="17914"/>
    <cellStyle name="40% - 强调文字颜色 4 2 3 2 2" xfId="17915"/>
    <cellStyle name="40% - 强调文字颜色 4 2 3 2 2 2" xfId="17916"/>
    <cellStyle name="40% - 强调文字颜色 4 2 3 2 2 2 2" xfId="17917"/>
    <cellStyle name="40% - 强调文字颜色 4 2 3 2 2 2 3" xfId="17918"/>
    <cellStyle name="40% - 强调文字颜色 4 2 3 2 2 2 3 2" xfId="17919"/>
    <cellStyle name="40% - 强调文字颜色 4 2 3 2 2 2 3 2 2" xfId="17920"/>
    <cellStyle name="40% - 强调文字颜色 4 2 3 2 2 2 4" xfId="17921"/>
    <cellStyle name="40% - 强调文字颜色 4 2 3 2 2 2 4 2" xfId="17922"/>
    <cellStyle name="40% - 强调文字颜色 4 2 3 2 2 2 5" xfId="17923"/>
    <cellStyle name="40% - 强调文字颜色 4 2 3 2 2 2 5 2" xfId="17924"/>
    <cellStyle name="40% - 强调文字颜色 4 2 3 2 2 2 6" xfId="17925"/>
    <cellStyle name="40% - 强调文字颜色 4 2 3 2 2 3" xfId="17926"/>
    <cellStyle name="40% - 强调文字颜色 4 2 3 2 2 3 2" xfId="17927"/>
    <cellStyle name="40% - 强调文字颜色 4 2 3 2 2 3 2 2" xfId="17928"/>
    <cellStyle name="40% - 强调文字颜色 4 2 3 2 2 3 2 2 2" xfId="17929"/>
    <cellStyle name="40% - 强调文字颜色 4 2 3 2 2 3 3" xfId="17930"/>
    <cellStyle name="40% - 强调文字颜色 4 2 3 2 2 3 3 2" xfId="17931"/>
    <cellStyle name="40% - 强调文字颜色 4 2 3 2 2 3 4" xfId="17932"/>
    <cellStyle name="40% - 强调文字颜色 4 2 3 2 2 3 4 2" xfId="17933"/>
    <cellStyle name="40% - 强调文字颜色 4 2 3 2 2 3 5" xfId="17934"/>
    <cellStyle name="40% - 强调文字颜色 4 2 3 2 2 4" xfId="17935"/>
    <cellStyle name="40% - 强调文字颜色 4 2 3 2 2 5" xfId="17936"/>
    <cellStyle name="40% - 强调文字颜色 4 2 3 2 2 6" xfId="17937"/>
    <cellStyle name="40% - 强调文字颜色 4 2 3 2 2 6 2" xfId="17938"/>
    <cellStyle name="40% - 强调文字颜色 4 2 3 2 2 7" xfId="17939"/>
    <cellStyle name="40% - 强调文字颜色 4 2 3 2 2 7 2" xfId="17940"/>
    <cellStyle name="40% - 强调文字颜色 4 2 3 2 3" xfId="17941"/>
    <cellStyle name="40% - 强调文字颜色 4 2 3 2 3 2" xfId="17942"/>
    <cellStyle name="40% - 强调文字颜色 4 2 3 2 3 3" xfId="17943"/>
    <cellStyle name="40% - 强调文字颜色 4 2 3 2 3 3 2" xfId="17944"/>
    <cellStyle name="40% - 强调文字颜色 4 2 3 2 3 3 2 2" xfId="17945"/>
    <cellStyle name="40% - 强调文字颜色 4 2 3 2 3 4" xfId="17946"/>
    <cellStyle name="40% - 强调文字颜色 4 2 3 2 3 4 2" xfId="17947"/>
    <cellStyle name="40% - 强调文字颜色 4 2 3 2 3 5" xfId="17948"/>
    <cellStyle name="40% - 强调文字颜色 4 2 3 2 3 5 2" xfId="17949"/>
    <cellStyle name="40% - 强调文字颜色 4 2 3 2 3 6" xfId="17950"/>
    <cellStyle name="40% - 强调文字颜色 4 2 3 2 4" xfId="17951"/>
    <cellStyle name="40% - 强调文字颜色 4 2 3 2 4 2" xfId="17952"/>
    <cellStyle name="40% - 强调文字颜色 4 2 3 2 4 2 2" xfId="17953"/>
    <cellStyle name="40% - 强调文字颜色 4 2 3 2 4 2 2 2" xfId="17954"/>
    <cellStyle name="40% - 强调文字颜色 4 2 3 2 4 3" xfId="17955"/>
    <cellStyle name="40% - 强调文字颜色 4 2 3 2 4 3 2" xfId="17956"/>
    <cellStyle name="40% - 强调文字颜色 4 2 3 2 4 4" xfId="17957"/>
    <cellStyle name="40% - 强调文字颜色 4 2 3 2 4 4 2" xfId="17958"/>
    <cellStyle name="40% - 强调文字颜色 4 2 3 2 4 5" xfId="17959"/>
    <cellStyle name="40% - 强调文字颜色 4 2 3 2 5" xfId="17960"/>
    <cellStyle name="40% - 强调文字颜色 4 2 3 2 6" xfId="17961"/>
    <cellStyle name="40% - 强调文字颜色 4 2 3 2 7" xfId="17962"/>
    <cellStyle name="40% - 强调文字颜色 4 2 3 2 7 2" xfId="17963"/>
    <cellStyle name="40% - 强调文字颜色 4 2 3 2 8" xfId="17964"/>
    <cellStyle name="40% - 强调文字颜色 4 2 3 2 8 2" xfId="17965"/>
    <cellStyle name="40% - 强调文字颜色 4 2 3 3" xfId="17966"/>
    <cellStyle name="40% - 强调文字颜色 4 2 3 3 2" xfId="17967"/>
    <cellStyle name="40% - 强调文字颜色 4 2 3 3 2 2" xfId="17968"/>
    <cellStyle name="40% - 强调文字颜色 4 2 3 3 2 3" xfId="17969"/>
    <cellStyle name="40% - 强调文字颜色 4 2 3 3 2 3 2" xfId="17970"/>
    <cellStyle name="40% - 强调文字颜色 4 2 3 3 2 3 2 2" xfId="17971"/>
    <cellStyle name="40% - 强调文字颜色 4 2 3 3 2 4" xfId="17972"/>
    <cellStyle name="40% - 强调文字颜色 4 2 3 3 2 4 2" xfId="17973"/>
    <cellStyle name="40% - 强调文字颜色 4 2 3 3 2 5" xfId="17974"/>
    <cellStyle name="40% - 强调文字颜色 4 2 3 3 2 5 2" xfId="17975"/>
    <cellStyle name="40% - 强调文字颜色 4 2 3 3 2 6" xfId="17976"/>
    <cellStyle name="40% - 强调文字颜色 4 2 3 3 3" xfId="17977"/>
    <cellStyle name="40% - 强调文字颜色 4 2 3 3 3 2" xfId="17978"/>
    <cellStyle name="40% - 强调文字颜色 4 2 3 3 3 2 2" xfId="17979"/>
    <cellStyle name="40% - 强调文字颜色 4 2 3 3 3 2 2 2" xfId="17980"/>
    <cellStyle name="40% - 强调文字颜色 4 2 3 3 3 3" xfId="17981"/>
    <cellStyle name="40% - 强调文字颜色 4 2 3 3 3 3 2" xfId="17982"/>
    <cellStyle name="40% - 强调文字颜色 4 2 3 3 3 4" xfId="17983"/>
    <cellStyle name="40% - 强调文字颜色 4 2 3 3 3 4 2" xfId="17984"/>
    <cellStyle name="40% - 强调文字颜色 4 2 3 3 3 5" xfId="17985"/>
    <cellStyle name="40% - 强调文字颜色 4 2 3 3 4" xfId="17986"/>
    <cellStyle name="40% - 强调文字颜色 4 2 3 3 5" xfId="17987"/>
    <cellStyle name="40% - 强调文字颜色 4 2 3 3 6" xfId="17988"/>
    <cellStyle name="40% - 强调文字颜色 4 2 3 3 6 2" xfId="17989"/>
    <cellStyle name="40% - 强调文字颜色 4 2 3 3 7" xfId="17990"/>
    <cellStyle name="40% - 强调文字颜色 4 2 3 3 7 2" xfId="17991"/>
    <cellStyle name="40% - 强调文字颜色 4 2 3 4" xfId="17992"/>
    <cellStyle name="40% - 强调文字颜色 4 2 3 4 2" xfId="17993"/>
    <cellStyle name="40% - 强调文字颜色 4 2 3 4 2 2" xfId="17994"/>
    <cellStyle name="40% - 强调文字颜色 4 2 3 4 2 3" xfId="17995"/>
    <cellStyle name="40% - 强调文字颜色 4 2 3 4 2 3 2" xfId="17996"/>
    <cellStyle name="40% - 强调文字颜色 4 2 3 4 2 3 2 2" xfId="17997"/>
    <cellStyle name="40% - 强调文字颜色 4 2 3 4 2 4" xfId="17998"/>
    <cellStyle name="40% - 强调文字颜色 4 2 3 4 2 4 2" xfId="17999"/>
    <cellStyle name="40% - 强调文字颜色 4 2 3 4 2 5" xfId="18000"/>
    <cellStyle name="40% - 强调文字颜色 4 2 3 4 2 5 2" xfId="18001"/>
    <cellStyle name="40% - 强调文字颜色 4 2 3 4 2 6" xfId="18002"/>
    <cellStyle name="40% - 强调文字颜色 4 2 3 4 3" xfId="18003"/>
    <cellStyle name="40% - 强调文字颜色 4 2 3 4 4" xfId="18004"/>
    <cellStyle name="40% - 强调文字颜色 4 2 3 4 5" xfId="18005"/>
    <cellStyle name="40% - 强调文字颜色 4 2 3 4 6" xfId="18006"/>
    <cellStyle name="40% - 强调文字颜色 4 2 3 4 6 2" xfId="18007"/>
    <cellStyle name="40% - 强调文字颜色 4 2 3 4 7" xfId="18008"/>
    <cellStyle name="40% - 强调文字颜色 4 2 3 4 7 2" xfId="18009"/>
    <cellStyle name="40% - 强调文字颜色 4 2 3 5" xfId="18010"/>
    <cellStyle name="40% - 强调文字颜色 4 2 3 5 2" xfId="18011"/>
    <cellStyle name="40% - 强调文字颜色 4 2 3 5 2 2" xfId="18012"/>
    <cellStyle name="40% - 强调文字颜色 4 2 3 5 2 2 2" xfId="18013"/>
    <cellStyle name="40% - 强调文字颜色 4 2 3 5 2 2 2 2" xfId="18014"/>
    <cellStyle name="40% - 强调文字颜色 4 2 3 5 2 3" xfId="18015"/>
    <cellStyle name="40% - 强调文字颜色 4 2 3 5 2 3 2" xfId="18016"/>
    <cellStyle name="40% - 强调文字颜色 4 2 3 5 2 4" xfId="18017"/>
    <cellStyle name="40% - 强调文字颜色 4 2 3 5 2 4 2" xfId="18018"/>
    <cellStyle name="40% - 强调文字颜色 4 2 3 5 2 5" xfId="18019"/>
    <cellStyle name="40% - 强调文字颜色 4 2 3 5 3" xfId="18020"/>
    <cellStyle name="40% - 强调文字颜色 4 2 3 5 3 2" xfId="18021"/>
    <cellStyle name="40% - 强调文字颜色 4 2 3 5 3 2 2" xfId="18022"/>
    <cellStyle name="40% - 强调文字颜色 4 2 3 5 4" xfId="18023"/>
    <cellStyle name="40% - 强调文字颜色 4 2 3 5 4 2" xfId="18024"/>
    <cellStyle name="40% - 强调文字颜色 4 2 3 5 5" xfId="18025"/>
    <cellStyle name="40% - 强调文字颜色 4 2 3 5 5 2" xfId="18026"/>
    <cellStyle name="40% - 强调文字颜色 4 2 3 5 6" xfId="18027"/>
    <cellStyle name="40% - 强调文字颜色 4 2 3 6" xfId="18028"/>
    <cellStyle name="40% - 强调文字颜色 4 2 3 6 2" xfId="18029"/>
    <cellStyle name="40% - 强调文字颜色 4 2 3 6 2 2" xfId="18030"/>
    <cellStyle name="40% - 强调文字颜色 4 2 3 6 2 2 2" xfId="18031"/>
    <cellStyle name="40% - 强调文字颜色 4 2 3 6 3" xfId="18032"/>
    <cellStyle name="40% - 强调文字颜色 4 2 3 6 3 2" xfId="18033"/>
    <cellStyle name="40% - 强调文字颜色 4 2 3 6 4" xfId="18034"/>
    <cellStyle name="40% - 强调文字颜色 4 2 3 6 4 2" xfId="18035"/>
    <cellStyle name="40% - 强调文字颜色 4 2 3 6 5" xfId="18036"/>
    <cellStyle name="40% - 强调文字颜色 4 2 3 7" xfId="18037"/>
    <cellStyle name="40% - 强调文字颜色 4 2 3 7 2" xfId="18038"/>
    <cellStyle name="40% - 强调文字颜色 4 2 3 7 2 2" xfId="18039"/>
    <cellStyle name="40% - 强调文字颜色 4 2 3 7 2 2 2" xfId="18040"/>
    <cellStyle name="40% - 强调文字颜色 4 2 3 7 3" xfId="18041"/>
    <cellStyle name="40% - 强调文字颜色 4 2 3 7 3 2" xfId="18042"/>
    <cellStyle name="40% - 强调文字颜色 4 2 3 7 4" xfId="18043"/>
    <cellStyle name="40% - 强调文字颜色 4 2 3 7 4 2" xfId="18044"/>
    <cellStyle name="40% - 强调文字颜色 4 2 3 7 5" xfId="18045"/>
    <cellStyle name="40% - 强调文字颜色 4 2 3 8" xfId="18046"/>
    <cellStyle name="40% - 强调文字颜色 4 2 3 9" xfId="18047"/>
    <cellStyle name="40% - 强调文字颜色 4 2 3 9 2" xfId="18048"/>
    <cellStyle name="40% - 强调文字颜色 4 2 4" xfId="18049"/>
    <cellStyle name="40% - 强调文字颜色 4 2 4 2" xfId="18050"/>
    <cellStyle name="40% - 强调文字颜色 4 2 4 2 2" xfId="18051"/>
    <cellStyle name="40% - 强调文字颜色 4 2 4 2 3" xfId="18052"/>
    <cellStyle name="40% - 强调文字颜色 4 2 4 2 3 2" xfId="18053"/>
    <cellStyle name="40% - 强调文字颜色 4 2 4 2 3 2 2" xfId="18054"/>
    <cellStyle name="40% - 强调文字颜色 4 2 4 2 4" xfId="18055"/>
    <cellStyle name="40% - 强调文字颜色 4 2 4 2 4 2" xfId="18056"/>
    <cellStyle name="40% - 强调文字颜色 4 2 4 2 5" xfId="18057"/>
    <cellStyle name="40% - 强调文字颜色 4 2 4 2 5 2" xfId="18058"/>
    <cellStyle name="40% - 强调文字颜色 4 2 4 2 6" xfId="18059"/>
    <cellStyle name="40% - 强调文字颜色 4 2 4 3" xfId="18060"/>
    <cellStyle name="40% - 强调文字颜色 4 2 4 3 2" xfId="18061"/>
    <cellStyle name="40% - 强调文字颜色 4 2 4 3 2 2" xfId="18062"/>
    <cellStyle name="40% - 强调文字颜色 4 2 4 3 2 2 2" xfId="18063"/>
    <cellStyle name="40% - 强调文字颜色 4 2 4 3 3" xfId="18064"/>
    <cellStyle name="40% - 强调文字颜色 4 2 4 3 3 2" xfId="18065"/>
    <cellStyle name="40% - 强调文字颜色 4 2 4 3 4" xfId="18066"/>
    <cellStyle name="40% - 强调文字颜色 4 2 4 3 4 2" xfId="18067"/>
    <cellStyle name="40% - 强调文字颜色 4 2 4 3 5" xfId="18068"/>
    <cellStyle name="40% - 强调文字颜色 4 2 4 4" xfId="18069"/>
    <cellStyle name="40% - 强调文字颜色 4 2 4 5" xfId="18070"/>
    <cellStyle name="40% - 强调文字颜色 4 2 4 6" xfId="18071"/>
    <cellStyle name="40% - 强调文字颜色 4 2 4 6 2" xfId="18072"/>
    <cellStyle name="40% - 强调文字颜色 4 2 4 7" xfId="18073"/>
    <cellStyle name="40% - 强调文字颜色 4 2 4 7 2" xfId="18074"/>
    <cellStyle name="40% - 强调文字颜色 4 2 5" xfId="18075"/>
    <cellStyle name="40% - 强调文字颜色 4 2 5 2" xfId="18076"/>
    <cellStyle name="40% - 强调文字颜色 4 2 5 2 2" xfId="18077"/>
    <cellStyle name="40% - 强调文字颜色 4 2 5 2 3" xfId="18078"/>
    <cellStyle name="40% - 强调文字颜色 4 2 5 2 3 2" xfId="18079"/>
    <cellStyle name="40% - 强调文字颜色 4 2 5 2 3 2 2" xfId="18080"/>
    <cellStyle name="40% - 强调文字颜色 4 2 5 2 4" xfId="18081"/>
    <cellStyle name="40% - 强调文字颜色 4 2 5 2 4 2" xfId="18082"/>
    <cellStyle name="40% - 强调文字颜色 4 2 5 2 5" xfId="18083"/>
    <cellStyle name="40% - 强调文字颜色 4 2 5 2 5 2" xfId="18084"/>
    <cellStyle name="40% - 强调文字颜色 4 2 5 2 6" xfId="18085"/>
    <cellStyle name="40% - 强调文字颜色 4 2 5 3" xfId="18086"/>
    <cellStyle name="40% - 强调文字颜色 4 2 5 4" xfId="18087"/>
    <cellStyle name="40% - 强调文字颜色 4 2 5 5" xfId="18088"/>
    <cellStyle name="40% - 强调文字颜色 4 2 5 6" xfId="18089"/>
    <cellStyle name="40% - 强调文字颜色 4 2 5 6 2" xfId="18090"/>
    <cellStyle name="40% - 强调文字颜色 4 2 5 7" xfId="18091"/>
    <cellStyle name="40% - 强调文字颜色 4 2 5 7 2" xfId="18092"/>
    <cellStyle name="40% - 强调文字颜色 4 2 6" xfId="18093"/>
    <cellStyle name="40% - 强调文字颜色 4 2 6 2" xfId="18094"/>
    <cellStyle name="40% - 强调文字颜色 4 2 6 2 2" xfId="18095"/>
    <cellStyle name="40% - 强调文字颜色 4 2 6 2 2 2" xfId="18096"/>
    <cellStyle name="40% - 强调文字颜色 4 2 6 2 2 2 2" xfId="18097"/>
    <cellStyle name="40% - 强调文字颜色 4 2 6 2 3" xfId="18098"/>
    <cellStyle name="40% - 强调文字颜色 4 2 6 2 3 2" xfId="18099"/>
    <cellStyle name="40% - 强调文字颜色 4 2 6 2 4" xfId="18100"/>
    <cellStyle name="40% - 强调文字颜色 4 2 6 2 4 2" xfId="18101"/>
    <cellStyle name="40% - 强调文字颜色 4 2 6 2 5" xfId="18102"/>
    <cellStyle name="40% - 强调文字颜色 4 2 6 3" xfId="18103"/>
    <cellStyle name="40% - 强调文字颜色 4 2 6 3 2" xfId="18104"/>
    <cellStyle name="40% - 强调文字颜色 4 2 6 3 2 2" xfId="18105"/>
    <cellStyle name="40% - 强调文字颜色 4 2 6 4" xfId="18106"/>
    <cellStyle name="40% - 强调文字颜色 4 2 6 4 2" xfId="18107"/>
    <cellStyle name="40% - 强调文字颜色 4 2 6 5" xfId="18108"/>
    <cellStyle name="40% - 强调文字颜色 4 2 6 5 2" xfId="18109"/>
    <cellStyle name="40% - 强调文字颜色 4 2 6 6" xfId="18110"/>
    <cellStyle name="40% - 强调文字颜色 4 2 7" xfId="18111"/>
    <cellStyle name="40% - 强调文字颜色 4 2 7 2" xfId="18112"/>
    <cellStyle name="40% - 强调文字颜色 4 2 7 2 2" xfId="18113"/>
    <cellStyle name="40% - 强调文字颜色 4 2 7 2 2 2" xfId="18114"/>
    <cellStyle name="40% - 强调文字颜色 4 2 7 2 2 2 2" xfId="18115"/>
    <cellStyle name="40% - 强调文字颜色 4 2 7 2 3" xfId="18116"/>
    <cellStyle name="40% - 强调文字颜色 4 2 7 2 3 2" xfId="18117"/>
    <cellStyle name="40% - 强调文字颜色 4 2 7 2 4" xfId="18118"/>
    <cellStyle name="40% - 强调文字颜色 4 2 7 2 4 2" xfId="18119"/>
    <cellStyle name="40% - 强调文字颜色 4 2 7 2 5" xfId="18120"/>
    <cellStyle name="40% - 强调文字颜色 4 2 7 3" xfId="18121"/>
    <cellStyle name="40% - 强调文字颜色 4 2 7 3 2" xfId="18122"/>
    <cellStyle name="40% - 强调文字颜色 4 2 7 3 2 2" xfId="18123"/>
    <cellStyle name="40% - 强调文字颜色 4 2 7 4" xfId="18124"/>
    <cellStyle name="40% - 强调文字颜色 4 2 7 4 2" xfId="18125"/>
    <cellStyle name="40% - 强调文字颜色 4 2 7 5" xfId="18126"/>
    <cellStyle name="40% - 强调文字颜色 4 2 7 5 2" xfId="18127"/>
    <cellStyle name="40% - 强调文字颜色 4 2 7 6" xfId="18128"/>
    <cellStyle name="40% - 强调文字颜色 4 2 8" xfId="18129"/>
    <cellStyle name="40% - 强调文字颜色 4 2 8 2" xfId="18130"/>
    <cellStyle name="40% - 强调文字颜色 4 2 8 2 2" xfId="18131"/>
    <cellStyle name="40% - 强调文字颜色 4 2 8 2 2 2" xfId="18132"/>
    <cellStyle name="40% - 强调文字颜色 4 2 8 2 2 2 2" xfId="18133"/>
    <cellStyle name="40% - 强调文字颜色 4 2 8 2 3" xfId="18134"/>
    <cellStyle name="40% - 强调文字颜色 4 2 8 2 3 2" xfId="18135"/>
    <cellStyle name="40% - 强调文字颜色 4 2 8 2 4" xfId="18136"/>
    <cellStyle name="40% - 强调文字颜色 4 2 8 2 4 2" xfId="18137"/>
    <cellStyle name="40% - 强调文字颜色 4 2 8 2 5" xfId="18138"/>
    <cellStyle name="40% - 强调文字颜色 4 2 8 3" xfId="18139"/>
    <cellStyle name="40% - 强调文字颜色 4 2 8 3 2" xfId="18140"/>
    <cellStyle name="40% - 强调文字颜色 4 2 8 3 2 2" xfId="18141"/>
    <cellStyle name="40% - 强调文字颜色 4 2 8 4" xfId="18142"/>
    <cellStyle name="40% - 强调文字颜色 4 2 8 4 2" xfId="18143"/>
    <cellStyle name="40% - 强调文字颜色 4 2 8 5" xfId="18144"/>
    <cellStyle name="40% - 强调文字颜色 4 2 8 5 2" xfId="18145"/>
    <cellStyle name="40% - 强调文字颜色 4 2 8 6" xfId="18146"/>
    <cellStyle name="40% - 强调文字颜色 4 2 9" xfId="18147"/>
    <cellStyle name="40% - 强调文字颜色 4 2 9 2" xfId="18148"/>
    <cellStyle name="40% - 强调文字颜色 4 2 9 2 2" xfId="18149"/>
    <cellStyle name="40% - 强调文字颜色 4 2 9 2 2 2" xfId="18150"/>
    <cellStyle name="40% - 强调文字颜色 4 2 9 3" xfId="18151"/>
    <cellStyle name="40% - 强调文字颜色 4 2 9 3 2" xfId="18152"/>
    <cellStyle name="40% - 强调文字颜色 4 2 9 4" xfId="18153"/>
    <cellStyle name="40% - 强调文字颜色 4 2 9 4 2" xfId="18154"/>
    <cellStyle name="40% - 强调文字颜色 4 2 9 5" xfId="18155"/>
    <cellStyle name="40% - 强调文字颜色 4 3" xfId="18156"/>
    <cellStyle name="40% - 强调文字颜色 4 3 2" xfId="18157"/>
    <cellStyle name="40% - 强调文字颜色 4 3 2 2" xfId="18158"/>
    <cellStyle name="40% - 强调文字颜色 4 3 2 2 2" xfId="18159"/>
    <cellStyle name="40% - 强调文字颜色 4 3 2 2 2 2" xfId="18160"/>
    <cellStyle name="40% - 强调文字颜色 4 3 2 2 2 3" xfId="18161"/>
    <cellStyle name="40% - 强调文字颜色 4 3 2 2 2 3 2" xfId="18162"/>
    <cellStyle name="40% - 强调文字颜色 4 3 2 2 2 3 2 2" xfId="18163"/>
    <cellStyle name="40% - 强调文字颜色 4 3 2 2 2 4" xfId="18164"/>
    <cellStyle name="40% - 强调文字颜色 4 3 2 2 2 4 2" xfId="18165"/>
    <cellStyle name="40% - 强调文字颜色 4 3 2 2 2 5" xfId="18166"/>
    <cellStyle name="40% - 强调文字颜色 4 3 2 2 2 5 2" xfId="18167"/>
    <cellStyle name="40% - 强调文字颜色 4 3 2 2 2 6" xfId="18168"/>
    <cellStyle name="40% - 强调文字颜色 4 3 2 2 3" xfId="18169"/>
    <cellStyle name="40% - 强调文字颜色 4 3 2 2 3 2" xfId="18170"/>
    <cellStyle name="40% - 强调文字颜色 4 3 2 2 3 2 2" xfId="18171"/>
    <cellStyle name="40% - 强调文字颜色 4 3 2 2 3 2 2 2" xfId="18172"/>
    <cellStyle name="40% - 强调文字颜色 4 3 2 2 3 3" xfId="18173"/>
    <cellStyle name="40% - 强调文字颜色 4 3 2 2 3 3 2" xfId="18174"/>
    <cellStyle name="40% - 强调文字颜色 4 3 2 2 3 4" xfId="18175"/>
    <cellStyle name="40% - 强调文字颜色 4 3 2 2 3 4 2" xfId="18176"/>
    <cellStyle name="40% - 强调文字颜色 4 3 2 2 3 5" xfId="18177"/>
    <cellStyle name="40% - 强调文字颜色 4 3 2 2 4" xfId="18178"/>
    <cellStyle name="40% - 强调文字颜色 4 3 2 2 5" xfId="18179"/>
    <cellStyle name="40% - 强调文字颜色 4 3 2 2 6" xfId="18180"/>
    <cellStyle name="40% - 强调文字颜色 4 3 2 2 6 2" xfId="18181"/>
    <cellStyle name="40% - 强调文字颜色 4 3 2 2 7" xfId="18182"/>
    <cellStyle name="40% - 强调文字颜色 4 3 2 2 7 2" xfId="18183"/>
    <cellStyle name="40% - 强调文字颜色 4 3 2 3" xfId="18184"/>
    <cellStyle name="40% - 强调文字颜色 4 3 2 3 2" xfId="18185"/>
    <cellStyle name="40% - 强调文字颜色 4 3 2 3 3" xfId="18186"/>
    <cellStyle name="40% - 强调文字颜色 4 3 2 3 3 2" xfId="18187"/>
    <cellStyle name="40% - 强调文字颜色 4 3 2 3 3 2 2" xfId="18188"/>
    <cellStyle name="40% - 强调文字颜色 4 3 2 3 4" xfId="18189"/>
    <cellStyle name="40% - 强调文字颜色 4 3 2 3 4 2" xfId="18190"/>
    <cellStyle name="40% - 强调文字颜色 4 3 2 3 5" xfId="18191"/>
    <cellStyle name="40% - 强调文字颜色 4 3 2 3 5 2" xfId="18192"/>
    <cellStyle name="40% - 强调文字颜色 4 3 2 3 6" xfId="18193"/>
    <cellStyle name="40% - 强调文字颜色 4 3 2 4" xfId="18194"/>
    <cellStyle name="40% - 强调文字颜色 4 3 2 4 2" xfId="18195"/>
    <cellStyle name="40% - 强调文字颜色 4 3 2 4 2 2" xfId="18196"/>
    <cellStyle name="40% - 强调文字颜色 4 3 2 4 2 2 2" xfId="18197"/>
    <cellStyle name="40% - 强调文字颜色 4 3 2 4 3" xfId="18198"/>
    <cellStyle name="40% - 强调文字颜色 4 3 2 4 3 2" xfId="18199"/>
    <cellStyle name="40% - 强调文字颜色 4 3 2 4 4" xfId="18200"/>
    <cellStyle name="40% - 强调文字颜色 4 3 2 4 4 2" xfId="18201"/>
    <cellStyle name="40% - 强调文字颜色 4 3 2 4 5" xfId="18202"/>
    <cellStyle name="40% - 强调文字颜色 4 3 2 5" xfId="18203"/>
    <cellStyle name="40% - 强调文字颜色 4 3 2 6" xfId="18204"/>
    <cellStyle name="40% - 强调文字颜色 4 3 2 7" xfId="18205"/>
    <cellStyle name="40% - 强调文字颜色 4 3 2 7 2" xfId="18206"/>
    <cellStyle name="40% - 强调文字颜色 4 3 2 8" xfId="18207"/>
    <cellStyle name="40% - 强调文字颜色 4 3 2 8 2" xfId="18208"/>
    <cellStyle name="40% - 强调文字颜色 4 3 3" xfId="18209"/>
    <cellStyle name="40% - 强调文字颜色 4 3 3 2" xfId="18210"/>
    <cellStyle name="40% - 强调文字颜色 4 3 3 2 2" xfId="18211"/>
    <cellStyle name="40% - 强调文字颜色 4 3 3 2 3" xfId="18212"/>
    <cellStyle name="40% - 强调文字颜色 4 3 3 2 3 2" xfId="18213"/>
    <cellStyle name="40% - 强调文字颜色 4 3 3 2 3 2 2" xfId="18214"/>
    <cellStyle name="40% - 强调文字颜色 4 3 3 2 4" xfId="18215"/>
    <cellStyle name="40% - 强调文字颜色 4 3 3 2 4 2" xfId="18216"/>
    <cellStyle name="40% - 强调文字颜色 4 3 3 2 5" xfId="18217"/>
    <cellStyle name="40% - 强调文字颜色 4 3 3 2 5 2" xfId="18218"/>
    <cellStyle name="40% - 强调文字颜色 4 3 3 2 6" xfId="18219"/>
    <cellStyle name="40% - 强调文字颜色 4 3 3 3" xfId="18220"/>
    <cellStyle name="40% - 强调文字颜色 4 3 3 3 2" xfId="18221"/>
    <cellStyle name="40% - 强调文字颜色 4 3 3 3 2 2" xfId="18222"/>
    <cellStyle name="40% - 强调文字颜色 4 3 3 3 2 2 2" xfId="18223"/>
    <cellStyle name="40% - 强调文字颜色 4 3 3 3 3" xfId="18224"/>
    <cellStyle name="40% - 强调文字颜色 4 3 3 3 3 2" xfId="18225"/>
    <cellStyle name="40% - 强调文字颜色 4 3 3 3 4" xfId="18226"/>
    <cellStyle name="40% - 强调文字颜色 4 3 3 3 4 2" xfId="18227"/>
    <cellStyle name="40% - 强调文字颜色 4 3 3 3 5" xfId="18228"/>
    <cellStyle name="40% - 强调文字颜色 4 3 3 4" xfId="18229"/>
    <cellStyle name="40% - 强调文字颜色 4 3 3 5" xfId="18230"/>
    <cellStyle name="40% - 强调文字颜色 4 3 3 6" xfId="18231"/>
    <cellStyle name="40% - 强调文字颜色 4 3 3 6 2" xfId="18232"/>
    <cellStyle name="40% - 强调文字颜色 4 3 3 7" xfId="18233"/>
    <cellStyle name="40% - 强调文字颜色 4 3 3 7 2" xfId="18234"/>
    <cellStyle name="40% - 强调文字颜色 4 3 4" xfId="18235"/>
    <cellStyle name="40% - 强调文字颜色 4 3 4 2" xfId="18236"/>
    <cellStyle name="40% - 强调文字颜色 4 3 4 2 2" xfId="18237"/>
    <cellStyle name="40% - 强调文字颜色 4 3 4 2 3" xfId="18238"/>
    <cellStyle name="40% - 强调文字颜色 4 3 4 2 3 2" xfId="18239"/>
    <cellStyle name="40% - 强调文字颜色 4 3 4 2 3 2 2" xfId="18240"/>
    <cellStyle name="40% - 强调文字颜色 4 3 4 2 4" xfId="18241"/>
    <cellStyle name="40% - 强调文字颜色 4 3 4 2 4 2" xfId="18242"/>
    <cellStyle name="40% - 强调文字颜色 4 3 4 2 5" xfId="18243"/>
    <cellStyle name="40% - 强调文字颜色 4 3 4 2 5 2" xfId="18244"/>
    <cellStyle name="40% - 强调文字颜色 4 3 4 2 6" xfId="18245"/>
    <cellStyle name="40% - 强调文字颜色 4 3 4 3" xfId="18246"/>
    <cellStyle name="40% - 强调文字颜色 4 3 4 4" xfId="18247"/>
    <cellStyle name="40% - 强调文字颜色 4 3 4 5" xfId="18248"/>
    <cellStyle name="40% - 强调文字颜色 4 3 4 6" xfId="18249"/>
    <cellStyle name="40% - 强调文字颜色 4 3 4 6 2" xfId="18250"/>
    <cellStyle name="40% - 强调文字颜色 4 3 4 7" xfId="18251"/>
    <cellStyle name="40% - 强调文字颜色 4 3 4 7 2" xfId="18252"/>
    <cellStyle name="40% - 强调文字颜色 4 3 5" xfId="18253"/>
    <cellStyle name="40% - 强调文字颜色 4 3 5 2" xfId="18254"/>
    <cellStyle name="40% - 强调文字颜色 4 3 5 2 2" xfId="18255"/>
    <cellStyle name="40% - 强调文字颜色 4 3 5 2 2 2" xfId="18256"/>
    <cellStyle name="40% - 强调文字颜色 4 3 5 2 2 2 2" xfId="18257"/>
    <cellStyle name="40% - 强调文字颜色 4 3 5 2 3" xfId="18258"/>
    <cellStyle name="40% - 强调文字颜色 4 3 5 2 3 2" xfId="18259"/>
    <cellStyle name="40% - 强调文字颜色 4 3 5 2 4" xfId="18260"/>
    <cellStyle name="40% - 强调文字颜色 4 3 5 2 4 2" xfId="18261"/>
    <cellStyle name="40% - 强调文字颜色 4 3 5 2 5" xfId="18262"/>
    <cellStyle name="40% - 强调文字颜色 4 3 5 3" xfId="18263"/>
    <cellStyle name="40% - 强调文字颜色 4 3 5 3 2" xfId="18264"/>
    <cellStyle name="40% - 强调文字颜色 4 3 5 3 2 2" xfId="18265"/>
    <cellStyle name="40% - 强调文字颜色 4 3 5 4" xfId="18266"/>
    <cellStyle name="40% - 强调文字颜色 4 3 5 4 2" xfId="18267"/>
    <cellStyle name="40% - 强调文字颜色 4 3 5 5" xfId="18268"/>
    <cellStyle name="40% - 强调文字颜色 4 3 5 5 2" xfId="18269"/>
    <cellStyle name="40% - 强调文字颜色 4 3 5 6" xfId="18270"/>
    <cellStyle name="40% - 强调文字颜色 4 3 6" xfId="18271"/>
    <cellStyle name="40% - 强调文字颜色 4 3 6 2" xfId="18272"/>
    <cellStyle name="40% - 强调文字颜色 4 3 6 2 2" xfId="18273"/>
    <cellStyle name="40% - 强调文字颜色 4 3 6 2 2 2" xfId="18274"/>
    <cellStyle name="40% - 强调文字颜色 4 3 6 3" xfId="18275"/>
    <cellStyle name="40% - 强调文字颜色 4 3 6 3 2" xfId="18276"/>
    <cellStyle name="40% - 强调文字颜色 4 3 6 4" xfId="18277"/>
    <cellStyle name="40% - 强调文字颜色 4 3 6 4 2" xfId="18278"/>
    <cellStyle name="40% - 强调文字颜色 4 3 6 5" xfId="18279"/>
    <cellStyle name="40% - 强调文字颜色 4 3 7" xfId="18280"/>
    <cellStyle name="40% - 强调文字颜色 4 3 8" xfId="18281"/>
    <cellStyle name="40% - 强调文字颜色 4 3 8 2" xfId="18282"/>
    <cellStyle name="40% - 强调文字颜色 4 3 9" xfId="18283"/>
    <cellStyle name="40% - 强调文字颜色 4 3 9 2" xfId="18284"/>
    <cellStyle name="40% - 强调文字颜色 5 2" xfId="18285"/>
    <cellStyle name="40% - 强调文字颜色 5 2 10" xfId="18286"/>
    <cellStyle name="40% - 强调文字颜色 5 2 11" xfId="18287"/>
    <cellStyle name="40% - 强调文字颜色 5 2 11 2" xfId="18288"/>
    <cellStyle name="40% - 强调文字颜色 5 2 12" xfId="18289"/>
    <cellStyle name="40% - 强调文字颜色 5 2 12 2" xfId="18290"/>
    <cellStyle name="40% - 强调文字颜色 5 2 2" xfId="18291"/>
    <cellStyle name="40% - 强调文字颜色 5 2 2 10" xfId="18292"/>
    <cellStyle name="40% - 强调文字颜色 5 2 2 11" xfId="18293"/>
    <cellStyle name="40% - 强调文字颜色 5 2 2 11 2" xfId="18294"/>
    <cellStyle name="40% - 强调文字颜色 5 2 2 12" xfId="18295"/>
    <cellStyle name="40% - 强调文字颜色 5 2 2 12 2" xfId="18296"/>
    <cellStyle name="40% - 强调文字颜色 5 2 2 2" xfId="18297"/>
    <cellStyle name="40% - 强调文字颜色 5 2 2 2 2" xfId="18298"/>
    <cellStyle name="40% - 强调文字颜色 5 2 2 2 2 2" xfId="18299"/>
    <cellStyle name="40% - 强调文字颜色 5 2 2 2 2 2 2" xfId="18300"/>
    <cellStyle name="40% - 强调文字颜色 5 2 2 2 2 2 3" xfId="18301"/>
    <cellStyle name="40% - 强调文字颜色 5 2 2 2 2 2 3 2" xfId="18302"/>
    <cellStyle name="40% - 强调文字颜色 5 2 2 2 2 2 3 2 2" xfId="18303"/>
    <cellStyle name="40% - 强调文字颜色 5 2 2 2 2 2 4" xfId="18304"/>
    <cellStyle name="40% - 强调文字颜色 5 2 2 2 2 2 4 2" xfId="18305"/>
    <cellStyle name="40% - 强调文字颜色 5 2 2 2 2 2 5" xfId="18306"/>
    <cellStyle name="40% - 强调文字颜色 5 2 2 2 2 2 5 2" xfId="18307"/>
    <cellStyle name="40% - 强调文字颜色 5 2 2 2 2 2 6" xfId="18308"/>
    <cellStyle name="40% - 强调文字颜色 5 2 2 2 2 3" xfId="18309"/>
    <cellStyle name="40% - 强调文字颜色 5 2 2 2 2 3 2" xfId="18310"/>
    <cellStyle name="40% - 强调文字颜色 5 2 2 2 2 3 2 2" xfId="18311"/>
    <cellStyle name="40% - 强调文字颜色 5 2 2 2 2 3 2 2 2" xfId="18312"/>
    <cellStyle name="40% - 强调文字颜色 5 2 2 2 2 3 3" xfId="18313"/>
    <cellStyle name="40% - 强调文字颜色 5 2 2 2 2 3 3 2" xfId="18314"/>
    <cellStyle name="40% - 强调文字颜色 5 2 2 2 2 3 4" xfId="18315"/>
    <cellStyle name="40% - 强调文字颜色 5 2 2 2 2 3 4 2" xfId="18316"/>
    <cellStyle name="40% - 强调文字颜色 5 2 2 2 2 3 5" xfId="18317"/>
    <cellStyle name="40% - 强调文字颜色 5 2 2 2 2 4" xfId="18318"/>
    <cellStyle name="40% - 强调文字颜色 5 2 2 2 2 5" xfId="18319"/>
    <cellStyle name="40% - 强调文字颜色 5 2 2 2 2 6" xfId="18320"/>
    <cellStyle name="40% - 强调文字颜色 5 2 2 2 2 6 2" xfId="18321"/>
    <cellStyle name="40% - 强调文字颜色 5 2 2 2 2 7" xfId="18322"/>
    <cellStyle name="40% - 强调文字颜色 5 2 2 2 2 7 2" xfId="18323"/>
    <cellStyle name="40% - 强调文字颜色 5 2 2 2 3" xfId="18324"/>
    <cellStyle name="40% - 强调文字颜色 5 2 2 2 3 2" xfId="18325"/>
    <cellStyle name="40% - 强调文字颜色 5 2 2 2 3 3" xfId="18326"/>
    <cellStyle name="40% - 强调文字颜色 5 2 2 2 3 3 2" xfId="18327"/>
    <cellStyle name="40% - 强调文字颜色 5 2 2 2 3 3 2 2" xfId="18328"/>
    <cellStyle name="40% - 强调文字颜色 5 2 2 2 3 4" xfId="18329"/>
    <cellStyle name="40% - 强调文字颜色 5 2 2 2 3 4 2" xfId="18330"/>
    <cellStyle name="40% - 强调文字颜色 5 2 2 2 3 5" xfId="18331"/>
    <cellStyle name="40% - 强调文字颜色 5 2 2 2 3 5 2" xfId="18332"/>
    <cellStyle name="40% - 强调文字颜色 5 2 2 2 3 6" xfId="18333"/>
    <cellStyle name="40% - 强调文字颜色 5 2 2 2 4" xfId="18334"/>
    <cellStyle name="40% - 强调文字颜色 5 2 2 2 4 2" xfId="18335"/>
    <cellStyle name="40% - 强调文字颜色 5 2 2 2 4 2 2" xfId="18336"/>
    <cellStyle name="40% - 强调文字颜色 5 2 2 2 4 2 2 2" xfId="18337"/>
    <cellStyle name="40% - 强调文字颜色 5 2 2 2 4 3" xfId="18338"/>
    <cellStyle name="40% - 强调文字颜色 5 2 2 2 4 3 2" xfId="18339"/>
    <cellStyle name="40% - 强调文字颜色 5 2 2 2 4 4" xfId="18340"/>
    <cellStyle name="40% - 强调文字颜色 5 2 2 2 4 4 2" xfId="18341"/>
    <cellStyle name="40% - 强调文字颜色 5 2 2 2 4 5" xfId="18342"/>
    <cellStyle name="40% - 强调文字颜色 5 2 2 2 5" xfId="18343"/>
    <cellStyle name="40% - 强调文字颜色 5 2 2 2 6" xfId="18344"/>
    <cellStyle name="40% - 强调文字颜色 5 2 2 2 7" xfId="18345"/>
    <cellStyle name="40% - 强调文字颜色 5 2 2 2 7 2" xfId="18346"/>
    <cellStyle name="40% - 强调文字颜色 5 2 2 2 8" xfId="18347"/>
    <cellStyle name="40% - 强调文字颜色 5 2 2 2 8 2" xfId="18348"/>
    <cellStyle name="40% - 强调文字颜色 5 2 2 3" xfId="18349"/>
    <cellStyle name="40% - 强调文字颜色 5 2 2 3 2" xfId="18350"/>
    <cellStyle name="40% - 强调文字颜色 5 2 2 3 2 2" xfId="18351"/>
    <cellStyle name="40% - 强调文字颜色 5 2 2 3 2 3" xfId="18352"/>
    <cellStyle name="40% - 强调文字颜色 5 2 2 3 2 3 2" xfId="18353"/>
    <cellStyle name="40% - 强调文字颜色 5 2 2 3 2 3 2 2" xfId="18354"/>
    <cellStyle name="40% - 强调文字颜色 5 2 2 3 2 4" xfId="18355"/>
    <cellStyle name="40% - 强调文字颜色 5 2 2 3 2 4 2" xfId="18356"/>
    <cellStyle name="40% - 强调文字颜色 5 2 2 3 2 5" xfId="18357"/>
    <cellStyle name="40% - 强调文字颜色 5 2 2 3 2 5 2" xfId="18358"/>
    <cellStyle name="40% - 强调文字颜色 5 2 2 3 2 6" xfId="18359"/>
    <cellStyle name="40% - 强调文字颜色 5 2 2 3 3" xfId="18360"/>
    <cellStyle name="40% - 强调文字颜色 5 2 2 3 3 2" xfId="18361"/>
    <cellStyle name="40% - 强调文字颜色 5 2 2 3 3 2 2" xfId="18362"/>
    <cellStyle name="40% - 强调文字颜色 5 2 2 3 3 2 2 2" xfId="18363"/>
    <cellStyle name="40% - 强调文字颜色 5 2 2 3 3 3" xfId="18364"/>
    <cellStyle name="40% - 强调文字颜色 5 2 2 3 3 3 2" xfId="18365"/>
    <cellStyle name="40% - 强调文字颜色 5 2 2 3 3 4" xfId="18366"/>
    <cellStyle name="40% - 强调文字颜色 5 2 2 3 3 4 2" xfId="18367"/>
    <cellStyle name="40% - 强调文字颜色 5 2 2 3 3 5" xfId="18368"/>
    <cellStyle name="40% - 强调文字颜色 5 2 2 3 4" xfId="18369"/>
    <cellStyle name="40% - 强调文字颜色 5 2 2 3 5" xfId="18370"/>
    <cellStyle name="40% - 强调文字颜色 5 2 2 3 6" xfId="18371"/>
    <cellStyle name="40% - 强调文字颜色 5 2 2 3 6 2" xfId="18372"/>
    <cellStyle name="40% - 强调文字颜色 5 2 2 3 7" xfId="18373"/>
    <cellStyle name="40% - 强调文字颜色 5 2 2 3 7 2" xfId="18374"/>
    <cellStyle name="40% - 强调文字颜色 5 2 2 4" xfId="18375"/>
    <cellStyle name="40% - 强调文字颜色 5 2 2 4 2" xfId="18376"/>
    <cellStyle name="40% - 强调文字颜色 5 2 2 4 2 2" xfId="18377"/>
    <cellStyle name="40% - 强调文字颜色 5 2 2 4 2 3" xfId="18378"/>
    <cellStyle name="40% - 强调文字颜色 5 2 2 4 2 3 2" xfId="18379"/>
    <cellStyle name="40% - 强调文字颜色 5 2 2 4 2 3 2 2" xfId="18380"/>
    <cellStyle name="40% - 强调文字颜色 5 2 2 4 2 4" xfId="18381"/>
    <cellStyle name="40% - 强调文字颜色 5 2 2 4 2 4 2" xfId="18382"/>
    <cellStyle name="40% - 强调文字颜色 5 2 2 4 2 5" xfId="18383"/>
    <cellStyle name="40% - 强调文字颜色 5 2 2 4 2 5 2" xfId="18384"/>
    <cellStyle name="40% - 强调文字颜色 5 2 2 4 2 6" xfId="18385"/>
    <cellStyle name="40% - 强调文字颜色 5 2 2 4 3" xfId="18386"/>
    <cellStyle name="40% - 强调文字颜色 5 2 2 4 4" xfId="18387"/>
    <cellStyle name="40% - 强调文字颜色 5 2 2 4 5" xfId="18388"/>
    <cellStyle name="40% - 强调文字颜色 5 2 2 4 6" xfId="18389"/>
    <cellStyle name="40% - 强调文字颜色 5 2 2 4 6 2" xfId="18390"/>
    <cellStyle name="40% - 强调文字颜色 5 2 2 4 7" xfId="18391"/>
    <cellStyle name="40% - 强调文字颜色 5 2 2 4 7 2" xfId="18392"/>
    <cellStyle name="40% - 强调文字颜色 5 2 2 5" xfId="18393"/>
    <cellStyle name="40% - 强调文字颜色 5 2 2 5 2" xfId="18394"/>
    <cellStyle name="40% - 强调文字颜色 5 2 2 5 2 2" xfId="18395"/>
    <cellStyle name="40% - 强调文字颜色 5 2 2 5 2 2 2" xfId="18396"/>
    <cellStyle name="40% - 强调文字颜色 5 2 2 5 2 2 2 2" xfId="18397"/>
    <cellStyle name="40% - 强调文字颜色 5 2 2 5 2 3" xfId="18398"/>
    <cellStyle name="40% - 强调文字颜色 5 2 2 5 2 3 2" xfId="18399"/>
    <cellStyle name="40% - 强调文字颜色 5 2 2 5 2 4" xfId="18400"/>
    <cellStyle name="40% - 强调文字颜色 5 2 2 5 2 4 2" xfId="18401"/>
    <cellStyle name="40% - 强调文字颜色 5 2 2 5 2 5" xfId="18402"/>
    <cellStyle name="40% - 强调文字颜色 5 2 2 5 3" xfId="18403"/>
    <cellStyle name="40% - 强调文字颜色 5 2 2 5 3 2" xfId="18404"/>
    <cellStyle name="40% - 强调文字颜色 5 2 2 5 3 2 2" xfId="18405"/>
    <cellStyle name="40% - 强调文字颜色 5 2 2 5 4" xfId="18406"/>
    <cellStyle name="40% - 强调文字颜色 5 2 2 5 4 2" xfId="18407"/>
    <cellStyle name="40% - 强调文字颜色 5 2 2 5 5" xfId="18408"/>
    <cellStyle name="40% - 强调文字颜色 5 2 2 5 5 2" xfId="18409"/>
    <cellStyle name="40% - 强调文字颜色 5 2 2 5 6" xfId="18410"/>
    <cellStyle name="40% - 强调文字颜色 5 2 2 6" xfId="18411"/>
    <cellStyle name="40% - 强调文字颜色 5 2 2 6 2" xfId="18412"/>
    <cellStyle name="40% - 强调文字颜色 5 2 2 6 2 2" xfId="18413"/>
    <cellStyle name="40% - 强调文字颜色 5 2 2 6 2 2 2" xfId="18414"/>
    <cellStyle name="40% - 强调文字颜色 5 2 2 6 2 2 2 2" xfId="18415"/>
    <cellStyle name="40% - 强调文字颜色 5 2 2 6 2 3" xfId="18416"/>
    <cellStyle name="40% - 强调文字颜色 5 2 2 6 2 3 2" xfId="18417"/>
    <cellStyle name="40% - 强调文字颜色 5 2 2 6 2 4" xfId="18418"/>
    <cellStyle name="40% - 强调文字颜色 5 2 2 6 2 4 2" xfId="18419"/>
    <cellStyle name="40% - 强调文字颜色 5 2 2 6 2 5" xfId="18420"/>
    <cellStyle name="40% - 强调文字颜色 5 2 2 6 3" xfId="18421"/>
    <cellStyle name="40% - 强调文字颜色 5 2 2 6 3 2" xfId="18422"/>
    <cellStyle name="40% - 强调文字颜色 5 2 2 6 3 2 2" xfId="18423"/>
    <cellStyle name="40% - 强调文字颜色 5 2 2 6 4" xfId="18424"/>
    <cellStyle name="40% - 强调文字颜色 5 2 2 6 4 2" xfId="18425"/>
    <cellStyle name="40% - 强调文字颜色 5 2 2 6 5" xfId="18426"/>
    <cellStyle name="40% - 强调文字颜色 5 2 2 6 5 2" xfId="18427"/>
    <cellStyle name="40% - 强调文字颜色 5 2 2 6 6" xfId="18428"/>
    <cellStyle name="40% - 强调文字颜色 5 2 2 7" xfId="18429"/>
    <cellStyle name="40% - 强调文字颜色 5 2 2 7 2" xfId="18430"/>
    <cellStyle name="40% - 强调文字颜色 5 2 2 7 2 2" xfId="18431"/>
    <cellStyle name="40% - 强调文字颜色 5 2 2 7 2 2 2" xfId="18432"/>
    <cellStyle name="40% - 强调文字颜色 5 2 2 7 2 2 2 2" xfId="18433"/>
    <cellStyle name="40% - 强调文字颜色 5 2 2 7 2 3" xfId="18434"/>
    <cellStyle name="40% - 强调文字颜色 5 2 2 7 2 3 2" xfId="18435"/>
    <cellStyle name="40% - 强调文字颜色 5 2 2 7 2 4" xfId="18436"/>
    <cellStyle name="40% - 强调文字颜色 5 2 2 7 2 4 2" xfId="18437"/>
    <cellStyle name="40% - 强调文字颜色 5 2 2 7 2 5" xfId="18438"/>
    <cellStyle name="40% - 强调文字颜色 5 2 2 7 3" xfId="18439"/>
    <cellStyle name="40% - 强调文字颜色 5 2 2 7 3 2" xfId="18440"/>
    <cellStyle name="40% - 强调文字颜色 5 2 2 7 3 2 2" xfId="18441"/>
    <cellStyle name="40% - 强调文字颜色 5 2 2 7 4" xfId="18442"/>
    <cellStyle name="40% - 强调文字颜色 5 2 2 7 4 2" xfId="18443"/>
    <cellStyle name="40% - 强调文字颜色 5 2 2 7 5" xfId="18444"/>
    <cellStyle name="40% - 强调文字颜色 5 2 2 7 5 2" xfId="18445"/>
    <cellStyle name="40% - 强调文字颜色 5 2 2 7 6" xfId="18446"/>
    <cellStyle name="40% - 强调文字颜色 5 2 2 8" xfId="18447"/>
    <cellStyle name="40% - 强调文字颜色 5 2 2 8 2" xfId="18448"/>
    <cellStyle name="40% - 强调文字颜色 5 2 2 8 2 2" xfId="18449"/>
    <cellStyle name="40% - 强调文字颜色 5 2 2 8 2 2 2" xfId="18450"/>
    <cellStyle name="40% - 强调文字颜色 5 2 2 8 3" xfId="18451"/>
    <cellStyle name="40% - 强调文字颜色 5 2 2 8 3 2" xfId="18452"/>
    <cellStyle name="40% - 强调文字颜色 5 2 2 8 4" xfId="18453"/>
    <cellStyle name="40% - 强调文字颜色 5 2 2 8 4 2" xfId="18454"/>
    <cellStyle name="40% - 强调文字颜色 5 2 2 8 5" xfId="18455"/>
    <cellStyle name="40% - 强调文字颜色 5 2 2 9" xfId="18456"/>
    <cellStyle name="40% - 强调文字颜色 5 2 2 9 2" xfId="18457"/>
    <cellStyle name="40% - 强调文字颜色 5 2 2 9 2 2" xfId="18458"/>
    <cellStyle name="40% - 强调文字颜色 5 2 2 9 2 2 2" xfId="18459"/>
    <cellStyle name="40% - 强调文字颜色 5 2 2 9 3" xfId="18460"/>
    <cellStyle name="40% - 强调文字颜色 5 2 2 9 3 2" xfId="18461"/>
    <cellStyle name="40% - 强调文字颜色 5 2 2 9 4" xfId="18462"/>
    <cellStyle name="40% - 强调文字颜色 5 2 2 9 4 2" xfId="18463"/>
    <cellStyle name="40% - 强调文字颜色 5 2 2 9 5" xfId="18464"/>
    <cellStyle name="40% - 强调文字颜色 5 2 3" xfId="18465"/>
    <cellStyle name="40% - 强调文字颜色 5 2 3 10" xfId="18466"/>
    <cellStyle name="40% - 强调文字颜色 5 2 3 10 2" xfId="18467"/>
    <cellStyle name="40% - 强调文字颜色 5 2 3 2" xfId="18468"/>
    <cellStyle name="40% - 强调文字颜色 5 2 3 2 2" xfId="18469"/>
    <cellStyle name="40% - 强调文字颜色 5 2 3 2 2 2" xfId="18470"/>
    <cellStyle name="40% - 强调文字颜色 5 2 3 2 2 2 2" xfId="18471"/>
    <cellStyle name="40% - 强调文字颜色 5 2 3 2 2 2 3" xfId="18472"/>
    <cellStyle name="40% - 强调文字颜色 5 2 3 2 2 2 3 2" xfId="18473"/>
    <cellStyle name="40% - 强调文字颜色 5 2 3 2 2 2 3 2 2" xfId="18474"/>
    <cellStyle name="40% - 强调文字颜色 5 2 3 2 2 2 4" xfId="18475"/>
    <cellStyle name="40% - 强调文字颜色 5 2 3 2 2 2 4 2" xfId="18476"/>
    <cellStyle name="40% - 强调文字颜色 5 2 3 2 2 2 5" xfId="18477"/>
    <cellStyle name="40% - 强调文字颜色 5 2 3 2 2 2 5 2" xfId="18478"/>
    <cellStyle name="40% - 强调文字颜色 5 2 3 2 2 2 6" xfId="18479"/>
    <cellStyle name="40% - 强调文字颜色 5 2 3 2 2 3" xfId="18480"/>
    <cellStyle name="40% - 强调文字颜色 5 2 3 2 2 3 2" xfId="18481"/>
    <cellStyle name="40% - 强调文字颜色 5 2 3 2 2 3 2 2" xfId="18482"/>
    <cellStyle name="40% - 强调文字颜色 5 2 3 2 2 3 2 2 2" xfId="18483"/>
    <cellStyle name="40% - 强调文字颜色 5 2 3 2 2 3 3" xfId="18484"/>
    <cellStyle name="40% - 强调文字颜色 5 2 3 2 2 3 3 2" xfId="18485"/>
    <cellStyle name="40% - 强调文字颜色 5 2 3 2 2 3 4" xfId="18486"/>
    <cellStyle name="40% - 强调文字颜色 5 2 3 2 2 3 4 2" xfId="18487"/>
    <cellStyle name="40% - 强调文字颜色 5 2 3 2 2 3 5" xfId="18488"/>
    <cellStyle name="40% - 强调文字颜色 5 2 3 2 2 4" xfId="18489"/>
    <cellStyle name="40% - 强调文字颜色 5 2 3 2 2 5" xfId="18490"/>
    <cellStyle name="40% - 强调文字颜色 5 2 3 2 2 6" xfId="18491"/>
    <cellStyle name="40% - 强调文字颜色 5 2 3 2 2 6 2" xfId="18492"/>
    <cellStyle name="40% - 强调文字颜色 5 2 3 2 2 7" xfId="18493"/>
    <cellStyle name="40% - 强调文字颜色 5 2 3 2 2 7 2" xfId="18494"/>
    <cellStyle name="40% - 强调文字颜色 5 2 3 2 3" xfId="18495"/>
    <cellStyle name="40% - 强调文字颜色 5 2 3 2 3 2" xfId="18496"/>
    <cellStyle name="40% - 强调文字颜色 5 2 3 2 3 3" xfId="18497"/>
    <cellStyle name="40% - 强调文字颜色 5 2 3 2 3 3 2" xfId="18498"/>
    <cellStyle name="40% - 强调文字颜色 5 2 3 2 3 3 2 2" xfId="18499"/>
    <cellStyle name="40% - 强调文字颜色 5 2 3 2 3 4" xfId="18500"/>
    <cellStyle name="40% - 强调文字颜色 5 2 3 2 3 4 2" xfId="18501"/>
    <cellStyle name="40% - 强调文字颜色 5 2 3 2 3 5" xfId="18502"/>
    <cellStyle name="40% - 强调文字颜色 5 2 3 2 3 5 2" xfId="18503"/>
    <cellStyle name="40% - 强调文字颜色 5 2 3 2 3 6" xfId="18504"/>
    <cellStyle name="40% - 强调文字颜色 5 2 3 2 4" xfId="18505"/>
    <cellStyle name="40% - 强调文字颜色 5 2 3 2 4 2" xfId="18506"/>
    <cellStyle name="40% - 强调文字颜色 5 2 3 2 4 2 2" xfId="18507"/>
    <cellStyle name="40% - 强调文字颜色 5 2 3 2 4 2 2 2" xfId="18508"/>
    <cellStyle name="40% - 强调文字颜色 5 2 3 2 4 3" xfId="18509"/>
    <cellStyle name="40% - 强调文字颜色 5 2 3 2 4 3 2" xfId="18510"/>
    <cellStyle name="40% - 强调文字颜色 5 2 3 2 4 4" xfId="18511"/>
    <cellStyle name="40% - 强调文字颜色 5 2 3 2 4 4 2" xfId="18512"/>
    <cellStyle name="40% - 强调文字颜色 5 2 3 2 4 5" xfId="18513"/>
    <cellStyle name="40% - 强调文字颜色 5 2 3 2 5" xfId="18514"/>
    <cellStyle name="40% - 强调文字颜色 5 2 3 2 6" xfId="18515"/>
    <cellStyle name="40% - 强调文字颜色 5 2 3 2 7" xfId="18516"/>
    <cellStyle name="40% - 强调文字颜色 5 2 3 2 7 2" xfId="18517"/>
    <cellStyle name="40% - 强调文字颜色 5 2 3 2 8" xfId="18518"/>
    <cellStyle name="40% - 强调文字颜色 5 2 3 2 8 2" xfId="18519"/>
    <cellStyle name="40% - 强调文字颜色 5 2 3 3" xfId="18520"/>
    <cellStyle name="40% - 强调文字颜色 5 2 3 3 2" xfId="18521"/>
    <cellStyle name="40% - 强调文字颜色 5 2 3 3 2 2" xfId="18522"/>
    <cellStyle name="40% - 强调文字颜色 5 2 3 3 2 3" xfId="18523"/>
    <cellStyle name="40% - 强调文字颜色 5 2 3 3 2 3 2" xfId="18524"/>
    <cellStyle name="40% - 强调文字颜色 5 2 3 3 2 3 2 2" xfId="18525"/>
    <cellStyle name="40% - 强调文字颜色 5 2 3 3 2 4" xfId="18526"/>
    <cellStyle name="40% - 强调文字颜色 5 2 3 3 2 4 2" xfId="18527"/>
    <cellStyle name="40% - 强调文字颜色 5 2 3 3 2 5" xfId="18528"/>
    <cellStyle name="40% - 强调文字颜色 5 2 3 3 2 5 2" xfId="18529"/>
    <cellStyle name="40% - 强调文字颜色 5 2 3 3 2 6" xfId="18530"/>
    <cellStyle name="40% - 强调文字颜色 5 2 3 3 3" xfId="18531"/>
    <cellStyle name="40% - 强调文字颜色 5 2 3 3 3 2" xfId="18532"/>
    <cellStyle name="40% - 强调文字颜色 5 2 3 3 3 2 2" xfId="18533"/>
    <cellStyle name="40% - 强调文字颜色 5 2 3 3 3 2 2 2" xfId="18534"/>
    <cellStyle name="40% - 强调文字颜色 5 2 3 3 3 3" xfId="18535"/>
    <cellStyle name="40% - 强调文字颜色 5 2 3 3 3 3 2" xfId="18536"/>
    <cellStyle name="40% - 强调文字颜色 5 2 3 3 3 4" xfId="18537"/>
    <cellStyle name="40% - 强调文字颜色 5 2 3 3 3 4 2" xfId="18538"/>
    <cellStyle name="40% - 强调文字颜色 5 2 3 3 3 5" xfId="18539"/>
    <cellStyle name="40% - 强调文字颜色 5 2 3 3 4" xfId="18540"/>
    <cellStyle name="40% - 强调文字颜色 5 2 3 3 5" xfId="18541"/>
    <cellStyle name="40% - 强调文字颜色 5 2 3 3 6" xfId="18542"/>
    <cellStyle name="40% - 强调文字颜色 5 2 3 3 6 2" xfId="18543"/>
    <cellStyle name="40% - 强调文字颜色 5 2 3 3 7" xfId="18544"/>
    <cellStyle name="40% - 强调文字颜色 5 2 3 3 7 2" xfId="18545"/>
    <cellStyle name="40% - 强调文字颜色 5 2 3 4" xfId="18546"/>
    <cellStyle name="40% - 强调文字颜色 5 2 3 4 2" xfId="18547"/>
    <cellStyle name="40% - 强调文字颜色 5 2 3 4 2 2" xfId="18548"/>
    <cellStyle name="40% - 强调文字颜色 5 2 3 4 2 3" xfId="18549"/>
    <cellStyle name="40% - 强调文字颜色 5 2 3 4 2 3 2" xfId="18550"/>
    <cellStyle name="40% - 强调文字颜色 5 2 3 4 2 3 2 2" xfId="18551"/>
    <cellStyle name="40% - 强调文字颜色 5 2 3 4 2 4" xfId="18552"/>
    <cellStyle name="40% - 强调文字颜色 5 2 3 4 2 4 2" xfId="18553"/>
    <cellStyle name="40% - 强调文字颜色 5 2 3 4 2 5" xfId="18554"/>
    <cellStyle name="40% - 强调文字颜色 5 2 3 4 2 5 2" xfId="18555"/>
    <cellStyle name="40% - 强调文字颜色 5 2 3 4 2 6" xfId="18556"/>
    <cellStyle name="40% - 强调文字颜色 5 2 3 4 3" xfId="18557"/>
    <cellStyle name="40% - 强调文字颜色 5 2 3 4 4" xfId="18558"/>
    <cellStyle name="40% - 强调文字颜色 5 2 3 4 5" xfId="18559"/>
    <cellStyle name="40% - 强调文字颜色 5 2 3 4 6" xfId="18560"/>
    <cellStyle name="40% - 强调文字颜色 5 2 3 4 6 2" xfId="18561"/>
    <cellStyle name="40% - 强调文字颜色 5 2 3 4 7" xfId="18562"/>
    <cellStyle name="40% - 强调文字颜色 5 2 3 4 7 2" xfId="18563"/>
    <cellStyle name="40% - 强调文字颜色 5 2 3 5" xfId="18564"/>
    <cellStyle name="40% - 强调文字颜色 5 2 3 5 2" xfId="18565"/>
    <cellStyle name="40% - 强调文字颜色 5 2 3 5 2 2" xfId="18566"/>
    <cellStyle name="40% - 强调文字颜色 5 2 3 5 2 2 2" xfId="18567"/>
    <cellStyle name="40% - 强调文字颜色 5 2 3 5 2 2 2 2" xfId="18568"/>
    <cellStyle name="40% - 强调文字颜色 5 2 3 5 2 3" xfId="18569"/>
    <cellStyle name="40% - 强调文字颜色 5 2 3 5 2 3 2" xfId="18570"/>
    <cellStyle name="40% - 强调文字颜色 5 2 3 5 2 4" xfId="18571"/>
    <cellStyle name="40% - 强调文字颜色 5 2 3 5 2 4 2" xfId="18572"/>
    <cellStyle name="40% - 强调文字颜色 5 2 3 5 2 5" xfId="18573"/>
    <cellStyle name="40% - 强调文字颜色 5 2 3 5 3" xfId="18574"/>
    <cellStyle name="40% - 强调文字颜色 5 2 3 5 3 2" xfId="18575"/>
    <cellStyle name="40% - 强调文字颜色 5 2 3 5 3 2 2" xfId="18576"/>
    <cellStyle name="40% - 强调文字颜色 5 2 3 5 4" xfId="18577"/>
    <cellStyle name="40% - 强调文字颜色 5 2 3 5 4 2" xfId="18578"/>
    <cellStyle name="40% - 强调文字颜色 5 2 3 5 5" xfId="18579"/>
    <cellStyle name="40% - 强调文字颜色 5 2 3 5 5 2" xfId="18580"/>
    <cellStyle name="40% - 强调文字颜色 5 2 3 5 6" xfId="18581"/>
    <cellStyle name="40% - 强调文字颜色 5 2 3 6" xfId="18582"/>
    <cellStyle name="40% - 强调文字颜色 5 2 3 6 2" xfId="18583"/>
    <cellStyle name="40% - 强调文字颜色 5 2 3 6 2 2" xfId="18584"/>
    <cellStyle name="40% - 强调文字颜色 5 2 3 6 2 2 2" xfId="18585"/>
    <cellStyle name="40% - 强调文字颜色 5 2 3 6 3" xfId="18586"/>
    <cellStyle name="40% - 强调文字颜色 5 2 3 6 3 2" xfId="18587"/>
    <cellStyle name="40% - 强调文字颜色 5 2 3 6 4" xfId="18588"/>
    <cellStyle name="40% - 强调文字颜色 5 2 3 6 4 2" xfId="18589"/>
    <cellStyle name="40% - 强调文字颜色 5 2 3 6 5" xfId="18590"/>
    <cellStyle name="40% - 强调文字颜色 5 2 3 7" xfId="18591"/>
    <cellStyle name="40% - 强调文字颜色 5 2 3 7 2" xfId="18592"/>
    <cellStyle name="40% - 强调文字颜色 5 2 3 7 2 2" xfId="18593"/>
    <cellStyle name="40% - 强调文字颜色 5 2 3 7 2 2 2" xfId="18594"/>
    <cellStyle name="40% - 强调文字颜色 5 2 3 7 3" xfId="18595"/>
    <cellStyle name="40% - 强调文字颜色 5 2 3 7 3 2" xfId="18596"/>
    <cellStyle name="40% - 强调文字颜色 5 2 3 7 4" xfId="18597"/>
    <cellStyle name="40% - 强调文字颜色 5 2 3 7 4 2" xfId="18598"/>
    <cellStyle name="40% - 强调文字颜色 5 2 3 7 5" xfId="18599"/>
    <cellStyle name="40% - 强调文字颜色 5 2 3 8" xfId="18600"/>
    <cellStyle name="40% - 强调文字颜色 5 2 3 9" xfId="18601"/>
    <cellStyle name="40% - 强调文字颜色 5 2 3 9 2" xfId="18602"/>
    <cellStyle name="40% - 强调文字颜色 5 2 4" xfId="18603"/>
    <cellStyle name="40% - 强调文字颜色 5 2 4 2" xfId="18604"/>
    <cellStyle name="40% - 强调文字颜色 5 2 4 2 2" xfId="18605"/>
    <cellStyle name="40% - 强调文字颜色 5 2 4 2 3" xfId="18606"/>
    <cellStyle name="40% - 强调文字颜色 5 2 4 2 3 2" xfId="18607"/>
    <cellStyle name="40% - 强调文字颜色 5 2 4 2 3 2 2" xfId="18608"/>
    <cellStyle name="40% - 强调文字颜色 5 2 4 2 4" xfId="18609"/>
    <cellStyle name="40% - 强调文字颜色 5 2 4 2 4 2" xfId="18610"/>
    <cellStyle name="40% - 强调文字颜色 5 2 4 2 5" xfId="18611"/>
    <cellStyle name="40% - 强调文字颜色 5 2 4 2 5 2" xfId="18612"/>
    <cellStyle name="40% - 强调文字颜色 5 2 4 2 6" xfId="18613"/>
    <cellStyle name="40% - 强调文字颜色 5 2 4 3" xfId="18614"/>
    <cellStyle name="40% - 强调文字颜色 5 2 4 3 2" xfId="18615"/>
    <cellStyle name="40% - 强调文字颜色 5 2 4 3 2 2" xfId="18616"/>
    <cellStyle name="40% - 强调文字颜色 5 2 4 3 2 2 2" xfId="18617"/>
    <cellStyle name="40% - 强调文字颜色 5 2 4 3 3" xfId="18618"/>
    <cellStyle name="40% - 强调文字颜色 5 2 4 3 3 2" xfId="18619"/>
    <cellStyle name="40% - 强调文字颜色 5 2 4 3 4" xfId="18620"/>
    <cellStyle name="40% - 强调文字颜色 5 2 4 3 4 2" xfId="18621"/>
    <cellStyle name="40% - 强调文字颜色 5 2 4 3 5" xfId="18622"/>
    <cellStyle name="40% - 强调文字颜色 5 2 4 4" xfId="18623"/>
    <cellStyle name="40% - 强调文字颜色 5 2 4 5" xfId="18624"/>
    <cellStyle name="40% - 强调文字颜色 5 2 4 6" xfId="18625"/>
    <cellStyle name="40% - 强调文字颜色 5 2 4 6 2" xfId="18626"/>
    <cellStyle name="40% - 强调文字颜色 5 2 4 7" xfId="18627"/>
    <cellStyle name="40% - 强调文字颜色 5 2 4 7 2" xfId="18628"/>
    <cellStyle name="40% - 强调文字颜色 5 2 5" xfId="18629"/>
    <cellStyle name="40% - 强调文字颜色 5 2 5 2" xfId="18630"/>
    <cellStyle name="40% - 强调文字颜色 5 2 5 2 2" xfId="18631"/>
    <cellStyle name="40% - 强调文字颜色 5 2 5 2 3" xfId="18632"/>
    <cellStyle name="40% - 强调文字颜色 5 2 5 2 3 2" xfId="18633"/>
    <cellStyle name="40% - 强调文字颜色 5 2 5 2 3 2 2" xfId="18634"/>
    <cellStyle name="40% - 强调文字颜色 5 2 5 2 4" xfId="18635"/>
    <cellStyle name="40% - 强调文字颜色 5 2 5 2 4 2" xfId="18636"/>
    <cellStyle name="40% - 强调文字颜色 5 2 5 2 5" xfId="18637"/>
    <cellStyle name="40% - 强调文字颜色 5 2 5 2 5 2" xfId="18638"/>
    <cellStyle name="40% - 强调文字颜色 5 2 5 2 6" xfId="18639"/>
    <cellStyle name="40% - 强调文字颜色 5 2 5 3" xfId="18640"/>
    <cellStyle name="40% - 强调文字颜色 5 2 5 4" xfId="18641"/>
    <cellStyle name="40% - 强调文字颜色 5 2 5 5" xfId="18642"/>
    <cellStyle name="40% - 强调文字颜色 5 2 5 6" xfId="18643"/>
    <cellStyle name="40% - 强调文字颜色 5 2 5 6 2" xfId="18644"/>
    <cellStyle name="40% - 强调文字颜色 5 2 5 7" xfId="18645"/>
    <cellStyle name="40% - 强调文字颜色 5 2 5 7 2" xfId="18646"/>
    <cellStyle name="40% - 强调文字颜色 5 2 6" xfId="18647"/>
    <cellStyle name="40% - 强调文字颜色 5 2 6 2" xfId="18648"/>
    <cellStyle name="40% - 强调文字颜色 5 2 6 2 2" xfId="18649"/>
    <cellStyle name="40% - 强调文字颜色 5 2 6 2 2 2" xfId="18650"/>
    <cellStyle name="40% - 强调文字颜色 5 2 6 2 2 2 2" xfId="18651"/>
    <cellStyle name="40% - 强调文字颜色 5 2 6 2 3" xfId="18652"/>
    <cellStyle name="40% - 强调文字颜色 5 2 6 2 3 2" xfId="18653"/>
    <cellStyle name="40% - 强调文字颜色 5 2 6 2 4" xfId="18654"/>
    <cellStyle name="40% - 强调文字颜色 5 2 6 2 4 2" xfId="18655"/>
    <cellStyle name="40% - 强调文字颜色 5 2 6 2 5" xfId="18656"/>
    <cellStyle name="40% - 强调文字颜色 5 2 6 3" xfId="18657"/>
    <cellStyle name="40% - 强调文字颜色 5 2 6 3 2" xfId="18658"/>
    <cellStyle name="40% - 强调文字颜色 5 2 6 3 2 2" xfId="18659"/>
    <cellStyle name="40% - 强调文字颜色 5 2 6 4" xfId="18660"/>
    <cellStyle name="40% - 强调文字颜色 5 2 6 4 2" xfId="18661"/>
    <cellStyle name="40% - 强调文字颜色 5 2 6 5" xfId="18662"/>
    <cellStyle name="40% - 强调文字颜色 5 2 6 5 2" xfId="18663"/>
    <cellStyle name="40% - 强调文字颜色 5 2 6 6" xfId="18664"/>
    <cellStyle name="40% - 强调文字颜色 5 2 7" xfId="18665"/>
    <cellStyle name="40% - 强调文字颜色 5 2 7 2" xfId="18666"/>
    <cellStyle name="40% - 强调文字颜色 5 2 7 2 2" xfId="18667"/>
    <cellStyle name="40% - 强调文字颜色 5 2 7 2 2 2" xfId="18668"/>
    <cellStyle name="40% - 强调文字颜色 5 2 7 2 2 2 2" xfId="18669"/>
    <cellStyle name="40% - 强调文字颜色 5 2 7 2 3" xfId="18670"/>
    <cellStyle name="40% - 强调文字颜色 5 2 7 2 3 2" xfId="18671"/>
    <cellStyle name="40% - 强调文字颜色 5 2 7 2 4" xfId="18672"/>
    <cellStyle name="40% - 强调文字颜色 5 2 7 2 4 2" xfId="18673"/>
    <cellStyle name="40% - 强调文字颜色 5 2 7 2 5" xfId="18674"/>
    <cellStyle name="40% - 强调文字颜色 5 2 7 3" xfId="18675"/>
    <cellStyle name="40% - 强调文字颜色 5 2 7 3 2" xfId="18676"/>
    <cellStyle name="40% - 强调文字颜色 5 2 7 3 2 2" xfId="18677"/>
    <cellStyle name="40% - 强调文字颜色 5 2 7 4" xfId="18678"/>
    <cellStyle name="40% - 强调文字颜色 5 2 7 4 2" xfId="18679"/>
    <cellStyle name="40% - 强调文字颜色 5 2 7 5" xfId="18680"/>
    <cellStyle name="40% - 强调文字颜色 5 2 7 5 2" xfId="18681"/>
    <cellStyle name="40% - 强调文字颜色 5 2 7 6" xfId="18682"/>
    <cellStyle name="40% - 强调文字颜色 5 2 8" xfId="18683"/>
    <cellStyle name="40% - 强调文字颜色 5 2 8 2" xfId="18684"/>
    <cellStyle name="40% - 强调文字颜色 5 2 8 2 2" xfId="18685"/>
    <cellStyle name="40% - 强调文字颜色 5 2 8 2 2 2" xfId="18686"/>
    <cellStyle name="40% - 强调文字颜色 5 2 8 2 2 2 2" xfId="18687"/>
    <cellStyle name="40% - 强调文字颜色 5 2 8 2 3" xfId="18688"/>
    <cellStyle name="40% - 强调文字颜色 5 2 8 2 3 2" xfId="18689"/>
    <cellStyle name="40% - 强调文字颜色 5 2 8 2 4" xfId="18690"/>
    <cellStyle name="40% - 强调文字颜色 5 2 8 2 4 2" xfId="18691"/>
    <cellStyle name="40% - 强调文字颜色 5 2 8 2 5" xfId="18692"/>
    <cellStyle name="40% - 强调文字颜色 5 2 8 3" xfId="18693"/>
    <cellStyle name="40% - 强调文字颜色 5 2 8 3 2" xfId="18694"/>
    <cellStyle name="40% - 强调文字颜色 5 2 8 3 2 2" xfId="18695"/>
    <cellStyle name="40% - 强调文字颜色 5 2 8 4" xfId="18696"/>
    <cellStyle name="40% - 强调文字颜色 5 2 8 4 2" xfId="18697"/>
    <cellStyle name="40% - 强调文字颜色 5 2 8 5" xfId="18698"/>
    <cellStyle name="40% - 强调文字颜色 5 2 8 5 2" xfId="18699"/>
    <cellStyle name="40% - 强调文字颜色 5 2 8 6" xfId="18700"/>
    <cellStyle name="40% - 强调文字颜色 5 2 9" xfId="18701"/>
    <cellStyle name="40% - 强调文字颜色 5 2 9 2" xfId="18702"/>
    <cellStyle name="40% - 强调文字颜色 5 2 9 2 2" xfId="18703"/>
    <cellStyle name="40% - 强调文字颜色 5 2 9 2 2 2" xfId="18704"/>
    <cellStyle name="40% - 强调文字颜色 5 2 9 3" xfId="18705"/>
    <cellStyle name="40% - 强调文字颜色 5 2 9 3 2" xfId="18706"/>
    <cellStyle name="40% - 强调文字颜色 5 2 9 4" xfId="18707"/>
    <cellStyle name="40% - 强调文字颜色 5 2 9 4 2" xfId="18708"/>
    <cellStyle name="40% - 强调文字颜色 5 2 9 5" xfId="18709"/>
    <cellStyle name="40% - 强调文字颜色 5 3" xfId="18710"/>
    <cellStyle name="40% - 强调文字颜色 5 3 2" xfId="18711"/>
    <cellStyle name="40% - 强调文字颜色 5 3 2 2" xfId="18712"/>
    <cellStyle name="40% - 强调文字颜色 5 3 2 2 2" xfId="18713"/>
    <cellStyle name="40% - 强调文字颜色 5 3 2 2 2 2" xfId="18714"/>
    <cellStyle name="40% - 强调文字颜色 5 3 2 2 2 3" xfId="18715"/>
    <cellStyle name="40% - 强调文字颜色 5 3 2 2 2 3 2" xfId="18716"/>
    <cellStyle name="40% - 强调文字颜色 5 3 2 2 2 3 2 2" xfId="18717"/>
    <cellStyle name="40% - 强调文字颜色 5 3 2 2 2 4" xfId="18718"/>
    <cellStyle name="40% - 强调文字颜色 5 3 2 2 2 4 2" xfId="18719"/>
    <cellStyle name="40% - 强调文字颜色 5 3 2 2 2 5" xfId="18720"/>
    <cellStyle name="40% - 强调文字颜色 5 3 2 2 2 5 2" xfId="18721"/>
    <cellStyle name="40% - 强调文字颜色 5 3 2 2 2 6" xfId="18722"/>
    <cellStyle name="40% - 强调文字颜色 5 3 2 2 3" xfId="18723"/>
    <cellStyle name="40% - 强调文字颜色 5 3 2 2 3 2" xfId="18724"/>
    <cellStyle name="40% - 强调文字颜色 5 3 2 2 3 2 2" xfId="18725"/>
    <cellStyle name="40% - 强调文字颜色 5 3 2 2 3 2 2 2" xfId="18726"/>
    <cellStyle name="40% - 强调文字颜色 5 3 2 2 3 3" xfId="18727"/>
    <cellStyle name="40% - 强调文字颜色 5 3 2 2 3 3 2" xfId="18728"/>
    <cellStyle name="40% - 强调文字颜色 5 3 2 2 3 4" xfId="18729"/>
    <cellStyle name="40% - 强调文字颜色 5 3 2 2 3 4 2" xfId="18730"/>
    <cellStyle name="40% - 强调文字颜色 5 3 2 2 3 5" xfId="18731"/>
    <cellStyle name="40% - 强调文字颜色 5 3 2 2 4" xfId="18732"/>
    <cellStyle name="40% - 强调文字颜色 5 3 2 2 5" xfId="18733"/>
    <cellStyle name="40% - 强调文字颜色 5 3 2 2 6" xfId="18734"/>
    <cellStyle name="40% - 强调文字颜色 5 3 2 2 6 2" xfId="18735"/>
    <cellStyle name="40% - 强调文字颜色 5 3 2 2 7" xfId="18736"/>
    <cellStyle name="40% - 强调文字颜色 5 3 2 2 7 2" xfId="18737"/>
    <cellStyle name="40% - 强调文字颜色 5 3 2 3" xfId="18738"/>
    <cellStyle name="40% - 强调文字颜色 5 3 2 3 2" xfId="18739"/>
    <cellStyle name="40% - 强调文字颜色 5 3 2 3 3" xfId="18740"/>
    <cellStyle name="40% - 强调文字颜色 5 3 2 3 3 2" xfId="18741"/>
    <cellStyle name="40% - 强调文字颜色 5 3 2 3 3 2 2" xfId="18742"/>
    <cellStyle name="40% - 强调文字颜色 5 3 2 3 4" xfId="18743"/>
    <cellStyle name="40% - 强调文字颜色 5 3 2 3 4 2" xfId="18744"/>
    <cellStyle name="40% - 强调文字颜色 5 3 2 3 5" xfId="18745"/>
    <cellStyle name="40% - 强调文字颜色 5 3 2 3 5 2" xfId="18746"/>
    <cellStyle name="40% - 强调文字颜色 5 3 2 3 6" xfId="18747"/>
    <cellStyle name="40% - 强调文字颜色 5 3 2 4" xfId="18748"/>
    <cellStyle name="40% - 强调文字颜色 5 3 2 4 2" xfId="18749"/>
    <cellStyle name="40% - 强调文字颜色 5 3 2 4 2 2" xfId="18750"/>
    <cellStyle name="40% - 强调文字颜色 5 3 2 4 2 2 2" xfId="18751"/>
    <cellStyle name="40% - 强调文字颜色 5 3 2 4 3" xfId="18752"/>
    <cellStyle name="40% - 强调文字颜色 5 3 2 4 3 2" xfId="18753"/>
    <cellStyle name="40% - 强调文字颜色 5 3 2 4 4" xfId="18754"/>
    <cellStyle name="40% - 强调文字颜色 5 3 2 4 4 2" xfId="18755"/>
    <cellStyle name="40% - 强调文字颜色 5 3 2 4 5" xfId="18756"/>
    <cellStyle name="40% - 强调文字颜色 5 3 2 5" xfId="18757"/>
    <cellStyle name="40% - 强调文字颜色 5 3 2 6" xfId="18758"/>
    <cellStyle name="40% - 强调文字颜色 5 3 2 7" xfId="18759"/>
    <cellStyle name="40% - 强调文字颜色 5 3 2 7 2" xfId="18760"/>
    <cellStyle name="40% - 强调文字颜色 5 3 2 8" xfId="18761"/>
    <cellStyle name="40% - 强调文字颜色 5 3 2 8 2" xfId="18762"/>
    <cellStyle name="40% - 强调文字颜色 5 3 3" xfId="18763"/>
    <cellStyle name="40% - 强调文字颜色 5 3 3 2" xfId="18764"/>
    <cellStyle name="40% - 强调文字颜色 5 3 3 2 2" xfId="18765"/>
    <cellStyle name="40% - 强调文字颜色 5 3 3 2 3" xfId="18766"/>
    <cellStyle name="40% - 强调文字颜色 5 3 3 2 3 2" xfId="18767"/>
    <cellStyle name="40% - 强调文字颜色 5 3 3 2 3 2 2" xfId="18768"/>
    <cellStyle name="40% - 强调文字颜色 5 3 3 2 4" xfId="18769"/>
    <cellStyle name="40% - 强调文字颜色 5 3 3 2 4 2" xfId="18770"/>
    <cellStyle name="40% - 强调文字颜色 5 3 3 2 5" xfId="18771"/>
    <cellStyle name="40% - 强调文字颜色 5 3 3 2 5 2" xfId="18772"/>
    <cellStyle name="40% - 强调文字颜色 5 3 3 2 6" xfId="18773"/>
    <cellStyle name="40% - 强调文字颜色 5 3 3 3" xfId="18774"/>
    <cellStyle name="40% - 强调文字颜色 5 3 3 3 2" xfId="18775"/>
    <cellStyle name="40% - 强调文字颜色 5 3 3 3 2 2" xfId="18776"/>
    <cellStyle name="40% - 强调文字颜色 5 3 3 3 2 2 2" xfId="18777"/>
    <cellStyle name="40% - 强调文字颜色 5 3 3 3 3" xfId="18778"/>
    <cellStyle name="40% - 强调文字颜色 5 3 3 3 3 2" xfId="18779"/>
    <cellStyle name="40% - 强调文字颜色 5 3 3 3 4" xfId="18780"/>
    <cellStyle name="40% - 强调文字颜色 5 3 3 3 4 2" xfId="18781"/>
    <cellStyle name="40% - 强调文字颜色 5 3 3 3 5" xfId="18782"/>
    <cellStyle name="40% - 强调文字颜色 5 3 3 4" xfId="18783"/>
    <cellStyle name="40% - 强调文字颜色 5 3 3 5" xfId="18784"/>
    <cellStyle name="40% - 强调文字颜色 5 3 3 6" xfId="18785"/>
    <cellStyle name="40% - 强调文字颜色 5 3 3 6 2" xfId="18786"/>
    <cellStyle name="40% - 强调文字颜色 5 3 3 7" xfId="18787"/>
    <cellStyle name="40% - 强调文字颜色 5 3 3 7 2" xfId="18788"/>
    <cellStyle name="40% - 强调文字颜色 5 3 4" xfId="18789"/>
    <cellStyle name="40% - 强调文字颜色 5 3 4 2" xfId="18790"/>
    <cellStyle name="40% - 强调文字颜色 5 3 4 2 2" xfId="18791"/>
    <cellStyle name="40% - 强调文字颜色 5 3 4 2 3" xfId="18792"/>
    <cellStyle name="40% - 强调文字颜色 5 3 4 2 3 2" xfId="18793"/>
    <cellStyle name="40% - 强调文字颜色 5 3 4 2 3 2 2" xfId="18794"/>
    <cellStyle name="40% - 强调文字颜色 5 3 4 2 4" xfId="18795"/>
    <cellStyle name="40% - 强调文字颜色 5 3 4 2 4 2" xfId="18796"/>
    <cellStyle name="40% - 强调文字颜色 5 3 4 2 5" xfId="18797"/>
    <cellStyle name="40% - 强调文字颜色 5 3 4 2 5 2" xfId="18798"/>
    <cellStyle name="40% - 强调文字颜色 5 3 4 2 6" xfId="18799"/>
    <cellStyle name="40% - 强调文字颜色 5 3 4 3" xfId="18800"/>
    <cellStyle name="40% - 强调文字颜色 5 3 4 4" xfId="18801"/>
    <cellStyle name="40% - 强调文字颜色 5 3 4 5" xfId="18802"/>
    <cellStyle name="40% - 强调文字颜色 5 3 4 6" xfId="18803"/>
    <cellStyle name="40% - 强调文字颜色 5 3 4 6 2" xfId="18804"/>
    <cellStyle name="40% - 强调文字颜色 5 3 4 7" xfId="18805"/>
    <cellStyle name="40% - 强调文字颜色 5 3 4 7 2" xfId="18806"/>
    <cellStyle name="40% - 强调文字颜色 5 3 5" xfId="18807"/>
    <cellStyle name="40% - 强调文字颜色 5 3 5 2" xfId="18808"/>
    <cellStyle name="40% - 强调文字颜色 5 3 5 2 2" xfId="18809"/>
    <cellStyle name="40% - 强调文字颜色 5 3 5 2 2 2" xfId="18810"/>
    <cellStyle name="40% - 强调文字颜色 5 3 5 2 2 2 2" xfId="18811"/>
    <cellStyle name="40% - 强调文字颜色 5 3 5 2 3" xfId="18812"/>
    <cellStyle name="40% - 强调文字颜色 5 3 5 2 3 2" xfId="18813"/>
    <cellStyle name="40% - 强调文字颜色 5 3 5 2 4" xfId="18814"/>
    <cellStyle name="40% - 强调文字颜色 5 3 5 2 4 2" xfId="18815"/>
    <cellStyle name="40% - 强调文字颜色 5 3 5 2 5" xfId="18816"/>
    <cellStyle name="40% - 强调文字颜色 5 3 5 3" xfId="18817"/>
    <cellStyle name="40% - 强调文字颜色 5 3 5 3 2" xfId="18818"/>
    <cellStyle name="40% - 强调文字颜色 5 3 5 3 2 2" xfId="18819"/>
    <cellStyle name="40% - 强调文字颜色 5 3 5 4" xfId="18820"/>
    <cellStyle name="40% - 强调文字颜色 5 3 5 4 2" xfId="18821"/>
    <cellStyle name="40% - 强调文字颜色 5 3 5 5" xfId="18822"/>
    <cellStyle name="40% - 强调文字颜色 5 3 5 5 2" xfId="18823"/>
    <cellStyle name="40% - 强调文字颜色 5 3 5 6" xfId="18824"/>
    <cellStyle name="40% - 强调文字颜色 5 3 6" xfId="18825"/>
    <cellStyle name="40% - 强调文字颜色 5 3 6 2" xfId="18826"/>
    <cellStyle name="40% - 强调文字颜色 5 3 6 2 2" xfId="18827"/>
    <cellStyle name="40% - 强调文字颜色 5 3 6 2 2 2" xfId="18828"/>
    <cellStyle name="40% - 强调文字颜色 5 3 6 3" xfId="18829"/>
    <cellStyle name="40% - 强调文字颜色 5 3 6 3 2" xfId="18830"/>
    <cellStyle name="40% - 强调文字颜色 5 3 6 4" xfId="18831"/>
    <cellStyle name="40% - 强调文字颜色 5 3 6 4 2" xfId="18832"/>
    <cellStyle name="40% - 强调文字颜色 5 3 6 5" xfId="18833"/>
    <cellStyle name="40% - 强调文字颜色 5 3 7" xfId="18834"/>
    <cellStyle name="40% - 强调文字颜色 5 3 8" xfId="18835"/>
    <cellStyle name="40% - 强调文字颜色 5 3 8 2" xfId="18836"/>
    <cellStyle name="40% - 强调文字颜色 5 3 9" xfId="18837"/>
    <cellStyle name="40% - 强调文字颜色 5 3 9 2" xfId="18838"/>
    <cellStyle name="40% - 强调文字颜色 6 2" xfId="18839"/>
    <cellStyle name="40% - 强调文字颜色 6 2 10" xfId="18840"/>
    <cellStyle name="40% - 强调文字颜色 6 2 11" xfId="18841"/>
    <cellStyle name="40% - 强调文字颜色 6 2 11 2" xfId="18842"/>
    <cellStyle name="40% - 强调文字颜色 6 2 12" xfId="18843"/>
    <cellStyle name="40% - 强调文字颜色 6 2 12 2" xfId="18844"/>
    <cellStyle name="40% - 强调文字颜色 6 2 2" xfId="18845"/>
    <cellStyle name="40% - 强调文字颜色 6 2 2 10" xfId="18846"/>
    <cellStyle name="40% - 强调文字颜色 6 2 2 11" xfId="18847"/>
    <cellStyle name="40% - 强调文字颜色 6 2 2 11 2" xfId="18848"/>
    <cellStyle name="40% - 强调文字颜色 6 2 2 12" xfId="18849"/>
    <cellStyle name="40% - 强调文字颜色 6 2 2 12 2" xfId="18850"/>
    <cellStyle name="40% - 强调文字颜色 6 2 2 2" xfId="18851"/>
    <cellStyle name="40% - 强调文字颜色 6 2 2 2 2" xfId="18852"/>
    <cellStyle name="40% - 强调文字颜色 6 2 2 2 2 2" xfId="18853"/>
    <cellStyle name="40% - 强调文字颜色 6 2 2 2 2 2 2" xfId="18854"/>
    <cellStyle name="40% - 强调文字颜色 6 2 2 2 2 2 3" xfId="18855"/>
    <cellStyle name="40% - 强调文字颜色 6 2 2 2 2 2 3 2" xfId="18856"/>
    <cellStyle name="40% - 强调文字颜色 6 2 2 2 2 2 3 2 2" xfId="18857"/>
    <cellStyle name="40% - 强调文字颜色 6 2 2 2 2 2 4" xfId="18858"/>
    <cellStyle name="40% - 强调文字颜色 6 2 2 2 2 2 4 2" xfId="18859"/>
    <cellStyle name="40% - 强调文字颜色 6 2 2 2 2 2 5" xfId="18860"/>
    <cellStyle name="40% - 强调文字颜色 6 2 2 2 2 2 5 2" xfId="18861"/>
    <cellStyle name="40% - 强调文字颜色 6 2 2 2 2 2 6" xfId="18862"/>
    <cellStyle name="40% - 强调文字颜色 6 2 2 2 2 3" xfId="18863"/>
    <cellStyle name="40% - 强调文字颜色 6 2 2 2 2 3 2" xfId="18864"/>
    <cellStyle name="40% - 强调文字颜色 6 2 2 2 2 3 2 2" xfId="18865"/>
    <cellStyle name="40% - 强调文字颜色 6 2 2 2 2 3 2 2 2" xfId="18866"/>
    <cellStyle name="40% - 强调文字颜色 6 2 2 2 2 3 3" xfId="18867"/>
    <cellStyle name="40% - 强调文字颜色 6 2 2 2 2 3 3 2" xfId="18868"/>
    <cellStyle name="40% - 强调文字颜色 6 2 2 2 2 3 4" xfId="18869"/>
    <cellStyle name="40% - 强调文字颜色 6 2 2 2 2 3 4 2" xfId="18870"/>
    <cellStyle name="40% - 强调文字颜色 6 2 2 2 2 3 5" xfId="18871"/>
    <cellStyle name="40% - 强调文字颜色 6 2 2 2 2 4" xfId="18872"/>
    <cellStyle name="40% - 强调文字颜色 6 2 2 2 2 5" xfId="18873"/>
    <cellStyle name="40% - 强调文字颜色 6 2 2 2 2 6" xfId="18874"/>
    <cellStyle name="40% - 强调文字颜色 6 2 2 2 2 6 2" xfId="18875"/>
    <cellStyle name="40% - 强调文字颜色 6 2 2 2 2 7" xfId="18876"/>
    <cellStyle name="40% - 强调文字颜色 6 2 2 2 2 7 2" xfId="18877"/>
    <cellStyle name="40% - 强调文字颜色 6 2 2 2 3" xfId="18878"/>
    <cellStyle name="40% - 强调文字颜色 6 2 2 2 3 2" xfId="18879"/>
    <cellStyle name="40% - 强调文字颜色 6 2 2 2 3 3" xfId="18880"/>
    <cellStyle name="40% - 强调文字颜色 6 2 2 2 3 3 2" xfId="18881"/>
    <cellStyle name="40% - 强调文字颜色 6 2 2 2 3 3 2 2" xfId="18882"/>
    <cellStyle name="40% - 强调文字颜色 6 2 2 2 3 4" xfId="18883"/>
    <cellStyle name="40% - 强调文字颜色 6 2 2 2 3 4 2" xfId="18884"/>
    <cellStyle name="40% - 强调文字颜色 6 2 2 2 3 5" xfId="18885"/>
    <cellStyle name="40% - 强调文字颜色 6 2 2 2 3 5 2" xfId="18886"/>
    <cellStyle name="40% - 强调文字颜色 6 2 2 2 3 6" xfId="18887"/>
    <cellStyle name="40% - 强调文字颜色 6 2 2 2 4" xfId="18888"/>
    <cellStyle name="40% - 强调文字颜色 6 2 2 2 4 2" xfId="18889"/>
    <cellStyle name="40% - 强调文字颜色 6 2 2 2 4 2 2" xfId="18890"/>
    <cellStyle name="40% - 强调文字颜色 6 2 2 2 4 2 2 2" xfId="18891"/>
    <cellStyle name="40% - 强调文字颜色 6 2 2 2 4 3" xfId="18892"/>
    <cellStyle name="40% - 强调文字颜色 6 2 2 2 4 3 2" xfId="18893"/>
    <cellStyle name="40% - 强调文字颜色 6 2 2 2 4 4" xfId="18894"/>
    <cellStyle name="40% - 强调文字颜色 6 2 2 2 4 4 2" xfId="18895"/>
    <cellStyle name="40% - 强调文字颜色 6 2 2 2 4 5" xfId="18896"/>
    <cellStyle name="40% - 强调文字颜色 6 2 2 2 5" xfId="18897"/>
    <cellStyle name="40% - 强调文字颜色 6 2 2 2 6" xfId="18898"/>
    <cellStyle name="40% - 强调文字颜色 6 2 2 2 7" xfId="18899"/>
    <cellStyle name="40% - 强调文字颜色 6 2 2 2 7 2" xfId="18900"/>
    <cellStyle name="40% - 强调文字颜色 6 2 2 2 8" xfId="18901"/>
    <cellStyle name="40% - 强调文字颜色 6 2 2 2 8 2" xfId="18902"/>
    <cellStyle name="40% - 强调文字颜色 6 2 2 3" xfId="18903"/>
    <cellStyle name="40% - 强调文字颜色 6 2 2 3 2" xfId="18904"/>
    <cellStyle name="40% - 强调文字颜色 6 2 2 3 2 2" xfId="18905"/>
    <cellStyle name="40% - 强调文字颜色 6 2 2 3 2 3" xfId="18906"/>
    <cellStyle name="40% - 强调文字颜色 6 2 2 3 2 3 2" xfId="18907"/>
    <cellStyle name="40% - 强调文字颜色 6 2 2 3 2 3 2 2" xfId="18908"/>
    <cellStyle name="40% - 强调文字颜色 6 2 2 3 2 4" xfId="18909"/>
    <cellStyle name="40% - 强调文字颜色 6 2 2 3 2 4 2" xfId="18910"/>
    <cellStyle name="40% - 强调文字颜色 6 2 2 3 2 5" xfId="18911"/>
    <cellStyle name="40% - 强调文字颜色 6 2 2 3 2 5 2" xfId="18912"/>
    <cellStyle name="40% - 强调文字颜色 6 2 2 3 2 6" xfId="18913"/>
    <cellStyle name="40% - 强调文字颜色 6 2 2 3 3" xfId="18914"/>
    <cellStyle name="40% - 强调文字颜色 6 2 2 3 3 2" xfId="18915"/>
    <cellStyle name="40% - 强调文字颜色 6 2 2 3 3 2 2" xfId="18916"/>
    <cellStyle name="40% - 强调文字颜色 6 2 2 3 3 2 2 2" xfId="18917"/>
    <cellStyle name="40% - 强调文字颜色 6 2 2 3 3 3" xfId="18918"/>
    <cellStyle name="40% - 强调文字颜色 6 2 2 3 3 3 2" xfId="18919"/>
    <cellStyle name="40% - 强调文字颜色 6 2 2 3 3 4" xfId="18920"/>
    <cellStyle name="40% - 强调文字颜色 6 2 2 3 3 4 2" xfId="18921"/>
    <cellStyle name="40% - 强调文字颜色 6 2 2 3 3 5" xfId="18922"/>
    <cellStyle name="40% - 强调文字颜色 6 2 2 3 4" xfId="18923"/>
    <cellStyle name="40% - 强调文字颜色 6 2 2 3 5" xfId="18924"/>
    <cellStyle name="40% - 强调文字颜色 6 2 2 3 6" xfId="18925"/>
    <cellStyle name="40% - 强调文字颜色 6 2 2 3 6 2" xfId="18926"/>
    <cellStyle name="40% - 强调文字颜色 6 2 2 3 7" xfId="18927"/>
    <cellStyle name="40% - 强调文字颜色 6 2 2 3 7 2" xfId="18928"/>
    <cellStyle name="40% - 强调文字颜色 6 2 2 4" xfId="18929"/>
    <cellStyle name="40% - 强调文字颜色 6 2 2 4 2" xfId="18930"/>
    <cellStyle name="40% - 强调文字颜色 6 2 2 4 2 2" xfId="18931"/>
    <cellStyle name="40% - 强调文字颜色 6 2 2 4 2 3" xfId="18932"/>
    <cellStyle name="40% - 强调文字颜色 6 2 2 4 2 3 2" xfId="18933"/>
    <cellStyle name="40% - 强调文字颜色 6 2 2 4 2 3 2 2" xfId="18934"/>
    <cellStyle name="40% - 强调文字颜色 6 2 2 4 2 4" xfId="18935"/>
    <cellStyle name="40% - 强调文字颜色 6 2 2 4 2 4 2" xfId="18936"/>
    <cellStyle name="40% - 强调文字颜色 6 2 2 4 2 5" xfId="18937"/>
    <cellStyle name="40% - 强调文字颜色 6 2 2 4 2 5 2" xfId="18938"/>
    <cellStyle name="40% - 强调文字颜色 6 2 2 4 2 6" xfId="18939"/>
    <cellStyle name="40% - 强调文字颜色 6 2 2 4 3" xfId="18940"/>
    <cellStyle name="40% - 强调文字颜色 6 2 2 4 4" xfId="18941"/>
    <cellStyle name="40% - 强调文字颜色 6 2 2 4 5" xfId="18942"/>
    <cellStyle name="40% - 强调文字颜色 6 2 2 4 6" xfId="18943"/>
    <cellStyle name="40% - 强调文字颜色 6 2 2 4 6 2" xfId="18944"/>
    <cellStyle name="40% - 强调文字颜色 6 2 2 4 7" xfId="18945"/>
    <cellStyle name="40% - 强调文字颜色 6 2 2 4 7 2" xfId="18946"/>
    <cellStyle name="40% - 强调文字颜色 6 2 2 5" xfId="18947"/>
    <cellStyle name="40% - 强调文字颜色 6 2 2 5 2" xfId="18948"/>
    <cellStyle name="40% - 强调文字颜色 6 2 2 5 2 2" xfId="18949"/>
    <cellStyle name="40% - 强调文字颜色 6 2 2 5 2 2 2" xfId="18950"/>
    <cellStyle name="40% - 强调文字颜色 6 2 2 5 2 2 2 2" xfId="18951"/>
    <cellStyle name="40% - 强调文字颜色 6 2 2 5 2 3" xfId="18952"/>
    <cellStyle name="40% - 强调文字颜色 6 2 2 5 2 3 2" xfId="18953"/>
    <cellStyle name="40% - 强调文字颜色 6 2 2 5 2 4" xfId="18954"/>
    <cellStyle name="40% - 强调文字颜色 6 2 2 5 2 4 2" xfId="18955"/>
    <cellStyle name="40% - 强调文字颜色 6 2 2 5 2 5" xfId="18956"/>
    <cellStyle name="40% - 强调文字颜色 6 2 2 5 3" xfId="18957"/>
    <cellStyle name="40% - 强调文字颜色 6 2 2 5 3 2" xfId="18958"/>
    <cellStyle name="40% - 强调文字颜色 6 2 2 5 3 2 2" xfId="18959"/>
    <cellStyle name="40% - 强调文字颜色 6 2 2 5 4" xfId="18960"/>
    <cellStyle name="40% - 强调文字颜色 6 2 2 5 4 2" xfId="18961"/>
    <cellStyle name="40% - 强调文字颜色 6 2 2 5 5" xfId="18962"/>
    <cellStyle name="40% - 强调文字颜色 6 2 2 5 5 2" xfId="18963"/>
    <cellStyle name="40% - 强调文字颜色 6 2 2 5 6" xfId="18964"/>
    <cellStyle name="40% - 强调文字颜色 6 2 2 6" xfId="18965"/>
    <cellStyle name="40% - 强调文字颜色 6 2 2 6 2" xfId="18966"/>
    <cellStyle name="40% - 强调文字颜色 6 2 2 6 2 2" xfId="18967"/>
    <cellStyle name="40% - 强调文字颜色 6 2 2 6 2 2 2" xfId="18968"/>
    <cellStyle name="40% - 强调文字颜色 6 2 2 6 2 2 2 2" xfId="18969"/>
    <cellStyle name="40% - 强调文字颜色 6 2 2 6 2 3" xfId="18970"/>
    <cellStyle name="40% - 强调文字颜色 6 2 2 6 2 3 2" xfId="18971"/>
    <cellStyle name="40% - 强调文字颜色 6 2 2 6 2 4" xfId="18972"/>
    <cellStyle name="40% - 强调文字颜色 6 2 2 6 2 4 2" xfId="18973"/>
    <cellStyle name="40% - 强调文字颜色 6 2 2 6 2 5" xfId="18974"/>
    <cellStyle name="40% - 强调文字颜色 6 2 2 6 3" xfId="18975"/>
    <cellStyle name="40% - 强调文字颜色 6 2 2 6 3 2" xfId="18976"/>
    <cellStyle name="40% - 强调文字颜色 6 2 2 6 3 2 2" xfId="18977"/>
    <cellStyle name="40% - 强调文字颜色 6 2 2 6 4" xfId="18978"/>
    <cellStyle name="40% - 强调文字颜色 6 2 2 6 4 2" xfId="18979"/>
    <cellStyle name="40% - 强调文字颜色 6 2 2 6 5" xfId="18980"/>
    <cellStyle name="40% - 强调文字颜色 6 2 2 6 5 2" xfId="18981"/>
    <cellStyle name="40% - 强调文字颜色 6 2 2 6 6" xfId="18982"/>
    <cellStyle name="40% - 强调文字颜色 6 2 2 7" xfId="18983"/>
    <cellStyle name="40% - 强调文字颜色 6 2 2 7 2" xfId="18984"/>
    <cellStyle name="40% - 强调文字颜色 6 2 2 7 2 2" xfId="18985"/>
    <cellStyle name="40% - 强调文字颜色 6 2 2 7 2 2 2" xfId="18986"/>
    <cellStyle name="40% - 强调文字颜色 6 2 2 7 2 2 2 2" xfId="18987"/>
    <cellStyle name="40% - 强调文字颜色 6 2 2 7 2 3" xfId="18988"/>
    <cellStyle name="40% - 强调文字颜色 6 2 2 7 2 3 2" xfId="18989"/>
    <cellStyle name="40% - 强调文字颜色 6 2 2 7 2 4" xfId="18990"/>
    <cellStyle name="40% - 强调文字颜色 6 2 2 7 2 4 2" xfId="18991"/>
    <cellStyle name="40% - 强调文字颜色 6 2 2 7 2 5" xfId="18992"/>
    <cellStyle name="40% - 强调文字颜色 6 2 2 7 3" xfId="18993"/>
    <cellStyle name="40% - 强调文字颜色 6 2 2 7 3 2" xfId="18994"/>
    <cellStyle name="40% - 强调文字颜色 6 2 2 7 3 2 2" xfId="18995"/>
    <cellStyle name="40% - 强调文字颜色 6 2 2 7 4" xfId="18996"/>
    <cellStyle name="40% - 强调文字颜色 6 2 2 7 4 2" xfId="18997"/>
    <cellStyle name="40% - 强调文字颜色 6 2 2 7 5" xfId="18998"/>
    <cellStyle name="40% - 强调文字颜色 6 2 2 7 5 2" xfId="18999"/>
    <cellStyle name="40% - 强调文字颜色 6 2 2 7 6" xfId="19000"/>
    <cellStyle name="40% - 强调文字颜色 6 2 2 8" xfId="19001"/>
    <cellStyle name="40% - 强调文字颜色 6 2 2 8 2" xfId="19002"/>
    <cellStyle name="40% - 强调文字颜色 6 2 2 8 2 2" xfId="19003"/>
    <cellStyle name="40% - 强调文字颜色 6 2 2 8 2 2 2" xfId="19004"/>
    <cellStyle name="40% - 强调文字颜色 6 2 2 8 3" xfId="19005"/>
    <cellStyle name="40% - 强调文字颜色 6 2 2 8 3 2" xfId="19006"/>
    <cellStyle name="40% - 强调文字颜色 6 2 2 8 4" xfId="19007"/>
    <cellStyle name="40% - 强调文字颜色 6 2 2 8 4 2" xfId="19008"/>
    <cellStyle name="40% - 强调文字颜色 6 2 2 8 5" xfId="19009"/>
    <cellStyle name="40% - 强调文字颜色 6 2 2 9" xfId="19010"/>
    <cellStyle name="40% - 强调文字颜色 6 2 2 9 2" xfId="19011"/>
    <cellStyle name="40% - 强调文字颜色 6 2 2 9 2 2" xfId="19012"/>
    <cellStyle name="40% - 强调文字颜色 6 2 2 9 2 2 2" xfId="19013"/>
    <cellStyle name="40% - 强调文字颜色 6 2 2 9 3" xfId="19014"/>
    <cellStyle name="40% - 强调文字颜色 6 2 2 9 3 2" xfId="19015"/>
    <cellStyle name="40% - 强调文字颜色 6 2 2 9 4" xfId="19016"/>
    <cellStyle name="40% - 强调文字颜色 6 2 2 9 4 2" xfId="19017"/>
    <cellStyle name="40% - 强调文字颜色 6 2 2 9 5" xfId="19018"/>
    <cellStyle name="40% - 强调文字颜色 6 2 3" xfId="19019"/>
    <cellStyle name="40% - 强调文字颜色 6 2 3 10" xfId="19020"/>
    <cellStyle name="40% - 强调文字颜色 6 2 3 10 2" xfId="19021"/>
    <cellStyle name="40% - 强调文字颜色 6 2 3 2" xfId="19022"/>
    <cellStyle name="40% - 强调文字颜色 6 2 3 2 2" xfId="19023"/>
    <cellStyle name="40% - 强调文字颜色 6 2 3 2 2 2" xfId="19024"/>
    <cellStyle name="40% - 强调文字颜色 6 2 3 2 2 2 2" xfId="19025"/>
    <cellStyle name="40% - 强调文字颜色 6 2 3 2 2 2 3" xfId="19026"/>
    <cellStyle name="40% - 强调文字颜色 6 2 3 2 2 2 3 2" xfId="19027"/>
    <cellStyle name="40% - 强调文字颜色 6 2 3 2 2 2 3 2 2" xfId="19028"/>
    <cellStyle name="40% - 强调文字颜色 6 2 3 2 2 2 4" xfId="19029"/>
    <cellStyle name="40% - 强调文字颜色 6 2 3 2 2 2 4 2" xfId="19030"/>
    <cellStyle name="40% - 强调文字颜色 6 2 3 2 2 2 5" xfId="19031"/>
    <cellStyle name="40% - 强调文字颜色 6 2 3 2 2 2 5 2" xfId="19032"/>
    <cellStyle name="40% - 强调文字颜色 6 2 3 2 2 2 6" xfId="19033"/>
    <cellStyle name="40% - 强调文字颜色 6 2 3 2 2 3" xfId="19034"/>
    <cellStyle name="40% - 强调文字颜色 6 2 3 2 2 3 2" xfId="19035"/>
    <cellStyle name="40% - 强调文字颜色 6 2 3 2 2 3 2 2" xfId="19036"/>
    <cellStyle name="40% - 强调文字颜色 6 2 3 2 2 3 2 2 2" xfId="19037"/>
    <cellStyle name="40% - 强调文字颜色 6 2 3 2 2 3 3" xfId="19038"/>
    <cellStyle name="40% - 强调文字颜色 6 2 3 2 2 3 3 2" xfId="19039"/>
    <cellStyle name="40% - 强调文字颜色 6 2 3 2 2 3 4" xfId="19040"/>
    <cellStyle name="40% - 强调文字颜色 6 2 3 2 2 3 4 2" xfId="19041"/>
    <cellStyle name="40% - 强调文字颜色 6 2 3 2 2 3 5" xfId="19042"/>
    <cellStyle name="40% - 强调文字颜色 6 2 3 2 2 4" xfId="19043"/>
    <cellStyle name="40% - 强调文字颜色 6 2 3 2 2 5" xfId="19044"/>
    <cellStyle name="40% - 强调文字颜色 6 2 3 2 2 6" xfId="19045"/>
    <cellStyle name="40% - 强调文字颜色 6 2 3 2 2 6 2" xfId="19046"/>
    <cellStyle name="40% - 强调文字颜色 6 2 3 2 2 7" xfId="19047"/>
    <cellStyle name="40% - 强调文字颜色 6 2 3 2 2 7 2" xfId="19048"/>
    <cellStyle name="40% - 强调文字颜色 6 2 3 2 3" xfId="19049"/>
    <cellStyle name="40% - 强调文字颜色 6 2 3 2 3 2" xfId="19050"/>
    <cellStyle name="40% - 强调文字颜色 6 2 3 2 3 3" xfId="19051"/>
    <cellStyle name="40% - 强调文字颜色 6 2 3 2 3 3 2" xfId="19052"/>
    <cellStyle name="40% - 强调文字颜色 6 2 3 2 3 3 2 2" xfId="19053"/>
    <cellStyle name="40% - 强调文字颜色 6 2 3 2 3 4" xfId="19054"/>
    <cellStyle name="40% - 强调文字颜色 6 2 3 2 3 4 2" xfId="19055"/>
    <cellStyle name="40% - 强调文字颜色 6 2 3 2 3 5" xfId="19056"/>
    <cellStyle name="40% - 强调文字颜色 6 2 3 2 3 5 2" xfId="19057"/>
    <cellStyle name="40% - 强调文字颜色 6 2 3 2 3 6" xfId="19058"/>
    <cellStyle name="40% - 强调文字颜色 6 2 3 2 4" xfId="19059"/>
    <cellStyle name="40% - 强调文字颜色 6 2 3 2 4 2" xfId="19060"/>
    <cellStyle name="40% - 强调文字颜色 6 2 3 2 4 2 2" xfId="19061"/>
    <cellStyle name="40% - 强调文字颜色 6 2 3 2 4 2 2 2" xfId="19062"/>
    <cellStyle name="40% - 强调文字颜色 6 2 3 2 4 3" xfId="19063"/>
    <cellStyle name="40% - 强调文字颜色 6 2 3 2 4 3 2" xfId="19064"/>
    <cellStyle name="40% - 强调文字颜色 6 2 3 2 4 4" xfId="19065"/>
    <cellStyle name="40% - 强调文字颜色 6 2 3 2 4 4 2" xfId="19066"/>
    <cellStyle name="40% - 强调文字颜色 6 2 3 2 4 5" xfId="19067"/>
    <cellStyle name="40% - 强调文字颜色 6 2 3 2 5" xfId="19068"/>
    <cellStyle name="40% - 强调文字颜色 6 2 3 2 6" xfId="19069"/>
    <cellStyle name="40% - 强调文字颜色 6 2 3 2 7" xfId="19070"/>
    <cellStyle name="40% - 强调文字颜色 6 2 3 2 7 2" xfId="19071"/>
    <cellStyle name="40% - 强调文字颜色 6 2 3 2 8" xfId="19072"/>
    <cellStyle name="40% - 强调文字颜色 6 2 3 2 8 2" xfId="19073"/>
    <cellStyle name="40% - 强调文字颜色 6 2 3 3" xfId="19074"/>
    <cellStyle name="40% - 强调文字颜色 6 2 3 3 2" xfId="19075"/>
    <cellStyle name="40% - 强调文字颜色 6 2 3 3 2 2" xfId="19076"/>
    <cellStyle name="40% - 强调文字颜色 6 2 3 3 2 3" xfId="19077"/>
    <cellStyle name="40% - 强调文字颜色 6 2 3 3 2 3 2" xfId="19078"/>
    <cellStyle name="40% - 强调文字颜色 6 2 3 3 2 3 2 2" xfId="19079"/>
    <cellStyle name="40% - 强调文字颜色 6 2 3 3 2 4" xfId="19080"/>
    <cellStyle name="40% - 强调文字颜色 6 2 3 3 2 4 2" xfId="19081"/>
    <cellStyle name="40% - 强调文字颜色 6 2 3 3 2 5" xfId="19082"/>
    <cellStyle name="40% - 强调文字颜色 6 2 3 3 2 5 2" xfId="19083"/>
    <cellStyle name="40% - 强调文字颜色 6 2 3 3 2 6" xfId="19084"/>
    <cellStyle name="40% - 强调文字颜色 6 2 3 3 3" xfId="19085"/>
    <cellStyle name="40% - 强调文字颜色 6 2 3 3 3 2" xfId="19086"/>
    <cellStyle name="40% - 强调文字颜色 6 2 3 3 3 2 2" xfId="19087"/>
    <cellStyle name="40% - 强调文字颜色 6 2 3 3 3 2 2 2" xfId="19088"/>
    <cellStyle name="40% - 强调文字颜色 6 2 3 3 3 3" xfId="19089"/>
    <cellStyle name="40% - 强调文字颜色 6 2 3 3 3 3 2" xfId="19090"/>
    <cellStyle name="40% - 强调文字颜色 6 2 3 3 3 4" xfId="19091"/>
    <cellStyle name="40% - 强调文字颜色 6 2 3 3 3 4 2" xfId="19092"/>
    <cellStyle name="40% - 强调文字颜色 6 2 3 3 3 5" xfId="19093"/>
    <cellStyle name="40% - 强调文字颜色 6 2 3 3 4" xfId="19094"/>
    <cellStyle name="40% - 强调文字颜色 6 2 3 3 5" xfId="19095"/>
    <cellStyle name="40% - 强调文字颜色 6 2 3 3 6" xfId="19096"/>
    <cellStyle name="40% - 强调文字颜色 6 2 3 3 6 2" xfId="19097"/>
    <cellStyle name="40% - 强调文字颜色 6 2 3 3 7" xfId="19098"/>
    <cellStyle name="40% - 强调文字颜色 6 2 3 3 7 2" xfId="19099"/>
    <cellStyle name="40% - 强调文字颜色 6 2 3 4" xfId="19100"/>
    <cellStyle name="40% - 强调文字颜色 6 2 3 4 2" xfId="19101"/>
    <cellStyle name="40% - 强调文字颜色 6 2 3 4 2 2" xfId="19102"/>
    <cellStyle name="40% - 强调文字颜色 6 2 3 4 2 3" xfId="19103"/>
    <cellStyle name="40% - 强调文字颜色 6 2 3 4 2 3 2" xfId="19104"/>
    <cellStyle name="40% - 强调文字颜色 6 2 3 4 2 3 2 2" xfId="19105"/>
    <cellStyle name="40% - 强调文字颜色 6 2 3 4 2 4" xfId="19106"/>
    <cellStyle name="40% - 强调文字颜色 6 2 3 4 2 4 2" xfId="19107"/>
    <cellStyle name="40% - 强调文字颜色 6 2 3 4 2 5" xfId="19108"/>
    <cellStyle name="40% - 强调文字颜色 6 2 3 4 2 5 2" xfId="19109"/>
    <cellStyle name="40% - 强调文字颜色 6 2 3 4 2 6" xfId="19110"/>
    <cellStyle name="40% - 强调文字颜色 6 2 3 4 3" xfId="19111"/>
    <cellStyle name="40% - 强调文字颜色 6 2 3 4 4" xfId="19112"/>
    <cellStyle name="40% - 强调文字颜色 6 2 3 4 5" xfId="19113"/>
    <cellStyle name="40% - 强调文字颜色 6 2 3 4 6" xfId="19114"/>
    <cellStyle name="40% - 强调文字颜色 6 2 3 4 6 2" xfId="19115"/>
    <cellStyle name="40% - 强调文字颜色 6 2 3 4 7" xfId="19116"/>
    <cellStyle name="40% - 强调文字颜色 6 2 3 4 7 2" xfId="19117"/>
    <cellStyle name="40% - 强调文字颜色 6 2 3 5" xfId="19118"/>
    <cellStyle name="40% - 强调文字颜色 6 2 3 5 2" xfId="19119"/>
    <cellStyle name="40% - 强调文字颜色 6 2 3 5 2 2" xfId="19120"/>
    <cellStyle name="40% - 强调文字颜色 6 2 3 5 2 2 2" xfId="19121"/>
    <cellStyle name="40% - 强调文字颜色 6 2 3 5 2 2 2 2" xfId="19122"/>
    <cellStyle name="40% - 强调文字颜色 6 2 3 5 2 3" xfId="19123"/>
    <cellStyle name="40% - 强调文字颜色 6 2 3 5 2 3 2" xfId="19124"/>
    <cellStyle name="40% - 强调文字颜色 6 2 3 5 2 4" xfId="19125"/>
    <cellStyle name="40% - 强调文字颜色 6 2 3 5 2 4 2" xfId="19126"/>
    <cellStyle name="40% - 强调文字颜色 6 2 3 5 2 5" xfId="19127"/>
    <cellStyle name="40% - 强调文字颜色 6 2 3 5 3" xfId="19128"/>
    <cellStyle name="40% - 强调文字颜色 6 2 3 5 3 2" xfId="19129"/>
    <cellStyle name="40% - 强调文字颜色 6 2 3 5 3 2 2" xfId="19130"/>
    <cellStyle name="40% - 强调文字颜色 6 2 3 5 4" xfId="19131"/>
    <cellStyle name="40% - 强调文字颜色 6 2 3 5 4 2" xfId="19132"/>
    <cellStyle name="40% - 强调文字颜色 6 2 3 5 5" xfId="19133"/>
    <cellStyle name="40% - 强调文字颜色 6 2 3 5 5 2" xfId="19134"/>
    <cellStyle name="40% - 强调文字颜色 6 2 3 5 6" xfId="19135"/>
    <cellStyle name="40% - 强调文字颜色 6 2 3 6" xfId="19136"/>
    <cellStyle name="40% - 强调文字颜色 6 2 3 6 2" xfId="19137"/>
    <cellStyle name="40% - 强调文字颜色 6 2 3 6 2 2" xfId="19138"/>
    <cellStyle name="40% - 强调文字颜色 6 2 3 6 2 2 2" xfId="19139"/>
    <cellStyle name="40% - 强调文字颜色 6 2 3 6 3" xfId="19140"/>
    <cellStyle name="40% - 强调文字颜色 6 2 3 6 3 2" xfId="19141"/>
    <cellStyle name="40% - 强调文字颜色 6 2 3 6 4" xfId="19142"/>
    <cellStyle name="40% - 强调文字颜色 6 2 3 6 4 2" xfId="19143"/>
    <cellStyle name="40% - 强调文字颜色 6 2 3 6 5" xfId="19144"/>
    <cellStyle name="40% - 强调文字颜色 6 2 3 7" xfId="19145"/>
    <cellStyle name="40% - 强调文字颜色 6 2 3 7 2" xfId="19146"/>
    <cellStyle name="40% - 强调文字颜色 6 2 3 7 2 2" xfId="19147"/>
    <cellStyle name="40% - 强调文字颜色 6 2 3 7 2 2 2" xfId="19148"/>
    <cellStyle name="40% - 强调文字颜色 6 2 3 7 3" xfId="19149"/>
    <cellStyle name="40% - 强调文字颜色 6 2 3 7 3 2" xfId="19150"/>
    <cellStyle name="40% - 强调文字颜色 6 2 3 7 4" xfId="19151"/>
    <cellStyle name="40% - 强调文字颜色 6 2 3 7 4 2" xfId="19152"/>
    <cellStyle name="40% - 强调文字颜色 6 2 3 7 5" xfId="19153"/>
    <cellStyle name="40% - 强调文字颜色 6 2 3 8" xfId="19154"/>
    <cellStyle name="40% - 强调文字颜色 6 2 3 9" xfId="19155"/>
    <cellStyle name="40% - 强调文字颜色 6 2 3 9 2" xfId="19156"/>
    <cellStyle name="40% - 强调文字颜色 6 2 4" xfId="19157"/>
    <cellStyle name="40% - 强调文字颜色 6 2 4 2" xfId="19158"/>
    <cellStyle name="40% - 强调文字颜色 6 2 4 2 2" xfId="19159"/>
    <cellStyle name="40% - 强调文字颜色 6 2 4 2 3" xfId="19160"/>
    <cellStyle name="40% - 强调文字颜色 6 2 4 2 3 2" xfId="19161"/>
    <cellStyle name="40% - 强调文字颜色 6 2 4 2 3 2 2" xfId="19162"/>
    <cellStyle name="40% - 强调文字颜色 6 2 4 2 4" xfId="19163"/>
    <cellStyle name="40% - 强调文字颜色 6 2 4 2 4 2" xfId="19164"/>
    <cellStyle name="40% - 强调文字颜色 6 2 4 2 5" xfId="19165"/>
    <cellStyle name="40% - 强调文字颜色 6 2 4 2 5 2" xfId="19166"/>
    <cellStyle name="40% - 强调文字颜色 6 2 4 2 6" xfId="19167"/>
    <cellStyle name="40% - 强调文字颜色 6 2 4 3" xfId="19168"/>
    <cellStyle name="40% - 强调文字颜色 6 2 4 3 2" xfId="19169"/>
    <cellStyle name="40% - 强调文字颜色 6 2 4 3 2 2" xfId="19170"/>
    <cellStyle name="40% - 强调文字颜色 6 2 4 3 2 2 2" xfId="19171"/>
    <cellStyle name="40% - 强调文字颜色 6 2 4 3 3" xfId="19172"/>
    <cellStyle name="40% - 强调文字颜色 6 2 4 3 3 2" xfId="19173"/>
    <cellStyle name="40% - 强调文字颜色 6 2 4 3 4" xfId="19174"/>
    <cellStyle name="40% - 强调文字颜色 6 2 4 3 4 2" xfId="19175"/>
    <cellStyle name="40% - 强调文字颜色 6 2 4 3 5" xfId="19176"/>
    <cellStyle name="40% - 强调文字颜色 6 2 4 4" xfId="19177"/>
    <cellStyle name="40% - 强调文字颜色 6 2 4 5" xfId="19178"/>
    <cellStyle name="40% - 强调文字颜色 6 2 4 6" xfId="19179"/>
    <cellStyle name="40% - 强调文字颜色 6 2 4 6 2" xfId="19180"/>
    <cellStyle name="40% - 强调文字颜色 6 2 4 7" xfId="19181"/>
    <cellStyle name="40% - 强调文字颜色 6 2 4 7 2" xfId="19182"/>
    <cellStyle name="40% - 强调文字颜色 6 2 5" xfId="19183"/>
    <cellStyle name="40% - 强调文字颜色 6 2 5 2" xfId="19184"/>
    <cellStyle name="40% - 强调文字颜色 6 2 5 2 2" xfId="19185"/>
    <cellStyle name="40% - 强调文字颜色 6 2 5 2 3" xfId="19186"/>
    <cellStyle name="40% - 强调文字颜色 6 2 5 2 3 2" xfId="19187"/>
    <cellStyle name="40% - 强调文字颜色 6 2 5 2 3 2 2" xfId="19188"/>
    <cellStyle name="40% - 强调文字颜色 6 2 5 2 4" xfId="19189"/>
    <cellStyle name="40% - 强调文字颜色 6 2 5 2 4 2" xfId="19190"/>
    <cellStyle name="40% - 强调文字颜色 6 2 5 2 5" xfId="19191"/>
    <cellStyle name="40% - 强调文字颜色 6 2 5 2 5 2" xfId="19192"/>
    <cellStyle name="40% - 强调文字颜色 6 2 5 2 6" xfId="19193"/>
    <cellStyle name="40% - 强调文字颜色 6 2 5 3" xfId="19194"/>
    <cellStyle name="40% - 强调文字颜色 6 2 5 4" xfId="19195"/>
    <cellStyle name="40% - 强调文字颜色 6 2 5 5" xfId="19196"/>
    <cellStyle name="40% - 强调文字颜色 6 2 5 6" xfId="19197"/>
    <cellStyle name="40% - 强调文字颜色 6 2 5 6 2" xfId="19198"/>
    <cellStyle name="40% - 强调文字颜色 6 2 5 7" xfId="19199"/>
    <cellStyle name="40% - 强调文字颜色 6 2 5 7 2" xfId="19200"/>
    <cellStyle name="40% - 强调文字颜色 6 2 6" xfId="19201"/>
    <cellStyle name="40% - 强调文字颜色 6 2 6 2" xfId="19202"/>
    <cellStyle name="40% - 强调文字颜色 6 2 6 2 2" xfId="19203"/>
    <cellStyle name="40% - 强调文字颜色 6 2 6 2 2 2" xfId="19204"/>
    <cellStyle name="40% - 强调文字颜色 6 2 6 2 2 2 2" xfId="19205"/>
    <cellStyle name="40% - 强调文字颜色 6 2 6 2 3" xfId="19206"/>
    <cellStyle name="40% - 强调文字颜色 6 2 6 2 3 2" xfId="19207"/>
    <cellStyle name="40% - 强调文字颜色 6 2 6 2 4" xfId="19208"/>
    <cellStyle name="40% - 强调文字颜色 6 2 6 2 4 2" xfId="19209"/>
    <cellStyle name="40% - 强调文字颜色 6 2 6 2 5" xfId="19210"/>
    <cellStyle name="40% - 强调文字颜色 6 2 6 3" xfId="19211"/>
    <cellStyle name="40% - 强调文字颜色 6 2 6 3 2" xfId="19212"/>
    <cellStyle name="40% - 强调文字颜色 6 2 6 3 2 2" xfId="19213"/>
    <cellStyle name="40% - 强调文字颜色 6 2 6 4" xfId="19214"/>
    <cellStyle name="40% - 强调文字颜色 6 2 6 4 2" xfId="19215"/>
    <cellStyle name="40% - 强调文字颜色 6 2 6 5" xfId="19216"/>
    <cellStyle name="40% - 强调文字颜色 6 2 6 5 2" xfId="19217"/>
    <cellStyle name="40% - 强调文字颜色 6 2 6 6" xfId="19218"/>
    <cellStyle name="40% - 强调文字颜色 6 2 7" xfId="19219"/>
    <cellStyle name="40% - 强调文字颜色 6 2 7 2" xfId="19220"/>
    <cellStyle name="40% - 强调文字颜色 6 2 7 2 2" xfId="19221"/>
    <cellStyle name="40% - 强调文字颜色 6 2 7 2 2 2" xfId="19222"/>
    <cellStyle name="40% - 强调文字颜色 6 2 7 2 2 2 2" xfId="19223"/>
    <cellStyle name="40% - 强调文字颜色 6 2 7 2 3" xfId="19224"/>
    <cellStyle name="40% - 强调文字颜色 6 2 7 2 3 2" xfId="19225"/>
    <cellStyle name="40% - 强调文字颜色 6 2 7 2 4" xfId="19226"/>
    <cellStyle name="40% - 强调文字颜色 6 2 7 2 4 2" xfId="19227"/>
    <cellStyle name="40% - 强调文字颜色 6 2 7 2 5" xfId="19228"/>
    <cellStyle name="40% - 强调文字颜色 6 2 7 3" xfId="19229"/>
    <cellStyle name="40% - 强调文字颜色 6 2 7 3 2" xfId="19230"/>
    <cellStyle name="40% - 强调文字颜色 6 2 7 3 2 2" xfId="19231"/>
    <cellStyle name="40% - 强调文字颜色 6 2 7 4" xfId="19232"/>
    <cellStyle name="40% - 强调文字颜色 6 2 7 4 2" xfId="19233"/>
    <cellStyle name="40% - 强调文字颜色 6 2 7 5" xfId="19234"/>
    <cellStyle name="40% - 强调文字颜色 6 2 7 5 2" xfId="19235"/>
    <cellStyle name="40% - 强调文字颜色 6 2 7 6" xfId="19236"/>
    <cellStyle name="40% - 强调文字颜色 6 2 8" xfId="19237"/>
    <cellStyle name="40% - 强调文字颜色 6 2 8 2" xfId="19238"/>
    <cellStyle name="40% - 强调文字颜色 6 2 8 2 2" xfId="19239"/>
    <cellStyle name="40% - 强调文字颜色 6 2 8 2 2 2" xfId="19240"/>
    <cellStyle name="40% - 强调文字颜色 6 2 8 2 2 2 2" xfId="19241"/>
    <cellStyle name="40% - 强调文字颜色 6 2 8 2 3" xfId="19242"/>
    <cellStyle name="40% - 强调文字颜色 6 2 8 2 3 2" xfId="19243"/>
    <cellStyle name="40% - 强调文字颜色 6 2 8 2 4" xfId="19244"/>
    <cellStyle name="40% - 强调文字颜色 6 2 8 2 4 2" xfId="19245"/>
    <cellStyle name="40% - 强调文字颜色 6 2 8 2 5" xfId="19246"/>
    <cellStyle name="40% - 强调文字颜色 6 2 8 3" xfId="19247"/>
    <cellStyle name="40% - 强调文字颜色 6 2 8 3 2" xfId="19248"/>
    <cellStyle name="40% - 强调文字颜色 6 2 8 3 2 2" xfId="19249"/>
    <cellStyle name="40% - 强调文字颜色 6 2 8 4" xfId="19250"/>
    <cellStyle name="40% - 强调文字颜色 6 2 8 4 2" xfId="19251"/>
    <cellStyle name="40% - 强调文字颜色 6 2 8 5" xfId="19252"/>
    <cellStyle name="40% - 强调文字颜色 6 2 8 5 2" xfId="19253"/>
    <cellStyle name="40% - 强调文字颜色 6 2 8 6" xfId="19254"/>
    <cellStyle name="40% - 强调文字颜色 6 2 9" xfId="19255"/>
    <cellStyle name="40% - 强调文字颜色 6 2 9 2" xfId="19256"/>
    <cellStyle name="40% - 强调文字颜色 6 2 9 2 2" xfId="19257"/>
    <cellStyle name="40% - 强调文字颜色 6 2 9 2 2 2" xfId="19258"/>
    <cellStyle name="40% - 强调文字颜色 6 2 9 3" xfId="19259"/>
    <cellStyle name="40% - 强调文字颜色 6 2 9 3 2" xfId="19260"/>
    <cellStyle name="40% - 强调文字颜色 6 2 9 4" xfId="19261"/>
    <cellStyle name="40% - 强调文字颜色 6 2 9 4 2" xfId="19262"/>
    <cellStyle name="40% - 强调文字颜色 6 2 9 5" xfId="19263"/>
    <cellStyle name="40% - 强调文字颜色 6 3" xfId="19264"/>
    <cellStyle name="40% - 强调文字颜色 6 3 2" xfId="19265"/>
    <cellStyle name="40% - 强调文字颜色 6 3 2 2" xfId="19266"/>
    <cellStyle name="40% - 强调文字颜色 6 3 2 2 2" xfId="19267"/>
    <cellStyle name="40% - 强调文字颜色 6 3 2 2 2 2" xfId="19268"/>
    <cellStyle name="40% - 强调文字颜色 6 3 2 2 2 3" xfId="19269"/>
    <cellStyle name="40% - 强调文字颜色 6 3 2 2 2 3 2" xfId="19270"/>
    <cellStyle name="40% - 强调文字颜色 6 3 2 2 2 3 2 2" xfId="19271"/>
    <cellStyle name="40% - 强调文字颜色 6 3 2 2 2 4" xfId="19272"/>
    <cellStyle name="40% - 强调文字颜色 6 3 2 2 2 4 2" xfId="19273"/>
    <cellStyle name="40% - 强调文字颜色 6 3 2 2 2 5" xfId="19274"/>
    <cellStyle name="40% - 强调文字颜色 6 3 2 2 2 5 2" xfId="19275"/>
    <cellStyle name="40% - 强调文字颜色 6 3 2 2 2 6" xfId="19276"/>
    <cellStyle name="40% - 强调文字颜色 6 3 2 2 3" xfId="19277"/>
    <cellStyle name="40% - 强调文字颜色 6 3 2 2 3 2" xfId="19278"/>
    <cellStyle name="40% - 强调文字颜色 6 3 2 2 3 2 2" xfId="19279"/>
    <cellStyle name="40% - 强调文字颜色 6 3 2 2 3 2 2 2" xfId="19280"/>
    <cellStyle name="40% - 强调文字颜色 6 3 2 2 3 3" xfId="19281"/>
    <cellStyle name="40% - 强调文字颜色 6 3 2 2 3 3 2" xfId="19282"/>
    <cellStyle name="40% - 强调文字颜色 6 3 2 2 3 4" xfId="19283"/>
    <cellStyle name="40% - 强调文字颜色 6 3 2 2 3 4 2" xfId="19284"/>
    <cellStyle name="40% - 强调文字颜色 6 3 2 2 3 5" xfId="19285"/>
    <cellStyle name="40% - 强调文字颜色 6 3 2 2 4" xfId="19286"/>
    <cellStyle name="40% - 强调文字颜色 6 3 2 2 5" xfId="19287"/>
    <cellStyle name="40% - 强调文字颜色 6 3 2 2 6" xfId="19288"/>
    <cellStyle name="40% - 强调文字颜色 6 3 2 2 6 2" xfId="19289"/>
    <cellStyle name="40% - 强调文字颜色 6 3 2 2 7" xfId="19290"/>
    <cellStyle name="40% - 强调文字颜色 6 3 2 2 7 2" xfId="19291"/>
    <cellStyle name="40% - 强调文字颜色 6 3 2 3" xfId="19292"/>
    <cellStyle name="40% - 强调文字颜色 6 3 2 3 2" xfId="19293"/>
    <cellStyle name="40% - 强调文字颜色 6 3 2 3 3" xfId="19294"/>
    <cellStyle name="40% - 强调文字颜色 6 3 2 3 3 2" xfId="19295"/>
    <cellStyle name="40% - 强调文字颜色 6 3 2 3 3 2 2" xfId="19296"/>
    <cellStyle name="40% - 强调文字颜色 6 3 2 3 4" xfId="19297"/>
    <cellStyle name="40% - 强调文字颜色 6 3 2 3 4 2" xfId="19298"/>
    <cellStyle name="40% - 强调文字颜色 6 3 2 3 5" xfId="19299"/>
    <cellStyle name="40% - 强调文字颜色 6 3 2 3 5 2" xfId="19300"/>
    <cellStyle name="40% - 强调文字颜色 6 3 2 3 6" xfId="19301"/>
    <cellStyle name="40% - 强调文字颜色 6 3 2 4" xfId="19302"/>
    <cellStyle name="40% - 强调文字颜色 6 3 2 4 2" xfId="19303"/>
    <cellStyle name="40% - 强调文字颜色 6 3 2 4 2 2" xfId="19304"/>
    <cellStyle name="40% - 强调文字颜色 6 3 2 4 2 2 2" xfId="19305"/>
    <cellStyle name="40% - 强调文字颜色 6 3 2 4 3" xfId="19306"/>
    <cellStyle name="40% - 强调文字颜色 6 3 2 4 3 2" xfId="19307"/>
    <cellStyle name="40% - 强调文字颜色 6 3 2 4 4" xfId="19308"/>
    <cellStyle name="40% - 强调文字颜色 6 3 2 4 4 2" xfId="19309"/>
    <cellStyle name="40% - 强调文字颜色 6 3 2 4 5" xfId="19310"/>
    <cellStyle name="40% - 强调文字颜色 6 3 2 5" xfId="19311"/>
    <cellStyle name="40% - 强调文字颜色 6 3 2 6" xfId="19312"/>
    <cellStyle name="40% - 强调文字颜色 6 3 2 7" xfId="19313"/>
    <cellStyle name="40% - 强调文字颜色 6 3 2 7 2" xfId="19314"/>
    <cellStyle name="40% - 强调文字颜色 6 3 2 8" xfId="19315"/>
    <cellStyle name="40% - 强调文字颜色 6 3 2 8 2" xfId="19316"/>
    <cellStyle name="40% - 强调文字颜色 6 3 3" xfId="19317"/>
    <cellStyle name="40% - 强调文字颜色 6 3 3 2" xfId="19318"/>
    <cellStyle name="40% - 强调文字颜色 6 3 3 2 2" xfId="19319"/>
    <cellStyle name="40% - 强调文字颜色 6 3 3 2 3" xfId="19320"/>
    <cellStyle name="40% - 强调文字颜色 6 3 3 2 3 2" xfId="19321"/>
    <cellStyle name="40% - 强调文字颜色 6 3 3 2 3 2 2" xfId="19322"/>
    <cellStyle name="40% - 强调文字颜色 6 3 3 2 4" xfId="19323"/>
    <cellStyle name="40% - 强调文字颜色 6 3 3 2 4 2" xfId="19324"/>
    <cellStyle name="40% - 强调文字颜色 6 3 3 2 5" xfId="19325"/>
    <cellStyle name="40% - 强调文字颜色 6 3 3 2 5 2" xfId="19326"/>
    <cellStyle name="40% - 强调文字颜色 6 3 3 2 6" xfId="19327"/>
    <cellStyle name="40% - 强调文字颜色 6 3 3 3" xfId="19328"/>
    <cellStyle name="40% - 强调文字颜色 6 3 3 3 2" xfId="19329"/>
    <cellStyle name="40% - 强调文字颜色 6 3 3 3 2 2" xfId="19330"/>
    <cellStyle name="40% - 强调文字颜色 6 3 3 3 2 2 2" xfId="19331"/>
    <cellStyle name="40% - 强调文字颜色 6 3 3 3 3" xfId="19332"/>
    <cellStyle name="40% - 强调文字颜色 6 3 3 3 3 2" xfId="19333"/>
    <cellStyle name="40% - 强调文字颜色 6 3 3 3 4" xfId="19334"/>
    <cellStyle name="40% - 强调文字颜色 6 3 3 3 4 2" xfId="19335"/>
    <cellStyle name="40% - 强调文字颜色 6 3 3 3 5" xfId="19336"/>
    <cellStyle name="40% - 强调文字颜色 6 3 3 4" xfId="19337"/>
    <cellStyle name="40% - 强调文字颜色 6 3 3 5" xfId="19338"/>
    <cellStyle name="40% - 强调文字颜色 6 3 3 6" xfId="19339"/>
    <cellStyle name="40% - 强调文字颜色 6 3 3 6 2" xfId="19340"/>
    <cellStyle name="40% - 强调文字颜色 6 3 3 7" xfId="19341"/>
    <cellStyle name="40% - 强调文字颜色 6 3 3 7 2" xfId="19342"/>
    <cellStyle name="40% - 强调文字颜色 6 3 4" xfId="19343"/>
    <cellStyle name="40% - 强调文字颜色 6 3 4 2" xfId="19344"/>
    <cellStyle name="40% - 强调文字颜色 6 3 4 2 2" xfId="19345"/>
    <cellStyle name="40% - 强调文字颜色 6 3 4 2 3" xfId="19346"/>
    <cellStyle name="40% - 强调文字颜色 6 3 4 2 3 2" xfId="19347"/>
    <cellStyle name="40% - 强调文字颜色 6 3 4 2 3 2 2" xfId="19348"/>
    <cellStyle name="40% - 强调文字颜色 6 3 4 2 4" xfId="19349"/>
    <cellStyle name="40% - 强调文字颜色 6 3 4 2 4 2" xfId="19350"/>
    <cellStyle name="40% - 强调文字颜色 6 3 4 2 5" xfId="19351"/>
    <cellStyle name="40% - 强调文字颜色 6 3 4 2 5 2" xfId="19352"/>
    <cellStyle name="40% - 强调文字颜色 6 3 4 2 6" xfId="19353"/>
    <cellStyle name="40% - 强调文字颜色 6 3 4 3" xfId="19354"/>
    <cellStyle name="40% - 强调文字颜色 6 3 4 4" xfId="19355"/>
    <cellStyle name="40% - 强调文字颜色 6 3 4 5" xfId="19356"/>
    <cellStyle name="40% - 强调文字颜色 6 3 4 6" xfId="19357"/>
    <cellStyle name="40% - 强调文字颜色 6 3 4 6 2" xfId="19358"/>
    <cellStyle name="40% - 强调文字颜色 6 3 4 7" xfId="19359"/>
    <cellStyle name="40% - 强调文字颜色 6 3 4 7 2" xfId="19360"/>
    <cellStyle name="40% - 强调文字颜色 6 3 5" xfId="19361"/>
    <cellStyle name="40% - 强调文字颜色 6 3 5 2" xfId="19362"/>
    <cellStyle name="40% - 强调文字颜色 6 3 5 2 2" xfId="19363"/>
    <cellStyle name="40% - 强调文字颜色 6 3 5 2 2 2" xfId="19364"/>
    <cellStyle name="40% - 强调文字颜色 6 3 5 2 2 2 2" xfId="19365"/>
    <cellStyle name="40% - 强调文字颜色 6 3 5 2 3" xfId="19366"/>
    <cellStyle name="40% - 强调文字颜色 6 3 5 2 3 2" xfId="19367"/>
    <cellStyle name="40% - 强调文字颜色 6 3 5 2 4" xfId="19368"/>
    <cellStyle name="40% - 强调文字颜色 6 3 5 2 4 2" xfId="19369"/>
    <cellStyle name="40% - 强调文字颜色 6 3 5 2 5" xfId="19370"/>
    <cellStyle name="40% - 强调文字颜色 6 3 5 3" xfId="19371"/>
    <cellStyle name="40% - 强调文字颜色 6 3 5 3 2" xfId="19372"/>
    <cellStyle name="40% - 强调文字颜色 6 3 5 3 2 2" xfId="19373"/>
    <cellStyle name="40% - 强调文字颜色 6 3 5 4" xfId="19374"/>
    <cellStyle name="40% - 强调文字颜色 6 3 5 4 2" xfId="19375"/>
    <cellStyle name="40% - 强调文字颜色 6 3 5 5" xfId="19376"/>
    <cellStyle name="40% - 强调文字颜色 6 3 5 5 2" xfId="19377"/>
    <cellStyle name="40% - 强调文字颜色 6 3 5 6" xfId="19378"/>
    <cellStyle name="40% - 强调文字颜色 6 3 6" xfId="19379"/>
    <cellStyle name="40% - 强调文字颜色 6 3 6 2" xfId="19380"/>
    <cellStyle name="40% - 强调文字颜色 6 3 6 2 2" xfId="19381"/>
    <cellStyle name="40% - 强调文字颜色 6 3 6 2 2 2" xfId="19382"/>
    <cellStyle name="40% - 强调文字颜色 6 3 6 3" xfId="19383"/>
    <cellStyle name="40% - 强调文字颜色 6 3 6 3 2" xfId="19384"/>
    <cellStyle name="40% - 强调文字颜色 6 3 6 4" xfId="19385"/>
    <cellStyle name="40% - 强调文字颜色 6 3 6 4 2" xfId="19386"/>
    <cellStyle name="40% - 强调文字颜色 6 3 6 5" xfId="19387"/>
    <cellStyle name="40% - 强调文字颜色 6 3 7" xfId="19388"/>
    <cellStyle name="40% - 强调文字颜色 6 3 8" xfId="19389"/>
    <cellStyle name="40% - 强调文字颜色 6 3 8 2" xfId="19390"/>
    <cellStyle name="40% - 强调文字颜色 6 3 9" xfId="19391"/>
    <cellStyle name="40% - 强调文字颜色 6 3 9 2" xfId="19392"/>
    <cellStyle name="60% - ?????? 1oft\Sh" xfId="19393"/>
    <cellStyle name="60% - ?????? 1oft\Sh 2" xfId="19394"/>
    <cellStyle name="60% - ?????? 1oft\Sh 3" xfId="19395"/>
    <cellStyle name="60% - ?????? 1oft\Sh 3 2" xfId="19396"/>
    <cellStyle name="60% - ?????? 1oft\Sh 4" xfId="19397"/>
    <cellStyle name="60% - ?????? 2oft\Sh" xfId="19398"/>
    <cellStyle name="60% - ?????? 2oft\Sh 2" xfId="19399"/>
    <cellStyle name="60% - ?????? 2oft\Sh 3" xfId="19400"/>
    <cellStyle name="60% - ?????? 2oft\Sh 3 2" xfId="19401"/>
    <cellStyle name="60% - ?????? 2oft\Sh 4" xfId="19402"/>
    <cellStyle name="60% - ?????? 3oft\Sh" xfId="19403"/>
    <cellStyle name="60% - ?????? 3oft\Sh 2" xfId="19404"/>
    <cellStyle name="60% - ?????? 3oft\Sh 3" xfId="19405"/>
    <cellStyle name="60% - ?????? 3oft\Sh 3 2" xfId="19406"/>
    <cellStyle name="60% - ?????? 3oft\Sh 4" xfId="19407"/>
    <cellStyle name="60% - ?????? 4oft\Sh" xfId="19408"/>
    <cellStyle name="60% - ?????? 4oft\Sh 2" xfId="19409"/>
    <cellStyle name="60% - ?????? 4oft\Sh 3" xfId="19410"/>
    <cellStyle name="60% - ?????? 4oft\Sh 3 2" xfId="19411"/>
    <cellStyle name="60% - ?????? 4oft\Sh 4" xfId="19412"/>
    <cellStyle name="60% - ?????? 5oft\Sh" xfId="19413"/>
    <cellStyle name="60% - ?????? 5oft\Sh 2" xfId="19414"/>
    <cellStyle name="60% - ?????? 5oft\Sh 3" xfId="19415"/>
    <cellStyle name="60% - ?????? 5oft\Sh 3 2" xfId="19416"/>
    <cellStyle name="60% - ?????? 5oft\Sh 4" xfId="19417"/>
    <cellStyle name="60% - ?????? 6oft\Sh" xfId="19418"/>
    <cellStyle name="60% - ?????? 6oft\Sh 2" xfId="19419"/>
    <cellStyle name="60% - ?????? 6oft\Sh 3" xfId="19420"/>
    <cellStyle name="60% - ?????? 6oft\Sh 3 2" xfId="19421"/>
    <cellStyle name="60% - ?????? 6oft\Sh 4" xfId="19422"/>
    <cellStyle name="60% - ???1nt6" xfId="19423"/>
    <cellStyle name="60% - ???1nt6 2" xfId="19424"/>
    <cellStyle name="60% - ???1nt6 3" xfId="19425"/>
    <cellStyle name="60% - ???1nt6 3 2" xfId="19426"/>
    <cellStyle name="60% - ???1nt6 4" xfId="19427"/>
    <cellStyle name="60% - ???2nt6" xfId="19428"/>
    <cellStyle name="60% - ???2nt6 2" xfId="19429"/>
    <cellStyle name="60% - ???2nt6 3" xfId="19430"/>
    <cellStyle name="60% - ???2nt6 3 2" xfId="19431"/>
    <cellStyle name="60% - ???2nt6 4" xfId="19432"/>
    <cellStyle name="60% - ???3nt6" xfId="19433"/>
    <cellStyle name="60% - ???3nt6 2" xfId="19434"/>
    <cellStyle name="60% - ???3nt6 3" xfId="19435"/>
    <cellStyle name="60% - ???3nt6 3 2" xfId="19436"/>
    <cellStyle name="60% - ???3nt6 4" xfId="19437"/>
    <cellStyle name="60% - ???4nt6" xfId="19438"/>
    <cellStyle name="60% - ???4nt6 2" xfId="19439"/>
    <cellStyle name="60% - ???4nt6 3" xfId="19440"/>
    <cellStyle name="60% - ???4nt6 3 2" xfId="19441"/>
    <cellStyle name="60% - ???4nt6 4" xfId="19442"/>
    <cellStyle name="60% - ???5nt6" xfId="19443"/>
    <cellStyle name="60% - ???5nt6 2" xfId="19444"/>
    <cellStyle name="60% - ???5nt6 3" xfId="19445"/>
    <cellStyle name="60% - ???5nt6 3 2" xfId="19446"/>
    <cellStyle name="60% - ???5nt6 4" xfId="19447"/>
    <cellStyle name="60% - ???6nt6" xfId="19448"/>
    <cellStyle name="60% - ???6nt6 2" xfId="19449"/>
    <cellStyle name="60% - ???6nt6 3" xfId="19450"/>
    <cellStyle name="60% - ???6nt6 3 2" xfId="19451"/>
    <cellStyle name="60% - ???6nt6 4" xfId="19452"/>
    <cellStyle name="60% - Accent1 2" xfId="19453"/>
    <cellStyle name="60% - Accent1 2 2" xfId="19454"/>
    <cellStyle name="60% - Accent1 2 3" xfId="19455"/>
    <cellStyle name="60% - Accent1 3" xfId="19456"/>
    <cellStyle name="60% - Accent1 3 2" xfId="19457"/>
    <cellStyle name="60% - Accent1 4" xfId="19458"/>
    <cellStyle name="60% - Accent1 5" xfId="19459"/>
    <cellStyle name="60% - Accent2 2" xfId="19460"/>
    <cellStyle name="60% - Accent2 2 2" xfId="19461"/>
    <cellStyle name="60% - Accent2 2 3" xfId="19462"/>
    <cellStyle name="60% - Accent2 3" xfId="19463"/>
    <cellStyle name="60% - Accent2 3 2" xfId="19464"/>
    <cellStyle name="60% - Accent2 4" xfId="19465"/>
    <cellStyle name="60% - Accent2 5" xfId="19466"/>
    <cellStyle name="60% - Accent3 2" xfId="19467"/>
    <cellStyle name="60% - Accent3 2 2" xfId="19468"/>
    <cellStyle name="60% - Accent3 2 3" xfId="19469"/>
    <cellStyle name="60% - Accent3 3" xfId="19470"/>
    <cellStyle name="60% - Accent3 3 2" xfId="19471"/>
    <cellStyle name="60% - Accent3 4" xfId="19472"/>
    <cellStyle name="60% - Accent3 5" xfId="19473"/>
    <cellStyle name="60% - Accent4 2" xfId="19474"/>
    <cellStyle name="60% - Accent4 2 2" xfId="19475"/>
    <cellStyle name="60% - Accent4 2 3" xfId="19476"/>
    <cellStyle name="60% - Accent4 3" xfId="19477"/>
    <cellStyle name="60% - Accent4 3 2" xfId="19478"/>
    <cellStyle name="60% - Accent4 4" xfId="19479"/>
    <cellStyle name="60% - Accent4 5" xfId="19480"/>
    <cellStyle name="60% - Accent5 2" xfId="19481"/>
    <cellStyle name="60% - Accent5 2 2" xfId="19482"/>
    <cellStyle name="60% - Accent5 2 3" xfId="19483"/>
    <cellStyle name="60% - Accent5 3" xfId="19484"/>
    <cellStyle name="60% - Accent5 3 2" xfId="19485"/>
    <cellStyle name="60% - Accent5 4" xfId="19486"/>
    <cellStyle name="60% - Accent5 5" xfId="19487"/>
    <cellStyle name="60% - Accent6 2" xfId="19488"/>
    <cellStyle name="60% - Accent6 2 2" xfId="19489"/>
    <cellStyle name="60% - Accent6 2 3" xfId="19490"/>
    <cellStyle name="60% - Accent6 3" xfId="19491"/>
    <cellStyle name="60% - Accent6 3 2" xfId="19492"/>
    <cellStyle name="60% - Accent6 4" xfId="19493"/>
    <cellStyle name="60% - Accent6 5" xfId="19494"/>
    <cellStyle name="60% — акцент1 2" xfId="19495"/>
    <cellStyle name="60% — акцент1 2 2" xfId="19496"/>
    <cellStyle name="60% — акцент1 2 2 2" xfId="19497"/>
    <cellStyle name="60% — акцент1 2 2 3" xfId="19498"/>
    <cellStyle name="60% — акцент1 2 2 4" xfId="19499"/>
    <cellStyle name="60% — акцент1 2 2 5" xfId="19500"/>
    <cellStyle name="60% — акцент1 2 2 6" xfId="19501"/>
    <cellStyle name="60% — акцент1 2 3" xfId="19502"/>
    <cellStyle name="60% — акцент1 2 4" xfId="19503"/>
    <cellStyle name="60% — акцент1 2 5" xfId="19504"/>
    <cellStyle name="60% — акцент1 2 6" xfId="19505"/>
    <cellStyle name="60% — акцент1 2 7" xfId="19506"/>
    <cellStyle name="60% — акцент1 2 8" xfId="19507"/>
    <cellStyle name="60% — акцент1 3" xfId="19508"/>
    <cellStyle name="60% — акцент1 3 2" xfId="19509"/>
    <cellStyle name="60% — акцент1 3 3" xfId="19510"/>
    <cellStyle name="60% — акцент1 3 4" xfId="19511"/>
    <cellStyle name="60% — акцент1 3 5" xfId="19512"/>
    <cellStyle name="60% — акцент1 3 6" xfId="19513"/>
    <cellStyle name="60% — акцент1 4" xfId="19514"/>
    <cellStyle name="60% — акцент1 5" xfId="19515"/>
    <cellStyle name="60% — акцент1 6" xfId="19516"/>
    <cellStyle name="60% — акцент2 2" xfId="19517"/>
    <cellStyle name="60% — акцент2 2 2" xfId="19518"/>
    <cellStyle name="60% — акцент2 2 2 2" xfId="19519"/>
    <cellStyle name="60% — акцент2 2 2 3" xfId="19520"/>
    <cellStyle name="60% — акцент2 2 2 4" xfId="19521"/>
    <cellStyle name="60% — акцент2 2 2 5" xfId="19522"/>
    <cellStyle name="60% — акцент2 2 2 6" xfId="19523"/>
    <cellStyle name="60% — акцент2 2 3" xfId="19524"/>
    <cellStyle name="60% — акцент2 2 4" xfId="19525"/>
    <cellStyle name="60% — акцент2 2 5" xfId="19526"/>
    <cellStyle name="60% — акцент2 2 6" xfId="19527"/>
    <cellStyle name="60% — акцент2 2 7" xfId="19528"/>
    <cellStyle name="60% — акцент2 2 8" xfId="19529"/>
    <cellStyle name="60% — акцент2 3" xfId="19530"/>
    <cellStyle name="60% — акцент2 3 2" xfId="19531"/>
    <cellStyle name="60% — акцент2 3 3" xfId="19532"/>
    <cellStyle name="60% — акцент2 3 4" xfId="19533"/>
    <cellStyle name="60% — акцент2 3 5" xfId="19534"/>
    <cellStyle name="60% — акцент2 3 6" xfId="19535"/>
    <cellStyle name="60% — акцент2 4" xfId="19536"/>
    <cellStyle name="60% — акцент2 5" xfId="19537"/>
    <cellStyle name="60% — акцент2 6" xfId="19538"/>
    <cellStyle name="60% — акцент3 2" xfId="19539"/>
    <cellStyle name="60% — акцент3 2 2" xfId="19540"/>
    <cellStyle name="60% — акцент3 2 2 2" xfId="19541"/>
    <cellStyle name="60% — акцент3 2 2 3" xfId="19542"/>
    <cellStyle name="60% — акцент3 2 2 4" xfId="19543"/>
    <cellStyle name="60% — акцент3 2 2 5" xfId="19544"/>
    <cellStyle name="60% — акцент3 2 2 6" xfId="19545"/>
    <cellStyle name="60% — акцент3 2 3" xfId="19546"/>
    <cellStyle name="60% — акцент3 2 4" xfId="19547"/>
    <cellStyle name="60% — акцент3 2 5" xfId="19548"/>
    <cellStyle name="60% — акцент3 2 6" xfId="19549"/>
    <cellStyle name="60% — акцент3 2 7" xfId="19550"/>
    <cellStyle name="60% — акцент3 2 8" xfId="19551"/>
    <cellStyle name="60% — акцент3 3" xfId="19552"/>
    <cellStyle name="60% — акцент3 3 2" xfId="19553"/>
    <cellStyle name="60% — акцент3 3 3" xfId="19554"/>
    <cellStyle name="60% — акцент3 3 4" xfId="19555"/>
    <cellStyle name="60% — акцент3 3 5" xfId="19556"/>
    <cellStyle name="60% — акцент3 3 6" xfId="19557"/>
    <cellStyle name="60% — акцент3 4" xfId="19558"/>
    <cellStyle name="60% — акцент3 5" xfId="19559"/>
    <cellStyle name="60% — акцент3 6" xfId="19560"/>
    <cellStyle name="60% — акцент4 2" xfId="19561"/>
    <cellStyle name="60% — акцент4 2 2" xfId="19562"/>
    <cellStyle name="60% — акцент4 2 2 2" xfId="19563"/>
    <cellStyle name="60% — акцент4 2 2 3" xfId="19564"/>
    <cellStyle name="60% — акцент4 2 2 4" xfId="19565"/>
    <cellStyle name="60% — акцент4 2 2 5" xfId="19566"/>
    <cellStyle name="60% — акцент4 2 2 6" xfId="19567"/>
    <cellStyle name="60% — акцент4 2 3" xfId="19568"/>
    <cellStyle name="60% — акцент4 2 4" xfId="19569"/>
    <cellStyle name="60% — акцент4 2 5" xfId="19570"/>
    <cellStyle name="60% — акцент4 2 6" xfId="19571"/>
    <cellStyle name="60% — акцент4 2 7" xfId="19572"/>
    <cellStyle name="60% — акцент4 2 8" xfId="19573"/>
    <cellStyle name="60% — акцент4 3" xfId="19574"/>
    <cellStyle name="60% — акцент4 3 2" xfId="19575"/>
    <cellStyle name="60% — акцент4 3 3" xfId="19576"/>
    <cellStyle name="60% — акцент4 3 4" xfId="19577"/>
    <cellStyle name="60% — акцент4 3 5" xfId="19578"/>
    <cellStyle name="60% — акцент4 3 6" xfId="19579"/>
    <cellStyle name="60% — акцент4 4" xfId="19580"/>
    <cellStyle name="60% — акцент4 5" xfId="19581"/>
    <cellStyle name="60% — акцент4 6" xfId="19582"/>
    <cellStyle name="60% — акцент5 2" xfId="19583"/>
    <cellStyle name="60% — акцент5 2 2" xfId="19584"/>
    <cellStyle name="60% — акцент5 2 2 2" xfId="19585"/>
    <cellStyle name="60% — акцент5 2 2 3" xfId="19586"/>
    <cellStyle name="60% — акцент5 2 2 4" xfId="19587"/>
    <cellStyle name="60% — акцент5 2 2 5" xfId="19588"/>
    <cellStyle name="60% — акцент5 2 2 6" xfId="19589"/>
    <cellStyle name="60% — акцент5 2 3" xfId="19590"/>
    <cellStyle name="60% — акцент5 2 4" xfId="19591"/>
    <cellStyle name="60% — акцент5 2 5" xfId="19592"/>
    <cellStyle name="60% — акцент5 2 6" xfId="19593"/>
    <cellStyle name="60% — акцент5 2 7" xfId="19594"/>
    <cellStyle name="60% — акцент5 2 8" xfId="19595"/>
    <cellStyle name="60% — акцент5 3" xfId="19596"/>
    <cellStyle name="60% — акцент5 3 2" xfId="19597"/>
    <cellStyle name="60% — акцент5 3 3" xfId="19598"/>
    <cellStyle name="60% — акцент5 3 4" xfId="19599"/>
    <cellStyle name="60% — акцент5 3 5" xfId="19600"/>
    <cellStyle name="60% — акцент5 3 6" xfId="19601"/>
    <cellStyle name="60% — акцент5 4" xfId="19602"/>
    <cellStyle name="60% — акцент5 5" xfId="19603"/>
    <cellStyle name="60% — акцент5 6" xfId="19604"/>
    <cellStyle name="60% — акцент6 2" xfId="19605"/>
    <cellStyle name="60% — акцент6 2 2" xfId="19606"/>
    <cellStyle name="60% — акцент6 2 2 2" xfId="19607"/>
    <cellStyle name="60% — акцент6 2 2 3" xfId="19608"/>
    <cellStyle name="60% — акцент6 2 2 4" xfId="19609"/>
    <cellStyle name="60% — акцент6 2 2 5" xfId="19610"/>
    <cellStyle name="60% — акцент6 2 2 6" xfId="19611"/>
    <cellStyle name="60% — акцент6 2 3" xfId="19612"/>
    <cellStyle name="60% — акцент6 2 4" xfId="19613"/>
    <cellStyle name="60% — акцент6 2 5" xfId="19614"/>
    <cellStyle name="60% — акцент6 2 6" xfId="19615"/>
    <cellStyle name="60% — акцент6 2 7" xfId="19616"/>
    <cellStyle name="60% — акцент6 2 8" xfId="19617"/>
    <cellStyle name="60% — акцент6 3" xfId="19618"/>
    <cellStyle name="60% — акцент6 3 2" xfId="19619"/>
    <cellStyle name="60% — акцент6 3 3" xfId="19620"/>
    <cellStyle name="60% — акцент6 3 4" xfId="19621"/>
    <cellStyle name="60% — акцент6 3 5" xfId="19622"/>
    <cellStyle name="60% — акцент6 3 6" xfId="19623"/>
    <cellStyle name="60% — акцент6 4" xfId="19624"/>
    <cellStyle name="60% — акцент6 5" xfId="19625"/>
    <cellStyle name="60% — акцент6 6" xfId="19626"/>
    <cellStyle name="60% - 强调文字颜色 1 2" xfId="19627"/>
    <cellStyle name="60% - 强调文字颜色 1 2 10" xfId="19628"/>
    <cellStyle name="60% - 强调文字颜色 1 2 11" xfId="19629"/>
    <cellStyle name="60% - 强调文字颜色 1 2 2" xfId="19630"/>
    <cellStyle name="60% - 强调文字颜色 1 2 2 10" xfId="19631"/>
    <cellStyle name="60% - 强调文字颜色 1 2 2 11" xfId="19632"/>
    <cellStyle name="60% - 强调文字颜色 1 2 2 2" xfId="19633"/>
    <cellStyle name="60% - 强调文字颜色 1 2 2 2 2" xfId="19634"/>
    <cellStyle name="60% - 强调文字颜色 1 2 2 2 2 2" xfId="19635"/>
    <cellStyle name="60% - 强调文字颜色 1 2 2 2 2 2 2" xfId="19636"/>
    <cellStyle name="60% - 强调文字颜色 1 2 2 2 2 2 3" xfId="19637"/>
    <cellStyle name="60% - 强调文字颜色 1 2 2 2 2 2 3 2" xfId="19638"/>
    <cellStyle name="60% - 强调文字颜色 1 2 2 2 2 2 3 2 2" xfId="19639"/>
    <cellStyle name="60% - 强调文字颜色 1 2 2 2 2 2 4" xfId="19640"/>
    <cellStyle name="60% - 强调文字颜色 1 2 2 2 2 2 4 2" xfId="19641"/>
    <cellStyle name="60% - 强调文字颜色 1 2 2 2 2 3" xfId="19642"/>
    <cellStyle name="60% - 强调文字颜色 1 2 2 2 2 3 2" xfId="19643"/>
    <cellStyle name="60% - 强调文字颜色 1 2 2 2 2 3 2 2" xfId="19644"/>
    <cellStyle name="60% - 强调文字颜色 1 2 2 2 2 3 2 2 2" xfId="19645"/>
    <cellStyle name="60% - 强调文字颜色 1 2 2 2 2 3 3" xfId="19646"/>
    <cellStyle name="60% - 强调文字颜色 1 2 2 2 2 3 3 2" xfId="19647"/>
    <cellStyle name="60% - 强调文字颜色 1 2 2 2 2 4" xfId="19648"/>
    <cellStyle name="60% - 强调文字颜色 1 2 2 2 2 5" xfId="19649"/>
    <cellStyle name="60% - 强调文字颜色 1 2 2 2 2 6" xfId="19650"/>
    <cellStyle name="60% - 强调文字颜色 1 2 2 2 3" xfId="19651"/>
    <cellStyle name="60% - 强调文字颜色 1 2 2 2 3 2" xfId="19652"/>
    <cellStyle name="60% - 强调文字颜色 1 2 2 2 3 3" xfId="19653"/>
    <cellStyle name="60% - 强调文字颜色 1 2 2 2 3 3 2" xfId="19654"/>
    <cellStyle name="60% - 强调文字颜色 1 2 2 2 3 3 2 2" xfId="19655"/>
    <cellStyle name="60% - 强调文字颜色 1 2 2 2 3 4" xfId="19656"/>
    <cellStyle name="60% - 强调文字颜色 1 2 2 2 3 4 2" xfId="19657"/>
    <cellStyle name="60% - 强调文字颜色 1 2 2 2 4" xfId="19658"/>
    <cellStyle name="60% - 强调文字颜色 1 2 2 2 4 2" xfId="19659"/>
    <cellStyle name="60% - 强调文字颜色 1 2 2 2 4 2 2" xfId="19660"/>
    <cellStyle name="60% - 强调文字颜色 1 2 2 2 4 2 2 2" xfId="19661"/>
    <cellStyle name="60% - 强调文字颜色 1 2 2 2 4 3" xfId="19662"/>
    <cellStyle name="60% - 强调文字颜色 1 2 2 2 4 3 2" xfId="19663"/>
    <cellStyle name="60% - 强调文字颜色 1 2 2 2 5" xfId="19664"/>
    <cellStyle name="60% - 强调文字颜色 1 2 2 2 6" xfId="19665"/>
    <cellStyle name="60% - 强调文字颜色 1 2 2 2 7" xfId="19666"/>
    <cellStyle name="60% - 强调文字颜色 1 2 2 3" xfId="19667"/>
    <cellStyle name="60% - 强调文字颜色 1 2 2 3 2" xfId="19668"/>
    <cellStyle name="60% - 强调文字颜色 1 2 2 3 2 2" xfId="19669"/>
    <cellStyle name="60% - 强调文字颜色 1 2 2 3 2 3" xfId="19670"/>
    <cellStyle name="60% - 强调文字颜色 1 2 2 3 2 3 2" xfId="19671"/>
    <cellStyle name="60% - 强调文字颜色 1 2 2 3 2 3 2 2" xfId="19672"/>
    <cellStyle name="60% - 强调文字颜色 1 2 2 3 2 4" xfId="19673"/>
    <cellStyle name="60% - 强调文字颜色 1 2 2 3 2 4 2" xfId="19674"/>
    <cellStyle name="60% - 强调文字颜色 1 2 2 3 3" xfId="19675"/>
    <cellStyle name="60% - 强调文字颜色 1 2 2 3 3 2" xfId="19676"/>
    <cellStyle name="60% - 强调文字颜色 1 2 2 3 3 2 2" xfId="19677"/>
    <cellStyle name="60% - 强调文字颜色 1 2 2 3 3 2 2 2" xfId="19678"/>
    <cellStyle name="60% - 强调文字颜色 1 2 2 3 3 3" xfId="19679"/>
    <cellStyle name="60% - 强调文字颜色 1 2 2 3 3 3 2" xfId="19680"/>
    <cellStyle name="60% - 强调文字颜色 1 2 2 3 4" xfId="19681"/>
    <cellStyle name="60% - 强调文字颜色 1 2 2 3 5" xfId="19682"/>
    <cellStyle name="60% - 强调文字颜色 1 2 2 3 6" xfId="19683"/>
    <cellStyle name="60% - 强调文字颜色 1 2 2 4" xfId="19684"/>
    <cellStyle name="60% - 强调文字颜色 1 2 2 4 2" xfId="19685"/>
    <cellStyle name="60% - 强调文字颜色 1 2 2 4 2 2" xfId="19686"/>
    <cellStyle name="60% - 强调文字颜色 1 2 2 4 2 3" xfId="19687"/>
    <cellStyle name="60% - 强调文字颜色 1 2 2 4 2 3 2" xfId="19688"/>
    <cellStyle name="60% - 强调文字颜色 1 2 2 4 2 3 2 2" xfId="19689"/>
    <cellStyle name="60% - 强调文字颜色 1 2 2 4 2 4" xfId="19690"/>
    <cellStyle name="60% - 强调文字颜色 1 2 2 4 2 4 2" xfId="19691"/>
    <cellStyle name="60% - 强调文字颜色 1 2 2 4 3" xfId="19692"/>
    <cellStyle name="60% - 强调文字颜色 1 2 2 4 4" xfId="19693"/>
    <cellStyle name="60% - 强调文字颜色 1 2 2 4 5" xfId="19694"/>
    <cellStyle name="60% - 强调文字颜色 1 2 2 4 6" xfId="19695"/>
    <cellStyle name="60% - 强调文字颜色 1 2 2 5" xfId="19696"/>
    <cellStyle name="60% - 强调文字颜色 1 2 2 5 2" xfId="19697"/>
    <cellStyle name="60% - 强调文字颜色 1 2 2 5 2 2" xfId="19698"/>
    <cellStyle name="60% - 强调文字颜色 1 2 2 5 2 2 2" xfId="19699"/>
    <cellStyle name="60% - 强调文字颜色 1 2 2 5 2 2 2 2" xfId="19700"/>
    <cellStyle name="60% - 强调文字颜色 1 2 2 5 2 3" xfId="19701"/>
    <cellStyle name="60% - 强调文字颜色 1 2 2 5 2 3 2" xfId="19702"/>
    <cellStyle name="60% - 强调文字颜色 1 2 2 5 3" xfId="19703"/>
    <cellStyle name="60% - 强调文字颜色 1 2 2 5 3 2" xfId="19704"/>
    <cellStyle name="60% - 强调文字颜色 1 2 2 5 3 2 2" xfId="19705"/>
    <cellStyle name="60% - 强调文字颜色 1 2 2 5 4" xfId="19706"/>
    <cellStyle name="60% - 强调文字颜色 1 2 2 5 4 2" xfId="19707"/>
    <cellStyle name="60% - 强调文字颜色 1 2 2 6" xfId="19708"/>
    <cellStyle name="60% - 强调文字颜色 1 2 2 6 2" xfId="19709"/>
    <cellStyle name="60% - 强调文字颜色 1 2 2 6 2 2" xfId="19710"/>
    <cellStyle name="60% - 强调文字颜色 1 2 2 6 2 2 2" xfId="19711"/>
    <cellStyle name="60% - 强调文字颜色 1 2 2 6 2 2 2 2" xfId="19712"/>
    <cellStyle name="60% - 强调文字颜色 1 2 2 6 2 3" xfId="19713"/>
    <cellStyle name="60% - 强调文字颜色 1 2 2 6 2 3 2" xfId="19714"/>
    <cellStyle name="60% - 强调文字颜色 1 2 2 6 3" xfId="19715"/>
    <cellStyle name="60% - 强调文字颜色 1 2 2 6 3 2" xfId="19716"/>
    <cellStyle name="60% - 强调文字颜色 1 2 2 6 3 2 2" xfId="19717"/>
    <cellStyle name="60% - 强调文字颜色 1 2 2 6 4" xfId="19718"/>
    <cellStyle name="60% - 强调文字颜色 1 2 2 6 4 2" xfId="19719"/>
    <cellStyle name="60% - 强调文字颜色 1 2 2 7" xfId="19720"/>
    <cellStyle name="60% - 强调文字颜色 1 2 2 7 2" xfId="19721"/>
    <cellStyle name="60% - 强调文字颜色 1 2 2 7 2 2" xfId="19722"/>
    <cellStyle name="60% - 强调文字颜色 1 2 2 7 2 2 2" xfId="19723"/>
    <cellStyle name="60% - 强调文字颜色 1 2 2 7 2 2 2 2" xfId="19724"/>
    <cellStyle name="60% - 强调文字颜色 1 2 2 7 2 3" xfId="19725"/>
    <cellStyle name="60% - 强调文字颜色 1 2 2 7 2 3 2" xfId="19726"/>
    <cellStyle name="60% - 强调文字颜色 1 2 2 7 3" xfId="19727"/>
    <cellStyle name="60% - 强调文字颜色 1 2 2 7 3 2" xfId="19728"/>
    <cellStyle name="60% - 强调文字颜色 1 2 2 7 3 2 2" xfId="19729"/>
    <cellStyle name="60% - 强调文字颜色 1 2 2 7 4" xfId="19730"/>
    <cellStyle name="60% - 强调文字颜色 1 2 2 7 4 2" xfId="19731"/>
    <cellStyle name="60% - 强调文字颜色 1 2 2 8" xfId="19732"/>
    <cellStyle name="60% - 强调文字颜色 1 2 2 8 2" xfId="19733"/>
    <cellStyle name="60% - 强调文字颜色 1 2 2 8 2 2" xfId="19734"/>
    <cellStyle name="60% - 强调文字颜色 1 2 2 8 2 2 2" xfId="19735"/>
    <cellStyle name="60% - 强调文字颜色 1 2 2 8 3" xfId="19736"/>
    <cellStyle name="60% - 强调文字颜色 1 2 2 8 3 2" xfId="19737"/>
    <cellStyle name="60% - 强调文字颜色 1 2 2 9" xfId="19738"/>
    <cellStyle name="60% - 强调文字颜色 1 2 2 9 2" xfId="19739"/>
    <cellStyle name="60% - 强调文字颜色 1 2 2 9 2 2" xfId="19740"/>
    <cellStyle name="60% - 强调文字颜色 1 2 2 9 2 2 2" xfId="19741"/>
    <cellStyle name="60% - 强调文字颜色 1 2 2 9 3" xfId="19742"/>
    <cellStyle name="60% - 强调文字颜色 1 2 2 9 3 2" xfId="19743"/>
    <cellStyle name="60% - 强调文字颜色 1 2 3" xfId="19744"/>
    <cellStyle name="60% - 强调文字颜色 1 2 3 2" xfId="19745"/>
    <cellStyle name="60% - 强调文字颜色 1 2 3 2 2" xfId="19746"/>
    <cellStyle name="60% - 强调文字颜色 1 2 3 2 2 2" xfId="19747"/>
    <cellStyle name="60% - 强调文字颜色 1 2 3 2 2 2 2" xfId="19748"/>
    <cellStyle name="60% - 强调文字颜色 1 2 3 2 2 2 3" xfId="19749"/>
    <cellStyle name="60% - 强调文字颜色 1 2 3 2 2 2 3 2" xfId="19750"/>
    <cellStyle name="60% - 强调文字颜色 1 2 3 2 2 2 3 2 2" xfId="19751"/>
    <cellStyle name="60% - 强调文字颜色 1 2 3 2 2 2 4" xfId="19752"/>
    <cellStyle name="60% - 强调文字颜色 1 2 3 2 2 2 4 2" xfId="19753"/>
    <cellStyle name="60% - 强调文字颜色 1 2 3 2 2 3" xfId="19754"/>
    <cellStyle name="60% - 强调文字颜色 1 2 3 2 2 3 2" xfId="19755"/>
    <cellStyle name="60% - 强调文字颜色 1 2 3 2 2 3 2 2" xfId="19756"/>
    <cellStyle name="60% - 强调文字颜色 1 2 3 2 2 3 2 2 2" xfId="19757"/>
    <cellStyle name="60% - 强调文字颜色 1 2 3 2 2 3 3" xfId="19758"/>
    <cellStyle name="60% - 强调文字颜色 1 2 3 2 2 3 3 2" xfId="19759"/>
    <cellStyle name="60% - 强调文字颜色 1 2 3 2 2 4" xfId="19760"/>
    <cellStyle name="60% - 强调文字颜色 1 2 3 2 2 5" xfId="19761"/>
    <cellStyle name="60% - 强调文字颜色 1 2 3 2 2 6" xfId="19762"/>
    <cellStyle name="60% - 强调文字颜色 1 2 3 2 3" xfId="19763"/>
    <cellStyle name="60% - 强调文字颜色 1 2 3 2 3 2" xfId="19764"/>
    <cellStyle name="60% - 强调文字颜色 1 2 3 2 3 3" xfId="19765"/>
    <cellStyle name="60% - 强调文字颜色 1 2 3 2 3 3 2" xfId="19766"/>
    <cellStyle name="60% - 强调文字颜色 1 2 3 2 3 3 2 2" xfId="19767"/>
    <cellStyle name="60% - 强调文字颜色 1 2 3 2 3 4" xfId="19768"/>
    <cellStyle name="60% - 强调文字颜色 1 2 3 2 3 4 2" xfId="19769"/>
    <cellStyle name="60% - 强调文字颜色 1 2 3 2 4" xfId="19770"/>
    <cellStyle name="60% - 强调文字颜色 1 2 3 2 4 2" xfId="19771"/>
    <cellStyle name="60% - 强调文字颜色 1 2 3 2 4 2 2" xfId="19772"/>
    <cellStyle name="60% - 强调文字颜色 1 2 3 2 4 2 2 2" xfId="19773"/>
    <cellStyle name="60% - 强调文字颜色 1 2 3 2 4 3" xfId="19774"/>
    <cellStyle name="60% - 强调文字颜色 1 2 3 2 4 3 2" xfId="19775"/>
    <cellStyle name="60% - 强调文字颜色 1 2 3 2 5" xfId="19776"/>
    <cellStyle name="60% - 强调文字颜色 1 2 3 2 6" xfId="19777"/>
    <cellStyle name="60% - 强调文字颜色 1 2 3 2 7" xfId="19778"/>
    <cellStyle name="60% - 强调文字颜色 1 2 3 3" xfId="19779"/>
    <cellStyle name="60% - 强调文字颜色 1 2 3 3 2" xfId="19780"/>
    <cellStyle name="60% - 强调文字颜色 1 2 3 3 2 2" xfId="19781"/>
    <cellStyle name="60% - 强调文字颜色 1 2 3 3 2 3" xfId="19782"/>
    <cellStyle name="60% - 强调文字颜色 1 2 3 3 2 3 2" xfId="19783"/>
    <cellStyle name="60% - 强调文字颜色 1 2 3 3 2 3 2 2" xfId="19784"/>
    <cellStyle name="60% - 强调文字颜色 1 2 3 3 2 4" xfId="19785"/>
    <cellStyle name="60% - 强调文字颜色 1 2 3 3 2 4 2" xfId="19786"/>
    <cellStyle name="60% - 强调文字颜色 1 2 3 3 3" xfId="19787"/>
    <cellStyle name="60% - 强调文字颜色 1 2 3 3 3 2" xfId="19788"/>
    <cellStyle name="60% - 强调文字颜色 1 2 3 3 3 2 2" xfId="19789"/>
    <cellStyle name="60% - 强调文字颜色 1 2 3 3 3 2 2 2" xfId="19790"/>
    <cellStyle name="60% - 强调文字颜色 1 2 3 3 3 3" xfId="19791"/>
    <cellStyle name="60% - 强调文字颜色 1 2 3 3 3 3 2" xfId="19792"/>
    <cellStyle name="60% - 强调文字颜色 1 2 3 3 4" xfId="19793"/>
    <cellStyle name="60% - 强调文字颜色 1 2 3 3 5" xfId="19794"/>
    <cellStyle name="60% - 强调文字颜色 1 2 3 3 6" xfId="19795"/>
    <cellStyle name="60% - 强调文字颜色 1 2 3 4" xfId="19796"/>
    <cellStyle name="60% - 强调文字颜色 1 2 3 4 2" xfId="19797"/>
    <cellStyle name="60% - 强调文字颜色 1 2 3 4 2 2" xfId="19798"/>
    <cellStyle name="60% - 强调文字颜色 1 2 3 4 2 3" xfId="19799"/>
    <cellStyle name="60% - 强调文字颜色 1 2 3 4 2 3 2" xfId="19800"/>
    <cellStyle name="60% - 强调文字颜色 1 2 3 4 2 3 2 2" xfId="19801"/>
    <cellStyle name="60% - 强调文字颜色 1 2 3 4 2 4" xfId="19802"/>
    <cellStyle name="60% - 强调文字颜色 1 2 3 4 2 4 2" xfId="19803"/>
    <cellStyle name="60% - 强调文字颜色 1 2 3 4 3" xfId="19804"/>
    <cellStyle name="60% - 强调文字颜色 1 2 3 4 4" xfId="19805"/>
    <cellStyle name="60% - 强调文字颜色 1 2 3 4 5" xfId="19806"/>
    <cellStyle name="60% - 强调文字颜色 1 2 3 4 6" xfId="19807"/>
    <cellStyle name="60% - 强调文字颜色 1 2 3 5" xfId="19808"/>
    <cellStyle name="60% - 强调文字颜色 1 2 3 5 2" xfId="19809"/>
    <cellStyle name="60% - 强调文字颜色 1 2 3 5 2 2" xfId="19810"/>
    <cellStyle name="60% - 强调文字颜色 1 2 3 5 2 2 2" xfId="19811"/>
    <cellStyle name="60% - 强调文字颜色 1 2 3 5 2 2 2 2" xfId="19812"/>
    <cellStyle name="60% - 强调文字颜色 1 2 3 5 2 3" xfId="19813"/>
    <cellStyle name="60% - 强调文字颜色 1 2 3 5 2 3 2" xfId="19814"/>
    <cellStyle name="60% - 强调文字颜色 1 2 3 5 3" xfId="19815"/>
    <cellStyle name="60% - 强调文字颜色 1 2 3 5 3 2" xfId="19816"/>
    <cellStyle name="60% - 强调文字颜色 1 2 3 5 3 2 2" xfId="19817"/>
    <cellStyle name="60% - 强调文字颜色 1 2 3 5 4" xfId="19818"/>
    <cellStyle name="60% - 强调文字颜色 1 2 3 5 4 2" xfId="19819"/>
    <cellStyle name="60% - 强调文字颜色 1 2 3 6" xfId="19820"/>
    <cellStyle name="60% - 强调文字颜色 1 2 3 6 2" xfId="19821"/>
    <cellStyle name="60% - 强调文字颜色 1 2 3 6 2 2" xfId="19822"/>
    <cellStyle name="60% - 强调文字颜色 1 2 3 6 2 2 2" xfId="19823"/>
    <cellStyle name="60% - 强调文字颜色 1 2 3 6 3" xfId="19824"/>
    <cellStyle name="60% - 强调文字颜色 1 2 3 6 3 2" xfId="19825"/>
    <cellStyle name="60% - 强调文字颜色 1 2 3 7" xfId="19826"/>
    <cellStyle name="60% - 强调文字颜色 1 2 3 7 2" xfId="19827"/>
    <cellStyle name="60% - 强调文字颜色 1 2 3 7 2 2" xfId="19828"/>
    <cellStyle name="60% - 强调文字颜色 1 2 3 7 2 2 2" xfId="19829"/>
    <cellStyle name="60% - 强调文字颜色 1 2 3 7 3" xfId="19830"/>
    <cellStyle name="60% - 强调文字颜色 1 2 3 7 3 2" xfId="19831"/>
    <cellStyle name="60% - 强调文字颜色 1 2 3 8" xfId="19832"/>
    <cellStyle name="60% - 强调文字颜色 1 2 3 9" xfId="19833"/>
    <cellStyle name="60% - 强调文字颜色 1 2 4" xfId="19834"/>
    <cellStyle name="60% - 强调文字颜色 1 2 4 2" xfId="19835"/>
    <cellStyle name="60% - 强调文字颜色 1 2 4 2 2" xfId="19836"/>
    <cellStyle name="60% - 强调文字颜色 1 2 4 2 3" xfId="19837"/>
    <cellStyle name="60% - 强调文字颜色 1 2 4 2 3 2" xfId="19838"/>
    <cellStyle name="60% - 强调文字颜色 1 2 4 2 3 2 2" xfId="19839"/>
    <cellStyle name="60% - 强调文字颜色 1 2 4 2 4" xfId="19840"/>
    <cellStyle name="60% - 强调文字颜色 1 2 4 2 4 2" xfId="19841"/>
    <cellStyle name="60% - 强调文字颜色 1 2 4 3" xfId="19842"/>
    <cellStyle name="60% - 强调文字颜色 1 2 4 3 2" xfId="19843"/>
    <cellStyle name="60% - 强调文字颜色 1 2 4 3 2 2" xfId="19844"/>
    <cellStyle name="60% - 强调文字颜色 1 2 4 3 2 2 2" xfId="19845"/>
    <cellStyle name="60% - 强调文字颜色 1 2 4 3 3" xfId="19846"/>
    <cellStyle name="60% - 强调文字颜色 1 2 4 3 3 2" xfId="19847"/>
    <cellStyle name="60% - 强调文字颜色 1 2 4 4" xfId="19848"/>
    <cellStyle name="60% - 强调文字颜色 1 2 4 5" xfId="19849"/>
    <cellStyle name="60% - 强调文字颜色 1 2 4 6" xfId="19850"/>
    <cellStyle name="60% - 强调文字颜色 1 2 5" xfId="19851"/>
    <cellStyle name="60% - 强调文字颜色 1 2 5 2" xfId="19852"/>
    <cellStyle name="60% - 强调文字颜色 1 2 5 2 2" xfId="19853"/>
    <cellStyle name="60% - 强调文字颜色 1 2 5 2 3" xfId="19854"/>
    <cellStyle name="60% - 强调文字颜色 1 2 5 2 3 2" xfId="19855"/>
    <cellStyle name="60% - 强调文字颜色 1 2 5 2 3 2 2" xfId="19856"/>
    <cellStyle name="60% - 强调文字颜色 1 2 5 2 4" xfId="19857"/>
    <cellStyle name="60% - 强调文字颜色 1 2 5 2 4 2" xfId="19858"/>
    <cellStyle name="60% - 强调文字颜色 1 2 5 3" xfId="19859"/>
    <cellStyle name="60% - 强调文字颜色 1 2 5 4" xfId="19860"/>
    <cellStyle name="60% - 强调文字颜色 1 2 5 5" xfId="19861"/>
    <cellStyle name="60% - 强调文字颜色 1 2 5 6" xfId="19862"/>
    <cellStyle name="60% - 强调文字颜色 1 2 6" xfId="19863"/>
    <cellStyle name="60% - 强调文字颜色 1 2 6 2" xfId="19864"/>
    <cellStyle name="60% - 强调文字颜色 1 2 6 2 2" xfId="19865"/>
    <cellStyle name="60% - 强调文字颜色 1 2 6 2 2 2" xfId="19866"/>
    <cellStyle name="60% - 强调文字颜色 1 2 6 2 2 2 2" xfId="19867"/>
    <cellStyle name="60% - 强调文字颜色 1 2 6 2 3" xfId="19868"/>
    <cellStyle name="60% - 强调文字颜色 1 2 6 2 3 2" xfId="19869"/>
    <cellStyle name="60% - 强调文字颜色 1 2 6 3" xfId="19870"/>
    <cellStyle name="60% - 强调文字颜色 1 2 6 3 2" xfId="19871"/>
    <cellStyle name="60% - 强调文字颜色 1 2 6 3 2 2" xfId="19872"/>
    <cellStyle name="60% - 强调文字颜色 1 2 6 4" xfId="19873"/>
    <cellStyle name="60% - 强调文字颜色 1 2 6 4 2" xfId="19874"/>
    <cellStyle name="60% - 强调文字颜色 1 2 7" xfId="19875"/>
    <cellStyle name="60% - 强调文字颜色 1 2 7 2" xfId="19876"/>
    <cellStyle name="60% - 强调文字颜色 1 2 7 2 2" xfId="19877"/>
    <cellStyle name="60% - 强调文字颜色 1 2 7 2 2 2" xfId="19878"/>
    <cellStyle name="60% - 强调文字颜色 1 2 7 2 2 2 2" xfId="19879"/>
    <cellStyle name="60% - 强调文字颜色 1 2 7 2 3" xfId="19880"/>
    <cellStyle name="60% - 强调文字颜色 1 2 7 2 3 2" xfId="19881"/>
    <cellStyle name="60% - 强调文字颜色 1 2 7 3" xfId="19882"/>
    <cellStyle name="60% - 强调文字颜色 1 2 7 3 2" xfId="19883"/>
    <cellStyle name="60% - 强调文字颜色 1 2 7 3 2 2" xfId="19884"/>
    <cellStyle name="60% - 强调文字颜色 1 2 7 4" xfId="19885"/>
    <cellStyle name="60% - 强调文字颜色 1 2 7 4 2" xfId="19886"/>
    <cellStyle name="60% - 强调文字颜色 1 2 8" xfId="19887"/>
    <cellStyle name="60% - 强调文字颜色 1 2 8 2" xfId="19888"/>
    <cellStyle name="60% - 强调文字颜色 1 2 8 2 2" xfId="19889"/>
    <cellStyle name="60% - 强调文字颜色 1 2 8 2 2 2" xfId="19890"/>
    <cellStyle name="60% - 强调文字颜色 1 2 8 2 2 2 2" xfId="19891"/>
    <cellStyle name="60% - 强调文字颜色 1 2 8 2 3" xfId="19892"/>
    <cellStyle name="60% - 强调文字颜色 1 2 8 2 3 2" xfId="19893"/>
    <cellStyle name="60% - 强调文字颜色 1 2 8 3" xfId="19894"/>
    <cellStyle name="60% - 强调文字颜色 1 2 8 3 2" xfId="19895"/>
    <cellStyle name="60% - 强调文字颜色 1 2 8 3 2 2" xfId="19896"/>
    <cellStyle name="60% - 强调文字颜色 1 2 8 4" xfId="19897"/>
    <cellStyle name="60% - 强调文字颜色 1 2 8 4 2" xfId="19898"/>
    <cellStyle name="60% - 强调文字颜色 1 2 9" xfId="19899"/>
    <cellStyle name="60% - 强调文字颜色 1 2 9 2" xfId="19900"/>
    <cellStyle name="60% - 强调文字颜色 1 2 9 2 2" xfId="19901"/>
    <cellStyle name="60% - 强调文字颜色 1 2 9 2 2 2" xfId="19902"/>
    <cellStyle name="60% - 强调文字颜色 1 2 9 3" xfId="19903"/>
    <cellStyle name="60% - 强调文字颜色 1 2 9 3 2" xfId="19904"/>
    <cellStyle name="60% - 强调文字颜色 1 3" xfId="19905"/>
    <cellStyle name="60% - 强调文字颜色 1 3 2" xfId="19906"/>
    <cellStyle name="60% - 强调文字颜色 1 3 2 2" xfId="19907"/>
    <cellStyle name="60% - 强调文字颜色 1 3 2 2 2" xfId="19908"/>
    <cellStyle name="60% - 强调文字颜色 1 3 2 2 2 2" xfId="19909"/>
    <cellStyle name="60% - 强调文字颜色 1 3 2 2 2 3" xfId="19910"/>
    <cellStyle name="60% - 强调文字颜色 1 3 2 2 2 3 2" xfId="19911"/>
    <cellStyle name="60% - 强调文字颜色 1 3 2 2 2 3 2 2" xfId="19912"/>
    <cellStyle name="60% - 强调文字颜色 1 3 2 2 2 4" xfId="19913"/>
    <cellStyle name="60% - 强调文字颜色 1 3 2 2 2 4 2" xfId="19914"/>
    <cellStyle name="60% - 强调文字颜色 1 3 2 2 3" xfId="19915"/>
    <cellStyle name="60% - 强调文字颜色 1 3 2 2 3 2" xfId="19916"/>
    <cellStyle name="60% - 强调文字颜色 1 3 2 2 3 2 2" xfId="19917"/>
    <cellStyle name="60% - 强调文字颜色 1 3 2 2 3 2 2 2" xfId="19918"/>
    <cellStyle name="60% - 强调文字颜色 1 3 2 2 3 3" xfId="19919"/>
    <cellStyle name="60% - 强调文字颜色 1 3 2 2 3 3 2" xfId="19920"/>
    <cellStyle name="60% - 强调文字颜色 1 3 2 2 4" xfId="19921"/>
    <cellStyle name="60% - 强调文字颜色 1 3 2 2 5" xfId="19922"/>
    <cellStyle name="60% - 强调文字颜色 1 3 2 2 6" xfId="19923"/>
    <cellStyle name="60% - 强调文字颜色 1 3 2 3" xfId="19924"/>
    <cellStyle name="60% - 强调文字颜色 1 3 2 3 2" xfId="19925"/>
    <cellStyle name="60% - 强调文字颜色 1 3 2 3 3" xfId="19926"/>
    <cellStyle name="60% - 强调文字颜色 1 3 2 3 3 2" xfId="19927"/>
    <cellStyle name="60% - 强调文字颜色 1 3 2 3 3 2 2" xfId="19928"/>
    <cellStyle name="60% - 强调文字颜色 1 3 2 3 4" xfId="19929"/>
    <cellStyle name="60% - 强调文字颜色 1 3 2 3 4 2" xfId="19930"/>
    <cellStyle name="60% - 强调文字颜色 1 3 2 4" xfId="19931"/>
    <cellStyle name="60% - 强调文字颜色 1 3 2 4 2" xfId="19932"/>
    <cellStyle name="60% - 强调文字颜色 1 3 2 4 2 2" xfId="19933"/>
    <cellStyle name="60% - 强调文字颜色 1 3 2 4 2 2 2" xfId="19934"/>
    <cellStyle name="60% - 强调文字颜色 1 3 2 4 3" xfId="19935"/>
    <cellStyle name="60% - 强调文字颜色 1 3 2 4 3 2" xfId="19936"/>
    <cellStyle name="60% - 强调文字颜色 1 3 2 5" xfId="19937"/>
    <cellStyle name="60% - 强调文字颜色 1 3 2 6" xfId="19938"/>
    <cellStyle name="60% - 强调文字颜色 1 3 2 7" xfId="19939"/>
    <cellStyle name="60% - 强调文字颜色 1 3 3" xfId="19940"/>
    <cellStyle name="60% - 强调文字颜色 1 3 3 2" xfId="19941"/>
    <cellStyle name="60% - 强调文字颜色 1 3 3 2 2" xfId="19942"/>
    <cellStyle name="60% - 强调文字颜色 1 3 3 2 3" xfId="19943"/>
    <cellStyle name="60% - 强调文字颜色 1 3 3 2 3 2" xfId="19944"/>
    <cellStyle name="60% - 强调文字颜色 1 3 3 2 3 2 2" xfId="19945"/>
    <cellStyle name="60% - 强调文字颜色 1 3 3 2 4" xfId="19946"/>
    <cellStyle name="60% - 强调文字颜色 1 3 3 2 4 2" xfId="19947"/>
    <cellStyle name="60% - 强调文字颜色 1 3 3 3" xfId="19948"/>
    <cellStyle name="60% - 强调文字颜色 1 3 3 3 2" xfId="19949"/>
    <cellStyle name="60% - 强调文字颜色 1 3 3 3 2 2" xfId="19950"/>
    <cellStyle name="60% - 强调文字颜色 1 3 3 3 2 2 2" xfId="19951"/>
    <cellStyle name="60% - 强调文字颜色 1 3 3 3 3" xfId="19952"/>
    <cellStyle name="60% - 强调文字颜色 1 3 3 3 3 2" xfId="19953"/>
    <cellStyle name="60% - 强调文字颜色 1 3 3 4" xfId="19954"/>
    <cellStyle name="60% - 强调文字颜色 1 3 3 5" xfId="19955"/>
    <cellStyle name="60% - 强调文字颜色 1 3 3 6" xfId="19956"/>
    <cellStyle name="60% - 强调文字颜色 1 3 4" xfId="19957"/>
    <cellStyle name="60% - 强调文字颜色 1 3 4 2" xfId="19958"/>
    <cellStyle name="60% - 强调文字颜色 1 3 4 2 2" xfId="19959"/>
    <cellStyle name="60% - 强调文字颜色 1 3 4 2 3" xfId="19960"/>
    <cellStyle name="60% - 强调文字颜色 1 3 4 2 3 2" xfId="19961"/>
    <cellStyle name="60% - 强调文字颜色 1 3 4 2 3 2 2" xfId="19962"/>
    <cellStyle name="60% - 强调文字颜色 1 3 4 2 4" xfId="19963"/>
    <cellStyle name="60% - 强调文字颜色 1 3 4 2 4 2" xfId="19964"/>
    <cellStyle name="60% - 强调文字颜色 1 3 4 3" xfId="19965"/>
    <cellStyle name="60% - 强调文字颜色 1 3 4 4" xfId="19966"/>
    <cellStyle name="60% - 强调文字颜色 1 3 4 5" xfId="19967"/>
    <cellStyle name="60% - 强调文字颜色 1 3 4 6" xfId="19968"/>
    <cellStyle name="60% - 强调文字颜色 1 3 5" xfId="19969"/>
    <cellStyle name="60% - 强调文字颜色 1 3 5 2" xfId="19970"/>
    <cellStyle name="60% - 强调文字颜色 1 3 5 2 2" xfId="19971"/>
    <cellStyle name="60% - 强调文字颜色 1 3 5 2 2 2" xfId="19972"/>
    <cellStyle name="60% - 强调文字颜色 1 3 5 2 2 2 2" xfId="19973"/>
    <cellStyle name="60% - 强调文字颜色 1 3 5 2 3" xfId="19974"/>
    <cellStyle name="60% - 强调文字颜色 1 3 5 2 3 2" xfId="19975"/>
    <cellStyle name="60% - 强调文字颜色 1 3 5 3" xfId="19976"/>
    <cellStyle name="60% - 强调文字颜色 1 3 5 3 2" xfId="19977"/>
    <cellStyle name="60% - 强调文字颜色 1 3 5 3 2 2" xfId="19978"/>
    <cellStyle name="60% - 强调文字颜色 1 3 5 4" xfId="19979"/>
    <cellStyle name="60% - 强调文字颜色 1 3 5 4 2" xfId="19980"/>
    <cellStyle name="60% - 强调文字颜色 1 3 6" xfId="19981"/>
    <cellStyle name="60% - 强调文字颜色 1 3 6 2" xfId="19982"/>
    <cellStyle name="60% - 强调文字颜色 1 3 6 2 2" xfId="19983"/>
    <cellStyle name="60% - 强调文字颜色 1 3 6 2 2 2" xfId="19984"/>
    <cellStyle name="60% - 强调文字颜色 1 3 6 3" xfId="19985"/>
    <cellStyle name="60% - 强调文字颜色 1 3 6 3 2" xfId="19986"/>
    <cellStyle name="60% - 强调文字颜色 1 3 7" xfId="19987"/>
    <cellStyle name="60% - 强调文字颜色 1 3 8" xfId="19988"/>
    <cellStyle name="60% - 强调文字颜色 2 2" xfId="19989"/>
    <cellStyle name="60% - 强调文字颜色 2 2 10" xfId="19990"/>
    <cellStyle name="60% - 强调文字颜色 2 2 11" xfId="19991"/>
    <cellStyle name="60% - 强调文字颜色 2 2 2" xfId="19992"/>
    <cellStyle name="60% - 强调文字颜色 2 2 2 10" xfId="19993"/>
    <cellStyle name="60% - 强调文字颜色 2 2 2 11" xfId="19994"/>
    <cellStyle name="60% - 强调文字颜色 2 2 2 2" xfId="19995"/>
    <cellStyle name="60% - 强调文字颜色 2 2 2 2 2" xfId="19996"/>
    <cellStyle name="60% - 强调文字颜色 2 2 2 2 2 2" xfId="19997"/>
    <cellStyle name="60% - 强调文字颜色 2 2 2 2 2 2 2" xfId="19998"/>
    <cellStyle name="60% - 强调文字颜色 2 2 2 2 2 2 3" xfId="19999"/>
    <cellStyle name="60% - 强调文字颜色 2 2 2 2 2 2 3 2" xfId="20000"/>
    <cellStyle name="60% - 强调文字颜色 2 2 2 2 2 2 3 2 2" xfId="20001"/>
    <cellStyle name="60% - 强调文字颜色 2 2 2 2 2 2 4" xfId="20002"/>
    <cellStyle name="60% - 强调文字颜色 2 2 2 2 2 2 4 2" xfId="20003"/>
    <cellStyle name="60% - 强调文字颜色 2 2 2 2 2 3" xfId="20004"/>
    <cellStyle name="60% - 强调文字颜色 2 2 2 2 2 3 2" xfId="20005"/>
    <cellStyle name="60% - 强调文字颜色 2 2 2 2 2 3 2 2" xfId="20006"/>
    <cellStyle name="60% - 强调文字颜色 2 2 2 2 2 3 2 2 2" xfId="20007"/>
    <cellStyle name="60% - 强调文字颜色 2 2 2 2 2 3 3" xfId="20008"/>
    <cellStyle name="60% - 强调文字颜色 2 2 2 2 2 3 3 2" xfId="20009"/>
    <cellStyle name="60% - 强调文字颜色 2 2 2 2 2 4" xfId="20010"/>
    <cellStyle name="60% - 强调文字颜色 2 2 2 2 2 5" xfId="20011"/>
    <cellStyle name="60% - 强调文字颜色 2 2 2 2 2 6" xfId="20012"/>
    <cellStyle name="60% - 强调文字颜色 2 2 2 2 3" xfId="20013"/>
    <cellStyle name="60% - 强调文字颜色 2 2 2 2 3 2" xfId="20014"/>
    <cellStyle name="60% - 强调文字颜色 2 2 2 2 3 3" xfId="20015"/>
    <cellStyle name="60% - 强调文字颜色 2 2 2 2 3 3 2" xfId="20016"/>
    <cellStyle name="60% - 强调文字颜色 2 2 2 2 3 3 2 2" xfId="20017"/>
    <cellStyle name="60% - 强调文字颜色 2 2 2 2 3 4" xfId="20018"/>
    <cellStyle name="60% - 强调文字颜色 2 2 2 2 3 4 2" xfId="20019"/>
    <cellStyle name="60% - 强调文字颜色 2 2 2 2 4" xfId="20020"/>
    <cellStyle name="60% - 强调文字颜色 2 2 2 2 4 2" xfId="20021"/>
    <cellStyle name="60% - 强调文字颜色 2 2 2 2 4 2 2" xfId="20022"/>
    <cellStyle name="60% - 强调文字颜色 2 2 2 2 4 2 2 2" xfId="20023"/>
    <cellStyle name="60% - 强调文字颜色 2 2 2 2 4 3" xfId="20024"/>
    <cellStyle name="60% - 强调文字颜色 2 2 2 2 4 3 2" xfId="20025"/>
    <cellStyle name="60% - 强调文字颜色 2 2 2 2 5" xfId="20026"/>
    <cellStyle name="60% - 强调文字颜色 2 2 2 2 6" xfId="20027"/>
    <cellStyle name="60% - 强调文字颜色 2 2 2 2 7" xfId="20028"/>
    <cellStyle name="60% - 强调文字颜色 2 2 2 3" xfId="20029"/>
    <cellStyle name="60% - 强调文字颜色 2 2 2 3 2" xfId="20030"/>
    <cellStyle name="60% - 强调文字颜色 2 2 2 3 2 2" xfId="20031"/>
    <cellStyle name="60% - 强调文字颜色 2 2 2 3 2 3" xfId="20032"/>
    <cellStyle name="60% - 强调文字颜色 2 2 2 3 2 3 2" xfId="20033"/>
    <cellStyle name="60% - 强调文字颜色 2 2 2 3 2 3 2 2" xfId="20034"/>
    <cellStyle name="60% - 强调文字颜色 2 2 2 3 2 4" xfId="20035"/>
    <cellStyle name="60% - 强调文字颜色 2 2 2 3 2 4 2" xfId="20036"/>
    <cellStyle name="60% - 强调文字颜色 2 2 2 3 3" xfId="20037"/>
    <cellStyle name="60% - 强调文字颜色 2 2 2 3 3 2" xfId="20038"/>
    <cellStyle name="60% - 强调文字颜色 2 2 2 3 3 2 2" xfId="20039"/>
    <cellStyle name="60% - 强调文字颜色 2 2 2 3 3 2 2 2" xfId="20040"/>
    <cellStyle name="60% - 强调文字颜色 2 2 2 3 3 3" xfId="20041"/>
    <cellStyle name="60% - 强调文字颜色 2 2 2 3 3 3 2" xfId="20042"/>
    <cellStyle name="60% - 强调文字颜色 2 2 2 3 4" xfId="20043"/>
    <cellStyle name="60% - 强调文字颜色 2 2 2 3 5" xfId="20044"/>
    <cellStyle name="60% - 强调文字颜色 2 2 2 3 6" xfId="20045"/>
    <cellStyle name="60% - 强调文字颜色 2 2 2 4" xfId="20046"/>
    <cellStyle name="60% - 强调文字颜色 2 2 2 4 2" xfId="20047"/>
    <cellStyle name="60% - 强调文字颜色 2 2 2 4 2 2" xfId="20048"/>
    <cellStyle name="60% - 强调文字颜色 2 2 2 4 2 3" xfId="20049"/>
    <cellStyle name="60% - 强调文字颜色 2 2 2 4 2 3 2" xfId="20050"/>
    <cellStyle name="60% - 强调文字颜色 2 2 2 4 2 3 2 2" xfId="20051"/>
    <cellStyle name="60% - 强调文字颜色 2 2 2 4 2 4" xfId="20052"/>
    <cellStyle name="60% - 强调文字颜色 2 2 2 4 2 4 2" xfId="20053"/>
    <cellStyle name="60% - 强调文字颜色 2 2 2 4 3" xfId="20054"/>
    <cellStyle name="60% - 强调文字颜色 2 2 2 4 4" xfId="20055"/>
    <cellStyle name="60% - 强调文字颜色 2 2 2 4 5" xfId="20056"/>
    <cellStyle name="60% - 强调文字颜色 2 2 2 4 6" xfId="20057"/>
    <cellStyle name="60% - 强调文字颜色 2 2 2 5" xfId="20058"/>
    <cellStyle name="60% - 强调文字颜色 2 2 2 5 2" xfId="20059"/>
    <cellStyle name="60% - 强调文字颜色 2 2 2 5 2 2" xfId="20060"/>
    <cellStyle name="60% - 强调文字颜色 2 2 2 5 2 2 2" xfId="20061"/>
    <cellStyle name="60% - 强调文字颜色 2 2 2 5 2 2 2 2" xfId="20062"/>
    <cellStyle name="60% - 强调文字颜色 2 2 2 5 2 3" xfId="20063"/>
    <cellStyle name="60% - 强调文字颜色 2 2 2 5 2 3 2" xfId="20064"/>
    <cellStyle name="60% - 强调文字颜色 2 2 2 5 3" xfId="20065"/>
    <cellStyle name="60% - 强调文字颜色 2 2 2 5 3 2" xfId="20066"/>
    <cellStyle name="60% - 强调文字颜色 2 2 2 5 3 2 2" xfId="20067"/>
    <cellStyle name="60% - 强调文字颜色 2 2 2 5 4" xfId="20068"/>
    <cellStyle name="60% - 强调文字颜色 2 2 2 5 4 2" xfId="20069"/>
    <cellStyle name="60% - 强调文字颜色 2 2 2 6" xfId="20070"/>
    <cellStyle name="60% - 强调文字颜色 2 2 2 6 2" xfId="20071"/>
    <cellStyle name="60% - 强调文字颜色 2 2 2 6 2 2" xfId="20072"/>
    <cellStyle name="60% - 强调文字颜色 2 2 2 6 2 2 2" xfId="20073"/>
    <cellStyle name="60% - 强调文字颜色 2 2 2 6 2 2 2 2" xfId="20074"/>
    <cellStyle name="60% - 强调文字颜色 2 2 2 6 2 3" xfId="20075"/>
    <cellStyle name="60% - 强调文字颜色 2 2 2 6 2 3 2" xfId="20076"/>
    <cellStyle name="60% - 强调文字颜色 2 2 2 6 3" xfId="20077"/>
    <cellStyle name="60% - 强调文字颜色 2 2 2 6 3 2" xfId="20078"/>
    <cellStyle name="60% - 强调文字颜色 2 2 2 6 3 2 2" xfId="20079"/>
    <cellStyle name="60% - 强调文字颜色 2 2 2 6 4" xfId="20080"/>
    <cellStyle name="60% - 强调文字颜色 2 2 2 6 4 2" xfId="20081"/>
    <cellStyle name="60% - 强调文字颜色 2 2 2 7" xfId="20082"/>
    <cellStyle name="60% - 强调文字颜色 2 2 2 7 2" xfId="20083"/>
    <cellStyle name="60% - 强调文字颜色 2 2 2 7 2 2" xfId="20084"/>
    <cellStyle name="60% - 强调文字颜色 2 2 2 7 2 2 2" xfId="20085"/>
    <cellStyle name="60% - 强调文字颜色 2 2 2 7 2 2 2 2" xfId="20086"/>
    <cellStyle name="60% - 强调文字颜色 2 2 2 7 2 3" xfId="20087"/>
    <cellStyle name="60% - 强调文字颜色 2 2 2 7 2 3 2" xfId="20088"/>
    <cellStyle name="60% - 强调文字颜色 2 2 2 7 3" xfId="20089"/>
    <cellStyle name="60% - 强调文字颜色 2 2 2 7 3 2" xfId="20090"/>
    <cellStyle name="60% - 强调文字颜色 2 2 2 7 3 2 2" xfId="20091"/>
    <cellStyle name="60% - 强调文字颜色 2 2 2 7 4" xfId="20092"/>
    <cellStyle name="60% - 强调文字颜色 2 2 2 7 4 2" xfId="20093"/>
    <cellStyle name="60% - 强调文字颜色 2 2 2 8" xfId="20094"/>
    <cellStyle name="60% - 强调文字颜色 2 2 2 8 2" xfId="20095"/>
    <cellStyle name="60% - 强调文字颜色 2 2 2 8 2 2" xfId="20096"/>
    <cellStyle name="60% - 强调文字颜色 2 2 2 8 2 2 2" xfId="20097"/>
    <cellStyle name="60% - 强调文字颜色 2 2 2 8 3" xfId="20098"/>
    <cellStyle name="60% - 强调文字颜色 2 2 2 8 3 2" xfId="20099"/>
    <cellStyle name="60% - 强调文字颜色 2 2 2 9" xfId="20100"/>
    <cellStyle name="60% - 强调文字颜色 2 2 2 9 2" xfId="20101"/>
    <cellStyle name="60% - 强调文字颜色 2 2 2 9 2 2" xfId="20102"/>
    <cellStyle name="60% - 强调文字颜色 2 2 2 9 2 2 2" xfId="20103"/>
    <cellStyle name="60% - 强调文字颜色 2 2 2 9 3" xfId="20104"/>
    <cellStyle name="60% - 强调文字颜色 2 2 2 9 3 2" xfId="20105"/>
    <cellStyle name="60% - 强调文字颜色 2 2 3" xfId="20106"/>
    <cellStyle name="60% - 强调文字颜色 2 2 3 2" xfId="20107"/>
    <cellStyle name="60% - 强调文字颜色 2 2 3 2 2" xfId="20108"/>
    <cellStyle name="60% - 强调文字颜色 2 2 3 2 2 2" xfId="20109"/>
    <cellStyle name="60% - 强调文字颜色 2 2 3 2 2 2 2" xfId="20110"/>
    <cellStyle name="60% - 强调文字颜色 2 2 3 2 2 2 3" xfId="20111"/>
    <cellStyle name="60% - 强调文字颜色 2 2 3 2 2 2 3 2" xfId="20112"/>
    <cellStyle name="60% - 强调文字颜色 2 2 3 2 2 2 3 2 2" xfId="20113"/>
    <cellStyle name="60% - 强调文字颜色 2 2 3 2 2 2 4" xfId="20114"/>
    <cellStyle name="60% - 强调文字颜色 2 2 3 2 2 2 4 2" xfId="20115"/>
    <cellStyle name="60% - 强调文字颜色 2 2 3 2 2 3" xfId="20116"/>
    <cellStyle name="60% - 强调文字颜色 2 2 3 2 2 3 2" xfId="20117"/>
    <cellStyle name="60% - 强调文字颜色 2 2 3 2 2 3 2 2" xfId="20118"/>
    <cellStyle name="60% - 强调文字颜色 2 2 3 2 2 3 2 2 2" xfId="20119"/>
    <cellStyle name="60% - 强调文字颜色 2 2 3 2 2 3 3" xfId="20120"/>
    <cellStyle name="60% - 强调文字颜色 2 2 3 2 2 3 3 2" xfId="20121"/>
    <cellStyle name="60% - 强调文字颜色 2 2 3 2 2 4" xfId="20122"/>
    <cellStyle name="60% - 强调文字颜色 2 2 3 2 2 5" xfId="20123"/>
    <cellStyle name="60% - 强调文字颜色 2 2 3 2 2 6" xfId="20124"/>
    <cellStyle name="60% - 强调文字颜色 2 2 3 2 3" xfId="20125"/>
    <cellStyle name="60% - 强调文字颜色 2 2 3 2 3 2" xfId="20126"/>
    <cellStyle name="60% - 强调文字颜色 2 2 3 2 3 3" xfId="20127"/>
    <cellStyle name="60% - 强调文字颜色 2 2 3 2 3 3 2" xfId="20128"/>
    <cellStyle name="60% - 强调文字颜色 2 2 3 2 3 3 2 2" xfId="20129"/>
    <cellStyle name="60% - 强调文字颜色 2 2 3 2 3 4" xfId="20130"/>
    <cellStyle name="60% - 强调文字颜色 2 2 3 2 3 4 2" xfId="20131"/>
    <cellStyle name="60% - 强调文字颜色 2 2 3 2 4" xfId="20132"/>
    <cellStyle name="60% - 强调文字颜色 2 2 3 2 4 2" xfId="20133"/>
    <cellStyle name="60% - 强调文字颜色 2 2 3 2 4 2 2" xfId="20134"/>
    <cellStyle name="60% - 强调文字颜色 2 2 3 2 4 2 2 2" xfId="20135"/>
    <cellStyle name="60% - 强调文字颜色 2 2 3 2 4 3" xfId="20136"/>
    <cellStyle name="60% - 强调文字颜色 2 2 3 2 4 3 2" xfId="20137"/>
    <cellStyle name="60% - 强调文字颜色 2 2 3 2 5" xfId="20138"/>
    <cellStyle name="60% - 强调文字颜色 2 2 3 2 6" xfId="20139"/>
    <cellStyle name="60% - 强调文字颜色 2 2 3 2 7" xfId="20140"/>
    <cellStyle name="60% - 强调文字颜色 2 2 3 3" xfId="20141"/>
    <cellStyle name="60% - 强调文字颜色 2 2 3 3 2" xfId="20142"/>
    <cellStyle name="60% - 强调文字颜色 2 2 3 3 2 2" xfId="20143"/>
    <cellStyle name="60% - 强调文字颜色 2 2 3 3 2 3" xfId="20144"/>
    <cellStyle name="60% - 强调文字颜色 2 2 3 3 2 3 2" xfId="20145"/>
    <cellStyle name="60% - 强调文字颜色 2 2 3 3 2 3 2 2" xfId="20146"/>
    <cellStyle name="60% - 强调文字颜色 2 2 3 3 2 4" xfId="20147"/>
    <cellStyle name="60% - 强调文字颜色 2 2 3 3 2 4 2" xfId="20148"/>
    <cellStyle name="60% - 强调文字颜色 2 2 3 3 3" xfId="20149"/>
    <cellStyle name="60% - 强调文字颜色 2 2 3 3 3 2" xfId="20150"/>
    <cellStyle name="60% - 强调文字颜色 2 2 3 3 3 2 2" xfId="20151"/>
    <cellStyle name="60% - 强调文字颜色 2 2 3 3 3 2 2 2" xfId="20152"/>
    <cellStyle name="60% - 强调文字颜色 2 2 3 3 3 3" xfId="20153"/>
    <cellStyle name="60% - 强调文字颜色 2 2 3 3 3 3 2" xfId="20154"/>
    <cellStyle name="60% - 强调文字颜色 2 2 3 3 4" xfId="20155"/>
    <cellStyle name="60% - 强调文字颜色 2 2 3 3 5" xfId="20156"/>
    <cellStyle name="60% - 强调文字颜色 2 2 3 3 6" xfId="20157"/>
    <cellStyle name="60% - 强调文字颜色 2 2 3 4" xfId="20158"/>
    <cellStyle name="60% - 强调文字颜色 2 2 3 4 2" xfId="20159"/>
    <cellStyle name="60% - 强调文字颜色 2 2 3 4 2 2" xfId="20160"/>
    <cellStyle name="60% - 强调文字颜色 2 2 3 4 2 3" xfId="20161"/>
    <cellStyle name="60% - 强调文字颜色 2 2 3 4 2 3 2" xfId="20162"/>
    <cellStyle name="60% - 强调文字颜色 2 2 3 4 2 3 2 2" xfId="20163"/>
    <cellStyle name="60% - 强调文字颜色 2 2 3 4 2 4" xfId="20164"/>
    <cellStyle name="60% - 强调文字颜色 2 2 3 4 2 4 2" xfId="20165"/>
    <cellStyle name="60% - 强调文字颜色 2 2 3 4 3" xfId="20166"/>
    <cellStyle name="60% - 强调文字颜色 2 2 3 4 4" xfId="20167"/>
    <cellStyle name="60% - 强调文字颜色 2 2 3 4 5" xfId="20168"/>
    <cellStyle name="60% - 强调文字颜色 2 2 3 4 6" xfId="20169"/>
    <cellStyle name="60% - 强调文字颜色 2 2 3 5" xfId="20170"/>
    <cellStyle name="60% - 强调文字颜色 2 2 3 5 2" xfId="20171"/>
    <cellStyle name="60% - 强调文字颜色 2 2 3 5 2 2" xfId="20172"/>
    <cellStyle name="60% - 强调文字颜色 2 2 3 5 2 2 2" xfId="20173"/>
    <cellStyle name="60% - 强调文字颜色 2 2 3 5 2 2 2 2" xfId="20174"/>
    <cellStyle name="60% - 强调文字颜色 2 2 3 5 2 3" xfId="20175"/>
    <cellStyle name="60% - 强调文字颜色 2 2 3 5 2 3 2" xfId="20176"/>
    <cellStyle name="60% - 强调文字颜色 2 2 3 5 3" xfId="20177"/>
    <cellStyle name="60% - 强调文字颜色 2 2 3 5 3 2" xfId="20178"/>
    <cellStyle name="60% - 强调文字颜色 2 2 3 5 3 2 2" xfId="20179"/>
    <cellStyle name="60% - 强调文字颜色 2 2 3 5 4" xfId="20180"/>
    <cellStyle name="60% - 强调文字颜色 2 2 3 5 4 2" xfId="20181"/>
    <cellStyle name="60% - 强调文字颜色 2 2 3 6" xfId="20182"/>
    <cellStyle name="60% - 强调文字颜色 2 2 3 6 2" xfId="20183"/>
    <cellStyle name="60% - 强调文字颜色 2 2 3 6 2 2" xfId="20184"/>
    <cellStyle name="60% - 强调文字颜色 2 2 3 6 2 2 2" xfId="20185"/>
    <cellStyle name="60% - 强调文字颜色 2 2 3 6 3" xfId="20186"/>
    <cellStyle name="60% - 强调文字颜色 2 2 3 6 3 2" xfId="20187"/>
    <cellStyle name="60% - 强调文字颜色 2 2 3 7" xfId="20188"/>
    <cellStyle name="60% - 强调文字颜色 2 2 3 7 2" xfId="20189"/>
    <cellStyle name="60% - 强调文字颜色 2 2 3 7 2 2" xfId="20190"/>
    <cellStyle name="60% - 强调文字颜色 2 2 3 7 2 2 2" xfId="20191"/>
    <cellStyle name="60% - 强调文字颜色 2 2 3 7 3" xfId="20192"/>
    <cellStyle name="60% - 强调文字颜色 2 2 3 7 3 2" xfId="20193"/>
    <cellStyle name="60% - 强调文字颜色 2 2 3 8" xfId="20194"/>
    <cellStyle name="60% - 强调文字颜色 2 2 3 9" xfId="20195"/>
    <cellStyle name="60% - 强调文字颜色 2 2 4" xfId="20196"/>
    <cellStyle name="60% - 强调文字颜色 2 2 4 2" xfId="20197"/>
    <cellStyle name="60% - 强调文字颜色 2 2 4 2 2" xfId="20198"/>
    <cellStyle name="60% - 强调文字颜色 2 2 4 2 3" xfId="20199"/>
    <cellStyle name="60% - 强调文字颜色 2 2 4 2 3 2" xfId="20200"/>
    <cellStyle name="60% - 强调文字颜色 2 2 4 2 3 2 2" xfId="20201"/>
    <cellStyle name="60% - 强调文字颜色 2 2 4 2 4" xfId="20202"/>
    <cellStyle name="60% - 强调文字颜色 2 2 4 2 4 2" xfId="20203"/>
    <cellStyle name="60% - 强调文字颜色 2 2 4 3" xfId="20204"/>
    <cellStyle name="60% - 强调文字颜色 2 2 4 3 2" xfId="20205"/>
    <cellStyle name="60% - 强调文字颜色 2 2 4 3 2 2" xfId="20206"/>
    <cellStyle name="60% - 强调文字颜色 2 2 4 3 2 2 2" xfId="20207"/>
    <cellStyle name="60% - 强调文字颜色 2 2 4 3 3" xfId="20208"/>
    <cellStyle name="60% - 强调文字颜色 2 2 4 3 3 2" xfId="20209"/>
    <cellStyle name="60% - 强调文字颜色 2 2 4 4" xfId="20210"/>
    <cellStyle name="60% - 强调文字颜色 2 2 4 5" xfId="20211"/>
    <cellStyle name="60% - 强调文字颜色 2 2 4 6" xfId="20212"/>
    <cellStyle name="60% - 强调文字颜色 2 2 5" xfId="20213"/>
    <cellStyle name="60% - 强调文字颜色 2 2 5 2" xfId="20214"/>
    <cellStyle name="60% - 强调文字颜色 2 2 5 2 2" xfId="20215"/>
    <cellStyle name="60% - 强调文字颜色 2 2 5 2 3" xfId="20216"/>
    <cellStyle name="60% - 强调文字颜色 2 2 5 2 3 2" xfId="20217"/>
    <cellStyle name="60% - 强调文字颜色 2 2 5 2 3 2 2" xfId="20218"/>
    <cellStyle name="60% - 强调文字颜色 2 2 5 2 4" xfId="20219"/>
    <cellStyle name="60% - 强调文字颜色 2 2 5 2 4 2" xfId="20220"/>
    <cellStyle name="60% - 强调文字颜色 2 2 5 3" xfId="20221"/>
    <cellStyle name="60% - 强调文字颜色 2 2 5 4" xfId="20222"/>
    <cellStyle name="60% - 强调文字颜色 2 2 5 5" xfId="20223"/>
    <cellStyle name="60% - 强调文字颜色 2 2 5 6" xfId="20224"/>
    <cellStyle name="60% - 强调文字颜色 2 2 6" xfId="20225"/>
    <cellStyle name="60% - 强调文字颜色 2 2 6 2" xfId="20226"/>
    <cellStyle name="60% - 强调文字颜色 2 2 6 2 2" xfId="20227"/>
    <cellStyle name="60% - 强调文字颜色 2 2 6 2 2 2" xfId="20228"/>
    <cellStyle name="60% - 强调文字颜色 2 2 6 2 2 2 2" xfId="20229"/>
    <cellStyle name="60% - 强调文字颜色 2 2 6 2 3" xfId="20230"/>
    <cellStyle name="60% - 强调文字颜色 2 2 6 2 3 2" xfId="20231"/>
    <cellStyle name="60% - 强调文字颜色 2 2 6 3" xfId="20232"/>
    <cellStyle name="60% - 强调文字颜色 2 2 6 3 2" xfId="20233"/>
    <cellStyle name="60% - 强调文字颜色 2 2 6 3 2 2" xfId="20234"/>
    <cellStyle name="60% - 强调文字颜色 2 2 6 4" xfId="20235"/>
    <cellStyle name="60% - 强调文字颜色 2 2 6 4 2" xfId="20236"/>
    <cellStyle name="60% - 强调文字颜色 2 2 7" xfId="20237"/>
    <cellStyle name="60% - 强调文字颜色 2 2 7 2" xfId="20238"/>
    <cellStyle name="60% - 强调文字颜色 2 2 7 2 2" xfId="20239"/>
    <cellStyle name="60% - 强调文字颜色 2 2 7 2 2 2" xfId="20240"/>
    <cellStyle name="60% - 强调文字颜色 2 2 7 2 2 2 2" xfId="20241"/>
    <cellStyle name="60% - 强调文字颜色 2 2 7 2 3" xfId="20242"/>
    <cellStyle name="60% - 强调文字颜色 2 2 7 2 3 2" xfId="20243"/>
    <cellStyle name="60% - 强调文字颜色 2 2 7 3" xfId="20244"/>
    <cellStyle name="60% - 强调文字颜色 2 2 7 3 2" xfId="20245"/>
    <cellStyle name="60% - 强调文字颜色 2 2 7 3 2 2" xfId="20246"/>
    <cellStyle name="60% - 强调文字颜色 2 2 7 4" xfId="20247"/>
    <cellStyle name="60% - 强调文字颜色 2 2 7 4 2" xfId="20248"/>
    <cellStyle name="60% - 强调文字颜色 2 2 8" xfId="20249"/>
    <cellStyle name="60% - 强调文字颜色 2 2 8 2" xfId="20250"/>
    <cellStyle name="60% - 强调文字颜色 2 2 8 2 2" xfId="20251"/>
    <cellStyle name="60% - 强调文字颜色 2 2 8 2 2 2" xfId="20252"/>
    <cellStyle name="60% - 强调文字颜色 2 2 8 2 2 2 2" xfId="20253"/>
    <cellStyle name="60% - 强调文字颜色 2 2 8 2 3" xfId="20254"/>
    <cellStyle name="60% - 强调文字颜色 2 2 8 2 3 2" xfId="20255"/>
    <cellStyle name="60% - 强调文字颜色 2 2 8 3" xfId="20256"/>
    <cellStyle name="60% - 强调文字颜色 2 2 8 3 2" xfId="20257"/>
    <cellStyle name="60% - 强调文字颜色 2 2 8 3 2 2" xfId="20258"/>
    <cellStyle name="60% - 强调文字颜色 2 2 8 4" xfId="20259"/>
    <cellStyle name="60% - 强调文字颜色 2 2 8 4 2" xfId="20260"/>
    <cellStyle name="60% - 强调文字颜色 2 2 9" xfId="20261"/>
    <cellStyle name="60% - 强调文字颜色 2 2 9 2" xfId="20262"/>
    <cellStyle name="60% - 强调文字颜色 2 2 9 2 2" xfId="20263"/>
    <cellStyle name="60% - 强调文字颜色 2 2 9 2 2 2" xfId="20264"/>
    <cellStyle name="60% - 强调文字颜色 2 2 9 3" xfId="20265"/>
    <cellStyle name="60% - 强调文字颜色 2 2 9 3 2" xfId="20266"/>
    <cellStyle name="60% - 强调文字颜色 2 3" xfId="20267"/>
    <cellStyle name="60% - 强调文字颜色 2 3 2" xfId="20268"/>
    <cellStyle name="60% - 强调文字颜色 2 3 2 2" xfId="20269"/>
    <cellStyle name="60% - 强调文字颜色 2 3 2 2 2" xfId="20270"/>
    <cellStyle name="60% - 强调文字颜色 2 3 2 2 2 2" xfId="20271"/>
    <cellStyle name="60% - 强调文字颜色 2 3 2 2 2 3" xfId="20272"/>
    <cellStyle name="60% - 强调文字颜色 2 3 2 2 2 3 2" xfId="20273"/>
    <cellStyle name="60% - 强调文字颜色 2 3 2 2 2 3 2 2" xfId="20274"/>
    <cellStyle name="60% - 强调文字颜色 2 3 2 2 2 4" xfId="20275"/>
    <cellStyle name="60% - 强调文字颜色 2 3 2 2 2 4 2" xfId="20276"/>
    <cellStyle name="60% - 强调文字颜色 2 3 2 2 3" xfId="20277"/>
    <cellStyle name="60% - 强调文字颜色 2 3 2 2 3 2" xfId="20278"/>
    <cellStyle name="60% - 强调文字颜色 2 3 2 2 3 2 2" xfId="20279"/>
    <cellStyle name="60% - 强调文字颜色 2 3 2 2 3 2 2 2" xfId="20280"/>
    <cellStyle name="60% - 强调文字颜色 2 3 2 2 3 3" xfId="20281"/>
    <cellStyle name="60% - 强调文字颜色 2 3 2 2 3 3 2" xfId="20282"/>
    <cellStyle name="60% - 强调文字颜色 2 3 2 2 4" xfId="20283"/>
    <cellStyle name="60% - 强调文字颜色 2 3 2 2 5" xfId="20284"/>
    <cellStyle name="60% - 强调文字颜色 2 3 2 2 6" xfId="20285"/>
    <cellStyle name="60% - 强调文字颜色 2 3 2 3" xfId="20286"/>
    <cellStyle name="60% - 强调文字颜色 2 3 2 3 2" xfId="20287"/>
    <cellStyle name="60% - 强调文字颜色 2 3 2 3 3" xfId="20288"/>
    <cellStyle name="60% - 强调文字颜色 2 3 2 3 3 2" xfId="20289"/>
    <cellStyle name="60% - 强调文字颜色 2 3 2 3 3 2 2" xfId="20290"/>
    <cellStyle name="60% - 强调文字颜色 2 3 2 3 4" xfId="20291"/>
    <cellStyle name="60% - 强调文字颜色 2 3 2 3 4 2" xfId="20292"/>
    <cellStyle name="60% - 强调文字颜色 2 3 2 4" xfId="20293"/>
    <cellStyle name="60% - 强调文字颜色 2 3 2 4 2" xfId="20294"/>
    <cellStyle name="60% - 强调文字颜色 2 3 2 4 2 2" xfId="20295"/>
    <cellStyle name="60% - 强调文字颜色 2 3 2 4 2 2 2" xfId="20296"/>
    <cellStyle name="60% - 强调文字颜色 2 3 2 4 3" xfId="20297"/>
    <cellStyle name="60% - 强调文字颜色 2 3 2 4 3 2" xfId="20298"/>
    <cellStyle name="60% - 强调文字颜色 2 3 2 5" xfId="20299"/>
    <cellStyle name="60% - 强调文字颜色 2 3 2 6" xfId="20300"/>
    <cellStyle name="60% - 强调文字颜色 2 3 2 7" xfId="20301"/>
    <cellStyle name="60% - 强调文字颜色 2 3 3" xfId="20302"/>
    <cellStyle name="60% - 强调文字颜色 2 3 3 2" xfId="20303"/>
    <cellStyle name="60% - 强调文字颜色 2 3 3 2 2" xfId="20304"/>
    <cellStyle name="60% - 强调文字颜色 2 3 3 2 3" xfId="20305"/>
    <cellStyle name="60% - 强调文字颜色 2 3 3 2 3 2" xfId="20306"/>
    <cellStyle name="60% - 强调文字颜色 2 3 3 2 3 2 2" xfId="20307"/>
    <cellStyle name="60% - 强调文字颜色 2 3 3 2 4" xfId="20308"/>
    <cellStyle name="60% - 强调文字颜色 2 3 3 2 4 2" xfId="20309"/>
    <cellStyle name="60% - 强调文字颜色 2 3 3 3" xfId="20310"/>
    <cellStyle name="60% - 强调文字颜色 2 3 3 3 2" xfId="20311"/>
    <cellStyle name="60% - 强调文字颜色 2 3 3 3 2 2" xfId="20312"/>
    <cellStyle name="60% - 强调文字颜色 2 3 3 3 2 2 2" xfId="20313"/>
    <cellStyle name="60% - 强调文字颜色 2 3 3 3 3" xfId="20314"/>
    <cellStyle name="60% - 强调文字颜色 2 3 3 3 3 2" xfId="20315"/>
    <cellStyle name="60% - 强调文字颜色 2 3 3 4" xfId="20316"/>
    <cellStyle name="60% - 强调文字颜色 2 3 3 5" xfId="20317"/>
    <cellStyle name="60% - 强调文字颜色 2 3 3 6" xfId="20318"/>
    <cellStyle name="60% - 强调文字颜色 2 3 4" xfId="20319"/>
    <cellStyle name="60% - 强调文字颜色 2 3 4 2" xfId="20320"/>
    <cellStyle name="60% - 强调文字颜色 2 3 4 2 2" xfId="20321"/>
    <cellStyle name="60% - 强调文字颜色 2 3 4 2 3" xfId="20322"/>
    <cellStyle name="60% - 强调文字颜色 2 3 4 2 3 2" xfId="20323"/>
    <cellStyle name="60% - 强调文字颜色 2 3 4 2 3 2 2" xfId="20324"/>
    <cellStyle name="60% - 强调文字颜色 2 3 4 2 4" xfId="20325"/>
    <cellStyle name="60% - 强调文字颜色 2 3 4 2 4 2" xfId="20326"/>
    <cellStyle name="60% - 强调文字颜色 2 3 4 3" xfId="20327"/>
    <cellStyle name="60% - 强调文字颜色 2 3 4 4" xfId="20328"/>
    <cellStyle name="60% - 强调文字颜色 2 3 4 5" xfId="20329"/>
    <cellStyle name="60% - 强调文字颜色 2 3 4 6" xfId="20330"/>
    <cellStyle name="60% - 强调文字颜色 2 3 5" xfId="20331"/>
    <cellStyle name="60% - 强调文字颜色 2 3 5 2" xfId="20332"/>
    <cellStyle name="60% - 强调文字颜色 2 3 5 2 2" xfId="20333"/>
    <cellStyle name="60% - 强调文字颜色 2 3 5 2 2 2" xfId="20334"/>
    <cellStyle name="60% - 强调文字颜色 2 3 5 2 2 2 2" xfId="20335"/>
    <cellStyle name="60% - 强调文字颜色 2 3 5 2 3" xfId="20336"/>
    <cellStyle name="60% - 强调文字颜色 2 3 5 2 3 2" xfId="20337"/>
    <cellStyle name="60% - 强调文字颜色 2 3 5 3" xfId="20338"/>
    <cellStyle name="60% - 强调文字颜色 2 3 5 3 2" xfId="20339"/>
    <cellStyle name="60% - 强调文字颜色 2 3 5 3 2 2" xfId="20340"/>
    <cellStyle name="60% - 强调文字颜色 2 3 5 4" xfId="20341"/>
    <cellStyle name="60% - 强调文字颜色 2 3 5 4 2" xfId="20342"/>
    <cellStyle name="60% - 强调文字颜色 2 3 6" xfId="20343"/>
    <cellStyle name="60% - 强调文字颜色 2 3 6 2" xfId="20344"/>
    <cellStyle name="60% - 强调文字颜色 2 3 6 2 2" xfId="20345"/>
    <cellStyle name="60% - 强调文字颜色 2 3 6 2 2 2" xfId="20346"/>
    <cellStyle name="60% - 强调文字颜色 2 3 6 3" xfId="20347"/>
    <cellStyle name="60% - 强调文字颜色 2 3 6 3 2" xfId="20348"/>
    <cellStyle name="60% - 强调文字颜色 2 3 7" xfId="20349"/>
    <cellStyle name="60% - 强调文字颜色 2 3 8" xfId="20350"/>
    <cellStyle name="60% - 强调文字颜色 3 2" xfId="20351"/>
    <cellStyle name="60% - 强调文字颜色 3 2 10" xfId="20352"/>
    <cellStyle name="60% - 强调文字颜色 3 2 11" xfId="20353"/>
    <cellStyle name="60% - 强调文字颜色 3 2 2" xfId="20354"/>
    <cellStyle name="60% - 强调文字颜色 3 2 2 10" xfId="20355"/>
    <cellStyle name="60% - 强调文字颜色 3 2 2 11" xfId="20356"/>
    <cellStyle name="60% - 强调文字颜色 3 2 2 2" xfId="20357"/>
    <cellStyle name="60% - 强调文字颜色 3 2 2 2 2" xfId="20358"/>
    <cellStyle name="60% - 强调文字颜色 3 2 2 2 2 2" xfId="20359"/>
    <cellStyle name="60% - 强调文字颜色 3 2 2 2 2 2 2" xfId="20360"/>
    <cellStyle name="60% - 强调文字颜色 3 2 2 2 2 2 3" xfId="20361"/>
    <cellStyle name="60% - 强调文字颜色 3 2 2 2 2 2 3 2" xfId="20362"/>
    <cellStyle name="60% - 强调文字颜色 3 2 2 2 2 2 3 2 2" xfId="20363"/>
    <cellStyle name="60% - 强调文字颜色 3 2 2 2 2 2 4" xfId="20364"/>
    <cellStyle name="60% - 强调文字颜色 3 2 2 2 2 2 4 2" xfId="20365"/>
    <cellStyle name="60% - 强调文字颜色 3 2 2 2 2 3" xfId="20366"/>
    <cellStyle name="60% - 强调文字颜色 3 2 2 2 2 3 2" xfId="20367"/>
    <cellStyle name="60% - 强调文字颜色 3 2 2 2 2 3 2 2" xfId="20368"/>
    <cellStyle name="60% - 强调文字颜色 3 2 2 2 2 3 2 2 2" xfId="20369"/>
    <cellStyle name="60% - 强调文字颜色 3 2 2 2 2 3 3" xfId="20370"/>
    <cellStyle name="60% - 强调文字颜色 3 2 2 2 2 3 3 2" xfId="20371"/>
    <cellStyle name="60% - 强调文字颜色 3 2 2 2 2 4" xfId="20372"/>
    <cellStyle name="60% - 强调文字颜色 3 2 2 2 2 5" xfId="20373"/>
    <cellStyle name="60% - 强调文字颜色 3 2 2 2 2 6" xfId="20374"/>
    <cellStyle name="60% - 强调文字颜色 3 2 2 2 3" xfId="20375"/>
    <cellStyle name="60% - 强调文字颜色 3 2 2 2 3 2" xfId="20376"/>
    <cellStyle name="60% - 强调文字颜色 3 2 2 2 3 3" xfId="20377"/>
    <cellStyle name="60% - 强调文字颜色 3 2 2 2 3 3 2" xfId="20378"/>
    <cellStyle name="60% - 强调文字颜色 3 2 2 2 3 3 2 2" xfId="20379"/>
    <cellStyle name="60% - 强调文字颜色 3 2 2 2 3 4" xfId="20380"/>
    <cellStyle name="60% - 强调文字颜色 3 2 2 2 3 4 2" xfId="20381"/>
    <cellStyle name="60% - 强调文字颜色 3 2 2 2 4" xfId="20382"/>
    <cellStyle name="60% - 强调文字颜色 3 2 2 2 4 2" xfId="20383"/>
    <cellStyle name="60% - 强调文字颜色 3 2 2 2 4 2 2" xfId="20384"/>
    <cellStyle name="60% - 强调文字颜色 3 2 2 2 4 2 2 2" xfId="20385"/>
    <cellStyle name="60% - 强调文字颜色 3 2 2 2 4 3" xfId="20386"/>
    <cellStyle name="60% - 强调文字颜色 3 2 2 2 4 3 2" xfId="20387"/>
    <cellStyle name="60% - 强调文字颜色 3 2 2 2 5" xfId="20388"/>
    <cellStyle name="60% - 强调文字颜色 3 2 2 2 6" xfId="20389"/>
    <cellStyle name="60% - 强调文字颜色 3 2 2 2 7" xfId="20390"/>
    <cellStyle name="60% - 强调文字颜色 3 2 2 3" xfId="20391"/>
    <cellStyle name="60% - 强调文字颜色 3 2 2 3 2" xfId="20392"/>
    <cellStyle name="60% - 强调文字颜色 3 2 2 3 2 2" xfId="20393"/>
    <cellStyle name="60% - 强调文字颜色 3 2 2 3 2 3" xfId="20394"/>
    <cellStyle name="60% - 强调文字颜色 3 2 2 3 2 3 2" xfId="20395"/>
    <cellStyle name="60% - 强调文字颜色 3 2 2 3 2 3 2 2" xfId="20396"/>
    <cellStyle name="60% - 强调文字颜色 3 2 2 3 2 4" xfId="20397"/>
    <cellStyle name="60% - 强调文字颜色 3 2 2 3 2 4 2" xfId="20398"/>
    <cellStyle name="60% - 强调文字颜色 3 2 2 3 3" xfId="20399"/>
    <cellStyle name="60% - 强调文字颜色 3 2 2 3 3 2" xfId="20400"/>
    <cellStyle name="60% - 强调文字颜色 3 2 2 3 3 2 2" xfId="20401"/>
    <cellStyle name="60% - 强调文字颜色 3 2 2 3 3 2 2 2" xfId="20402"/>
    <cellStyle name="60% - 强调文字颜色 3 2 2 3 3 3" xfId="20403"/>
    <cellStyle name="60% - 强调文字颜色 3 2 2 3 3 3 2" xfId="20404"/>
    <cellStyle name="60% - 强调文字颜色 3 2 2 3 4" xfId="20405"/>
    <cellStyle name="60% - 强调文字颜色 3 2 2 3 5" xfId="20406"/>
    <cellStyle name="60% - 强调文字颜色 3 2 2 3 6" xfId="20407"/>
    <cellStyle name="60% - 强调文字颜色 3 2 2 4" xfId="20408"/>
    <cellStyle name="60% - 强调文字颜色 3 2 2 4 2" xfId="20409"/>
    <cellStyle name="60% - 强调文字颜色 3 2 2 4 2 2" xfId="20410"/>
    <cellStyle name="60% - 强调文字颜色 3 2 2 4 2 3" xfId="20411"/>
    <cellStyle name="60% - 强调文字颜色 3 2 2 4 2 3 2" xfId="20412"/>
    <cellStyle name="60% - 强调文字颜色 3 2 2 4 2 3 2 2" xfId="20413"/>
    <cellStyle name="60% - 强调文字颜色 3 2 2 4 2 4" xfId="20414"/>
    <cellStyle name="60% - 强调文字颜色 3 2 2 4 2 4 2" xfId="20415"/>
    <cellStyle name="60% - 强调文字颜色 3 2 2 4 3" xfId="20416"/>
    <cellStyle name="60% - 强调文字颜色 3 2 2 4 4" xfId="20417"/>
    <cellStyle name="60% - 强调文字颜色 3 2 2 4 5" xfId="20418"/>
    <cellStyle name="60% - 强调文字颜色 3 2 2 4 6" xfId="20419"/>
    <cellStyle name="60% - 强调文字颜色 3 2 2 5" xfId="20420"/>
    <cellStyle name="60% - 强调文字颜色 3 2 2 5 2" xfId="20421"/>
    <cellStyle name="60% - 强调文字颜色 3 2 2 5 2 2" xfId="20422"/>
    <cellStyle name="60% - 强调文字颜色 3 2 2 5 2 2 2" xfId="20423"/>
    <cellStyle name="60% - 强调文字颜色 3 2 2 5 2 2 2 2" xfId="20424"/>
    <cellStyle name="60% - 强调文字颜色 3 2 2 5 2 3" xfId="20425"/>
    <cellStyle name="60% - 强调文字颜色 3 2 2 5 2 3 2" xfId="20426"/>
    <cellStyle name="60% - 强调文字颜色 3 2 2 5 3" xfId="20427"/>
    <cellStyle name="60% - 强调文字颜色 3 2 2 5 3 2" xfId="20428"/>
    <cellStyle name="60% - 强调文字颜色 3 2 2 5 3 2 2" xfId="20429"/>
    <cellStyle name="60% - 强调文字颜色 3 2 2 5 4" xfId="20430"/>
    <cellStyle name="60% - 强调文字颜色 3 2 2 5 4 2" xfId="20431"/>
    <cellStyle name="60% - 强调文字颜色 3 2 2 6" xfId="20432"/>
    <cellStyle name="60% - 强调文字颜色 3 2 2 6 2" xfId="20433"/>
    <cellStyle name="60% - 强调文字颜色 3 2 2 6 2 2" xfId="20434"/>
    <cellStyle name="60% - 强调文字颜色 3 2 2 6 2 2 2" xfId="20435"/>
    <cellStyle name="60% - 强调文字颜色 3 2 2 6 2 2 2 2" xfId="20436"/>
    <cellStyle name="60% - 强调文字颜色 3 2 2 6 2 3" xfId="20437"/>
    <cellStyle name="60% - 强调文字颜色 3 2 2 6 2 3 2" xfId="20438"/>
    <cellStyle name="60% - 强调文字颜色 3 2 2 6 3" xfId="20439"/>
    <cellStyle name="60% - 强调文字颜色 3 2 2 6 3 2" xfId="20440"/>
    <cellStyle name="60% - 强调文字颜色 3 2 2 6 3 2 2" xfId="20441"/>
    <cellStyle name="60% - 强调文字颜色 3 2 2 6 4" xfId="20442"/>
    <cellStyle name="60% - 强调文字颜色 3 2 2 6 4 2" xfId="20443"/>
    <cellStyle name="60% - 强调文字颜色 3 2 2 7" xfId="20444"/>
    <cellStyle name="60% - 强调文字颜色 3 2 2 7 2" xfId="20445"/>
    <cellStyle name="60% - 强调文字颜色 3 2 2 7 2 2" xfId="20446"/>
    <cellStyle name="60% - 强调文字颜色 3 2 2 7 2 2 2" xfId="20447"/>
    <cellStyle name="60% - 强调文字颜色 3 2 2 7 2 2 2 2" xfId="20448"/>
    <cellStyle name="60% - 强调文字颜色 3 2 2 7 2 3" xfId="20449"/>
    <cellStyle name="60% - 强调文字颜色 3 2 2 7 2 3 2" xfId="20450"/>
    <cellStyle name="60% - 强调文字颜色 3 2 2 7 3" xfId="20451"/>
    <cellStyle name="60% - 强调文字颜色 3 2 2 7 3 2" xfId="20452"/>
    <cellStyle name="60% - 强调文字颜色 3 2 2 7 3 2 2" xfId="20453"/>
    <cellStyle name="60% - 强调文字颜色 3 2 2 7 4" xfId="20454"/>
    <cellStyle name="60% - 强调文字颜色 3 2 2 7 4 2" xfId="20455"/>
    <cellStyle name="60% - 强调文字颜色 3 2 2 8" xfId="20456"/>
    <cellStyle name="60% - 强调文字颜色 3 2 2 8 2" xfId="20457"/>
    <cellStyle name="60% - 强调文字颜色 3 2 2 8 2 2" xfId="20458"/>
    <cellStyle name="60% - 强调文字颜色 3 2 2 8 2 2 2" xfId="20459"/>
    <cellStyle name="60% - 强调文字颜色 3 2 2 8 3" xfId="20460"/>
    <cellStyle name="60% - 强调文字颜色 3 2 2 8 3 2" xfId="20461"/>
    <cellStyle name="60% - 强调文字颜色 3 2 2 9" xfId="20462"/>
    <cellStyle name="60% - 强调文字颜色 3 2 2 9 2" xfId="20463"/>
    <cellStyle name="60% - 强调文字颜色 3 2 2 9 2 2" xfId="20464"/>
    <cellStyle name="60% - 强调文字颜色 3 2 2 9 2 2 2" xfId="20465"/>
    <cellStyle name="60% - 强调文字颜色 3 2 2 9 3" xfId="20466"/>
    <cellStyle name="60% - 强调文字颜色 3 2 2 9 3 2" xfId="20467"/>
    <cellStyle name="60% - 强调文字颜色 3 2 3" xfId="20468"/>
    <cellStyle name="60% - 强调文字颜色 3 2 3 2" xfId="20469"/>
    <cellStyle name="60% - 强调文字颜色 3 2 3 2 2" xfId="20470"/>
    <cellStyle name="60% - 强调文字颜色 3 2 3 2 2 2" xfId="20471"/>
    <cellStyle name="60% - 强调文字颜色 3 2 3 2 2 2 2" xfId="20472"/>
    <cellStyle name="60% - 强调文字颜色 3 2 3 2 2 2 3" xfId="20473"/>
    <cellStyle name="60% - 强调文字颜色 3 2 3 2 2 2 3 2" xfId="20474"/>
    <cellStyle name="60% - 强调文字颜色 3 2 3 2 2 2 3 2 2" xfId="20475"/>
    <cellStyle name="60% - 强调文字颜色 3 2 3 2 2 2 4" xfId="20476"/>
    <cellStyle name="60% - 强调文字颜色 3 2 3 2 2 2 4 2" xfId="20477"/>
    <cellStyle name="60% - 强调文字颜色 3 2 3 2 2 3" xfId="20478"/>
    <cellStyle name="60% - 强调文字颜色 3 2 3 2 2 3 2" xfId="20479"/>
    <cellStyle name="60% - 强调文字颜色 3 2 3 2 2 3 2 2" xfId="20480"/>
    <cellStyle name="60% - 强调文字颜色 3 2 3 2 2 3 2 2 2" xfId="20481"/>
    <cellStyle name="60% - 强调文字颜色 3 2 3 2 2 3 3" xfId="20482"/>
    <cellStyle name="60% - 强调文字颜色 3 2 3 2 2 3 3 2" xfId="20483"/>
    <cellStyle name="60% - 强调文字颜色 3 2 3 2 2 4" xfId="20484"/>
    <cellStyle name="60% - 强调文字颜色 3 2 3 2 2 5" xfId="20485"/>
    <cellStyle name="60% - 强调文字颜色 3 2 3 2 2 6" xfId="20486"/>
    <cellStyle name="60% - 强调文字颜色 3 2 3 2 3" xfId="20487"/>
    <cellStyle name="60% - 强调文字颜色 3 2 3 2 3 2" xfId="20488"/>
    <cellStyle name="60% - 强调文字颜色 3 2 3 2 3 3" xfId="20489"/>
    <cellStyle name="60% - 强调文字颜色 3 2 3 2 3 3 2" xfId="20490"/>
    <cellStyle name="60% - 强调文字颜色 3 2 3 2 3 3 2 2" xfId="20491"/>
    <cellStyle name="60% - 强调文字颜色 3 2 3 2 3 4" xfId="20492"/>
    <cellStyle name="60% - 强调文字颜色 3 2 3 2 3 4 2" xfId="20493"/>
    <cellStyle name="60% - 强调文字颜色 3 2 3 2 4" xfId="20494"/>
    <cellStyle name="60% - 强调文字颜色 3 2 3 2 4 2" xfId="20495"/>
    <cellStyle name="60% - 强调文字颜色 3 2 3 2 4 2 2" xfId="20496"/>
    <cellStyle name="60% - 强调文字颜色 3 2 3 2 4 2 2 2" xfId="20497"/>
    <cellStyle name="60% - 强调文字颜色 3 2 3 2 4 3" xfId="20498"/>
    <cellStyle name="60% - 强调文字颜色 3 2 3 2 4 3 2" xfId="20499"/>
    <cellStyle name="60% - 强调文字颜色 3 2 3 2 5" xfId="20500"/>
    <cellStyle name="60% - 强调文字颜色 3 2 3 2 6" xfId="20501"/>
    <cellStyle name="60% - 强调文字颜色 3 2 3 2 7" xfId="20502"/>
    <cellStyle name="60% - 强调文字颜色 3 2 3 3" xfId="20503"/>
    <cellStyle name="60% - 强调文字颜色 3 2 3 3 2" xfId="20504"/>
    <cellStyle name="60% - 强调文字颜色 3 2 3 3 2 2" xfId="20505"/>
    <cellStyle name="60% - 强调文字颜色 3 2 3 3 2 3" xfId="20506"/>
    <cellStyle name="60% - 强调文字颜色 3 2 3 3 2 3 2" xfId="20507"/>
    <cellStyle name="60% - 强调文字颜色 3 2 3 3 2 3 2 2" xfId="20508"/>
    <cellStyle name="60% - 强调文字颜色 3 2 3 3 2 4" xfId="20509"/>
    <cellStyle name="60% - 强调文字颜色 3 2 3 3 2 4 2" xfId="20510"/>
    <cellStyle name="60% - 强调文字颜色 3 2 3 3 3" xfId="20511"/>
    <cellStyle name="60% - 强调文字颜色 3 2 3 3 3 2" xfId="20512"/>
    <cellStyle name="60% - 强调文字颜色 3 2 3 3 3 2 2" xfId="20513"/>
    <cellStyle name="60% - 强调文字颜色 3 2 3 3 3 2 2 2" xfId="20514"/>
    <cellStyle name="60% - 强调文字颜色 3 2 3 3 3 3" xfId="20515"/>
    <cellStyle name="60% - 强调文字颜色 3 2 3 3 3 3 2" xfId="20516"/>
    <cellStyle name="60% - 强调文字颜色 3 2 3 3 4" xfId="20517"/>
    <cellStyle name="60% - 强调文字颜色 3 2 3 3 5" xfId="20518"/>
    <cellStyle name="60% - 强调文字颜色 3 2 3 3 6" xfId="20519"/>
    <cellStyle name="60% - 强调文字颜色 3 2 3 4" xfId="20520"/>
    <cellStyle name="60% - 强调文字颜色 3 2 3 4 2" xfId="20521"/>
    <cellStyle name="60% - 强调文字颜色 3 2 3 4 2 2" xfId="20522"/>
    <cellStyle name="60% - 强调文字颜色 3 2 3 4 2 3" xfId="20523"/>
    <cellStyle name="60% - 强调文字颜色 3 2 3 4 2 3 2" xfId="20524"/>
    <cellStyle name="60% - 强调文字颜色 3 2 3 4 2 3 2 2" xfId="20525"/>
    <cellStyle name="60% - 强调文字颜色 3 2 3 4 2 4" xfId="20526"/>
    <cellStyle name="60% - 强调文字颜色 3 2 3 4 2 4 2" xfId="20527"/>
    <cellStyle name="60% - 强调文字颜色 3 2 3 4 3" xfId="20528"/>
    <cellStyle name="60% - 强调文字颜色 3 2 3 4 4" xfId="20529"/>
    <cellStyle name="60% - 强调文字颜色 3 2 3 4 5" xfId="20530"/>
    <cellStyle name="60% - 强调文字颜色 3 2 3 4 6" xfId="20531"/>
    <cellStyle name="60% - 强调文字颜色 3 2 3 5" xfId="20532"/>
    <cellStyle name="60% - 强调文字颜色 3 2 3 5 2" xfId="20533"/>
    <cellStyle name="60% - 强调文字颜色 3 2 3 5 2 2" xfId="20534"/>
    <cellStyle name="60% - 强调文字颜色 3 2 3 5 2 2 2" xfId="20535"/>
    <cellStyle name="60% - 强调文字颜色 3 2 3 5 2 2 2 2" xfId="20536"/>
    <cellStyle name="60% - 强调文字颜色 3 2 3 5 2 3" xfId="20537"/>
    <cellStyle name="60% - 强调文字颜色 3 2 3 5 2 3 2" xfId="20538"/>
    <cellStyle name="60% - 强调文字颜色 3 2 3 5 3" xfId="20539"/>
    <cellStyle name="60% - 强调文字颜色 3 2 3 5 3 2" xfId="20540"/>
    <cellStyle name="60% - 强调文字颜色 3 2 3 5 3 2 2" xfId="20541"/>
    <cellStyle name="60% - 强调文字颜色 3 2 3 5 4" xfId="20542"/>
    <cellStyle name="60% - 强调文字颜色 3 2 3 5 4 2" xfId="20543"/>
    <cellStyle name="60% - 强调文字颜色 3 2 3 6" xfId="20544"/>
    <cellStyle name="60% - 强调文字颜色 3 2 3 6 2" xfId="20545"/>
    <cellStyle name="60% - 强调文字颜色 3 2 3 6 2 2" xfId="20546"/>
    <cellStyle name="60% - 强调文字颜色 3 2 3 6 2 2 2" xfId="20547"/>
    <cellStyle name="60% - 强调文字颜色 3 2 3 6 3" xfId="20548"/>
    <cellStyle name="60% - 强调文字颜色 3 2 3 6 3 2" xfId="20549"/>
    <cellStyle name="60% - 强调文字颜色 3 2 3 7" xfId="20550"/>
    <cellStyle name="60% - 强调文字颜色 3 2 3 7 2" xfId="20551"/>
    <cellStyle name="60% - 强调文字颜色 3 2 3 7 2 2" xfId="20552"/>
    <cellStyle name="60% - 强调文字颜色 3 2 3 7 2 2 2" xfId="20553"/>
    <cellStyle name="60% - 强调文字颜色 3 2 3 7 3" xfId="20554"/>
    <cellStyle name="60% - 强调文字颜色 3 2 3 7 3 2" xfId="20555"/>
    <cellStyle name="60% - 强调文字颜色 3 2 3 8" xfId="20556"/>
    <cellStyle name="60% - 强调文字颜色 3 2 3 9" xfId="20557"/>
    <cellStyle name="60% - 强调文字颜色 3 2 4" xfId="20558"/>
    <cellStyle name="60% - 强调文字颜色 3 2 4 2" xfId="20559"/>
    <cellStyle name="60% - 强调文字颜色 3 2 4 2 2" xfId="20560"/>
    <cellStyle name="60% - 强调文字颜色 3 2 4 2 3" xfId="20561"/>
    <cellStyle name="60% - 强调文字颜色 3 2 4 2 3 2" xfId="20562"/>
    <cellStyle name="60% - 强调文字颜色 3 2 4 2 3 2 2" xfId="20563"/>
    <cellStyle name="60% - 强调文字颜色 3 2 4 2 4" xfId="20564"/>
    <cellStyle name="60% - 强调文字颜色 3 2 4 2 4 2" xfId="20565"/>
    <cellStyle name="60% - 强调文字颜色 3 2 4 3" xfId="20566"/>
    <cellStyle name="60% - 强调文字颜色 3 2 4 3 2" xfId="20567"/>
    <cellStyle name="60% - 强调文字颜色 3 2 4 3 2 2" xfId="20568"/>
    <cellStyle name="60% - 强调文字颜色 3 2 4 3 2 2 2" xfId="20569"/>
    <cellStyle name="60% - 强调文字颜色 3 2 4 3 3" xfId="20570"/>
    <cellStyle name="60% - 强调文字颜色 3 2 4 3 3 2" xfId="20571"/>
    <cellStyle name="60% - 强调文字颜色 3 2 4 4" xfId="20572"/>
    <cellStyle name="60% - 强调文字颜色 3 2 4 5" xfId="20573"/>
    <cellStyle name="60% - 强调文字颜色 3 2 4 6" xfId="20574"/>
    <cellStyle name="60% - 强调文字颜色 3 2 5" xfId="20575"/>
    <cellStyle name="60% - 强调文字颜色 3 2 5 2" xfId="20576"/>
    <cellStyle name="60% - 强调文字颜色 3 2 5 2 2" xfId="20577"/>
    <cellStyle name="60% - 强调文字颜色 3 2 5 2 3" xfId="20578"/>
    <cellStyle name="60% - 强调文字颜色 3 2 5 2 3 2" xfId="20579"/>
    <cellStyle name="60% - 强调文字颜色 3 2 5 2 3 2 2" xfId="20580"/>
    <cellStyle name="60% - 强调文字颜色 3 2 5 2 4" xfId="20581"/>
    <cellStyle name="60% - 强调文字颜色 3 2 5 2 4 2" xfId="20582"/>
    <cellStyle name="60% - 强调文字颜色 3 2 5 3" xfId="20583"/>
    <cellStyle name="60% - 强调文字颜色 3 2 5 4" xfId="20584"/>
    <cellStyle name="60% - 强调文字颜色 3 2 5 5" xfId="20585"/>
    <cellStyle name="60% - 强调文字颜色 3 2 5 6" xfId="20586"/>
    <cellStyle name="60% - 强调文字颜色 3 2 6" xfId="20587"/>
    <cellStyle name="60% - 强调文字颜色 3 2 6 2" xfId="20588"/>
    <cellStyle name="60% - 强调文字颜色 3 2 6 2 2" xfId="20589"/>
    <cellStyle name="60% - 强调文字颜色 3 2 6 2 2 2" xfId="20590"/>
    <cellStyle name="60% - 强调文字颜色 3 2 6 2 2 2 2" xfId="20591"/>
    <cellStyle name="60% - 强调文字颜色 3 2 6 2 3" xfId="20592"/>
    <cellStyle name="60% - 强调文字颜色 3 2 6 2 3 2" xfId="20593"/>
    <cellStyle name="60% - 强调文字颜色 3 2 6 3" xfId="20594"/>
    <cellStyle name="60% - 强调文字颜色 3 2 6 3 2" xfId="20595"/>
    <cellStyle name="60% - 强调文字颜色 3 2 6 3 2 2" xfId="20596"/>
    <cellStyle name="60% - 强调文字颜色 3 2 6 4" xfId="20597"/>
    <cellStyle name="60% - 强调文字颜色 3 2 6 4 2" xfId="20598"/>
    <cellStyle name="60% - 强调文字颜色 3 2 7" xfId="20599"/>
    <cellStyle name="60% - 强调文字颜色 3 2 7 2" xfId="20600"/>
    <cellStyle name="60% - 强调文字颜色 3 2 7 2 2" xfId="20601"/>
    <cellStyle name="60% - 强调文字颜色 3 2 7 2 2 2" xfId="20602"/>
    <cellStyle name="60% - 强调文字颜色 3 2 7 2 2 2 2" xfId="20603"/>
    <cellStyle name="60% - 强调文字颜色 3 2 7 2 3" xfId="20604"/>
    <cellStyle name="60% - 强调文字颜色 3 2 7 2 3 2" xfId="20605"/>
    <cellStyle name="60% - 强调文字颜色 3 2 7 3" xfId="20606"/>
    <cellStyle name="60% - 强调文字颜色 3 2 7 3 2" xfId="20607"/>
    <cellStyle name="60% - 强调文字颜色 3 2 7 3 2 2" xfId="20608"/>
    <cellStyle name="60% - 强调文字颜色 3 2 7 4" xfId="20609"/>
    <cellStyle name="60% - 强调文字颜色 3 2 7 4 2" xfId="20610"/>
    <cellStyle name="60% - 强调文字颜色 3 2 8" xfId="20611"/>
    <cellStyle name="60% - 强调文字颜色 3 2 8 2" xfId="20612"/>
    <cellStyle name="60% - 强调文字颜色 3 2 8 2 2" xfId="20613"/>
    <cellStyle name="60% - 强调文字颜色 3 2 8 2 2 2" xfId="20614"/>
    <cellStyle name="60% - 强调文字颜色 3 2 8 2 2 2 2" xfId="20615"/>
    <cellStyle name="60% - 强调文字颜色 3 2 8 2 3" xfId="20616"/>
    <cellStyle name="60% - 强调文字颜色 3 2 8 2 3 2" xfId="20617"/>
    <cellStyle name="60% - 强调文字颜色 3 2 8 3" xfId="20618"/>
    <cellStyle name="60% - 强调文字颜色 3 2 8 3 2" xfId="20619"/>
    <cellStyle name="60% - 强调文字颜色 3 2 8 3 2 2" xfId="20620"/>
    <cellStyle name="60% - 强调文字颜色 3 2 8 4" xfId="20621"/>
    <cellStyle name="60% - 强调文字颜色 3 2 8 4 2" xfId="20622"/>
    <cellStyle name="60% - 强调文字颜色 3 2 9" xfId="20623"/>
    <cellStyle name="60% - 强调文字颜色 3 2 9 2" xfId="20624"/>
    <cellStyle name="60% - 强调文字颜色 3 2 9 2 2" xfId="20625"/>
    <cellStyle name="60% - 强调文字颜色 3 2 9 2 2 2" xfId="20626"/>
    <cellStyle name="60% - 强调文字颜色 3 2 9 3" xfId="20627"/>
    <cellStyle name="60% - 强调文字颜色 3 2 9 3 2" xfId="20628"/>
    <cellStyle name="60% - 强调文字颜色 3 3" xfId="20629"/>
    <cellStyle name="60% - 强调文字颜色 3 3 2" xfId="20630"/>
    <cellStyle name="60% - 强调文字颜色 3 3 2 2" xfId="20631"/>
    <cellStyle name="60% - 强调文字颜色 3 3 2 2 2" xfId="20632"/>
    <cellStyle name="60% - 强调文字颜色 3 3 2 2 2 2" xfId="20633"/>
    <cellStyle name="60% - 强调文字颜色 3 3 2 2 2 3" xfId="20634"/>
    <cellStyle name="60% - 强调文字颜色 3 3 2 2 2 3 2" xfId="20635"/>
    <cellStyle name="60% - 强调文字颜色 3 3 2 2 2 3 2 2" xfId="20636"/>
    <cellStyle name="60% - 强调文字颜色 3 3 2 2 2 4" xfId="20637"/>
    <cellStyle name="60% - 强调文字颜色 3 3 2 2 2 4 2" xfId="20638"/>
    <cellStyle name="60% - 强调文字颜色 3 3 2 2 3" xfId="20639"/>
    <cellStyle name="60% - 强调文字颜色 3 3 2 2 3 2" xfId="20640"/>
    <cellStyle name="60% - 强调文字颜色 3 3 2 2 3 2 2" xfId="20641"/>
    <cellStyle name="60% - 强调文字颜色 3 3 2 2 3 2 2 2" xfId="20642"/>
    <cellStyle name="60% - 强调文字颜色 3 3 2 2 3 3" xfId="20643"/>
    <cellStyle name="60% - 强调文字颜色 3 3 2 2 3 3 2" xfId="20644"/>
    <cellStyle name="60% - 强调文字颜色 3 3 2 2 4" xfId="20645"/>
    <cellStyle name="60% - 强调文字颜色 3 3 2 2 5" xfId="20646"/>
    <cellStyle name="60% - 强调文字颜色 3 3 2 2 6" xfId="20647"/>
    <cellStyle name="60% - 强调文字颜色 3 3 2 3" xfId="20648"/>
    <cellStyle name="60% - 强调文字颜色 3 3 2 3 2" xfId="20649"/>
    <cellStyle name="60% - 强调文字颜色 3 3 2 3 3" xfId="20650"/>
    <cellStyle name="60% - 强调文字颜色 3 3 2 3 3 2" xfId="20651"/>
    <cellStyle name="60% - 强调文字颜色 3 3 2 3 3 2 2" xfId="20652"/>
    <cellStyle name="60% - 强调文字颜色 3 3 2 3 4" xfId="20653"/>
    <cellStyle name="60% - 强调文字颜色 3 3 2 3 4 2" xfId="20654"/>
    <cellStyle name="60% - 强调文字颜色 3 3 2 4" xfId="20655"/>
    <cellStyle name="60% - 强调文字颜色 3 3 2 4 2" xfId="20656"/>
    <cellStyle name="60% - 强调文字颜色 3 3 2 4 2 2" xfId="20657"/>
    <cellStyle name="60% - 强调文字颜色 3 3 2 4 2 2 2" xfId="20658"/>
    <cellStyle name="60% - 强调文字颜色 3 3 2 4 3" xfId="20659"/>
    <cellStyle name="60% - 强调文字颜色 3 3 2 4 3 2" xfId="20660"/>
    <cellStyle name="60% - 强调文字颜色 3 3 2 5" xfId="20661"/>
    <cellStyle name="60% - 强调文字颜色 3 3 2 6" xfId="20662"/>
    <cellStyle name="60% - 强调文字颜色 3 3 2 7" xfId="20663"/>
    <cellStyle name="60% - 强调文字颜色 3 3 3" xfId="20664"/>
    <cellStyle name="60% - 强调文字颜色 3 3 3 2" xfId="20665"/>
    <cellStyle name="60% - 强调文字颜色 3 3 3 2 2" xfId="20666"/>
    <cellStyle name="60% - 强调文字颜色 3 3 3 2 3" xfId="20667"/>
    <cellStyle name="60% - 强调文字颜色 3 3 3 2 3 2" xfId="20668"/>
    <cellStyle name="60% - 强调文字颜色 3 3 3 2 3 2 2" xfId="20669"/>
    <cellStyle name="60% - 强调文字颜色 3 3 3 2 4" xfId="20670"/>
    <cellStyle name="60% - 强调文字颜色 3 3 3 2 4 2" xfId="20671"/>
    <cellStyle name="60% - 强调文字颜色 3 3 3 3" xfId="20672"/>
    <cellStyle name="60% - 强调文字颜色 3 3 3 3 2" xfId="20673"/>
    <cellStyle name="60% - 强调文字颜色 3 3 3 3 2 2" xfId="20674"/>
    <cellStyle name="60% - 强调文字颜色 3 3 3 3 2 2 2" xfId="20675"/>
    <cellStyle name="60% - 强调文字颜色 3 3 3 3 3" xfId="20676"/>
    <cellStyle name="60% - 强调文字颜色 3 3 3 3 3 2" xfId="20677"/>
    <cellStyle name="60% - 强调文字颜色 3 3 3 4" xfId="20678"/>
    <cellStyle name="60% - 强调文字颜色 3 3 3 5" xfId="20679"/>
    <cellStyle name="60% - 强调文字颜色 3 3 3 6" xfId="20680"/>
    <cellStyle name="60% - 强调文字颜色 3 3 4" xfId="20681"/>
    <cellStyle name="60% - 强调文字颜色 3 3 4 2" xfId="20682"/>
    <cellStyle name="60% - 强调文字颜色 3 3 4 2 2" xfId="20683"/>
    <cellStyle name="60% - 强调文字颜色 3 3 4 2 3" xfId="20684"/>
    <cellStyle name="60% - 强调文字颜色 3 3 4 2 3 2" xfId="20685"/>
    <cellStyle name="60% - 强调文字颜色 3 3 4 2 3 2 2" xfId="20686"/>
    <cellStyle name="60% - 强调文字颜色 3 3 4 2 4" xfId="20687"/>
    <cellStyle name="60% - 强调文字颜色 3 3 4 2 4 2" xfId="20688"/>
    <cellStyle name="60% - 强调文字颜色 3 3 4 3" xfId="20689"/>
    <cellStyle name="60% - 强调文字颜色 3 3 4 4" xfId="20690"/>
    <cellStyle name="60% - 强调文字颜色 3 3 4 5" xfId="20691"/>
    <cellStyle name="60% - 强调文字颜色 3 3 4 6" xfId="20692"/>
    <cellStyle name="60% - 强调文字颜色 3 3 5" xfId="20693"/>
    <cellStyle name="60% - 强调文字颜色 3 3 5 2" xfId="20694"/>
    <cellStyle name="60% - 强调文字颜色 3 3 5 2 2" xfId="20695"/>
    <cellStyle name="60% - 强调文字颜色 3 3 5 2 2 2" xfId="20696"/>
    <cellStyle name="60% - 强调文字颜色 3 3 5 2 2 2 2" xfId="20697"/>
    <cellStyle name="60% - 强调文字颜色 3 3 5 2 3" xfId="20698"/>
    <cellStyle name="60% - 强调文字颜色 3 3 5 2 3 2" xfId="20699"/>
    <cellStyle name="60% - 强调文字颜色 3 3 5 3" xfId="20700"/>
    <cellStyle name="60% - 强调文字颜色 3 3 5 3 2" xfId="20701"/>
    <cellStyle name="60% - 强调文字颜色 3 3 5 3 2 2" xfId="20702"/>
    <cellStyle name="60% - 强调文字颜色 3 3 5 4" xfId="20703"/>
    <cellStyle name="60% - 强调文字颜色 3 3 5 4 2" xfId="20704"/>
    <cellStyle name="60% - 强调文字颜色 3 3 6" xfId="20705"/>
    <cellStyle name="60% - 强调文字颜色 3 3 6 2" xfId="20706"/>
    <cellStyle name="60% - 强调文字颜色 3 3 6 2 2" xfId="20707"/>
    <cellStyle name="60% - 强调文字颜色 3 3 6 2 2 2" xfId="20708"/>
    <cellStyle name="60% - 强调文字颜色 3 3 6 3" xfId="20709"/>
    <cellStyle name="60% - 强调文字颜色 3 3 6 3 2" xfId="20710"/>
    <cellStyle name="60% - 强调文字颜色 3 3 7" xfId="20711"/>
    <cellStyle name="60% - 强调文字颜色 3 3 8" xfId="20712"/>
    <cellStyle name="60% - 强调文字颜色 4 2" xfId="20713"/>
    <cellStyle name="60% - 强调文字颜色 4 2 10" xfId="20714"/>
    <cellStyle name="60% - 强调文字颜色 4 2 11" xfId="20715"/>
    <cellStyle name="60% - 强调文字颜色 4 2 2" xfId="20716"/>
    <cellStyle name="60% - 强调文字颜色 4 2 2 10" xfId="20717"/>
    <cellStyle name="60% - 强调文字颜色 4 2 2 11" xfId="20718"/>
    <cellStyle name="60% - 强调文字颜色 4 2 2 2" xfId="20719"/>
    <cellStyle name="60% - 强调文字颜色 4 2 2 2 2" xfId="20720"/>
    <cellStyle name="60% - 强调文字颜色 4 2 2 2 2 2" xfId="20721"/>
    <cellStyle name="60% - 强调文字颜色 4 2 2 2 2 2 2" xfId="20722"/>
    <cellStyle name="60% - 强调文字颜色 4 2 2 2 2 2 3" xfId="20723"/>
    <cellStyle name="60% - 强调文字颜色 4 2 2 2 2 2 3 2" xfId="20724"/>
    <cellStyle name="60% - 强调文字颜色 4 2 2 2 2 2 3 2 2" xfId="20725"/>
    <cellStyle name="60% - 强调文字颜色 4 2 2 2 2 2 4" xfId="20726"/>
    <cellStyle name="60% - 强调文字颜色 4 2 2 2 2 2 4 2" xfId="20727"/>
    <cellStyle name="60% - 强调文字颜色 4 2 2 2 2 3" xfId="20728"/>
    <cellStyle name="60% - 强调文字颜色 4 2 2 2 2 3 2" xfId="20729"/>
    <cellStyle name="60% - 强调文字颜色 4 2 2 2 2 3 2 2" xfId="20730"/>
    <cellStyle name="60% - 强调文字颜色 4 2 2 2 2 3 2 2 2" xfId="20731"/>
    <cellStyle name="60% - 强调文字颜色 4 2 2 2 2 3 3" xfId="20732"/>
    <cellStyle name="60% - 强调文字颜色 4 2 2 2 2 3 3 2" xfId="20733"/>
    <cellStyle name="60% - 强调文字颜色 4 2 2 2 2 4" xfId="20734"/>
    <cellStyle name="60% - 强调文字颜色 4 2 2 2 2 5" xfId="20735"/>
    <cellStyle name="60% - 强调文字颜色 4 2 2 2 2 6" xfId="20736"/>
    <cellStyle name="60% - 强调文字颜色 4 2 2 2 3" xfId="20737"/>
    <cellStyle name="60% - 强调文字颜色 4 2 2 2 3 2" xfId="20738"/>
    <cellStyle name="60% - 强调文字颜色 4 2 2 2 3 3" xfId="20739"/>
    <cellStyle name="60% - 强调文字颜色 4 2 2 2 3 3 2" xfId="20740"/>
    <cellStyle name="60% - 强调文字颜色 4 2 2 2 3 3 2 2" xfId="20741"/>
    <cellStyle name="60% - 强调文字颜色 4 2 2 2 3 4" xfId="20742"/>
    <cellStyle name="60% - 强调文字颜色 4 2 2 2 3 4 2" xfId="20743"/>
    <cellStyle name="60% - 强调文字颜色 4 2 2 2 4" xfId="20744"/>
    <cellStyle name="60% - 强调文字颜色 4 2 2 2 4 2" xfId="20745"/>
    <cellStyle name="60% - 强调文字颜色 4 2 2 2 4 2 2" xfId="20746"/>
    <cellStyle name="60% - 强调文字颜色 4 2 2 2 4 2 2 2" xfId="20747"/>
    <cellStyle name="60% - 强调文字颜色 4 2 2 2 4 3" xfId="20748"/>
    <cellStyle name="60% - 强调文字颜色 4 2 2 2 4 3 2" xfId="20749"/>
    <cellStyle name="60% - 强调文字颜色 4 2 2 2 5" xfId="20750"/>
    <cellStyle name="60% - 强调文字颜色 4 2 2 2 6" xfId="20751"/>
    <cellStyle name="60% - 强调文字颜色 4 2 2 2 7" xfId="20752"/>
    <cellStyle name="60% - 强调文字颜色 4 2 2 3" xfId="20753"/>
    <cellStyle name="60% - 强调文字颜色 4 2 2 3 2" xfId="20754"/>
    <cellStyle name="60% - 强调文字颜色 4 2 2 3 2 2" xfId="20755"/>
    <cellStyle name="60% - 强调文字颜色 4 2 2 3 2 3" xfId="20756"/>
    <cellStyle name="60% - 强调文字颜色 4 2 2 3 2 3 2" xfId="20757"/>
    <cellStyle name="60% - 强调文字颜色 4 2 2 3 2 3 2 2" xfId="20758"/>
    <cellStyle name="60% - 强调文字颜色 4 2 2 3 2 4" xfId="20759"/>
    <cellStyle name="60% - 强调文字颜色 4 2 2 3 2 4 2" xfId="20760"/>
    <cellStyle name="60% - 强调文字颜色 4 2 2 3 3" xfId="20761"/>
    <cellStyle name="60% - 强调文字颜色 4 2 2 3 3 2" xfId="20762"/>
    <cellStyle name="60% - 强调文字颜色 4 2 2 3 3 2 2" xfId="20763"/>
    <cellStyle name="60% - 强调文字颜色 4 2 2 3 3 2 2 2" xfId="20764"/>
    <cellStyle name="60% - 强调文字颜色 4 2 2 3 3 3" xfId="20765"/>
    <cellStyle name="60% - 强调文字颜色 4 2 2 3 3 3 2" xfId="20766"/>
    <cellStyle name="60% - 强调文字颜色 4 2 2 3 4" xfId="20767"/>
    <cellStyle name="60% - 强调文字颜色 4 2 2 3 5" xfId="20768"/>
    <cellStyle name="60% - 强调文字颜色 4 2 2 3 6" xfId="20769"/>
    <cellStyle name="60% - 强调文字颜色 4 2 2 4" xfId="20770"/>
    <cellStyle name="60% - 强调文字颜色 4 2 2 4 2" xfId="20771"/>
    <cellStyle name="60% - 强调文字颜色 4 2 2 4 2 2" xfId="20772"/>
    <cellStyle name="60% - 强调文字颜色 4 2 2 4 2 3" xfId="20773"/>
    <cellStyle name="60% - 强调文字颜色 4 2 2 4 2 3 2" xfId="20774"/>
    <cellStyle name="60% - 强调文字颜色 4 2 2 4 2 3 2 2" xfId="20775"/>
    <cellStyle name="60% - 强调文字颜色 4 2 2 4 2 4" xfId="20776"/>
    <cellStyle name="60% - 强调文字颜色 4 2 2 4 2 4 2" xfId="20777"/>
    <cellStyle name="60% - 强调文字颜色 4 2 2 4 3" xfId="20778"/>
    <cellStyle name="60% - 强调文字颜色 4 2 2 4 4" xfId="20779"/>
    <cellStyle name="60% - 强调文字颜色 4 2 2 4 5" xfId="20780"/>
    <cellStyle name="60% - 强调文字颜色 4 2 2 4 6" xfId="20781"/>
    <cellStyle name="60% - 强调文字颜色 4 2 2 5" xfId="20782"/>
    <cellStyle name="60% - 强调文字颜色 4 2 2 5 2" xfId="20783"/>
    <cellStyle name="60% - 强调文字颜色 4 2 2 5 2 2" xfId="20784"/>
    <cellStyle name="60% - 强调文字颜色 4 2 2 5 2 2 2" xfId="20785"/>
    <cellStyle name="60% - 强调文字颜色 4 2 2 5 2 2 2 2" xfId="20786"/>
    <cellStyle name="60% - 强调文字颜色 4 2 2 5 2 3" xfId="20787"/>
    <cellStyle name="60% - 强调文字颜色 4 2 2 5 2 3 2" xfId="20788"/>
    <cellStyle name="60% - 强调文字颜色 4 2 2 5 3" xfId="20789"/>
    <cellStyle name="60% - 强调文字颜色 4 2 2 5 3 2" xfId="20790"/>
    <cellStyle name="60% - 强调文字颜色 4 2 2 5 3 2 2" xfId="20791"/>
    <cellStyle name="60% - 强调文字颜色 4 2 2 5 4" xfId="20792"/>
    <cellStyle name="60% - 强调文字颜色 4 2 2 5 4 2" xfId="20793"/>
    <cellStyle name="60% - 强调文字颜色 4 2 2 6" xfId="20794"/>
    <cellStyle name="60% - 强调文字颜色 4 2 2 6 2" xfId="20795"/>
    <cellStyle name="60% - 强调文字颜色 4 2 2 6 2 2" xfId="20796"/>
    <cellStyle name="60% - 强调文字颜色 4 2 2 6 2 2 2" xfId="20797"/>
    <cellStyle name="60% - 强调文字颜色 4 2 2 6 2 2 2 2" xfId="20798"/>
    <cellStyle name="60% - 强调文字颜色 4 2 2 6 2 3" xfId="20799"/>
    <cellStyle name="60% - 强调文字颜色 4 2 2 6 2 3 2" xfId="20800"/>
    <cellStyle name="60% - 强调文字颜色 4 2 2 6 3" xfId="20801"/>
    <cellStyle name="60% - 强调文字颜色 4 2 2 6 3 2" xfId="20802"/>
    <cellStyle name="60% - 强调文字颜色 4 2 2 6 3 2 2" xfId="20803"/>
    <cellStyle name="60% - 强调文字颜色 4 2 2 6 4" xfId="20804"/>
    <cellStyle name="60% - 强调文字颜色 4 2 2 6 4 2" xfId="20805"/>
    <cellStyle name="60% - 强调文字颜色 4 2 2 7" xfId="20806"/>
    <cellStyle name="60% - 强调文字颜色 4 2 2 7 2" xfId="20807"/>
    <cellStyle name="60% - 强调文字颜色 4 2 2 7 2 2" xfId="20808"/>
    <cellStyle name="60% - 强调文字颜色 4 2 2 7 2 2 2" xfId="20809"/>
    <cellStyle name="60% - 强调文字颜色 4 2 2 7 2 2 2 2" xfId="20810"/>
    <cellStyle name="60% - 强调文字颜色 4 2 2 7 2 3" xfId="20811"/>
    <cellStyle name="60% - 强调文字颜色 4 2 2 7 2 3 2" xfId="20812"/>
    <cellStyle name="60% - 强调文字颜色 4 2 2 7 3" xfId="20813"/>
    <cellStyle name="60% - 强调文字颜色 4 2 2 7 3 2" xfId="20814"/>
    <cellStyle name="60% - 强调文字颜色 4 2 2 7 3 2 2" xfId="20815"/>
    <cellStyle name="60% - 强调文字颜色 4 2 2 7 4" xfId="20816"/>
    <cellStyle name="60% - 强调文字颜色 4 2 2 7 4 2" xfId="20817"/>
    <cellStyle name="60% - 强调文字颜色 4 2 2 8" xfId="20818"/>
    <cellStyle name="60% - 强调文字颜色 4 2 2 8 2" xfId="20819"/>
    <cellStyle name="60% - 强调文字颜色 4 2 2 8 2 2" xfId="20820"/>
    <cellStyle name="60% - 强调文字颜色 4 2 2 8 2 2 2" xfId="20821"/>
    <cellStyle name="60% - 强调文字颜色 4 2 2 8 3" xfId="20822"/>
    <cellStyle name="60% - 强调文字颜色 4 2 2 8 3 2" xfId="20823"/>
    <cellStyle name="60% - 强调文字颜色 4 2 2 9" xfId="20824"/>
    <cellStyle name="60% - 强调文字颜色 4 2 2 9 2" xfId="20825"/>
    <cellStyle name="60% - 强调文字颜色 4 2 2 9 2 2" xfId="20826"/>
    <cellStyle name="60% - 强调文字颜色 4 2 2 9 2 2 2" xfId="20827"/>
    <cellStyle name="60% - 强调文字颜色 4 2 2 9 3" xfId="20828"/>
    <cellStyle name="60% - 强调文字颜色 4 2 2 9 3 2" xfId="20829"/>
    <cellStyle name="60% - 强调文字颜色 4 2 3" xfId="20830"/>
    <cellStyle name="60% - 强调文字颜色 4 2 3 2" xfId="20831"/>
    <cellStyle name="60% - 强调文字颜色 4 2 3 2 2" xfId="20832"/>
    <cellStyle name="60% - 强调文字颜色 4 2 3 2 2 2" xfId="20833"/>
    <cellStyle name="60% - 强调文字颜色 4 2 3 2 2 2 2" xfId="20834"/>
    <cellStyle name="60% - 强调文字颜色 4 2 3 2 2 2 3" xfId="20835"/>
    <cellStyle name="60% - 强调文字颜色 4 2 3 2 2 2 3 2" xfId="20836"/>
    <cellStyle name="60% - 强调文字颜色 4 2 3 2 2 2 3 2 2" xfId="20837"/>
    <cellStyle name="60% - 强调文字颜色 4 2 3 2 2 2 4" xfId="20838"/>
    <cellStyle name="60% - 强调文字颜色 4 2 3 2 2 2 4 2" xfId="20839"/>
    <cellStyle name="60% - 强调文字颜色 4 2 3 2 2 3" xfId="20840"/>
    <cellStyle name="60% - 强调文字颜色 4 2 3 2 2 3 2" xfId="20841"/>
    <cellStyle name="60% - 强调文字颜色 4 2 3 2 2 3 2 2" xfId="20842"/>
    <cellStyle name="60% - 强调文字颜色 4 2 3 2 2 3 2 2 2" xfId="20843"/>
    <cellStyle name="60% - 强调文字颜色 4 2 3 2 2 3 3" xfId="20844"/>
    <cellStyle name="60% - 强调文字颜色 4 2 3 2 2 3 3 2" xfId="20845"/>
    <cellStyle name="60% - 强调文字颜色 4 2 3 2 2 4" xfId="20846"/>
    <cellStyle name="60% - 强调文字颜色 4 2 3 2 2 5" xfId="20847"/>
    <cellStyle name="60% - 强调文字颜色 4 2 3 2 2 6" xfId="20848"/>
    <cellStyle name="60% - 强调文字颜色 4 2 3 2 3" xfId="20849"/>
    <cellStyle name="60% - 强调文字颜色 4 2 3 2 3 2" xfId="20850"/>
    <cellStyle name="60% - 强调文字颜色 4 2 3 2 3 3" xfId="20851"/>
    <cellStyle name="60% - 强调文字颜色 4 2 3 2 3 3 2" xfId="20852"/>
    <cellStyle name="60% - 强调文字颜色 4 2 3 2 3 3 2 2" xfId="20853"/>
    <cellStyle name="60% - 强调文字颜色 4 2 3 2 3 4" xfId="20854"/>
    <cellStyle name="60% - 强调文字颜色 4 2 3 2 3 4 2" xfId="20855"/>
    <cellStyle name="60% - 强调文字颜色 4 2 3 2 4" xfId="20856"/>
    <cellStyle name="60% - 强调文字颜色 4 2 3 2 4 2" xfId="20857"/>
    <cellStyle name="60% - 强调文字颜色 4 2 3 2 4 2 2" xfId="20858"/>
    <cellStyle name="60% - 强调文字颜色 4 2 3 2 4 2 2 2" xfId="20859"/>
    <cellStyle name="60% - 强调文字颜色 4 2 3 2 4 3" xfId="20860"/>
    <cellStyle name="60% - 强调文字颜色 4 2 3 2 4 3 2" xfId="20861"/>
    <cellStyle name="60% - 强调文字颜色 4 2 3 2 5" xfId="20862"/>
    <cellStyle name="60% - 强调文字颜色 4 2 3 2 6" xfId="20863"/>
    <cellStyle name="60% - 强调文字颜色 4 2 3 2 7" xfId="20864"/>
    <cellStyle name="60% - 强调文字颜色 4 2 3 3" xfId="20865"/>
    <cellStyle name="60% - 强调文字颜色 4 2 3 3 2" xfId="20866"/>
    <cellStyle name="60% - 强调文字颜色 4 2 3 3 2 2" xfId="20867"/>
    <cellStyle name="60% - 强调文字颜色 4 2 3 3 2 3" xfId="20868"/>
    <cellStyle name="60% - 强调文字颜色 4 2 3 3 2 3 2" xfId="20869"/>
    <cellStyle name="60% - 强调文字颜色 4 2 3 3 2 3 2 2" xfId="20870"/>
    <cellStyle name="60% - 强调文字颜色 4 2 3 3 2 4" xfId="20871"/>
    <cellStyle name="60% - 强调文字颜色 4 2 3 3 2 4 2" xfId="20872"/>
    <cellStyle name="60% - 强调文字颜色 4 2 3 3 3" xfId="20873"/>
    <cellStyle name="60% - 强调文字颜色 4 2 3 3 3 2" xfId="20874"/>
    <cellStyle name="60% - 强调文字颜色 4 2 3 3 3 2 2" xfId="20875"/>
    <cellStyle name="60% - 强调文字颜色 4 2 3 3 3 2 2 2" xfId="20876"/>
    <cellStyle name="60% - 强调文字颜色 4 2 3 3 3 3" xfId="20877"/>
    <cellStyle name="60% - 强调文字颜色 4 2 3 3 3 3 2" xfId="20878"/>
    <cellStyle name="60% - 强调文字颜色 4 2 3 3 4" xfId="20879"/>
    <cellStyle name="60% - 强调文字颜色 4 2 3 3 5" xfId="20880"/>
    <cellStyle name="60% - 强调文字颜色 4 2 3 3 6" xfId="20881"/>
    <cellStyle name="60% - 强调文字颜色 4 2 3 4" xfId="20882"/>
    <cellStyle name="60% - 强调文字颜色 4 2 3 4 2" xfId="20883"/>
    <cellStyle name="60% - 强调文字颜色 4 2 3 4 2 2" xfId="20884"/>
    <cellStyle name="60% - 强调文字颜色 4 2 3 4 2 3" xfId="20885"/>
    <cellStyle name="60% - 强调文字颜色 4 2 3 4 2 3 2" xfId="20886"/>
    <cellStyle name="60% - 强调文字颜色 4 2 3 4 2 3 2 2" xfId="20887"/>
    <cellStyle name="60% - 强调文字颜色 4 2 3 4 2 4" xfId="20888"/>
    <cellStyle name="60% - 强调文字颜色 4 2 3 4 2 4 2" xfId="20889"/>
    <cellStyle name="60% - 强调文字颜色 4 2 3 4 3" xfId="20890"/>
    <cellStyle name="60% - 强调文字颜色 4 2 3 4 4" xfId="20891"/>
    <cellStyle name="60% - 强调文字颜色 4 2 3 4 5" xfId="20892"/>
    <cellStyle name="60% - 强调文字颜色 4 2 3 4 6" xfId="20893"/>
    <cellStyle name="60% - 强调文字颜色 4 2 3 5" xfId="20894"/>
    <cellStyle name="60% - 强调文字颜色 4 2 3 5 2" xfId="20895"/>
    <cellStyle name="60% - 强调文字颜色 4 2 3 5 2 2" xfId="20896"/>
    <cellStyle name="60% - 强调文字颜色 4 2 3 5 2 2 2" xfId="20897"/>
    <cellStyle name="60% - 强调文字颜色 4 2 3 5 2 2 2 2" xfId="20898"/>
    <cellStyle name="60% - 强调文字颜色 4 2 3 5 2 3" xfId="20899"/>
    <cellStyle name="60% - 强调文字颜色 4 2 3 5 2 3 2" xfId="20900"/>
    <cellStyle name="60% - 强调文字颜色 4 2 3 5 3" xfId="20901"/>
    <cellStyle name="60% - 强调文字颜色 4 2 3 5 3 2" xfId="20902"/>
    <cellStyle name="60% - 强调文字颜色 4 2 3 5 3 2 2" xfId="20903"/>
    <cellStyle name="60% - 强调文字颜色 4 2 3 5 4" xfId="20904"/>
    <cellStyle name="60% - 强调文字颜色 4 2 3 5 4 2" xfId="20905"/>
    <cellStyle name="60% - 强调文字颜色 4 2 3 6" xfId="20906"/>
    <cellStyle name="60% - 强调文字颜色 4 2 3 6 2" xfId="20907"/>
    <cellStyle name="60% - 强调文字颜色 4 2 3 6 2 2" xfId="20908"/>
    <cellStyle name="60% - 强调文字颜色 4 2 3 6 2 2 2" xfId="20909"/>
    <cellStyle name="60% - 强调文字颜色 4 2 3 6 3" xfId="20910"/>
    <cellStyle name="60% - 强调文字颜色 4 2 3 6 3 2" xfId="20911"/>
    <cellStyle name="60% - 强调文字颜色 4 2 3 7" xfId="20912"/>
    <cellStyle name="60% - 强调文字颜色 4 2 3 7 2" xfId="20913"/>
    <cellStyle name="60% - 强调文字颜色 4 2 3 7 2 2" xfId="20914"/>
    <cellStyle name="60% - 强调文字颜色 4 2 3 7 2 2 2" xfId="20915"/>
    <cellStyle name="60% - 强调文字颜色 4 2 3 7 3" xfId="20916"/>
    <cellStyle name="60% - 强调文字颜色 4 2 3 7 3 2" xfId="20917"/>
    <cellStyle name="60% - 强调文字颜色 4 2 3 8" xfId="20918"/>
    <cellStyle name="60% - 强调文字颜色 4 2 3 9" xfId="20919"/>
    <cellStyle name="60% - 强调文字颜色 4 2 4" xfId="20920"/>
    <cellStyle name="60% - 强调文字颜色 4 2 4 2" xfId="20921"/>
    <cellStyle name="60% - 强调文字颜色 4 2 4 2 2" xfId="20922"/>
    <cellStyle name="60% - 强调文字颜色 4 2 4 2 3" xfId="20923"/>
    <cellStyle name="60% - 强调文字颜色 4 2 4 2 3 2" xfId="20924"/>
    <cellStyle name="60% - 强调文字颜色 4 2 4 2 3 2 2" xfId="20925"/>
    <cellStyle name="60% - 强调文字颜色 4 2 4 2 4" xfId="20926"/>
    <cellStyle name="60% - 强调文字颜色 4 2 4 2 4 2" xfId="20927"/>
    <cellStyle name="60% - 强调文字颜色 4 2 4 3" xfId="20928"/>
    <cellStyle name="60% - 强调文字颜色 4 2 4 3 2" xfId="20929"/>
    <cellStyle name="60% - 强调文字颜色 4 2 4 3 2 2" xfId="20930"/>
    <cellStyle name="60% - 强调文字颜色 4 2 4 3 2 2 2" xfId="20931"/>
    <cellStyle name="60% - 强调文字颜色 4 2 4 3 3" xfId="20932"/>
    <cellStyle name="60% - 强调文字颜色 4 2 4 3 3 2" xfId="20933"/>
    <cellStyle name="60% - 强调文字颜色 4 2 4 4" xfId="20934"/>
    <cellStyle name="60% - 强调文字颜色 4 2 4 5" xfId="20935"/>
    <cellStyle name="60% - 强调文字颜色 4 2 4 6" xfId="20936"/>
    <cellStyle name="60% - 强调文字颜色 4 2 5" xfId="20937"/>
    <cellStyle name="60% - 强调文字颜色 4 2 5 2" xfId="20938"/>
    <cellStyle name="60% - 强调文字颜色 4 2 5 2 2" xfId="20939"/>
    <cellStyle name="60% - 强调文字颜色 4 2 5 2 3" xfId="20940"/>
    <cellStyle name="60% - 强调文字颜色 4 2 5 2 3 2" xfId="20941"/>
    <cellStyle name="60% - 强调文字颜色 4 2 5 2 3 2 2" xfId="20942"/>
    <cellStyle name="60% - 强调文字颜色 4 2 5 2 4" xfId="20943"/>
    <cellStyle name="60% - 强调文字颜色 4 2 5 2 4 2" xfId="20944"/>
    <cellStyle name="60% - 强调文字颜色 4 2 5 3" xfId="20945"/>
    <cellStyle name="60% - 强调文字颜色 4 2 5 4" xfId="20946"/>
    <cellStyle name="60% - 强调文字颜色 4 2 5 5" xfId="20947"/>
    <cellStyle name="60% - 强调文字颜色 4 2 5 6" xfId="20948"/>
    <cellStyle name="60% - 强调文字颜色 4 2 6" xfId="20949"/>
    <cellStyle name="60% - 强调文字颜色 4 2 6 2" xfId="20950"/>
    <cellStyle name="60% - 强调文字颜色 4 2 6 2 2" xfId="20951"/>
    <cellStyle name="60% - 强调文字颜色 4 2 6 2 2 2" xfId="20952"/>
    <cellStyle name="60% - 强调文字颜色 4 2 6 2 2 2 2" xfId="20953"/>
    <cellStyle name="60% - 强调文字颜色 4 2 6 2 3" xfId="20954"/>
    <cellStyle name="60% - 强调文字颜色 4 2 6 2 3 2" xfId="20955"/>
    <cellStyle name="60% - 强调文字颜色 4 2 6 3" xfId="20956"/>
    <cellStyle name="60% - 强调文字颜色 4 2 6 3 2" xfId="20957"/>
    <cellStyle name="60% - 强调文字颜色 4 2 6 3 2 2" xfId="20958"/>
    <cellStyle name="60% - 强调文字颜色 4 2 6 4" xfId="20959"/>
    <cellStyle name="60% - 强调文字颜色 4 2 6 4 2" xfId="20960"/>
    <cellStyle name="60% - 强调文字颜色 4 2 7" xfId="20961"/>
    <cellStyle name="60% - 强调文字颜色 4 2 7 2" xfId="20962"/>
    <cellStyle name="60% - 强调文字颜色 4 2 7 2 2" xfId="20963"/>
    <cellStyle name="60% - 强调文字颜色 4 2 7 2 2 2" xfId="20964"/>
    <cellStyle name="60% - 强调文字颜色 4 2 7 2 2 2 2" xfId="20965"/>
    <cellStyle name="60% - 强调文字颜色 4 2 7 2 3" xfId="20966"/>
    <cellStyle name="60% - 强调文字颜色 4 2 7 2 3 2" xfId="20967"/>
    <cellStyle name="60% - 强调文字颜色 4 2 7 3" xfId="20968"/>
    <cellStyle name="60% - 强调文字颜色 4 2 7 3 2" xfId="20969"/>
    <cellStyle name="60% - 强调文字颜色 4 2 7 3 2 2" xfId="20970"/>
    <cellStyle name="60% - 强调文字颜色 4 2 7 4" xfId="20971"/>
    <cellStyle name="60% - 强调文字颜色 4 2 7 4 2" xfId="20972"/>
    <cellStyle name="60% - 强调文字颜色 4 2 8" xfId="20973"/>
    <cellStyle name="60% - 强调文字颜色 4 2 8 2" xfId="20974"/>
    <cellStyle name="60% - 强调文字颜色 4 2 8 2 2" xfId="20975"/>
    <cellStyle name="60% - 强调文字颜色 4 2 8 2 2 2" xfId="20976"/>
    <cellStyle name="60% - 强调文字颜色 4 2 8 2 2 2 2" xfId="20977"/>
    <cellStyle name="60% - 强调文字颜色 4 2 8 2 3" xfId="20978"/>
    <cellStyle name="60% - 强调文字颜色 4 2 8 2 3 2" xfId="20979"/>
    <cellStyle name="60% - 强调文字颜色 4 2 8 3" xfId="20980"/>
    <cellStyle name="60% - 强调文字颜色 4 2 8 3 2" xfId="20981"/>
    <cellStyle name="60% - 强调文字颜色 4 2 8 3 2 2" xfId="20982"/>
    <cellStyle name="60% - 强调文字颜色 4 2 8 4" xfId="20983"/>
    <cellStyle name="60% - 强调文字颜色 4 2 8 4 2" xfId="20984"/>
    <cellStyle name="60% - 强调文字颜色 4 2 9" xfId="20985"/>
    <cellStyle name="60% - 强调文字颜色 4 2 9 2" xfId="20986"/>
    <cellStyle name="60% - 强调文字颜色 4 2 9 2 2" xfId="20987"/>
    <cellStyle name="60% - 强调文字颜色 4 2 9 2 2 2" xfId="20988"/>
    <cellStyle name="60% - 强调文字颜色 4 2 9 3" xfId="20989"/>
    <cellStyle name="60% - 强调文字颜色 4 2 9 3 2" xfId="20990"/>
    <cellStyle name="60% - 强调文字颜色 4 3" xfId="20991"/>
    <cellStyle name="60% - 强调文字颜色 4 3 2" xfId="20992"/>
    <cellStyle name="60% - 强调文字颜色 4 3 2 2" xfId="20993"/>
    <cellStyle name="60% - 强调文字颜色 4 3 2 2 2" xfId="20994"/>
    <cellStyle name="60% - 强调文字颜色 4 3 2 2 2 2" xfId="20995"/>
    <cellStyle name="60% - 强调文字颜色 4 3 2 2 2 3" xfId="20996"/>
    <cellStyle name="60% - 强调文字颜色 4 3 2 2 2 3 2" xfId="20997"/>
    <cellStyle name="60% - 强调文字颜色 4 3 2 2 2 3 2 2" xfId="20998"/>
    <cellStyle name="60% - 强调文字颜色 4 3 2 2 2 4" xfId="20999"/>
    <cellStyle name="60% - 强调文字颜色 4 3 2 2 2 4 2" xfId="21000"/>
    <cellStyle name="60% - 强调文字颜色 4 3 2 2 3" xfId="21001"/>
    <cellStyle name="60% - 强调文字颜色 4 3 2 2 3 2" xfId="21002"/>
    <cellStyle name="60% - 强调文字颜色 4 3 2 2 3 2 2" xfId="21003"/>
    <cellStyle name="60% - 强调文字颜色 4 3 2 2 3 2 2 2" xfId="21004"/>
    <cellStyle name="60% - 强调文字颜色 4 3 2 2 3 3" xfId="21005"/>
    <cellStyle name="60% - 强调文字颜色 4 3 2 2 3 3 2" xfId="21006"/>
    <cellStyle name="60% - 强调文字颜色 4 3 2 2 4" xfId="21007"/>
    <cellStyle name="60% - 强调文字颜色 4 3 2 2 5" xfId="21008"/>
    <cellStyle name="60% - 强调文字颜色 4 3 2 2 6" xfId="21009"/>
    <cellStyle name="60% - 强调文字颜色 4 3 2 3" xfId="21010"/>
    <cellStyle name="60% - 强调文字颜色 4 3 2 3 2" xfId="21011"/>
    <cellStyle name="60% - 强调文字颜色 4 3 2 3 3" xfId="21012"/>
    <cellStyle name="60% - 强调文字颜色 4 3 2 3 3 2" xfId="21013"/>
    <cellStyle name="60% - 强调文字颜色 4 3 2 3 3 2 2" xfId="21014"/>
    <cellStyle name="60% - 强调文字颜色 4 3 2 3 4" xfId="21015"/>
    <cellStyle name="60% - 强调文字颜色 4 3 2 3 4 2" xfId="21016"/>
    <cellStyle name="60% - 强调文字颜色 4 3 2 4" xfId="21017"/>
    <cellStyle name="60% - 强调文字颜色 4 3 2 4 2" xfId="21018"/>
    <cellStyle name="60% - 强调文字颜色 4 3 2 4 2 2" xfId="21019"/>
    <cellStyle name="60% - 强调文字颜色 4 3 2 4 2 2 2" xfId="21020"/>
    <cellStyle name="60% - 强调文字颜色 4 3 2 4 3" xfId="21021"/>
    <cellStyle name="60% - 强调文字颜色 4 3 2 4 3 2" xfId="21022"/>
    <cellStyle name="60% - 强调文字颜色 4 3 2 5" xfId="21023"/>
    <cellStyle name="60% - 强调文字颜色 4 3 2 6" xfId="21024"/>
    <cellStyle name="60% - 强调文字颜色 4 3 2 7" xfId="21025"/>
    <cellStyle name="60% - 强调文字颜色 4 3 3" xfId="21026"/>
    <cellStyle name="60% - 强调文字颜色 4 3 3 2" xfId="21027"/>
    <cellStyle name="60% - 强调文字颜色 4 3 3 2 2" xfId="21028"/>
    <cellStyle name="60% - 强调文字颜色 4 3 3 2 3" xfId="21029"/>
    <cellStyle name="60% - 强调文字颜色 4 3 3 2 3 2" xfId="21030"/>
    <cellStyle name="60% - 强调文字颜色 4 3 3 2 3 2 2" xfId="21031"/>
    <cellStyle name="60% - 强调文字颜色 4 3 3 2 4" xfId="21032"/>
    <cellStyle name="60% - 强调文字颜色 4 3 3 2 4 2" xfId="21033"/>
    <cellStyle name="60% - 强调文字颜色 4 3 3 3" xfId="21034"/>
    <cellStyle name="60% - 强调文字颜色 4 3 3 3 2" xfId="21035"/>
    <cellStyle name="60% - 强调文字颜色 4 3 3 3 2 2" xfId="21036"/>
    <cellStyle name="60% - 强调文字颜色 4 3 3 3 2 2 2" xfId="21037"/>
    <cellStyle name="60% - 强调文字颜色 4 3 3 3 3" xfId="21038"/>
    <cellStyle name="60% - 强调文字颜色 4 3 3 3 3 2" xfId="21039"/>
    <cellStyle name="60% - 强调文字颜色 4 3 3 4" xfId="21040"/>
    <cellStyle name="60% - 强调文字颜色 4 3 3 5" xfId="21041"/>
    <cellStyle name="60% - 强调文字颜色 4 3 3 6" xfId="21042"/>
    <cellStyle name="60% - 强调文字颜色 4 3 4" xfId="21043"/>
    <cellStyle name="60% - 强调文字颜色 4 3 4 2" xfId="21044"/>
    <cellStyle name="60% - 强调文字颜色 4 3 4 2 2" xfId="21045"/>
    <cellStyle name="60% - 强调文字颜色 4 3 4 2 3" xfId="21046"/>
    <cellStyle name="60% - 强调文字颜色 4 3 4 2 3 2" xfId="21047"/>
    <cellStyle name="60% - 强调文字颜色 4 3 4 2 3 2 2" xfId="21048"/>
    <cellStyle name="60% - 强调文字颜色 4 3 4 2 4" xfId="21049"/>
    <cellStyle name="60% - 强调文字颜色 4 3 4 2 4 2" xfId="21050"/>
    <cellStyle name="60% - 强调文字颜色 4 3 4 3" xfId="21051"/>
    <cellStyle name="60% - 强调文字颜色 4 3 4 4" xfId="21052"/>
    <cellStyle name="60% - 强调文字颜色 4 3 4 5" xfId="21053"/>
    <cellStyle name="60% - 强调文字颜色 4 3 4 6" xfId="21054"/>
    <cellStyle name="60% - 强调文字颜色 4 3 5" xfId="21055"/>
    <cellStyle name="60% - 强调文字颜色 4 3 5 2" xfId="21056"/>
    <cellStyle name="60% - 强调文字颜色 4 3 5 2 2" xfId="21057"/>
    <cellStyle name="60% - 强调文字颜色 4 3 5 2 2 2" xfId="21058"/>
    <cellStyle name="60% - 强调文字颜色 4 3 5 2 2 2 2" xfId="21059"/>
    <cellStyle name="60% - 强调文字颜色 4 3 5 2 3" xfId="21060"/>
    <cellStyle name="60% - 强调文字颜色 4 3 5 2 3 2" xfId="21061"/>
    <cellStyle name="60% - 强调文字颜色 4 3 5 3" xfId="21062"/>
    <cellStyle name="60% - 强调文字颜色 4 3 5 3 2" xfId="21063"/>
    <cellStyle name="60% - 强调文字颜色 4 3 5 3 2 2" xfId="21064"/>
    <cellStyle name="60% - 强调文字颜色 4 3 5 4" xfId="21065"/>
    <cellStyle name="60% - 强调文字颜色 4 3 5 4 2" xfId="21066"/>
    <cellStyle name="60% - 强调文字颜色 4 3 6" xfId="21067"/>
    <cellStyle name="60% - 强调文字颜色 4 3 6 2" xfId="21068"/>
    <cellStyle name="60% - 强调文字颜色 4 3 6 2 2" xfId="21069"/>
    <cellStyle name="60% - 强调文字颜色 4 3 6 2 2 2" xfId="21070"/>
    <cellStyle name="60% - 强调文字颜色 4 3 6 3" xfId="21071"/>
    <cellStyle name="60% - 强调文字颜色 4 3 6 3 2" xfId="21072"/>
    <cellStyle name="60% - 强调文字颜色 4 3 7" xfId="21073"/>
    <cellStyle name="60% - 强调文字颜色 4 3 8" xfId="21074"/>
    <cellStyle name="60% - 强调文字颜色 5 2" xfId="21075"/>
    <cellStyle name="60% - 强调文字颜色 5 2 10" xfId="21076"/>
    <cellStyle name="60% - 强调文字颜色 5 2 11" xfId="21077"/>
    <cellStyle name="60% - 强调文字颜色 5 2 2" xfId="21078"/>
    <cellStyle name="60% - 强调文字颜色 5 2 2 10" xfId="21079"/>
    <cellStyle name="60% - 强调文字颜色 5 2 2 11" xfId="21080"/>
    <cellStyle name="60% - 强调文字颜色 5 2 2 2" xfId="21081"/>
    <cellStyle name="60% - 强调文字颜色 5 2 2 2 2" xfId="21082"/>
    <cellStyle name="60% - 强调文字颜色 5 2 2 2 2 2" xfId="21083"/>
    <cellStyle name="60% - 强调文字颜色 5 2 2 2 2 2 2" xfId="21084"/>
    <cellStyle name="60% - 强调文字颜色 5 2 2 2 2 2 3" xfId="21085"/>
    <cellStyle name="60% - 强调文字颜色 5 2 2 2 2 2 3 2" xfId="21086"/>
    <cellStyle name="60% - 强调文字颜色 5 2 2 2 2 2 3 2 2" xfId="21087"/>
    <cellStyle name="60% - 强调文字颜色 5 2 2 2 2 2 4" xfId="21088"/>
    <cellStyle name="60% - 强调文字颜色 5 2 2 2 2 2 4 2" xfId="21089"/>
    <cellStyle name="60% - 强调文字颜色 5 2 2 2 2 3" xfId="21090"/>
    <cellStyle name="60% - 强调文字颜色 5 2 2 2 2 3 2" xfId="21091"/>
    <cellStyle name="60% - 强调文字颜色 5 2 2 2 2 3 2 2" xfId="21092"/>
    <cellStyle name="60% - 强调文字颜色 5 2 2 2 2 3 2 2 2" xfId="21093"/>
    <cellStyle name="60% - 强调文字颜色 5 2 2 2 2 3 3" xfId="21094"/>
    <cellStyle name="60% - 强调文字颜色 5 2 2 2 2 3 3 2" xfId="21095"/>
    <cellStyle name="60% - 强调文字颜色 5 2 2 2 2 4" xfId="21096"/>
    <cellStyle name="60% - 强调文字颜色 5 2 2 2 2 5" xfId="21097"/>
    <cellStyle name="60% - 强调文字颜色 5 2 2 2 2 6" xfId="21098"/>
    <cellStyle name="60% - 强调文字颜色 5 2 2 2 3" xfId="21099"/>
    <cellStyle name="60% - 强调文字颜色 5 2 2 2 3 2" xfId="21100"/>
    <cellStyle name="60% - 强调文字颜色 5 2 2 2 3 3" xfId="21101"/>
    <cellStyle name="60% - 强调文字颜色 5 2 2 2 3 3 2" xfId="21102"/>
    <cellStyle name="60% - 强调文字颜色 5 2 2 2 3 3 2 2" xfId="21103"/>
    <cellStyle name="60% - 强调文字颜色 5 2 2 2 3 4" xfId="21104"/>
    <cellStyle name="60% - 强调文字颜色 5 2 2 2 3 4 2" xfId="21105"/>
    <cellStyle name="60% - 强调文字颜色 5 2 2 2 4" xfId="21106"/>
    <cellStyle name="60% - 强调文字颜色 5 2 2 2 4 2" xfId="21107"/>
    <cellStyle name="60% - 强调文字颜色 5 2 2 2 4 2 2" xfId="21108"/>
    <cellStyle name="60% - 强调文字颜色 5 2 2 2 4 2 2 2" xfId="21109"/>
    <cellStyle name="60% - 强调文字颜色 5 2 2 2 4 3" xfId="21110"/>
    <cellStyle name="60% - 强调文字颜色 5 2 2 2 4 3 2" xfId="21111"/>
    <cellStyle name="60% - 强调文字颜色 5 2 2 2 5" xfId="21112"/>
    <cellStyle name="60% - 强调文字颜色 5 2 2 2 6" xfId="21113"/>
    <cellStyle name="60% - 强调文字颜色 5 2 2 2 7" xfId="21114"/>
    <cellStyle name="60% - 强调文字颜色 5 2 2 3" xfId="21115"/>
    <cellStyle name="60% - 强调文字颜色 5 2 2 3 2" xfId="21116"/>
    <cellStyle name="60% - 强调文字颜色 5 2 2 3 2 2" xfId="21117"/>
    <cellStyle name="60% - 强调文字颜色 5 2 2 3 2 3" xfId="21118"/>
    <cellStyle name="60% - 强调文字颜色 5 2 2 3 2 3 2" xfId="21119"/>
    <cellStyle name="60% - 强调文字颜色 5 2 2 3 2 3 2 2" xfId="21120"/>
    <cellStyle name="60% - 强调文字颜色 5 2 2 3 2 4" xfId="21121"/>
    <cellStyle name="60% - 强调文字颜色 5 2 2 3 2 4 2" xfId="21122"/>
    <cellStyle name="60% - 强调文字颜色 5 2 2 3 3" xfId="21123"/>
    <cellStyle name="60% - 强调文字颜色 5 2 2 3 3 2" xfId="21124"/>
    <cellStyle name="60% - 强调文字颜色 5 2 2 3 3 2 2" xfId="21125"/>
    <cellStyle name="60% - 强调文字颜色 5 2 2 3 3 2 2 2" xfId="21126"/>
    <cellStyle name="60% - 强调文字颜色 5 2 2 3 3 3" xfId="21127"/>
    <cellStyle name="60% - 强调文字颜色 5 2 2 3 3 3 2" xfId="21128"/>
    <cellStyle name="60% - 强调文字颜色 5 2 2 3 4" xfId="21129"/>
    <cellStyle name="60% - 强调文字颜色 5 2 2 3 5" xfId="21130"/>
    <cellStyle name="60% - 强调文字颜色 5 2 2 3 6" xfId="21131"/>
    <cellStyle name="60% - 强调文字颜色 5 2 2 4" xfId="21132"/>
    <cellStyle name="60% - 强调文字颜色 5 2 2 4 2" xfId="21133"/>
    <cellStyle name="60% - 强调文字颜色 5 2 2 4 2 2" xfId="21134"/>
    <cellStyle name="60% - 强调文字颜色 5 2 2 4 2 3" xfId="21135"/>
    <cellStyle name="60% - 强调文字颜色 5 2 2 4 2 3 2" xfId="21136"/>
    <cellStyle name="60% - 强调文字颜色 5 2 2 4 2 3 2 2" xfId="21137"/>
    <cellStyle name="60% - 强调文字颜色 5 2 2 4 2 4" xfId="21138"/>
    <cellStyle name="60% - 强调文字颜色 5 2 2 4 2 4 2" xfId="21139"/>
    <cellStyle name="60% - 强调文字颜色 5 2 2 4 3" xfId="21140"/>
    <cellStyle name="60% - 强调文字颜色 5 2 2 4 4" xfId="21141"/>
    <cellStyle name="60% - 强调文字颜色 5 2 2 4 5" xfId="21142"/>
    <cellStyle name="60% - 强调文字颜色 5 2 2 4 6" xfId="21143"/>
    <cellStyle name="60% - 强调文字颜色 5 2 2 5" xfId="21144"/>
    <cellStyle name="60% - 强调文字颜色 5 2 2 5 2" xfId="21145"/>
    <cellStyle name="60% - 强调文字颜色 5 2 2 5 2 2" xfId="21146"/>
    <cellStyle name="60% - 强调文字颜色 5 2 2 5 2 2 2" xfId="21147"/>
    <cellStyle name="60% - 强调文字颜色 5 2 2 5 2 2 2 2" xfId="21148"/>
    <cellStyle name="60% - 强调文字颜色 5 2 2 5 2 3" xfId="21149"/>
    <cellStyle name="60% - 强调文字颜色 5 2 2 5 2 3 2" xfId="21150"/>
    <cellStyle name="60% - 强调文字颜色 5 2 2 5 3" xfId="21151"/>
    <cellStyle name="60% - 强调文字颜色 5 2 2 5 3 2" xfId="21152"/>
    <cellStyle name="60% - 强调文字颜色 5 2 2 5 3 2 2" xfId="21153"/>
    <cellStyle name="60% - 强调文字颜色 5 2 2 5 4" xfId="21154"/>
    <cellStyle name="60% - 强调文字颜色 5 2 2 5 4 2" xfId="21155"/>
    <cellStyle name="60% - 强调文字颜色 5 2 2 6" xfId="21156"/>
    <cellStyle name="60% - 强调文字颜色 5 2 2 6 2" xfId="21157"/>
    <cellStyle name="60% - 强调文字颜色 5 2 2 6 2 2" xfId="21158"/>
    <cellStyle name="60% - 强调文字颜色 5 2 2 6 2 2 2" xfId="21159"/>
    <cellStyle name="60% - 强调文字颜色 5 2 2 6 2 2 2 2" xfId="21160"/>
    <cellStyle name="60% - 强调文字颜色 5 2 2 6 2 3" xfId="21161"/>
    <cellStyle name="60% - 强调文字颜色 5 2 2 6 2 3 2" xfId="21162"/>
    <cellStyle name="60% - 强调文字颜色 5 2 2 6 3" xfId="21163"/>
    <cellStyle name="60% - 强调文字颜色 5 2 2 6 3 2" xfId="21164"/>
    <cellStyle name="60% - 强调文字颜色 5 2 2 6 3 2 2" xfId="21165"/>
    <cellStyle name="60% - 强调文字颜色 5 2 2 6 4" xfId="21166"/>
    <cellStyle name="60% - 强调文字颜色 5 2 2 6 4 2" xfId="21167"/>
    <cellStyle name="60% - 强调文字颜色 5 2 2 7" xfId="21168"/>
    <cellStyle name="60% - 强调文字颜色 5 2 2 7 2" xfId="21169"/>
    <cellStyle name="60% - 强调文字颜色 5 2 2 7 2 2" xfId="21170"/>
    <cellStyle name="60% - 强调文字颜色 5 2 2 7 2 2 2" xfId="21171"/>
    <cellStyle name="60% - 强调文字颜色 5 2 2 7 2 2 2 2" xfId="21172"/>
    <cellStyle name="60% - 强调文字颜色 5 2 2 7 2 3" xfId="21173"/>
    <cellStyle name="60% - 强调文字颜色 5 2 2 7 2 3 2" xfId="21174"/>
    <cellStyle name="60% - 强调文字颜色 5 2 2 7 3" xfId="21175"/>
    <cellStyle name="60% - 强调文字颜色 5 2 2 7 3 2" xfId="21176"/>
    <cellStyle name="60% - 强调文字颜色 5 2 2 7 3 2 2" xfId="21177"/>
    <cellStyle name="60% - 强调文字颜色 5 2 2 7 4" xfId="21178"/>
    <cellStyle name="60% - 强调文字颜色 5 2 2 7 4 2" xfId="21179"/>
    <cellStyle name="60% - 强调文字颜色 5 2 2 8" xfId="21180"/>
    <cellStyle name="60% - 强调文字颜色 5 2 2 8 2" xfId="21181"/>
    <cellStyle name="60% - 强调文字颜色 5 2 2 8 2 2" xfId="21182"/>
    <cellStyle name="60% - 强调文字颜色 5 2 2 8 2 2 2" xfId="21183"/>
    <cellStyle name="60% - 强调文字颜色 5 2 2 8 3" xfId="21184"/>
    <cellStyle name="60% - 强调文字颜色 5 2 2 8 3 2" xfId="21185"/>
    <cellStyle name="60% - 强调文字颜色 5 2 2 9" xfId="21186"/>
    <cellStyle name="60% - 强调文字颜色 5 2 2 9 2" xfId="21187"/>
    <cellStyle name="60% - 强调文字颜色 5 2 2 9 2 2" xfId="21188"/>
    <cellStyle name="60% - 强调文字颜色 5 2 2 9 2 2 2" xfId="21189"/>
    <cellStyle name="60% - 强调文字颜色 5 2 2 9 3" xfId="21190"/>
    <cellStyle name="60% - 强调文字颜色 5 2 2 9 3 2" xfId="21191"/>
    <cellStyle name="60% - 强调文字颜色 5 2 3" xfId="21192"/>
    <cellStyle name="60% - 强调文字颜色 5 2 3 2" xfId="21193"/>
    <cellStyle name="60% - 强调文字颜色 5 2 3 2 2" xfId="21194"/>
    <cellStyle name="60% - 强调文字颜色 5 2 3 2 2 2" xfId="21195"/>
    <cellStyle name="60% - 强调文字颜色 5 2 3 2 2 2 2" xfId="21196"/>
    <cellStyle name="60% - 强调文字颜色 5 2 3 2 2 2 3" xfId="21197"/>
    <cellStyle name="60% - 强调文字颜色 5 2 3 2 2 2 3 2" xfId="21198"/>
    <cellStyle name="60% - 强调文字颜色 5 2 3 2 2 2 3 2 2" xfId="21199"/>
    <cellStyle name="60% - 强调文字颜色 5 2 3 2 2 2 4" xfId="21200"/>
    <cellStyle name="60% - 强调文字颜色 5 2 3 2 2 2 4 2" xfId="21201"/>
    <cellStyle name="60% - 强调文字颜色 5 2 3 2 2 3" xfId="21202"/>
    <cellStyle name="60% - 强调文字颜色 5 2 3 2 2 3 2" xfId="21203"/>
    <cellStyle name="60% - 强调文字颜色 5 2 3 2 2 3 2 2" xfId="21204"/>
    <cellStyle name="60% - 强调文字颜色 5 2 3 2 2 3 2 2 2" xfId="21205"/>
    <cellStyle name="60% - 强调文字颜色 5 2 3 2 2 3 3" xfId="21206"/>
    <cellStyle name="60% - 强调文字颜色 5 2 3 2 2 3 3 2" xfId="21207"/>
    <cellStyle name="60% - 强调文字颜色 5 2 3 2 2 4" xfId="21208"/>
    <cellStyle name="60% - 强调文字颜色 5 2 3 2 2 5" xfId="21209"/>
    <cellStyle name="60% - 强调文字颜色 5 2 3 2 2 6" xfId="21210"/>
    <cellStyle name="60% - 强调文字颜色 5 2 3 2 3" xfId="21211"/>
    <cellStyle name="60% - 强调文字颜色 5 2 3 2 3 2" xfId="21212"/>
    <cellStyle name="60% - 强调文字颜色 5 2 3 2 3 3" xfId="21213"/>
    <cellStyle name="60% - 强调文字颜色 5 2 3 2 3 3 2" xfId="21214"/>
    <cellStyle name="60% - 强调文字颜色 5 2 3 2 3 3 2 2" xfId="21215"/>
    <cellStyle name="60% - 强调文字颜色 5 2 3 2 3 4" xfId="21216"/>
    <cellStyle name="60% - 强调文字颜色 5 2 3 2 3 4 2" xfId="21217"/>
    <cellStyle name="60% - 强调文字颜色 5 2 3 2 4" xfId="21218"/>
    <cellStyle name="60% - 强调文字颜色 5 2 3 2 4 2" xfId="21219"/>
    <cellStyle name="60% - 强调文字颜色 5 2 3 2 4 2 2" xfId="21220"/>
    <cellStyle name="60% - 强调文字颜色 5 2 3 2 4 2 2 2" xfId="21221"/>
    <cellStyle name="60% - 强调文字颜色 5 2 3 2 4 3" xfId="21222"/>
    <cellStyle name="60% - 强调文字颜色 5 2 3 2 4 3 2" xfId="21223"/>
    <cellStyle name="60% - 强调文字颜色 5 2 3 2 5" xfId="21224"/>
    <cellStyle name="60% - 强调文字颜色 5 2 3 2 6" xfId="21225"/>
    <cellStyle name="60% - 强调文字颜色 5 2 3 2 7" xfId="21226"/>
    <cellStyle name="60% - 强调文字颜色 5 2 3 3" xfId="21227"/>
    <cellStyle name="60% - 强调文字颜色 5 2 3 3 2" xfId="21228"/>
    <cellStyle name="60% - 强调文字颜色 5 2 3 3 2 2" xfId="21229"/>
    <cellStyle name="60% - 强调文字颜色 5 2 3 3 2 3" xfId="21230"/>
    <cellStyle name="60% - 强调文字颜色 5 2 3 3 2 3 2" xfId="21231"/>
    <cellStyle name="60% - 强调文字颜色 5 2 3 3 2 3 2 2" xfId="21232"/>
    <cellStyle name="60% - 强调文字颜色 5 2 3 3 2 4" xfId="21233"/>
    <cellStyle name="60% - 强调文字颜色 5 2 3 3 2 4 2" xfId="21234"/>
    <cellStyle name="60% - 强调文字颜色 5 2 3 3 3" xfId="21235"/>
    <cellStyle name="60% - 强调文字颜色 5 2 3 3 3 2" xfId="21236"/>
    <cellStyle name="60% - 强调文字颜色 5 2 3 3 3 2 2" xfId="21237"/>
    <cellStyle name="60% - 强调文字颜色 5 2 3 3 3 2 2 2" xfId="21238"/>
    <cellStyle name="60% - 强调文字颜色 5 2 3 3 3 3" xfId="21239"/>
    <cellStyle name="60% - 强调文字颜色 5 2 3 3 3 3 2" xfId="21240"/>
    <cellStyle name="60% - 强调文字颜色 5 2 3 3 4" xfId="21241"/>
    <cellStyle name="60% - 强调文字颜色 5 2 3 3 5" xfId="21242"/>
    <cellStyle name="60% - 强调文字颜色 5 2 3 3 6" xfId="21243"/>
    <cellStyle name="60% - 强调文字颜色 5 2 3 4" xfId="21244"/>
    <cellStyle name="60% - 强调文字颜色 5 2 3 4 2" xfId="21245"/>
    <cellStyle name="60% - 强调文字颜色 5 2 3 4 2 2" xfId="21246"/>
    <cellStyle name="60% - 强调文字颜色 5 2 3 4 2 3" xfId="21247"/>
    <cellStyle name="60% - 强调文字颜色 5 2 3 4 2 3 2" xfId="21248"/>
    <cellStyle name="60% - 强调文字颜色 5 2 3 4 2 3 2 2" xfId="21249"/>
    <cellStyle name="60% - 强调文字颜色 5 2 3 4 2 4" xfId="21250"/>
    <cellStyle name="60% - 强调文字颜色 5 2 3 4 2 4 2" xfId="21251"/>
    <cellStyle name="60% - 强调文字颜色 5 2 3 4 3" xfId="21252"/>
    <cellStyle name="60% - 强调文字颜色 5 2 3 4 4" xfId="21253"/>
    <cellStyle name="60% - 强调文字颜色 5 2 3 4 5" xfId="21254"/>
    <cellStyle name="60% - 强调文字颜色 5 2 3 4 6" xfId="21255"/>
    <cellStyle name="60% - 强调文字颜色 5 2 3 5" xfId="21256"/>
    <cellStyle name="60% - 强调文字颜色 5 2 3 5 2" xfId="21257"/>
    <cellStyle name="60% - 强调文字颜色 5 2 3 5 2 2" xfId="21258"/>
    <cellStyle name="60% - 强调文字颜色 5 2 3 5 2 2 2" xfId="21259"/>
    <cellStyle name="60% - 强调文字颜色 5 2 3 5 2 2 2 2" xfId="21260"/>
    <cellStyle name="60% - 强调文字颜色 5 2 3 5 2 3" xfId="21261"/>
    <cellStyle name="60% - 强调文字颜色 5 2 3 5 2 3 2" xfId="21262"/>
    <cellStyle name="60% - 强调文字颜色 5 2 3 5 3" xfId="21263"/>
    <cellStyle name="60% - 强调文字颜色 5 2 3 5 3 2" xfId="21264"/>
    <cellStyle name="60% - 强调文字颜色 5 2 3 5 3 2 2" xfId="21265"/>
    <cellStyle name="60% - 强调文字颜色 5 2 3 5 4" xfId="21266"/>
    <cellStyle name="60% - 强调文字颜色 5 2 3 5 4 2" xfId="21267"/>
    <cellStyle name="60% - 强调文字颜色 5 2 3 6" xfId="21268"/>
    <cellStyle name="60% - 强调文字颜色 5 2 3 6 2" xfId="21269"/>
    <cellStyle name="60% - 强调文字颜色 5 2 3 6 2 2" xfId="21270"/>
    <cellStyle name="60% - 强调文字颜色 5 2 3 6 2 2 2" xfId="21271"/>
    <cellStyle name="60% - 强调文字颜色 5 2 3 6 3" xfId="21272"/>
    <cellStyle name="60% - 强调文字颜色 5 2 3 6 3 2" xfId="21273"/>
    <cellStyle name="60% - 强调文字颜色 5 2 3 7" xfId="21274"/>
    <cellStyle name="60% - 强调文字颜色 5 2 3 7 2" xfId="21275"/>
    <cellStyle name="60% - 强调文字颜色 5 2 3 7 2 2" xfId="21276"/>
    <cellStyle name="60% - 强调文字颜色 5 2 3 7 2 2 2" xfId="21277"/>
    <cellStyle name="60% - 强调文字颜色 5 2 3 7 3" xfId="21278"/>
    <cellStyle name="60% - 强调文字颜色 5 2 3 7 3 2" xfId="21279"/>
    <cellStyle name="60% - 强调文字颜色 5 2 3 8" xfId="21280"/>
    <cellStyle name="60% - 强调文字颜色 5 2 3 9" xfId="21281"/>
    <cellStyle name="60% - 强调文字颜色 5 2 4" xfId="21282"/>
    <cellStyle name="60% - 强调文字颜色 5 2 4 2" xfId="21283"/>
    <cellStyle name="60% - 强调文字颜色 5 2 4 2 2" xfId="21284"/>
    <cellStyle name="60% - 强调文字颜色 5 2 4 2 3" xfId="21285"/>
    <cellStyle name="60% - 强调文字颜色 5 2 4 2 3 2" xfId="21286"/>
    <cellStyle name="60% - 强调文字颜色 5 2 4 2 3 2 2" xfId="21287"/>
    <cellStyle name="60% - 强调文字颜色 5 2 4 2 4" xfId="21288"/>
    <cellStyle name="60% - 强调文字颜色 5 2 4 2 4 2" xfId="21289"/>
    <cellStyle name="60% - 强调文字颜色 5 2 4 3" xfId="21290"/>
    <cellStyle name="60% - 强调文字颜色 5 2 4 3 2" xfId="21291"/>
    <cellStyle name="60% - 强调文字颜色 5 2 4 3 2 2" xfId="21292"/>
    <cellStyle name="60% - 强调文字颜色 5 2 4 3 2 2 2" xfId="21293"/>
    <cellStyle name="60% - 强调文字颜色 5 2 4 3 3" xfId="21294"/>
    <cellStyle name="60% - 强调文字颜色 5 2 4 3 3 2" xfId="21295"/>
    <cellStyle name="60% - 强调文字颜色 5 2 4 4" xfId="21296"/>
    <cellStyle name="60% - 强调文字颜色 5 2 4 5" xfId="21297"/>
    <cellStyle name="60% - 强调文字颜色 5 2 4 6" xfId="21298"/>
    <cellStyle name="60% - 强调文字颜色 5 2 5" xfId="21299"/>
    <cellStyle name="60% - 强调文字颜色 5 2 5 2" xfId="21300"/>
    <cellStyle name="60% - 强调文字颜色 5 2 5 2 2" xfId="21301"/>
    <cellStyle name="60% - 强调文字颜色 5 2 5 2 3" xfId="21302"/>
    <cellStyle name="60% - 强调文字颜色 5 2 5 2 3 2" xfId="21303"/>
    <cellStyle name="60% - 强调文字颜色 5 2 5 2 3 2 2" xfId="21304"/>
    <cellStyle name="60% - 强调文字颜色 5 2 5 2 4" xfId="21305"/>
    <cellStyle name="60% - 强调文字颜色 5 2 5 2 4 2" xfId="21306"/>
    <cellStyle name="60% - 强调文字颜色 5 2 5 3" xfId="21307"/>
    <cellStyle name="60% - 强调文字颜色 5 2 5 4" xfId="21308"/>
    <cellStyle name="60% - 强调文字颜色 5 2 5 5" xfId="21309"/>
    <cellStyle name="60% - 强调文字颜色 5 2 5 6" xfId="21310"/>
    <cellStyle name="60% - 强调文字颜色 5 2 6" xfId="21311"/>
    <cellStyle name="60% - 强调文字颜色 5 2 6 2" xfId="21312"/>
    <cellStyle name="60% - 强调文字颜色 5 2 6 2 2" xfId="21313"/>
    <cellStyle name="60% - 强调文字颜色 5 2 6 2 2 2" xfId="21314"/>
    <cellStyle name="60% - 强调文字颜色 5 2 6 2 2 2 2" xfId="21315"/>
    <cellStyle name="60% - 强调文字颜色 5 2 6 2 3" xfId="21316"/>
    <cellStyle name="60% - 强调文字颜色 5 2 6 2 3 2" xfId="21317"/>
    <cellStyle name="60% - 强调文字颜色 5 2 6 3" xfId="21318"/>
    <cellStyle name="60% - 强调文字颜色 5 2 6 3 2" xfId="21319"/>
    <cellStyle name="60% - 强调文字颜色 5 2 6 3 2 2" xfId="21320"/>
    <cellStyle name="60% - 强调文字颜色 5 2 6 4" xfId="21321"/>
    <cellStyle name="60% - 强调文字颜色 5 2 6 4 2" xfId="21322"/>
    <cellStyle name="60% - 强调文字颜色 5 2 7" xfId="21323"/>
    <cellStyle name="60% - 强调文字颜色 5 2 7 2" xfId="21324"/>
    <cellStyle name="60% - 强调文字颜色 5 2 7 2 2" xfId="21325"/>
    <cellStyle name="60% - 强调文字颜色 5 2 7 2 2 2" xfId="21326"/>
    <cellStyle name="60% - 强调文字颜色 5 2 7 2 2 2 2" xfId="21327"/>
    <cellStyle name="60% - 强调文字颜色 5 2 7 2 3" xfId="21328"/>
    <cellStyle name="60% - 强调文字颜色 5 2 7 2 3 2" xfId="21329"/>
    <cellStyle name="60% - 强调文字颜色 5 2 7 3" xfId="21330"/>
    <cellStyle name="60% - 强调文字颜色 5 2 7 3 2" xfId="21331"/>
    <cellStyle name="60% - 强调文字颜色 5 2 7 3 2 2" xfId="21332"/>
    <cellStyle name="60% - 强调文字颜色 5 2 7 4" xfId="21333"/>
    <cellStyle name="60% - 强调文字颜色 5 2 7 4 2" xfId="21334"/>
    <cellStyle name="60% - 强调文字颜色 5 2 8" xfId="21335"/>
    <cellStyle name="60% - 强调文字颜色 5 2 8 2" xfId="21336"/>
    <cellStyle name="60% - 强调文字颜色 5 2 8 2 2" xfId="21337"/>
    <cellStyle name="60% - 强调文字颜色 5 2 8 2 2 2" xfId="21338"/>
    <cellStyle name="60% - 强调文字颜色 5 2 8 2 2 2 2" xfId="21339"/>
    <cellStyle name="60% - 强调文字颜色 5 2 8 2 3" xfId="21340"/>
    <cellStyle name="60% - 强调文字颜色 5 2 8 2 3 2" xfId="21341"/>
    <cellStyle name="60% - 强调文字颜色 5 2 8 3" xfId="21342"/>
    <cellStyle name="60% - 强调文字颜色 5 2 8 3 2" xfId="21343"/>
    <cellStyle name="60% - 强调文字颜色 5 2 8 3 2 2" xfId="21344"/>
    <cellStyle name="60% - 强调文字颜色 5 2 8 4" xfId="21345"/>
    <cellStyle name="60% - 强调文字颜色 5 2 8 4 2" xfId="21346"/>
    <cellStyle name="60% - 强调文字颜色 5 2 9" xfId="21347"/>
    <cellStyle name="60% - 强调文字颜色 5 2 9 2" xfId="21348"/>
    <cellStyle name="60% - 强调文字颜色 5 2 9 2 2" xfId="21349"/>
    <cellStyle name="60% - 强调文字颜色 5 2 9 2 2 2" xfId="21350"/>
    <cellStyle name="60% - 强调文字颜色 5 2 9 3" xfId="21351"/>
    <cellStyle name="60% - 强调文字颜色 5 2 9 3 2" xfId="21352"/>
    <cellStyle name="60% - 强调文字颜色 5 3" xfId="21353"/>
    <cellStyle name="60% - 强调文字颜色 5 3 2" xfId="21354"/>
    <cellStyle name="60% - 强调文字颜色 5 3 2 2" xfId="21355"/>
    <cellStyle name="60% - 强调文字颜色 5 3 2 2 2" xfId="21356"/>
    <cellStyle name="60% - 强调文字颜色 5 3 2 2 2 2" xfId="21357"/>
    <cellStyle name="60% - 强调文字颜色 5 3 2 2 2 3" xfId="21358"/>
    <cellStyle name="60% - 强调文字颜色 5 3 2 2 2 3 2" xfId="21359"/>
    <cellStyle name="60% - 强调文字颜色 5 3 2 2 2 3 2 2" xfId="21360"/>
    <cellStyle name="60% - 强调文字颜色 5 3 2 2 2 4" xfId="21361"/>
    <cellStyle name="60% - 强调文字颜色 5 3 2 2 2 4 2" xfId="21362"/>
    <cellStyle name="60% - 强调文字颜色 5 3 2 2 3" xfId="21363"/>
    <cellStyle name="60% - 强调文字颜色 5 3 2 2 3 2" xfId="21364"/>
    <cellStyle name="60% - 强调文字颜色 5 3 2 2 3 2 2" xfId="21365"/>
    <cellStyle name="60% - 强调文字颜色 5 3 2 2 3 2 2 2" xfId="21366"/>
    <cellStyle name="60% - 强调文字颜色 5 3 2 2 3 3" xfId="21367"/>
    <cellStyle name="60% - 强调文字颜色 5 3 2 2 3 3 2" xfId="21368"/>
    <cellStyle name="60% - 强调文字颜色 5 3 2 2 4" xfId="21369"/>
    <cellStyle name="60% - 强调文字颜色 5 3 2 2 5" xfId="21370"/>
    <cellStyle name="60% - 强调文字颜色 5 3 2 2 6" xfId="21371"/>
    <cellStyle name="60% - 强调文字颜色 5 3 2 3" xfId="21372"/>
    <cellStyle name="60% - 强调文字颜色 5 3 2 3 2" xfId="21373"/>
    <cellStyle name="60% - 强调文字颜色 5 3 2 3 3" xfId="21374"/>
    <cellStyle name="60% - 强调文字颜色 5 3 2 3 3 2" xfId="21375"/>
    <cellStyle name="60% - 强调文字颜色 5 3 2 3 3 2 2" xfId="21376"/>
    <cellStyle name="60% - 强调文字颜色 5 3 2 3 4" xfId="21377"/>
    <cellStyle name="60% - 强调文字颜色 5 3 2 3 4 2" xfId="21378"/>
    <cellStyle name="60% - 强调文字颜色 5 3 2 4" xfId="21379"/>
    <cellStyle name="60% - 强调文字颜色 5 3 2 4 2" xfId="21380"/>
    <cellStyle name="60% - 强调文字颜色 5 3 2 4 2 2" xfId="21381"/>
    <cellStyle name="60% - 强调文字颜色 5 3 2 4 2 2 2" xfId="21382"/>
    <cellStyle name="60% - 强调文字颜色 5 3 2 4 3" xfId="21383"/>
    <cellStyle name="60% - 强调文字颜色 5 3 2 4 3 2" xfId="21384"/>
    <cellStyle name="60% - 强调文字颜色 5 3 2 5" xfId="21385"/>
    <cellStyle name="60% - 强调文字颜色 5 3 2 6" xfId="21386"/>
    <cellStyle name="60% - 强调文字颜色 5 3 2 7" xfId="21387"/>
    <cellStyle name="60% - 强调文字颜色 5 3 3" xfId="21388"/>
    <cellStyle name="60% - 强调文字颜色 5 3 3 2" xfId="21389"/>
    <cellStyle name="60% - 强调文字颜色 5 3 3 2 2" xfId="21390"/>
    <cellStyle name="60% - 强调文字颜色 5 3 3 2 3" xfId="21391"/>
    <cellStyle name="60% - 强调文字颜色 5 3 3 2 3 2" xfId="21392"/>
    <cellStyle name="60% - 强调文字颜色 5 3 3 2 3 2 2" xfId="21393"/>
    <cellStyle name="60% - 强调文字颜色 5 3 3 2 4" xfId="21394"/>
    <cellStyle name="60% - 强调文字颜色 5 3 3 2 4 2" xfId="21395"/>
    <cellStyle name="60% - 强调文字颜色 5 3 3 3" xfId="21396"/>
    <cellStyle name="60% - 强调文字颜色 5 3 3 3 2" xfId="21397"/>
    <cellStyle name="60% - 强调文字颜色 5 3 3 3 2 2" xfId="21398"/>
    <cellStyle name="60% - 强调文字颜色 5 3 3 3 2 2 2" xfId="21399"/>
    <cellStyle name="60% - 强调文字颜色 5 3 3 3 3" xfId="21400"/>
    <cellStyle name="60% - 强调文字颜色 5 3 3 3 3 2" xfId="21401"/>
    <cellStyle name="60% - 强调文字颜色 5 3 3 4" xfId="21402"/>
    <cellStyle name="60% - 强调文字颜色 5 3 3 5" xfId="21403"/>
    <cellStyle name="60% - 强调文字颜色 5 3 3 6" xfId="21404"/>
    <cellStyle name="60% - 强调文字颜色 5 3 4" xfId="21405"/>
    <cellStyle name="60% - 强调文字颜色 5 3 4 2" xfId="21406"/>
    <cellStyle name="60% - 强调文字颜色 5 3 4 2 2" xfId="21407"/>
    <cellStyle name="60% - 强调文字颜色 5 3 4 2 3" xfId="21408"/>
    <cellStyle name="60% - 强调文字颜色 5 3 4 2 3 2" xfId="21409"/>
    <cellStyle name="60% - 强调文字颜色 5 3 4 2 3 2 2" xfId="21410"/>
    <cellStyle name="60% - 强调文字颜色 5 3 4 2 4" xfId="21411"/>
    <cellStyle name="60% - 强调文字颜色 5 3 4 2 4 2" xfId="21412"/>
    <cellStyle name="60% - 强调文字颜色 5 3 4 3" xfId="21413"/>
    <cellStyle name="60% - 强调文字颜色 5 3 4 4" xfId="21414"/>
    <cellStyle name="60% - 强调文字颜色 5 3 4 5" xfId="21415"/>
    <cellStyle name="60% - 强调文字颜色 5 3 4 6" xfId="21416"/>
    <cellStyle name="60% - 强调文字颜色 5 3 5" xfId="21417"/>
    <cellStyle name="60% - 强调文字颜色 5 3 5 2" xfId="21418"/>
    <cellStyle name="60% - 强调文字颜色 5 3 5 2 2" xfId="21419"/>
    <cellStyle name="60% - 强调文字颜色 5 3 5 2 2 2" xfId="21420"/>
    <cellStyle name="60% - 强调文字颜色 5 3 5 2 2 2 2" xfId="21421"/>
    <cellStyle name="60% - 强调文字颜色 5 3 5 2 3" xfId="21422"/>
    <cellStyle name="60% - 强调文字颜色 5 3 5 2 3 2" xfId="21423"/>
    <cellStyle name="60% - 强调文字颜色 5 3 5 3" xfId="21424"/>
    <cellStyle name="60% - 强调文字颜色 5 3 5 3 2" xfId="21425"/>
    <cellStyle name="60% - 强调文字颜色 5 3 5 3 2 2" xfId="21426"/>
    <cellStyle name="60% - 强调文字颜色 5 3 5 4" xfId="21427"/>
    <cellStyle name="60% - 强调文字颜色 5 3 5 4 2" xfId="21428"/>
    <cellStyle name="60% - 强调文字颜色 5 3 6" xfId="21429"/>
    <cellStyle name="60% - 强调文字颜色 5 3 6 2" xfId="21430"/>
    <cellStyle name="60% - 强调文字颜色 5 3 6 2 2" xfId="21431"/>
    <cellStyle name="60% - 强调文字颜色 5 3 6 2 2 2" xfId="21432"/>
    <cellStyle name="60% - 强调文字颜色 5 3 6 3" xfId="21433"/>
    <cellStyle name="60% - 强调文字颜色 5 3 6 3 2" xfId="21434"/>
    <cellStyle name="60% - 强调文字颜色 5 3 7" xfId="21435"/>
    <cellStyle name="60% - 强调文字颜色 5 3 8" xfId="21436"/>
    <cellStyle name="60% - 强调文字颜色 6 2" xfId="21437"/>
    <cellStyle name="60% - 强调文字颜色 6 2 10" xfId="21438"/>
    <cellStyle name="60% - 强调文字颜色 6 2 11" xfId="21439"/>
    <cellStyle name="60% - 强调文字颜色 6 2 2" xfId="21440"/>
    <cellStyle name="60% - 强调文字颜色 6 2 2 10" xfId="21441"/>
    <cellStyle name="60% - 强调文字颜色 6 2 2 11" xfId="21442"/>
    <cellStyle name="60% - 强调文字颜色 6 2 2 2" xfId="21443"/>
    <cellStyle name="60% - 强调文字颜色 6 2 2 2 2" xfId="21444"/>
    <cellStyle name="60% - 强调文字颜色 6 2 2 2 2 2" xfId="21445"/>
    <cellStyle name="60% - 强调文字颜色 6 2 2 2 2 2 2" xfId="21446"/>
    <cellStyle name="60% - 强调文字颜色 6 2 2 2 2 2 3" xfId="21447"/>
    <cellStyle name="60% - 强调文字颜色 6 2 2 2 2 2 3 2" xfId="21448"/>
    <cellStyle name="60% - 强调文字颜色 6 2 2 2 2 2 3 2 2" xfId="21449"/>
    <cellStyle name="60% - 强调文字颜色 6 2 2 2 2 2 4" xfId="21450"/>
    <cellStyle name="60% - 强调文字颜色 6 2 2 2 2 2 4 2" xfId="21451"/>
    <cellStyle name="60% - 强调文字颜色 6 2 2 2 2 3" xfId="21452"/>
    <cellStyle name="60% - 强调文字颜色 6 2 2 2 2 3 2" xfId="21453"/>
    <cellStyle name="60% - 强调文字颜色 6 2 2 2 2 3 2 2" xfId="21454"/>
    <cellStyle name="60% - 强调文字颜色 6 2 2 2 2 3 2 2 2" xfId="21455"/>
    <cellStyle name="60% - 强调文字颜色 6 2 2 2 2 3 3" xfId="21456"/>
    <cellStyle name="60% - 强调文字颜色 6 2 2 2 2 3 3 2" xfId="21457"/>
    <cellStyle name="60% - 强调文字颜色 6 2 2 2 2 4" xfId="21458"/>
    <cellStyle name="60% - 强调文字颜色 6 2 2 2 2 5" xfId="21459"/>
    <cellStyle name="60% - 强调文字颜色 6 2 2 2 2 6" xfId="21460"/>
    <cellStyle name="60% - 强调文字颜色 6 2 2 2 3" xfId="21461"/>
    <cellStyle name="60% - 强调文字颜色 6 2 2 2 3 2" xfId="21462"/>
    <cellStyle name="60% - 强调文字颜色 6 2 2 2 3 3" xfId="21463"/>
    <cellStyle name="60% - 强调文字颜色 6 2 2 2 3 3 2" xfId="21464"/>
    <cellStyle name="60% - 强调文字颜色 6 2 2 2 3 3 2 2" xfId="21465"/>
    <cellStyle name="60% - 强调文字颜色 6 2 2 2 3 4" xfId="21466"/>
    <cellStyle name="60% - 强调文字颜色 6 2 2 2 3 4 2" xfId="21467"/>
    <cellStyle name="60% - 强调文字颜色 6 2 2 2 4" xfId="21468"/>
    <cellStyle name="60% - 强调文字颜色 6 2 2 2 4 2" xfId="21469"/>
    <cellStyle name="60% - 强调文字颜色 6 2 2 2 4 2 2" xfId="21470"/>
    <cellStyle name="60% - 强调文字颜色 6 2 2 2 4 2 2 2" xfId="21471"/>
    <cellStyle name="60% - 强调文字颜色 6 2 2 2 4 3" xfId="21472"/>
    <cellStyle name="60% - 强调文字颜色 6 2 2 2 4 3 2" xfId="21473"/>
    <cellStyle name="60% - 强调文字颜色 6 2 2 2 5" xfId="21474"/>
    <cellStyle name="60% - 强调文字颜色 6 2 2 2 6" xfId="21475"/>
    <cellStyle name="60% - 强调文字颜色 6 2 2 2 7" xfId="21476"/>
    <cellStyle name="60% - 强调文字颜色 6 2 2 3" xfId="21477"/>
    <cellStyle name="60% - 强调文字颜色 6 2 2 3 2" xfId="21478"/>
    <cellStyle name="60% - 强调文字颜色 6 2 2 3 2 2" xfId="21479"/>
    <cellStyle name="60% - 强调文字颜色 6 2 2 3 2 3" xfId="21480"/>
    <cellStyle name="60% - 强调文字颜色 6 2 2 3 2 3 2" xfId="21481"/>
    <cellStyle name="60% - 强调文字颜色 6 2 2 3 2 3 2 2" xfId="21482"/>
    <cellStyle name="60% - 强调文字颜色 6 2 2 3 2 4" xfId="21483"/>
    <cellStyle name="60% - 强调文字颜色 6 2 2 3 2 4 2" xfId="21484"/>
    <cellStyle name="60% - 强调文字颜色 6 2 2 3 3" xfId="21485"/>
    <cellStyle name="60% - 强调文字颜色 6 2 2 3 3 2" xfId="21486"/>
    <cellStyle name="60% - 强调文字颜色 6 2 2 3 3 2 2" xfId="21487"/>
    <cellStyle name="60% - 强调文字颜色 6 2 2 3 3 2 2 2" xfId="21488"/>
    <cellStyle name="60% - 强调文字颜色 6 2 2 3 3 3" xfId="21489"/>
    <cellStyle name="60% - 强调文字颜色 6 2 2 3 3 3 2" xfId="21490"/>
    <cellStyle name="60% - 强调文字颜色 6 2 2 3 4" xfId="21491"/>
    <cellStyle name="60% - 强调文字颜色 6 2 2 3 5" xfId="21492"/>
    <cellStyle name="60% - 强调文字颜色 6 2 2 3 6" xfId="21493"/>
    <cellStyle name="60% - 强调文字颜色 6 2 2 4" xfId="21494"/>
    <cellStyle name="60% - 强调文字颜色 6 2 2 4 2" xfId="21495"/>
    <cellStyle name="60% - 强调文字颜色 6 2 2 4 2 2" xfId="21496"/>
    <cellStyle name="60% - 强调文字颜色 6 2 2 4 2 3" xfId="21497"/>
    <cellStyle name="60% - 强调文字颜色 6 2 2 4 2 3 2" xfId="21498"/>
    <cellStyle name="60% - 强调文字颜色 6 2 2 4 2 3 2 2" xfId="21499"/>
    <cellStyle name="60% - 强调文字颜色 6 2 2 4 2 4" xfId="21500"/>
    <cellStyle name="60% - 强调文字颜色 6 2 2 4 2 4 2" xfId="21501"/>
    <cellStyle name="60% - 强调文字颜色 6 2 2 4 3" xfId="21502"/>
    <cellStyle name="60% - 强调文字颜色 6 2 2 4 4" xfId="21503"/>
    <cellStyle name="60% - 强调文字颜色 6 2 2 4 5" xfId="21504"/>
    <cellStyle name="60% - 强调文字颜色 6 2 2 4 6" xfId="21505"/>
    <cellStyle name="60% - 强调文字颜色 6 2 2 5" xfId="21506"/>
    <cellStyle name="60% - 强调文字颜色 6 2 2 5 2" xfId="21507"/>
    <cellStyle name="60% - 强调文字颜色 6 2 2 5 2 2" xfId="21508"/>
    <cellStyle name="60% - 强调文字颜色 6 2 2 5 2 2 2" xfId="21509"/>
    <cellStyle name="60% - 强调文字颜色 6 2 2 5 2 2 2 2" xfId="21510"/>
    <cellStyle name="60% - 强调文字颜色 6 2 2 5 2 3" xfId="21511"/>
    <cellStyle name="60% - 强调文字颜色 6 2 2 5 2 3 2" xfId="21512"/>
    <cellStyle name="60% - 强调文字颜色 6 2 2 5 3" xfId="21513"/>
    <cellStyle name="60% - 强调文字颜色 6 2 2 5 3 2" xfId="21514"/>
    <cellStyle name="60% - 强调文字颜色 6 2 2 5 3 2 2" xfId="21515"/>
    <cellStyle name="60% - 强调文字颜色 6 2 2 5 4" xfId="21516"/>
    <cellStyle name="60% - 强调文字颜色 6 2 2 5 4 2" xfId="21517"/>
    <cellStyle name="60% - 强调文字颜色 6 2 2 6" xfId="21518"/>
    <cellStyle name="60% - 强调文字颜色 6 2 2 6 2" xfId="21519"/>
    <cellStyle name="60% - 强调文字颜色 6 2 2 6 2 2" xfId="21520"/>
    <cellStyle name="60% - 强调文字颜色 6 2 2 6 2 2 2" xfId="21521"/>
    <cellStyle name="60% - 强调文字颜色 6 2 2 6 2 2 2 2" xfId="21522"/>
    <cellStyle name="60% - 强调文字颜色 6 2 2 6 2 3" xfId="21523"/>
    <cellStyle name="60% - 强调文字颜色 6 2 2 6 2 3 2" xfId="21524"/>
    <cellStyle name="60% - 强调文字颜色 6 2 2 6 3" xfId="21525"/>
    <cellStyle name="60% - 强调文字颜色 6 2 2 6 3 2" xfId="21526"/>
    <cellStyle name="60% - 强调文字颜色 6 2 2 6 3 2 2" xfId="21527"/>
    <cellStyle name="60% - 强调文字颜色 6 2 2 6 4" xfId="21528"/>
    <cellStyle name="60% - 强调文字颜色 6 2 2 6 4 2" xfId="21529"/>
    <cellStyle name="60% - 强调文字颜色 6 2 2 7" xfId="21530"/>
    <cellStyle name="60% - 强调文字颜色 6 2 2 7 2" xfId="21531"/>
    <cellStyle name="60% - 强调文字颜色 6 2 2 7 2 2" xfId="21532"/>
    <cellStyle name="60% - 强调文字颜色 6 2 2 7 2 2 2" xfId="21533"/>
    <cellStyle name="60% - 强调文字颜色 6 2 2 7 2 2 2 2" xfId="21534"/>
    <cellStyle name="60% - 强调文字颜色 6 2 2 7 2 3" xfId="21535"/>
    <cellStyle name="60% - 强调文字颜色 6 2 2 7 2 3 2" xfId="21536"/>
    <cellStyle name="60% - 强调文字颜色 6 2 2 7 3" xfId="21537"/>
    <cellStyle name="60% - 强调文字颜色 6 2 2 7 3 2" xfId="21538"/>
    <cellStyle name="60% - 强调文字颜色 6 2 2 7 3 2 2" xfId="21539"/>
    <cellStyle name="60% - 强调文字颜色 6 2 2 7 4" xfId="21540"/>
    <cellStyle name="60% - 强调文字颜色 6 2 2 7 4 2" xfId="21541"/>
    <cellStyle name="60% - 强调文字颜色 6 2 2 8" xfId="21542"/>
    <cellStyle name="60% - 强调文字颜色 6 2 2 8 2" xfId="21543"/>
    <cellStyle name="60% - 强调文字颜色 6 2 2 8 2 2" xfId="21544"/>
    <cellStyle name="60% - 强调文字颜色 6 2 2 8 2 2 2" xfId="21545"/>
    <cellStyle name="60% - 强调文字颜色 6 2 2 8 3" xfId="21546"/>
    <cellStyle name="60% - 强调文字颜色 6 2 2 8 3 2" xfId="21547"/>
    <cellStyle name="60% - 强调文字颜色 6 2 2 9" xfId="21548"/>
    <cellStyle name="60% - 强调文字颜色 6 2 2 9 2" xfId="21549"/>
    <cellStyle name="60% - 强调文字颜色 6 2 2 9 2 2" xfId="21550"/>
    <cellStyle name="60% - 强调文字颜色 6 2 2 9 2 2 2" xfId="21551"/>
    <cellStyle name="60% - 强调文字颜色 6 2 2 9 3" xfId="21552"/>
    <cellStyle name="60% - 强调文字颜色 6 2 2 9 3 2" xfId="21553"/>
    <cellStyle name="60% - 强调文字颜色 6 2 3" xfId="21554"/>
    <cellStyle name="60% - 强调文字颜色 6 2 3 2" xfId="21555"/>
    <cellStyle name="60% - 强调文字颜色 6 2 3 2 2" xfId="21556"/>
    <cellStyle name="60% - 强调文字颜色 6 2 3 2 2 2" xfId="21557"/>
    <cellStyle name="60% - 强调文字颜色 6 2 3 2 2 2 2" xfId="21558"/>
    <cellStyle name="60% - 强调文字颜色 6 2 3 2 2 2 3" xfId="21559"/>
    <cellStyle name="60% - 强调文字颜色 6 2 3 2 2 2 3 2" xfId="21560"/>
    <cellStyle name="60% - 强调文字颜色 6 2 3 2 2 2 3 2 2" xfId="21561"/>
    <cellStyle name="60% - 强调文字颜色 6 2 3 2 2 2 4" xfId="21562"/>
    <cellStyle name="60% - 强调文字颜色 6 2 3 2 2 2 4 2" xfId="21563"/>
    <cellStyle name="60% - 强调文字颜色 6 2 3 2 2 3" xfId="21564"/>
    <cellStyle name="60% - 强调文字颜色 6 2 3 2 2 3 2" xfId="21565"/>
    <cellStyle name="60% - 强调文字颜色 6 2 3 2 2 3 2 2" xfId="21566"/>
    <cellStyle name="60% - 强调文字颜色 6 2 3 2 2 3 2 2 2" xfId="21567"/>
    <cellStyle name="60% - 强调文字颜色 6 2 3 2 2 3 3" xfId="21568"/>
    <cellStyle name="60% - 强调文字颜色 6 2 3 2 2 3 3 2" xfId="21569"/>
    <cellStyle name="60% - 强调文字颜色 6 2 3 2 2 4" xfId="21570"/>
    <cellStyle name="60% - 强调文字颜色 6 2 3 2 2 5" xfId="21571"/>
    <cellStyle name="60% - 强调文字颜色 6 2 3 2 2 6" xfId="21572"/>
    <cellStyle name="60% - 强调文字颜色 6 2 3 2 3" xfId="21573"/>
    <cellStyle name="60% - 强调文字颜色 6 2 3 2 3 2" xfId="21574"/>
    <cellStyle name="60% - 强调文字颜色 6 2 3 2 3 3" xfId="21575"/>
    <cellStyle name="60% - 强调文字颜色 6 2 3 2 3 3 2" xfId="21576"/>
    <cellStyle name="60% - 强调文字颜色 6 2 3 2 3 3 2 2" xfId="21577"/>
    <cellStyle name="60% - 强调文字颜色 6 2 3 2 3 4" xfId="21578"/>
    <cellStyle name="60% - 强调文字颜色 6 2 3 2 3 4 2" xfId="21579"/>
    <cellStyle name="60% - 强调文字颜色 6 2 3 2 4" xfId="21580"/>
    <cellStyle name="60% - 强调文字颜色 6 2 3 2 4 2" xfId="21581"/>
    <cellStyle name="60% - 强调文字颜色 6 2 3 2 4 2 2" xfId="21582"/>
    <cellStyle name="60% - 强调文字颜色 6 2 3 2 4 2 2 2" xfId="21583"/>
    <cellStyle name="60% - 强调文字颜色 6 2 3 2 4 3" xfId="21584"/>
    <cellStyle name="60% - 强调文字颜色 6 2 3 2 4 3 2" xfId="21585"/>
    <cellStyle name="60% - 强调文字颜色 6 2 3 2 5" xfId="21586"/>
    <cellStyle name="60% - 强调文字颜色 6 2 3 2 6" xfId="21587"/>
    <cellStyle name="60% - 强调文字颜色 6 2 3 2 7" xfId="21588"/>
    <cellStyle name="60% - 强调文字颜色 6 2 3 3" xfId="21589"/>
    <cellStyle name="60% - 强调文字颜色 6 2 3 3 2" xfId="21590"/>
    <cellStyle name="60% - 强调文字颜色 6 2 3 3 2 2" xfId="21591"/>
    <cellStyle name="60% - 强调文字颜色 6 2 3 3 2 3" xfId="21592"/>
    <cellStyle name="60% - 强调文字颜色 6 2 3 3 2 3 2" xfId="21593"/>
    <cellStyle name="60% - 强调文字颜色 6 2 3 3 2 3 2 2" xfId="21594"/>
    <cellStyle name="60% - 强调文字颜色 6 2 3 3 2 4" xfId="21595"/>
    <cellStyle name="60% - 强调文字颜色 6 2 3 3 2 4 2" xfId="21596"/>
    <cellStyle name="60% - 强调文字颜色 6 2 3 3 3" xfId="21597"/>
    <cellStyle name="60% - 强调文字颜色 6 2 3 3 3 2" xfId="21598"/>
    <cellStyle name="60% - 强调文字颜色 6 2 3 3 3 2 2" xfId="21599"/>
    <cellStyle name="60% - 强调文字颜色 6 2 3 3 3 2 2 2" xfId="21600"/>
    <cellStyle name="60% - 强调文字颜色 6 2 3 3 3 3" xfId="21601"/>
    <cellStyle name="60% - 强调文字颜色 6 2 3 3 3 3 2" xfId="21602"/>
    <cellStyle name="60% - 强调文字颜色 6 2 3 3 4" xfId="21603"/>
    <cellStyle name="60% - 强调文字颜色 6 2 3 3 5" xfId="21604"/>
    <cellStyle name="60% - 强调文字颜色 6 2 3 3 6" xfId="21605"/>
    <cellStyle name="60% - 强调文字颜色 6 2 3 4" xfId="21606"/>
    <cellStyle name="60% - 强调文字颜色 6 2 3 4 2" xfId="21607"/>
    <cellStyle name="60% - 强调文字颜色 6 2 3 4 2 2" xfId="21608"/>
    <cellStyle name="60% - 强调文字颜色 6 2 3 4 2 3" xfId="21609"/>
    <cellStyle name="60% - 强调文字颜色 6 2 3 4 2 3 2" xfId="21610"/>
    <cellStyle name="60% - 强调文字颜色 6 2 3 4 2 3 2 2" xfId="21611"/>
    <cellStyle name="60% - 强调文字颜色 6 2 3 4 2 4" xfId="21612"/>
    <cellStyle name="60% - 强调文字颜色 6 2 3 4 2 4 2" xfId="21613"/>
    <cellStyle name="60% - 强调文字颜色 6 2 3 4 3" xfId="21614"/>
    <cellStyle name="60% - 强调文字颜色 6 2 3 4 4" xfId="21615"/>
    <cellStyle name="60% - 强调文字颜色 6 2 3 4 5" xfId="21616"/>
    <cellStyle name="60% - 强调文字颜色 6 2 3 4 6" xfId="21617"/>
    <cellStyle name="60% - 强调文字颜色 6 2 3 5" xfId="21618"/>
    <cellStyle name="60% - 强调文字颜色 6 2 3 5 2" xfId="21619"/>
    <cellStyle name="60% - 强调文字颜色 6 2 3 5 2 2" xfId="21620"/>
    <cellStyle name="60% - 强调文字颜色 6 2 3 5 2 2 2" xfId="21621"/>
    <cellStyle name="60% - 强调文字颜色 6 2 3 5 2 2 2 2" xfId="21622"/>
    <cellStyle name="60% - 强调文字颜色 6 2 3 5 2 3" xfId="21623"/>
    <cellStyle name="60% - 强调文字颜色 6 2 3 5 2 3 2" xfId="21624"/>
    <cellStyle name="60% - 强调文字颜色 6 2 3 5 3" xfId="21625"/>
    <cellStyle name="60% - 强调文字颜色 6 2 3 5 3 2" xfId="21626"/>
    <cellStyle name="60% - 强调文字颜色 6 2 3 5 3 2 2" xfId="21627"/>
    <cellStyle name="60% - 强调文字颜色 6 2 3 5 4" xfId="21628"/>
    <cellStyle name="60% - 强调文字颜色 6 2 3 5 4 2" xfId="21629"/>
    <cellStyle name="60% - 强调文字颜色 6 2 3 6" xfId="21630"/>
    <cellStyle name="60% - 强调文字颜色 6 2 3 6 2" xfId="21631"/>
    <cellStyle name="60% - 强调文字颜色 6 2 3 6 2 2" xfId="21632"/>
    <cellStyle name="60% - 强调文字颜色 6 2 3 6 2 2 2" xfId="21633"/>
    <cellStyle name="60% - 强调文字颜色 6 2 3 6 3" xfId="21634"/>
    <cellStyle name="60% - 强调文字颜色 6 2 3 6 3 2" xfId="21635"/>
    <cellStyle name="60% - 强调文字颜色 6 2 3 7" xfId="21636"/>
    <cellStyle name="60% - 强调文字颜色 6 2 3 7 2" xfId="21637"/>
    <cellStyle name="60% - 强调文字颜色 6 2 3 7 2 2" xfId="21638"/>
    <cellStyle name="60% - 强调文字颜色 6 2 3 7 2 2 2" xfId="21639"/>
    <cellStyle name="60% - 强调文字颜色 6 2 3 7 3" xfId="21640"/>
    <cellStyle name="60% - 强调文字颜色 6 2 3 7 3 2" xfId="21641"/>
    <cellStyle name="60% - 强调文字颜色 6 2 3 8" xfId="21642"/>
    <cellStyle name="60% - 强调文字颜色 6 2 3 9" xfId="21643"/>
    <cellStyle name="60% - 强调文字颜色 6 2 4" xfId="21644"/>
    <cellStyle name="60% - 强调文字颜色 6 2 4 2" xfId="21645"/>
    <cellStyle name="60% - 强调文字颜色 6 2 4 2 2" xfId="21646"/>
    <cellStyle name="60% - 强调文字颜色 6 2 4 2 3" xfId="21647"/>
    <cellStyle name="60% - 强调文字颜色 6 2 4 2 3 2" xfId="21648"/>
    <cellStyle name="60% - 强调文字颜色 6 2 4 2 3 2 2" xfId="21649"/>
    <cellStyle name="60% - 强调文字颜色 6 2 4 2 4" xfId="21650"/>
    <cellStyle name="60% - 强调文字颜色 6 2 4 2 4 2" xfId="21651"/>
    <cellStyle name="60% - 强调文字颜色 6 2 4 3" xfId="21652"/>
    <cellStyle name="60% - 强调文字颜色 6 2 4 3 2" xfId="21653"/>
    <cellStyle name="60% - 强调文字颜色 6 2 4 3 2 2" xfId="21654"/>
    <cellStyle name="60% - 强调文字颜色 6 2 4 3 2 2 2" xfId="21655"/>
    <cellStyle name="60% - 强调文字颜色 6 2 4 3 3" xfId="21656"/>
    <cellStyle name="60% - 强调文字颜色 6 2 4 3 3 2" xfId="21657"/>
    <cellStyle name="60% - 强调文字颜色 6 2 4 4" xfId="21658"/>
    <cellStyle name="60% - 强调文字颜色 6 2 4 5" xfId="21659"/>
    <cellStyle name="60% - 强调文字颜色 6 2 4 6" xfId="21660"/>
    <cellStyle name="60% - 强调文字颜色 6 2 5" xfId="21661"/>
    <cellStyle name="60% - 强调文字颜色 6 2 5 2" xfId="21662"/>
    <cellStyle name="60% - 强调文字颜色 6 2 5 2 2" xfId="21663"/>
    <cellStyle name="60% - 强调文字颜色 6 2 5 2 3" xfId="21664"/>
    <cellStyle name="60% - 强调文字颜色 6 2 5 2 3 2" xfId="21665"/>
    <cellStyle name="60% - 强调文字颜色 6 2 5 2 3 2 2" xfId="21666"/>
    <cellStyle name="60% - 强调文字颜色 6 2 5 2 4" xfId="21667"/>
    <cellStyle name="60% - 强调文字颜色 6 2 5 2 4 2" xfId="21668"/>
    <cellStyle name="60% - 强调文字颜色 6 2 5 3" xfId="21669"/>
    <cellStyle name="60% - 强调文字颜色 6 2 5 4" xfId="21670"/>
    <cellStyle name="60% - 强调文字颜色 6 2 5 5" xfId="21671"/>
    <cellStyle name="60% - 强调文字颜色 6 2 5 6" xfId="21672"/>
    <cellStyle name="60% - 强调文字颜色 6 2 6" xfId="21673"/>
    <cellStyle name="60% - 强调文字颜色 6 2 6 2" xfId="21674"/>
    <cellStyle name="60% - 强调文字颜色 6 2 6 2 2" xfId="21675"/>
    <cellStyle name="60% - 强调文字颜色 6 2 6 2 2 2" xfId="21676"/>
    <cellStyle name="60% - 强调文字颜色 6 2 6 2 2 2 2" xfId="21677"/>
    <cellStyle name="60% - 强调文字颜色 6 2 6 2 3" xfId="21678"/>
    <cellStyle name="60% - 强调文字颜色 6 2 6 2 3 2" xfId="21679"/>
    <cellStyle name="60% - 强调文字颜色 6 2 6 3" xfId="21680"/>
    <cellStyle name="60% - 强调文字颜色 6 2 6 3 2" xfId="21681"/>
    <cellStyle name="60% - 强调文字颜色 6 2 6 3 2 2" xfId="21682"/>
    <cellStyle name="60% - 强调文字颜色 6 2 6 4" xfId="21683"/>
    <cellStyle name="60% - 强调文字颜色 6 2 6 4 2" xfId="21684"/>
    <cellStyle name="60% - 强调文字颜色 6 2 7" xfId="21685"/>
    <cellStyle name="60% - 强调文字颜色 6 2 7 2" xfId="21686"/>
    <cellStyle name="60% - 强调文字颜色 6 2 7 2 2" xfId="21687"/>
    <cellStyle name="60% - 强调文字颜色 6 2 7 2 2 2" xfId="21688"/>
    <cellStyle name="60% - 强调文字颜色 6 2 7 2 2 2 2" xfId="21689"/>
    <cellStyle name="60% - 强调文字颜色 6 2 7 2 3" xfId="21690"/>
    <cellStyle name="60% - 强调文字颜色 6 2 7 2 3 2" xfId="21691"/>
    <cellStyle name="60% - 强调文字颜色 6 2 7 3" xfId="21692"/>
    <cellStyle name="60% - 强调文字颜色 6 2 7 3 2" xfId="21693"/>
    <cellStyle name="60% - 强调文字颜色 6 2 7 3 2 2" xfId="21694"/>
    <cellStyle name="60% - 强调文字颜色 6 2 7 4" xfId="21695"/>
    <cellStyle name="60% - 强调文字颜色 6 2 7 4 2" xfId="21696"/>
    <cellStyle name="60% - 强调文字颜色 6 2 8" xfId="21697"/>
    <cellStyle name="60% - 强调文字颜色 6 2 8 2" xfId="21698"/>
    <cellStyle name="60% - 强调文字颜色 6 2 8 2 2" xfId="21699"/>
    <cellStyle name="60% - 强调文字颜色 6 2 8 2 2 2" xfId="21700"/>
    <cellStyle name="60% - 强调文字颜色 6 2 8 2 2 2 2" xfId="21701"/>
    <cellStyle name="60% - 强调文字颜色 6 2 8 2 3" xfId="21702"/>
    <cellStyle name="60% - 强调文字颜色 6 2 8 2 3 2" xfId="21703"/>
    <cellStyle name="60% - 强调文字颜色 6 2 8 3" xfId="21704"/>
    <cellStyle name="60% - 强调文字颜色 6 2 8 3 2" xfId="21705"/>
    <cellStyle name="60% - 强调文字颜色 6 2 8 3 2 2" xfId="21706"/>
    <cellStyle name="60% - 强调文字颜色 6 2 8 4" xfId="21707"/>
    <cellStyle name="60% - 强调文字颜色 6 2 8 4 2" xfId="21708"/>
    <cellStyle name="60% - 强调文字颜色 6 2 9" xfId="21709"/>
    <cellStyle name="60% - 强调文字颜色 6 2 9 2" xfId="21710"/>
    <cellStyle name="60% - 强调文字颜色 6 2 9 2 2" xfId="21711"/>
    <cellStyle name="60% - 强调文字颜色 6 2 9 2 2 2" xfId="21712"/>
    <cellStyle name="60% - 强调文字颜色 6 2 9 3" xfId="21713"/>
    <cellStyle name="60% - 强调文字颜色 6 2 9 3 2" xfId="21714"/>
    <cellStyle name="60% - 强调文字颜色 6 3" xfId="21715"/>
    <cellStyle name="60% - 强调文字颜色 6 3 2" xfId="21716"/>
    <cellStyle name="60% - 强调文字颜色 6 3 2 2" xfId="21717"/>
    <cellStyle name="60% - 强调文字颜色 6 3 2 2 2" xfId="21718"/>
    <cellStyle name="60% - 强调文字颜色 6 3 2 2 2 2" xfId="21719"/>
    <cellStyle name="60% - 强调文字颜色 6 3 2 2 2 3" xfId="21720"/>
    <cellStyle name="60% - 强调文字颜色 6 3 2 2 2 3 2" xfId="21721"/>
    <cellStyle name="60% - 强调文字颜色 6 3 2 2 2 3 2 2" xfId="21722"/>
    <cellStyle name="60% - 强调文字颜色 6 3 2 2 2 4" xfId="21723"/>
    <cellStyle name="60% - 强调文字颜色 6 3 2 2 2 4 2" xfId="21724"/>
    <cellStyle name="60% - 强调文字颜色 6 3 2 2 3" xfId="21725"/>
    <cellStyle name="60% - 强调文字颜色 6 3 2 2 3 2" xfId="21726"/>
    <cellStyle name="60% - 强调文字颜色 6 3 2 2 3 2 2" xfId="21727"/>
    <cellStyle name="60% - 强调文字颜色 6 3 2 2 3 2 2 2" xfId="21728"/>
    <cellStyle name="60% - 强调文字颜色 6 3 2 2 3 3" xfId="21729"/>
    <cellStyle name="60% - 强调文字颜色 6 3 2 2 3 3 2" xfId="21730"/>
    <cellStyle name="60% - 强调文字颜色 6 3 2 2 4" xfId="21731"/>
    <cellStyle name="60% - 强调文字颜色 6 3 2 2 5" xfId="21732"/>
    <cellStyle name="60% - 强调文字颜色 6 3 2 2 6" xfId="21733"/>
    <cellStyle name="60% - 强调文字颜色 6 3 2 3" xfId="21734"/>
    <cellStyle name="60% - 强调文字颜色 6 3 2 3 2" xfId="21735"/>
    <cellStyle name="60% - 强调文字颜色 6 3 2 3 3" xfId="21736"/>
    <cellStyle name="60% - 强调文字颜色 6 3 2 3 3 2" xfId="21737"/>
    <cellStyle name="60% - 强调文字颜色 6 3 2 3 3 2 2" xfId="21738"/>
    <cellStyle name="60% - 强调文字颜色 6 3 2 3 4" xfId="21739"/>
    <cellStyle name="60% - 强调文字颜色 6 3 2 3 4 2" xfId="21740"/>
    <cellStyle name="60% - 强调文字颜色 6 3 2 4" xfId="21741"/>
    <cellStyle name="60% - 强调文字颜色 6 3 2 4 2" xfId="21742"/>
    <cellStyle name="60% - 强调文字颜色 6 3 2 4 2 2" xfId="21743"/>
    <cellStyle name="60% - 强调文字颜色 6 3 2 4 2 2 2" xfId="21744"/>
    <cellStyle name="60% - 强调文字颜色 6 3 2 4 3" xfId="21745"/>
    <cellStyle name="60% - 强调文字颜色 6 3 2 4 3 2" xfId="21746"/>
    <cellStyle name="60% - 强调文字颜色 6 3 2 5" xfId="21747"/>
    <cellStyle name="60% - 强调文字颜色 6 3 2 6" xfId="21748"/>
    <cellStyle name="60% - 强调文字颜色 6 3 2 7" xfId="21749"/>
    <cellStyle name="60% - 强调文字颜色 6 3 3" xfId="21750"/>
    <cellStyle name="60% - 强调文字颜色 6 3 3 2" xfId="21751"/>
    <cellStyle name="60% - 强调文字颜色 6 3 3 2 2" xfId="21752"/>
    <cellStyle name="60% - 强调文字颜色 6 3 3 2 3" xfId="21753"/>
    <cellStyle name="60% - 强调文字颜色 6 3 3 2 3 2" xfId="21754"/>
    <cellStyle name="60% - 强调文字颜色 6 3 3 2 3 2 2" xfId="21755"/>
    <cellStyle name="60% - 强调文字颜色 6 3 3 2 4" xfId="21756"/>
    <cellStyle name="60% - 强调文字颜色 6 3 3 2 4 2" xfId="21757"/>
    <cellStyle name="60% - 强调文字颜色 6 3 3 3" xfId="21758"/>
    <cellStyle name="60% - 强调文字颜色 6 3 3 3 2" xfId="21759"/>
    <cellStyle name="60% - 强调文字颜色 6 3 3 3 2 2" xfId="21760"/>
    <cellStyle name="60% - 强调文字颜色 6 3 3 3 2 2 2" xfId="21761"/>
    <cellStyle name="60% - 强调文字颜色 6 3 3 3 3" xfId="21762"/>
    <cellStyle name="60% - 强调文字颜色 6 3 3 3 3 2" xfId="21763"/>
    <cellStyle name="60% - 强调文字颜色 6 3 3 4" xfId="21764"/>
    <cellStyle name="60% - 强调文字颜色 6 3 3 5" xfId="21765"/>
    <cellStyle name="60% - 强调文字颜色 6 3 3 6" xfId="21766"/>
    <cellStyle name="60% - 强调文字颜色 6 3 4" xfId="21767"/>
    <cellStyle name="60% - 强调文字颜色 6 3 4 2" xfId="21768"/>
    <cellStyle name="60% - 强调文字颜色 6 3 4 2 2" xfId="21769"/>
    <cellStyle name="60% - 强调文字颜色 6 3 4 2 3" xfId="21770"/>
    <cellStyle name="60% - 强调文字颜色 6 3 4 2 3 2" xfId="21771"/>
    <cellStyle name="60% - 强调文字颜色 6 3 4 2 3 2 2" xfId="21772"/>
    <cellStyle name="60% - 强调文字颜色 6 3 4 2 4" xfId="21773"/>
    <cellStyle name="60% - 强调文字颜色 6 3 4 2 4 2" xfId="21774"/>
    <cellStyle name="60% - 强调文字颜色 6 3 4 3" xfId="21775"/>
    <cellStyle name="60% - 强调文字颜色 6 3 4 4" xfId="21776"/>
    <cellStyle name="60% - 强调文字颜色 6 3 4 5" xfId="21777"/>
    <cellStyle name="60% - 强调文字颜色 6 3 4 6" xfId="21778"/>
    <cellStyle name="60% - 强调文字颜色 6 3 5" xfId="21779"/>
    <cellStyle name="60% - 强调文字颜色 6 3 5 2" xfId="21780"/>
    <cellStyle name="60% - 强调文字颜色 6 3 5 2 2" xfId="21781"/>
    <cellStyle name="60% - 强调文字颜色 6 3 5 2 2 2" xfId="21782"/>
    <cellStyle name="60% - 强调文字颜色 6 3 5 2 2 2 2" xfId="21783"/>
    <cellStyle name="60% - 强调文字颜色 6 3 5 2 3" xfId="21784"/>
    <cellStyle name="60% - 强调文字颜色 6 3 5 2 3 2" xfId="21785"/>
    <cellStyle name="60% - 强调文字颜色 6 3 5 3" xfId="21786"/>
    <cellStyle name="60% - 强调文字颜色 6 3 5 3 2" xfId="21787"/>
    <cellStyle name="60% - 强调文字颜色 6 3 5 3 2 2" xfId="21788"/>
    <cellStyle name="60% - 强调文字颜色 6 3 5 4" xfId="21789"/>
    <cellStyle name="60% - 强调文字颜色 6 3 5 4 2" xfId="21790"/>
    <cellStyle name="60% - 强调文字颜色 6 3 6" xfId="21791"/>
    <cellStyle name="60% - 强调文字颜色 6 3 6 2" xfId="21792"/>
    <cellStyle name="60% - 强调文字颜色 6 3 6 2 2" xfId="21793"/>
    <cellStyle name="60% - 强调文字颜色 6 3 6 2 2 2" xfId="21794"/>
    <cellStyle name="60% - 强调文字颜色 6 3 6 3" xfId="21795"/>
    <cellStyle name="60% - 强调文字颜色 6 3 6 3 2" xfId="21796"/>
    <cellStyle name="60% - 强调文字颜色 6 3 7" xfId="21797"/>
    <cellStyle name="60% - 强调文字颜色 6 3 8" xfId="21798"/>
    <cellStyle name="9" xfId="21799"/>
    <cellStyle name="9_ASE - Financial Approval - 05.18.05" xfId="21800"/>
    <cellStyle name="9_ASE Barcelona 3.1.05" xfId="21801"/>
    <cellStyle name="9_ASE Draft 03.09.05 v.2" xfId="21802"/>
    <cellStyle name="9_Deal Approval Template v42 5-3-05 JWK" xfId="21803"/>
    <cellStyle name="9_Deal Approval Template v42 5-3-05 JWK2" xfId="21804"/>
    <cellStyle name="9_Deal Approval Template v43" xfId="21805"/>
    <cellStyle name="9_ODE Transaction Model_India_v2" xfId="21806"/>
    <cellStyle name="ac" xfId="21807"/>
    <cellStyle name="Accent1 2" xfId="21808"/>
    <cellStyle name="Accent1 2 2" xfId="21809"/>
    <cellStyle name="Accent1 2 3" xfId="21810"/>
    <cellStyle name="Accent1 3" xfId="21811"/>
    <cellStyle name="Accent2 2" xfId="21812"/>
    <cellStyle name="Accent2 2 2" xfId="21813"/>
    <cellStyle name="Accent2 2 3" xfId="21814"/>
    <cellStyle name="Accent2 2 4" xfId="21815"/>
    <cellStyle name="Accent2 3" xfId="21816"/>
    <cellStyle name="Accent3 2" xfId="21817"/>
    <cellStyle name="Accent3 2 2" xfId="21818"/>
    <cellStyle name="Accent3 2 3" xfId="21819"/>
    <cellStyle name="Accent3 3" xfId="21820"/>
    <cellStyle name="Accent4 2" xfId="21821"/>
    <cellStyle name="Accent4 2 2" xfId="21822"/>
    <cellStyle name="Accent4 2 3" xfId="21823"/>
    <cellStyle name="Accent4 3" xfId="21824"/>
    <cellStyle name="Accent5 2" xfId="21825"/>
    <cellStyle name="Accent5 2 2" xfId="21826"/>
    <cellStyle name="Accent5 2 3" xfId="21827"/>
    <cellStyle name="Accent5 3" xfId="21828"/>
    <cellStyle name="Accent6 2" xfId="21829"/>
    <cellStyle name="Accent6 2 2" xfId="21830"/>
    <cellStyle name="Accent6 2 3" xfId="21831"/>
    <cellStyle name="Accent6 3" xfId="21832"/>
    <cellStyle name="ÅëÈ­ [0]_¿ì¹°Åë" xfId="21833"/>
    <cellStyle name="AeE­ [0]_INQUIRY ¿µ¾÷AßAø " xfId="21834"/>
    <cellStyle name="ÅëÈ­_¿ì¹°Åë" xfId="21835"/>
    <cellStyle name="AeE­_INQUIRY ¿µ¾÷AßAø " xfId="21836"/>
    <cellStyle name="arial12" xfId="21837"/>
    <cellStyle name="arial14" xfId="21838"/>
    <cellStyle name="ÄÞ¸¶ [0]_¿ì¹°Åë" xfId="21839"/>
    <cellStyle name="AÞ¸¶ [0]_INQUIRY ¿?¾÷AßAø " xfId="21840"/>
    <cellStyle name="ÄÞ¸¶_¿ì¹°Åë" xfId="21841"/>
    <cellStyle name="AÞ¸¶_INQUIRY ¿?¾÷AßAø " xfId="21842"/>
    <cellStyle name="Bad 2" xfId="21843"/>
    <cellStyle name="Bad 2 2" xfId="21844"/>
    <cellStyle name="Bad 2 3" xfId="21845"/>
    <cellStyle name="Bad 3" xfId="21846"/>
    <cellStyle name="Besuchter Hyperlink" xfId="21847"/>
    <cellStyle name="Besuchter Hyperlink 2" xfId="21848"/>
    <cellStyle name="Besuchter Hyperlink_II.4. RawMaterials" xfId="21849"/>
    <cellStyle name="blank" xfId="21850"/>
    <cellStyle name="blank 2" xfId="21851"/>
    <cellStyle name="blp_column_header" xfId="21852"/>
    <cellStyle name="Bold 11" xfId="21853"/>
    <cellStyle name="Border color" xfId="21854"/>
    <cellStyle name="Budget" xfId="21855"/>
    <cellStyle name="C?AØ_¿?¾÷CoE² " xfId="21856"/>
    <cellStyle name="Ç¥ÁØ_´çÃÊ±¸ÀÔ»ý»ê" xfId="21857"/>
    <cellStyle name="C￥AØ_¿μ¾÷CoE² " xfId="21858"/>
    <cellStyle name="Calc Currency (0)" xfId="21859"/>
    <cellStyle name="Calc Currency (0) 2" xfId="21860"/>
    <cellStyle name="Calc Currency (2)" xfId="21861"/>
    <cellStyle name="Calc Currency (2) 2" xfId="21862"/>
    <cellStyle name="Calc Percent (0)" xfId="21863"/>
    <cellStyle name="Calc Percent (0) 2" xfId="21864"/>
    <cellStyle name="Calc Percent (1)" xfId="21865"/>
    <cellStyle name="Calc Percent (1) 2" xfId="21866"/>
    <cellStyle name="Calc Percent (2)" xfId="21867"/>
    <cellStyle name="Calc Percent (2) 2" xfId="21868"/>
    <cellStyle name="Calc Units (0)" xfId="21869"/>
    <cellStyle name="Calc Units (0) 2" xfId="21870"/>
    <cellStyle name="Calc Units (1)" xfId="21871"/>
    <cellStyle name="Calc Units (1) 2" xfId="21872"/>
    <cellStyle name="Calc Units (2)" xfId="21873"/>
    <cellStyle name="Calc Units (2) 2" xfId="21874"/>
    <cellStyle name="Calculation 2" xfId="21875"/>
    <cellStyle name="Calculation 2 2" xfId="21876"/>
    <cellStyle name="Calculation 2 3" xfId="21877"/>
    <cellStyle name="Calculation 2 3 2" xfId="21878"/>
    <cellStyle name="Calculation 2 3 2 2" xfId="21879"/>
    <cellStyle name="Calculation 2 3 2 3" xfId="21880"/>
    <cellStyle name="Calculation 2 3 3" xfId="21881"/>
    <cellStyle name="Calculation 2 3 3 2" xfId="21882"/>
    <cellStyle name="Calculation 2 3 3 3" xfId="21883"/>
    <cellStyle name="Calculation 2 3 4" xfId="21884"/>
    <cellStyle name="Calculation 2 3 5" xfId="21885"/>
    <cellStyle name="Calculation 2 4" xfId="21886"/>
    <cellStyle name="Calculation 2 4 2" xfId="21887"/>
    <cellStyle name="Calculation 2 4 3" xfId="21888"/>
    <cellStyle name="Calculation 2 5" xfId="21889"/>
    <cellStyle name="Calculation 2 6" xfId="21890"/>
    <cellStyle name="Calculation 3" xfId="21891"/>
    <cellStyle name="Calculation 3 2" xfId="21892"/>
    <cellStyle name="Chart Title" xfId="21893"/>
    <cellStyle name="Chart Title 2" xfId="21894"/>
    <cellStyle name="Chart Title 2 2" xfId="21895"/>
    <cellStyle name="Chart Title 2 2 2" xfId="21896"/>
    <cellStyle name="Chart Title 2 2 3" xfId="21897"/>
    <cellStyle name="Chart Title 2 3" xfId="21898"/>
    <cellStyle name="Chart Title 2 3 2" xfId="21899"/>
    <cellStyle name="Chart Title 2 3 3" xfId="21900"/>
    <cellStyle name="Chart Title 2 4" xfId="21901"/>
    <cellStyle name="Chart Title 2 5" xfId="21902"/>
    <cellStyle name="Chart Title 3" xfId="21903"/>
    <cellStyle name="Check Cell 2" xfId="21904"/>
    <cellStyle name="Check Cell 2 2" xfId="21905"/>
    <cellStyle name="Check Cell 2 3" xfId="21906"/>
    <cellStyle name="Check Cell 3" xfId="21907"/>
    <cellStyle name="ÇÏÀÌÆÛ¸µÅ©" xfId="21908"/>
    <cellStyle name="ColBlue" xfId="21909"/>
    <cellStyle name="ColGreen" xfId="21910"/>
    <cellStyle name="ColRed" xfId="21911"/>
    <cellStyle name="Column_Title" xfId="21912"/>
    <cellStyle name="Comma  - Style1" xfId="21913"/>
    <cellStyle name="Comma  - Style2" xfId="21914"/>
    <cellStyle name="Comma  - Style3" xfId="21915"/>
    <cellStyle name="Comma  - Style4" xfId="21916"/>
    <cellStyle name="Comma  - Style5" xfId="21917"/>
    <cellStyle name="Comma  - Style6" xfId="21918"/>
    <cellStyle name="Comma  - Style7" xfId="21919"/>
    <cellStyle name="Comma  - Style8" xfId="21920"/>
    <cellStyle name="Comma $[0]_Red" xfId="21921"/>
    <cellStyle name="Comma (1)" xfId="21922"/>
    <cellStyle name="Comma (2)" xfId="21923"/>
    <cellStyle name="Comma (2) 2" xfId="21924"/>
    <cellStyle name="Comma [00]" xfId="21925"/>
    <cellStyle name="Comma [00] 2" xfId="21926"/>
    <cellStyle name="Comma 10" xfId="21927"/>
    <cellStyle name="Comma 10 2" xfId="21928"/>
    <cellStyle name="Comma 10 2 2" xfId="21929"/>
    <cellStyle name="Comma 10 2 2 2" xfId="21930"/>
    <cellStyle name="Comma 10 2 2 2 2" xfId="21931"/>
    <cellStyle name="Comma 10 2 2 2 2 2" xfId="21932"/>
    <cellStyle name="Comma 10 2 2 2 3" xfId="21933"/>
    <cellStyle name="Comma 10 2 2 3" xfId="21934"/>
    <cellStyle name="Comma 10 2 2 3 2" xfId="21935"/>
    <cellStyle name="Comma 10 2 2 4" xfId="21936"/>
    <cellStyle name="Comma 10 2 2 4 2" xfId="21937"/>
    <cellStyle name="Comma 10 2 2 5" xfId="21938"/>
    <cellStyle name="Comma 10 2 3" xfId="21939"/>
    <cellStyle name="Comma 10 2 3 2" xfId="21940"/>
    <cellStyle name="Comma 10 2 3 2 2" xfId="21941"/>
    <cellStyle name="Comma 10 2 3 2 2 2" xfId="21942"/>
    <cellStyle name="Comma 10 2 3 2 3" xfId="21943"/>
    <cellStyle name="Comma 10 2 3 3" xfId="21944"/>
    <cellStyle name="Comma 10 2 3 3 2" xfId="21945"/>
    <cellStyle name="Comma 10 2 3 4" xfId="21946"/>
    <cellStyle name="Comma 10 2 3 4 2" xfId="21947"/>
    <cellStyle name="Comma 10 2 3 5" xfId="21948"/>
    <cellStyle name="Comma 10 2 4" xfId="21949"/>
    <cellStyle name="Comma 10 2 4 2" xfId="21950"/>
    <cellStyle name="Comma 10 2 4 2 2" xfId="21951"/>
    <cellStyle name="Comma 10 2 4 3" xfId="21952"/>
    <cellStyle name="Comma 10 2 5" xfId="21953"/>
    <cellStyle name="Comma 10 2 5 2" xfId="21954"/>
    <cellStyle name="Comma 10 2 6" xfId="21955"/>
    <cellStyle name="Comma 10 2 6 2" xfId="21956"/>
    <cellStyle name="Comma 10 2 7" xfId="21957"/>
    <cellStyle name="Comma 10 3" xfId="21958"/>
    <cellStyle name="Comma 10 3 2" xfId="21959"/>
    <cellStyle name="Comma 10 3 2 2" xfId="21960"/>
    <cellStyle name="Comma 10 3 2 2 2" xfId="21961"/>
    <cellStyle name="Comma 10 3 2 3" xfId="21962"/>
    <cellStyle name="Comma 10 3 3" xfId="21963"/>
    <cellStyle name="Comma 10 3 3 2" xfId="21964"/>
    <cellStyle name="Comma 10 3 4" xfId="21965"/>
    <cellStyle name="Comma 10 3 4 2" xfId="21966"/>
    <cellStyle name="Comma 10 3 5" xfId="21967"/>
    <cellStyle name="Comma 10 4" xfId="21968"/>
    <cellStyle name="Comma 10 4 2" xfId="21969"/>
    <cellStyle name="Comma 10 4 2 2" xfId="21970"/>
    <cellStyle name="Comma 10 4 2 2 2" xfId="21971"/>
    <cellStyle name="Comma 10 4 2 3" xfId="21972"/>
    <cellStyle name="Comma 10 4 3" xfId="21973"/>
    <cellStyle name="Comma 10 4 3 2" xfId="21974"/>
    <cellStyle name="Comma 10 4 4" xfId="21975"/>
    <cellStyle name="Comma 10 4 4 2" xfId="21976"/>
    <cellStyle name="Comma 10 4 5" xfId="21977"/>
    <cellStyle name="Comma 10 5" xfId="21978"/>
    <cellStyle name="Comma 10 5 2" xfId="21979"/>
    <cellStyle name="Comma 10 5 2 2" xfId="21980"/>
    <cellStyle name="Comma 10 5 3" xfId="21981"/>
    <cellStyle name="Comma 10 6" xfId="21982"/>
    <cellStyle name="Comma 10 6 2" xfId="21983"/>
    <cellStyle name="Comma 10 7" xfId="21984"/>
    <cellStyle name="Comma 10 7 2" xfId="21985"/>
    <cellStyle name="Comma 10 8" xfId="21986"/>
    <cellStyle name="Comma 11" xfId="21987"/>
    <cellStyle name="Comma 11 2" xfId="21988"/>
    <cellStyle name="Comma 11 2 2" xfId="21989"/>
    <cellStyle name="Comma 11 2 2 2" xfId="21990"/>
    <cellStyle name="Comma 11 2 2 2 2" xfId="21991"/>
    <cellStyle name="Comma 11 2 2 2 2 2" xfId="21992"/>
    <cellStyle name="Comma 11 2 2 2 3" xfId="21993"/>
    <cellStyle name="Comma 11 2 2 3" xfId="21994"/>
    <cellStyle name="Comma 11 2 2 3 2" xfId="21995"/>
    <cellStyle name="Comma 11 2 2 4" xfId="21996"/>
    <cellStyle name="Comma 11 2 2 4 2" xfId="21997"/>
    <cellStyle name="Comma 11 2 2 5" xfId="21998"/>
    <cellStyle name="Comma 11 2 3" xfId="21999"/>
    <cellStyle name="Comma 11 2 3 2" xfId="22000"/>
    <cellStyle name="Comma 11 2 3 2 2" xfId="22001"/>
    <cellStyle name="Comma 11 2 3 2 2 2" xfId="22002"/>
    <cellStyle name="Comma 11 2 3 2 3" xfId="22003"/>
    <cellStyle name="Comma 11 2 3 3" xfId="22004"/>
    <cellStyle name="Comma 11 2 3 3 2" xfId="22005"/>
    <cellStyle name="Comma 11 2 3 4" xfId="22006"/>
    <cellStyle name="Comma 11 2 3 4 2" xfId="22007"/>
    <cellStyle name="Comma 11 2 3 5" xfId="22008"/>
    <cellStyle name="Comma 11 2 4" xfId="22009"/>
    <cellStyle name="Comma 11 2 4 2" xfId="22010"/>
    <cellStyle name="Comma 11 2 4 2 2" xfId="22011"/>
    <cellStyle name="Comma 11 2 4 3" xfId="22012"/>
    <cellStyle name="Comma 11 2 5" xfId="22013"/>
    <cellStyle name="Comma 11 2 5 2" xfId="22014"/>
    <cellStyle name="Comma 11 2 6" xfId="22015"/>
    <cellStyle name="Comma 11 2 6 2" xfId="22016"/>
    <cellStyle name="Comma 11 2 7" xfId="22017"/>
    <cellStyle name="Comma 11 3" xfId="22018"/>
    <cellStyle name="Comma 11 3 2" xfId="22019"/>
    <cellStyle name="Comma 11 3 2 2" xfId="22020"/>
    <cellStyle name="Comma 11 3 2 2 2" xfId="22021"/>
    <cellStyle name="Comma 11 3 2 3" xfId="22022"/>
    <cellStyle name="Comma 11 3 3" xfId="22023"/>
    <cellStyle name="Comma 11 3 3 2" xfId="22024"/>
    <cellStyle name="Comma 11 3 4" xfId="22025"/>
    <cellStyle name="Comma 11 3 4 2" xfId="22026"/>
    <cellStyle name="Comma 11 3 5" xfId="22027"/>
    <cellStyle name="Comma 11 4" xfId="22028"/>
    <cellStyle name="Comma 11 4 2" xfId="22029"/>
    <cellStyle name="Comma 11 4 2 2" xfId="22030"/>
    <cellStyle name="Comma 11 4 2 2 2" xfId="22031"/>
    <cellStyle name="Comma 11 4 2 3" xfId="22032"/>
    <cellStyle name="Comma 11 4 3" xfId="22033"/>
    <cellStyle name="Comma 11 4 3 2" xfId="22034"/>
    <cellStyle name="Comma 11 4 4" xfId="22035"/>
    <cellStyle name="Comma 11 4 4 2" xfId="22036"/>
    <cellStyle name="Comma 11 4 5" xfId="22037"/>
    <cellStyle name="Comma 11 5" xfId="22038"/>
    <cellStyle name="Comma 11 5 2" xfId="22039"/>
    <cellStyle name="Comma 11 5 2 2" xfId="22040"/>
    <cellStyle name="Comma 11 5 3" xfId="22041"/>
    <cellStyle name="Comma 11 6" xfId="22042"/>
    <cellStyle name="Comma 11 6 2" xfId="22043"/>
    <cellStyle name="Comma 11 7" xfId="22044"/>
    <cellStyle name="Comma 11 7 2" xfId="22045"/>
    <cellStyle name="Comma 11 8" xfId="22046"/>
    <cellStyle name="Comma 12" xfId="22047"/>
    <cellStyle name="Comma 12 2" xfId="22048"/>
    <cellStyle name="Comma 12 2 2" xfId="22049"/>
    <cellStyle name="Comma 12 2 2 2" xfId="22050"/>
    <cellStyle name="Comma 12 2 2 2 2" xfId="22051"/>
    <cellStyle name="Comma 12 2 2 2 2 2" xfId="22052"/>
    <cellStyle name="Comma 12 2 2 2 3" xfId="22053"/>
    <cellStyle name="Comma 12 2 2 3" xfId="22054"/>
    <cellStyle name="Comma 12 2 2 3 2" xfId="22055"/>
    <cellStyle name="Comma 12 2 2 4" xfId="22056"/>
    <cellStyle name="Comma 12 2 2 4 2" xfId="22057"/>
    <cellStyle name="Comma 12 2 2 5" xfId="22058"/>
    <cellStyle name="Comma 12 2 3" xfId="22059"/>
    <cellStyle name="Comma 12 2 3 2" xfId="22060"/>
    <cellStyle name="Comma 12 2 3 2 2" xfId="22061"/>
    <cellStyle name="Comma 12 2 3 2 2 2" xfId="22062"/>
    <cellStyle name="Comma 12 2 3 2 3" xfId="22063"/>
    <cellStyle name="Comma 12 2 3 3" xfId="22064"/>
    <cellStyle name="Comma 12 2 3 3 2" xfId="22065"/>
    <cellStyle name="Comma 12 2 3 4" xfId="22066"/>
    <cellStyle name="Comma 12 2 3 4 2" xfId="22067"/>
    <cellStyle name="Comma 12 2 3 5" xfId="22068"/>
    <cellStyle name="Comma 12 2 4" xfId="22069"/>
    <cellStyle name="Comma 12 2 4 2" xfId="22070"/>
    <cellStyle name="Comma 12 2 4 2 2" xfId="22071"/>
    <cellStyle name="Comma 12 2 4 3" xfId="22072"/>
    <cellStyle name="Comma 12 2 5" xfId="22073"/>
    <cellStyle name="Comma 12 2 5 2" xfId="22074"/>
    <cellStyle name="Comma 12 2 6" xfId="22075"/>
    <cellStyle name="Comma 12 2 6 2" xfId="22076"/>
    <cellStyle name="Comma 12 2 7" xfId="22077"/>
    <cellStyle name="Comma 12 3" xfId="22078"/>
    <cellStyle name="Comma 12 3 2" xfId="22079"/>
    <cellStyle name="Comma 12 3 2 2" xfId="22080"/>
    <cellStyle name="Comma 12 3 2 2 2" xfId="22081"/>
    <cellStyle name="Comma 12 3 2 3" xfId="22082"/>
    <cellStyle name="Comma 12 3 3" xfId="22083"/>
    <cellStyle name="Comma 12 3 3 2" xfId="22084"/>
    <cellStyle name="Comma 12 3 4" xfId="22085"/>
    <cellStyle name="Comma 12 3 4 2" xfId="22086"/>
    <cellStyle name="Comma 12 3 5" xfId="22087"/>
    <cellStyle name="Comma 12 4" xfId="22088"/>
    <cellStyle name="Comma 12 4 2" xfId="22089"/>
    <cellStyle name="Comma 12 4 2 2" xfId="22090"/>
    <cellStyle name="Comma 12 4 2 2 2" xfId="22091"/>
    <cellStyle name="Comma 12 4 2 3" xfId="22092"/>
    <cellStyle name="Comma 12 4 3" xfId="22093"/>
    <cellStyle name="Comma 12 4 3 2" xfId="22094"/>
    <cellStyle name="Comma 12 4 4" xfId="22095"/>
    <cellStyle name="Comma 12 4 4 2" xfId="22096"/>
    <cellStyle name="Comma 12 4 5" xfId="22097"/>
    <cellStyle name="Comma 12 5" xfId="22098"/>
    <cellStyle name="Comma 12 5 2" xfId="22099"/>
    <cellStyle name="Comma 12 5 2 2" xfId="22100"/>
    <cellStyle name="Comma 12 5 3" xfId="22101"/>
    <cellStyle name="Comma 12 6" xfId="22102"/>
    <cellStyle name="Comma 12 6 2" xfId="22103"/>
    <cellStyle name="Comma 12 7" xfId="22104"/>
    <cellStyle name="Comma 12 7 2" xfId="22105"/>
    <cellStyle name="Comma 12 8" xfId="22106"/>
    <cellStyle name="Comma 13" xfId="22107"/>
    <cellStyle name="Comma 13 2" xfId="22108"/>
    <cellStyle name="Comma 13 2 2" xfId="22109"/>
    <cellStyle name="Comma 13 2 2 2" xfId="22110"/>
    <cellStyle name="Comma 13 2 2 2 2" xfId="22111"/>
    <cellStyle name="Comma 13 2 2 2 2 2" xfId="22112"/>
    <cellStyle name="Comma 13 2 2 2 3" xfId="22113"/>
    <cellStyle name="Comma 13 2 2 3" xfId="22114"/>
    <cellStyle name="Comma 13 2 2 3 2" xfId="22115"/>
    <cellStyle name="Comma 13 2 2 4" xfId="22116"/>
    <cellStyle name="Comma 13 2 2 4 2" xfId="22117"/>
    <cellStyle name="Comma 13 2 2 5" xfId="22118"/>
    <cellStyle name="Comma 13 2 3" xfId="22119"/>
    <cellStyle name="Comma 13 2 3 2" xfId="22120"/>
    <cellStyle name="Comma 13 2 3 2 2" xfId="22121"/>
    <cellStyle name="Comma 13 2 3 2 2 2" xfId="22122"/>
    <cellStyle name="Comma 13 2 3 2 3" xfId="22123"/>
    <cellStyle name="Comma 13 2 3 3" xfId="22124"/>
    <cellStyle name="Comma 13 2 3 3 2" xfId="22125"/>
    <cellStyle name="Comma 13 2 3 4" xfId="22126"/>
    <cellStyle name="Comma 13 2 3 4 2" xfId="22127"/>
    <cellStyle name="Comma 13 2 3 5" xfId="22128"/>
    <cellStyle name="Comma 13 2 4" xfId="22129"/>
    <cellStyle name="Comma 13 2 4 2" xfId="22130"/>
    <cellStyle name="Comma 13 2 4 2 2" xfId="22131"/>
    <cellStyle name="Comma 13 2 4 3" xfId="22132"/>
    <cellStyle name="Comma 13 2 5" xfId="22133"/>
    <cellStyle name="Comma 13 2 5 2" xfId="22134"/>
    <cellStyle name="Comma 13 2 6" xfId="22135"/>
    <cellStyle name="Comma 13 2 6 2" xfId="22136"/>
    <cellStyle name="Comma 13 2 7" xfId="22137"/>
    <cellStyle name="Comma 13 3" xfId="22138"/>
    <cellStyle name="Comma 13 3 2" xfId="22139"/>
    <cellStyle name="Comma 13 3 2 2" xfId="22140"/>
    <cellStyle name="Comma 13 3 2 2 2" xfId="22141"/>
    <cellStyle name="Comma 13 3 2 3" xfId="22142"/>
    <cellStyle name="Comma 13 3 3" xfId="22143"/>
    <cellStyle name="Comma 13 3 3 2" xfId="22144"/>
    <cellStyle name="Comma 13 3 4" xfId="22145"/>
    <cellStyle name="Comma 13 3 4 2" xfId="22146"/>
    <cellStyle name="Comma 13 3 5" xfId="22147"/>
    <cellStyle name="Comma 13 4" xfId="22148"/>
    <cellStyle name="Comma 13 4 2" xfId="22149"/>
    <cellStyle name="Comma 13 4 2 2" xfId="22150"/>
    <cellStyle name="Comma 13 4 2 2 2" xfId="22151"/>
    <cellStyle name="Comma 13 4 2 3" xfId="22152"/>
    <cellStyle name="Comma 13 4 3" xfId="22153"/>
    <cellStyle name="Comma 13 4 3 2" xfId="22154"/>
    <cellStyle name="Comma 13 4 4" xfId="22155"/>
    <cellStyle name="Comma 13 4 4 2" xfId="22156"/>
    <cellStyle name="Comma 13 4 5" xfId="22157"/>
    <cellStyle name="Comma 13 5" xfId="22158"/>
    <cellStyle name="Comma 13 5 2" xfId="22159"/>
    <cellStyle name="Comma 13 5 2 2" xfId="22160"/>
    <cellStyle name="Comma 13 5 3" xfId="22161"/>
    <cellStyle name="Comma 13 6" xfId="22162"/>
    <cellStyle name="Comma 13 6 2" xfId="22163"/>
    <cellStyle name="Comma 13 7" xfId="22164"/>
    <cellStyle name="Comma 13 7 2" xfId="22165"/>
    <cellStyle name="Comma 13 8" xfId="22166"/>
    <cellStyle name="Comma 14" xfId="22167"/>
    <cellStyle name="Comma 14 2" xfId="22168"/>
    <cellStyle name="Comma 14 2 2" xfId="22169"/>
    <cellStyle name="Comma 14 2 2 2" xfId="22170"/>
    <cellStyle name="Comma 14 2 2 2 2" xfId="22171"/>
    <cellStyle name="Comma 14 2 2 2 2 2" xfId="22172"/>
    <cellStyle name="Comma 14 2 2 2 3" xfId="22173"/>
    <cellStyle name="Comma 14 2 2 3" xfId="22174"/>
    <cellStyle name="Comma 14 2 2 3 2" xfId="22175"/>
    <cellStyle name="Comma 14 2 2 4" xfId="22176"/>
    <cellStyle name="Comma 14 2 2 4 2" xfId="22177"/>
    <cellStyle name="Comma 14 2 2 5" xfId="22178"/>
    <cellStyle name="Comma 14 2 3" xfId="22179"/>
    <cellStyle name="Comma 14 2 3 2" xfId="22180"/>
    <cellStyle name="Comma 14 2 3 2 2" xfId="22181"/>
    <cellStyle name="Comma 14 2 3 2 2 2" xfId="22182"/>
    <cellStyle name="Comma 14 2 3 2 3" xfId="22183"/>
    <cellStyle name="Comma 14 2 3 3" xfId="22184"/>
    <cellStyle name="Comma 14 2 3 3 2" xfId="22185"/>
    <cellStyle name="Comma 14 2 3 4" xfId="22186"/>
    <cellStyle name="Comma 14 2 3 4 2" xfId="22187"/>
    <cellStyle name="Comma 14 2 3 5" xfId="22188"/>
    <cellStyle name="Comma 14 2 4" xfId="22189"/>
    <cellStyle name="Comma 14 2 4 2" xfId="22190"/>
    <cellStyle name="Comma 14 2 4 2 2" xfId="22191"/>
    <cellStyle name="Comma 14 2 4 3" xfId="22192"/>
    <cellStyle name="Comma 14 2 5" xfId="22193"/>
    <cellStyle name="Comma 14 2 5 2" xfId="22194"/>
    <cellStyle name="Comma 14 2 6" xfId="22195"/>
    <cellStyle name="Comma 14 2 6 2" xfId="22196"/>
    <cellStyle name="Comma 14 2 7" xfId="22197"/>
    <cellStyle name="Comma 14 3" xfId="22198"/>
    <cellStyle name="Comma 14 3 2" xfId="22199"/>
    <cellStyle name="Comma 14 3 2 2" xfId="22200"/>
    <cellStyle name="Comma 14 3 2 2 2" xfId="22201"/>
    <cellStyle name="Comma 14 3 2 3" xfId="22202"/>
    <cellStyle name="Comma 14 3 3" xfId="22203"/>
    <cellStyle name="Comma 14 3 3 2" xfId="22204"/>
    <cellStyle name="Comma 14 3 4" xfId="22205"/>
    <cellStyle name="Comma 14 3 4 2" xfId="22206"/>
    <cellStyle name="Comma 14 3 5" xfId="22207"/>
    <cellStyle name="Comma 14 4" xfId="22208"/>
    <cellStyle name="Comma 14 4 2" xfId="22209"/>
    <cellStyle name="Comma 14 4 2 2" xfId="22210"/>
    <cellStyle name="Comma 14 4 2 2 2" xfId="22211"/>
    <cellStyle name="Comma 14 4 2 3" xfId="22212"/>
    <cellStyle name="Comma 14 4 3" xfId="22213"/>
    <cellStyle name="Comma 14 4 3 2" xfId="22214"/>
    <cellStyle name="Comma 14 4 4" xfId="22215"/>
    <cellStyle name="Comma 14 4 4 2" xfId="22216"/>
    <cellStyle name="Comma 14 4 5" xfId="22217"/>
    <cellStyle name="Comma 14 5" xfId="22218"/>
    <cellStyle name="Comma 14 5 2" xfId="22219"/>
    <cellStyle name="Comma 14 5 2 2" xfId="22220"/>
    <cellStyle name="Comma 14 5 3" xfId="22221"/>
    <cellStyle name="Comma 14 6" xfId="22222"/>
    <cellStyle name="Comma 14 6 2" xfId="22223"/>
    <cellStyle name="Comma 14 7" xfId="22224"/>
    <cellStyle name="Comma 14 7 2" xfId="22225"/>
    <cellStyle name="Comma 14 8" xfId="22226"/>
    <cellStyle name="Comma 15" xfId="22227"/>
    <cellStyle name="Comma 15 2" xfId="22228"/>
    <cellStyle name="Comma 15 2 2" xfId="22229"/>
    <cellStyle name="Comma 15 2 2 2" xfId="22230"/>
    <cellStyle name="Comma 15 2 2 2 2" xfId="22231"/>
    <cellStyle name="Comma 15 2 2 2 2 2" xfId="22232"/>
    <cellStyle name="Comma 15 2 2 2 3" xfId="22233"/>
    <cellStyle name="Comma 15 2 2 3" xfId="22234"/>
    <cellStyle name="Comma 15 2 2 3 2" xfId="22235"/>
    <cellStyle name="Comma 15 2 2 4" xfId="22236"/>
    <cellStyle name="Comma 15 2 2 4 2" xfId="22237"/>
    <cellStyle name="Comma 15 2 2 5" xfId="22238"/>
    <cellStyle name="Comma 15 2 3" xfId="22239"/>
    <cellStyle name="Comma 15 2 3 2" xfId="22240"/>
    <cellStyle name="Comma 15 2 3 2 2" xfId="22241"/>
    <cellStyle name="Comma 15 2 3 2 2 2" xfId="22242"/>
    <cellStyle name="Comma 15 2 3 2 3" xfId="22243"/>
    <cellStyle name="Comma 15 2 3 3" xfId="22244"/>
    <cellStyle name="Comma 15 2 3 3 2" xfId="22245"/>
    <cellStyle name="Comma 15 2 3 4" xfId="22246"/>
    <cellStyle name="Comma 15 2 3 4 2" xfId="22247"/>
    <cellStyle name="Comma 15 2 3 5" xfId="22248"/>
    <cellStyle name="Comma 15 2 4" xfId="22249"/>
    <cellStyle name="Comma 15 2 4 2" xfId="22250"/>
    <cellStyle name="Comma 15 2 4 2 2" xfId="22251"/>
    <cellStyle name="Comma 15 2 4 3" xfId="22252"/>
    <cellStyle name="Comma 15 2 5" xfId="22253"/>
    <cellStyle name="Comma 15 2 5 2" xfId="22254"/>
    <cellStyle name="Comma 15 2 6" xfId="22255"/>
    <cellStyle name="Comma 15 2 6 2" xfId="22256"/>
    <cellStyle name="Comma 15 2 7" xfId="22257"/>
    <cellStyle name="Comma 15 3" xfId="22258"/>
    <cellStyle name="Comma 15 3 2" xfId="22259"/>
    <cellStyle name="Comma 15 3 2 2" xfId="22260"/>
    <cellStyle name="Comma 15 3 2 2 2" xfId="22261"/>
    <cellStyle name="Comma 15 3 2 3" xfId="22262"/>
    <cellStyle name="Comma 15 3 3" xfId="22263"/>
    <cellStyle name="Comma 15 3 3 2" xfId="22264"/>
    <cellStyle name="Comma 15 3 4" xfId="22265"/>
    <cellStyle name="Comma 15 3 4 2" xfId="22266"/>
    <cellStyle name="Comma 15 3 5" xfId="22267"/>
    <cellStyle name="Comma 15 4" xfId="22268"/>
    <cellStyle name="Comma 15 4 2" xfId="22269"/>
    <cellStyle name="Comma 15 4 2 2" xfId="22270"/>
    <cellStyle name="Comma 15 4 2 2 2" xfId="22271"/>
    <cellStyle name="Comma 15 4 2 3" xfId="22272"/>
    <cellStyle name="Comma 15 4 3" xfId="22273"/>
    <cellStyle name="Comma 15 4 3 2" xfId="22274"/>
    <cellStyle name="Comma 15 4 4" xfId="22275"/>
    <cellStyle name="Comma 15 4 4 2" xfId="22276"/>
    <cellStyle name="Comma 15 4 5" xfId="22277"/>
    <cellStyle name="Comma 15 5" xfId="22278"/>
    <cellStyle name="Comma 15 5 2" xfId="22279"/>
    <cellStyle name="Comma 15 5 2 2" xfId="22280"/>
    <cellStyle name="Comma 15 5 3" xfId="22281"/>
    <cellStyle name="Comma 15 6" xfId="22282"/>
    <cellStyle name="Comma 15 6 2" xfId="22283"/>
    <cellStyle name="Comma 15 7" xfId="22284"/>
    <cellStyle name="Comma 15 7 2" xfId="22285"/>
    <cellStyle name="Comma 15 8" xfId="22286"/>
    <cellStyle name="Comma 16" xfId="22287"/>
    <cellStyle name="Comma 16 2" xfId="22288"/>
    <cellStyle name="Comma 16 2 2" xfId="22289"/>
    <cellStyle name="Comma 16 2 2 2" xfId="22290"/>
    <cellStyle name="Comma 16 2 2 2 2" xfId="22291"/>
    <cellStyle name="Comma 16 2 2 2 2 2" xfId="22292"/>
    <cellStyle name="Comma 16 2 2 2 3" xfId="22293"/>
    <cellStyle name="Comma 16 2 2 3" xfId="22294"/>
    <cellStyle name="Comma 16 2 2 3 2" xfId="22295"/>
    <cellStyle name="Comma 16 2 2 4" xfId="22296"/>
    <cellStyle name="Comma 16 2 2 4 2" xfId="22297"/>
    <cellStyle name="Comma 16 2 2 5" xfId="22298"/>
    <cellStyle name="Comma 16 2 3" xfId="22299"/>
    <cellStyle name="Comma 16 2 3 2" xfId="22300"/>
    <cellStyle name="Comma 16 2 3 2 2" xfId="22301"/>
    <cellStyle name="Comma 16 2 3 2 2 2" xfId="22302"/>
    <cellStyle name="Comma 16 2 3 2 3" xfId="22303"/>
    <cellStyle name="Comma 16 2 3 3" xfId="22304"/>
    <cellStyle name="Comma 16 2 3 3 2" xfId="22305"/>
    <cellStyle name="Comma 16 2 3 4" xfId="22306"/>
    <cellStyle name="Comma 16 2 3 4 2" xfId="22307"/>
    <cellStyle name="Comma 16 2 3 5" xfId="22308"/>
    <cellStyle name="Comma 16 2 4" xfId="22309"/>
    <cellStyle name="Comma 16 2 4 2" xfId="22310"/>
    <cellStyle name="Comma 16 2 4 2 2" xfId="22311"/>
    <cellStyle name="Comma 16 2 4 3" xfId="22312"/>
    <cellStyle name="Comma 16 2 5" xfId="22313"/>
    <cellStyle name="Comma 16 2 5 2" xfId="22314"/>
    <cellStyle name="Comma 16 2 6" xfId="22315"/>
    <cellStyle name="Comma 16 2 6 2" xfId="22316"/>
    <cellStyle name="Comma 16 2 7" xfId="22317"/>
    <cellStyle name="Comma 16 3" xfId="22318"/>
    <cellStyle name="Comma 16 3 2" xfId="22319"/>
    <cellStyle name="Comma 16 3 2 2" xfId="22320"/>
    <cellStyle name="Comma 16 3 2 2 2" xfId="22321"/>
    <cellStyle name="Comma 16 3 2 3" xfId="22322"/>
    <cellStyle name="Comma 16 3 3" xfId="22323"/>
    <cellStyle name="Comma 16 3 3 2" xfId="22324"/>
    <cellStyle name="Comma 16 3 4" xfId="22325"/>
    <cellStyle name="Comma 16 3 4 2" xfId="22326"/>
    <cellStyle name="Comma 16 3 5" xfId="22327"/>
    <cellStyle name="Comma 16 4" xfId="22328"/>
    <cellStyle name="Comma 16 4 2" xfId="22329"/>
    <cellStyle name="Comma 16 4 2 2" xfId="22330"/>
    <cellStyle name="Comma 16 4 2 2 2" xfId="22331"/>
    <cellStyle name="Comma 16 4 2 3" xfId="22332"/>
    <cellStyle name="Comma 16 4 3" xfId="22333"/>
    <cellStyle name="Comma 16 4 3 2" xfId="22334"/>
    <cellStyle name="Comma 16 4 4" xfId="22335"/>
    <cellStyle name="Comma 16 4 4 2" xfId="22336"/>
    <cellStyle name="Comma 16 4 5" xfId="22337"/>
    <cellStyle name="Comma 16 5" xfId="22338"/>
    <cellStyle name="Comma 16 5 2" xfId="22339"/>
    <cellStyle name="Comma 16 5 2 2" xfId="22340"/>
    <cellStyle name="Comma 16 5 3" xfId="22341"/>
    <cellStyle name="Comma 16 6" xfId="22342"/>
    <cellStyle name="Comma 16 6 2" xfId="22343"/>
    <cellStyle name="Comma 16 7" xfId="22344"/>
    <cellStyle name="Comma 16 7 2" xfId="22345"/>
    <cellStyle name="Comma 16 8" xfId="22346"/>
    <cellStyle name="Comma 17" xfId="22347"/>
    <cellStyle name="Comma 17 2" xfId="22348"/>
    <cellStyle name="Comma 17 2 2" xfId="22349"/>
    <cellStyle name="Comma 17 2 2 2" xfId="22350"/>
    <cellStyle name="Comma 17 2 2 2 2" xfId="22351"/>
    <cellStyle name="Comma 17 2 2 2 2 2" xfId="22352"/>
    <cellStyle name="Comma 17 2 2 2 3" xfId="22353"/>
    <cellStyle name="Comma 17 2 2 3" xfId="22354"/>
    <cellStyle name="Comma 17 2 2 3 2" xfId="22355"/>
    <cellStyle name="Comma 17 2 2 4" xfId="22356"/>
    <cellStyle name="Comma 17 2 2 4 2" xfId="22357"/>
    <cellStyle name="Comma 17 2 2 5" xfId="22358"/>
    <cellStyle name="Comma 17 2 3" xfId="22359"/>
    <cellStyle name="Comma 17 2 3 2" xfId="22360"/>
    <cellStyle name="Comma 17 2 3 2 2" xfId="22361"/>
    <cellStyle name="Comma 17 2 3 2 2 2" xfId="22362"/>
    <cellStyle name="Comma 17 2 3 2 3" xfId="22363"/>
    <cellStyle name="Comma 17 2 3 3" xfId="22364"/>
    <cellStyle name="Comma 17 2 3 3 2" xfId="22365"/>
    <cellStyle name="Comma 17 2 3 4" xfId="22366"/>
    <cellStyle name="Comma 17 2 3 4 2" xfId="22367"/>
    <cellStyle name="Comma 17 2 3 5" xfId="22368"/>
    <cellStyle name="Comma 17 2 4" xfId="22369"/>
    <cellStyle name="Comma 17 2 4 2" xfId="22370"/>
    <cellStyle name="Comma 17 2 4 2 2" xfId="22371"/>
    <cellStyle name="Comma 17 2 4 3" xfId="22372"/>
    <cellStyle name="Comma 17 2 5" xfId="22373"/>
    <cellStyle name="Comma 17 2 5 2" xfId="22374"/>
    <cellStyle name="Comma 17 2 6" xfId="22375"/>
    <cellStyle name="Comma 17 2 6 2" xfId="22376"/>
    <cellStyle name="Comma 17 2 7" xfId="22377"/>
    <cellStyle name="Comma 17 3" xfId="22378"/>
    <cellStyle name="Comma 17 3 2" xfId="22379"/>
    <cellStyle name="Comma 17 3 2 2" xfId="22380"/>
    <cellStyle name="Comma 17 3 2 2 2" xfId="22381"/>
    <cellStyle name="Comma 17 3 2 3" xfId="22382"/>
    <cellStyle name="Comma 17 3 3" xfId="22383"/>
    <cellStyle name="Comma 17 3 3 2" xfId="22384"/>
    <cellStyle name="Comma 17 3 4" xfId="22385"/>
    <cellStyle name="Comma 17 3 4 2" xfId="22386"/>
    <cellStyle name="Comma 17 3 5" xfId="22387"/>
    <cellStyle name="Comma 17 4" xfId="22388"/>
    <cellStyle name="Comma 17 4 2" xfId="22389"/>
    <cellStyle name="Comma 17 4 2 2" xfId="22390"/>
    <cellStyle name="Comma 17 4 2 2 2" xfId="22391"/>
    <cellStyle name="Comma 17 4 2 3" xfId="22392"/>
    <cellStyle name="Comma 17 4 3" xfId="22393"/>
    <cellStyle name="Comma 17 4 3 2" xfId="22394"/>
    <cellStyle name="Comma 17 4 4" xfId="22395"/>
    <cellStyle name="Comma 17 4 4 2" xfId="22396"/>
    <cellStyle name="Comma 17 4 5" xfId="22397"/>
    <cellStyle name="Comma 17 5" xfId="22398"/>
    <cellStyle name="Comma 17 5 2" xfId="22399"/>
    <cellStyle name="Comma 17 5 2 2" xfId="22400"/>
    <cellStyle name="Comma 17 5 3" xfId="22401"/>
    <cellStyle name="Comma 17 6" xfId="22402"/>
    <cellStyle name="Comma 17 6 2" xfId="22403"/>
    <cellStyle name="Comma 17 7" xfId="22404"/>
    <cellStyle name="Comma 17 7 2" xfId="22405"/>
    <cellStyle name="Comma 17 8" xfId="22406"/>
    <cellStyle name="Comma 18" xfId="22407"/>
    <cellStyle name="Comma 18 2" xfId="22408"/>
    <cellStyle name="Comma 18 2 2" xfId="22409"/>
    <cellStyle name="Comma 18 2 2 2" xfId="22410"/>
    <cellStyle name="Comma 18 2 2 2 2" xfId="22411"/>
    <cellStyle name="Comma 18 2 2 2 2 2" xfId="22412"/>
    <cellStyle name="Comma 18 2 2 2 3" xfId="22413"/>
    <cellStyle name="Comma 18 2 2 3" xfId="22414"/>
    <cellStyle name="Comma 18 2 2 3 2" xfId="22415"/>
    <cellStyle name="Comma 18 2 2 4" xfId="22416"/>
    <cellStyle name="Comma 18 2 2 4 2" xfId="22417"/>
    <cellStyle name="Comma 18 2 2 5" xfId="22418"/>
    <cellStyle name="Comma 18 2 3" xfId="22419"/>
    <cellStyle name="Comma 18 2 3 2" xfId="22420"/>
    <cellStyle name="Comma 18 2 3 2 2" xfId="22421"/>
    <cellStyle name="Comma 18 2 3 2 2 2" xfId="22422"/>
    <cellStyle name="Comma 18 2 3 2 3" xfId="22423"/>
    <cellStyle name="Comma 18 2 3 3" xfId="22424"/>
    <cellStyle name="Comma 18 2 3 3 2" xfId="22425"/>
    <cellStyle name="Comma 18 2 3 4" xfId="22426"/>
    <cellStyle name="Comma 18 2 3 4 2" xfId="22427"/>
    <cellStyle name="Comma 18 2 3 5" xfId="22428"/>
    <cellStyle name="Comma 18 2 4" xfId="22429"/>
    <cellStyle name="Comma 18 2 4 2" xfId="22430"/>
    <cellStyle name="Comma 18 2 4 2 2" xfId="22431"/>
    <cellStyle name="Comma 18 2 4 3" xfId="22432"/>
    <cellStyle name="Comma 18 2 5" xfId="22433"/>
    <cellStyle name="Comma 18 2 5 2" xfId="22434"/>
    <cellStyle name="Comma 18 2 6" xfId="22435"/>
    <cellStyle name="Comma 18 2 6 2" xfId="22436"/>
    <cellStyle name="Comma 18 2 7" xfId="22437"/>
    <cellStyle name="Comma 18 3" xfId="22438"/>
    <cellStyle name="Comma 18 3 2" xfId="22439"/>
    <cellStyle name="Comma 18 3 2 2" xfId="22440"/>
    <cellStyle name="Comma 18 3 2 2 2" xfId="22441"/>
    <cellStyle name="Comma 18 3 2 3" xfId="22442"/>
    <cellStyle name="Comma 18 3 3" xfId="22443"/>
    <cellStyle name="Comma 18 3 3 2" xfId="22444"/>
    <cellStyle name="Comma 18 3 4" xfId="22445"/>
    <cellStyle name="Comma 18 3 4 2" xfId="22446"/>
    <cellStyle name="Comma 18 3 5" xfId="22447"/>
    <cellStyle name="Comma 18 4" xfId="22448"/>
    <cellStyle name="Comma 18 4 2" xfId="22449"/>
    <cellStyle name="Comma 18 4 2 2" xfId="22450"/>
    <cellStyle name="Comma 18 4 2 2 2" xfId="22451"/>
    <cellStyle name="Comma 18 4 2 3" xfId="22452"/>
    <cellStyle name="Comma 18 4 3" xfId="22453"/>
    <cellStyle name="Comma 18 4 3 2" xfId="22454"/>
    <cellStyle name="Comma 18 4 4" xfId="22455"/>
    <cellStyle name="Comma 18 4 4 2" xfId="22456"/>
    <cellStyle name="Comma 18 4 5" xfId="22457"/>
    <cellStyle name="Comma 18 5" xfId="22458"/>
    <cellStyle name="Comma 18 5 2" xfId="22459"/>
    <cellStyle name="Comma 18 5 2 2" xfId="22460"/>
    <cellStyle name="Comma 18 5 3" xfId="22461"/>
    <cellStyle name="Comma 18 6" xfId="22462"/>
    <cellStyle name="Comma 18 6 2" xfId="22463"/>
    <cellStyle name="Comma 18 7" xfId="22464"/>
    <cellStyle name="Comma 18 7 2" xfId="22465"/>
    <cellStyle name="Comma 18 8" xfId="22466"/>
    <cellStyle name="Comma 19" xfId="22467"/>
    <cellStyle name="Comma 19 2" xfId="22468"/>
    <cellStyle name="Comma 19 2 2" xfId="22469"/>
    <cellStyle name="Comma 19 2 2 2" xfId="22470"/>
    <cellStyle name="Comma 19 2 2 2 2" xfId="22471"/>
    <cellStyle name="Comma 19 2 2 2 2 2" xfId="22472"/>
    <cellStyle name="Comma 19 2 2 2 3" xfId="22473"/>
    <cellStyle name="Comma 19 2 2 3" xfId="22474"/>
    <cellStyle name="Comma 19 2 2 3 2" xfId="22475"/>
    <cellStyle name="Comma 19 2 2 4" xfId="22476"/>
    <cellStyle name="Comma 19 2 2 4 2" xfId="22477"/>
    <cellStyle name="Comma 19 2 2 5" xfId="22478"/>
    <cellStyle name="Comma 19 2 3" xfId="22479"/>
    <cellStyle name="Comma 19 2 3 2" xfId="22480"/>
    <cellStyle name="Comma 19 2 3 2 2" xfId="22481"/>
    <cellStyle name="Comma 19 2 3 2 2 2" xfId="22482"/>
    <cellStyle name="Comma 19 2 3 2 3" xfId="22483"/>
    <cellStyle name="Comma 19 2 3 3" xfId="22484"/>
    <cellStyle name="Comma 19 2 3 3 2" xfId="22485"/>
    <cellStyle name="Comma 19 2 3 4" xfId="22486"/>
    <cellStyle name="Comma 19 2 3 4 2" xfId="22487"/>
    <cellStyle name="Comma 19 2 3 5" xfId="22488"/>
    <cellStyle name="Comma 19 2 4" xfId="22489"/>
    <cellStyle name="Comma 19 2 4 2" xfId="22490"/>
    <cellStyle name="Comma 19 2 4 2 2" xfId="22491"/>
    <cellStyle name="Comma 19 2 4 3" xfId="22492"/>
    <cellStyle name="Comma 19 2 5" xfId="22493"/>
    <cellStyle name="Comma 19 2 5 2" xfId="22494"/>
    <cellStyle name="Comma 19 2 6" xfId="22495"/>
    <cellStyle name="Comma 19 2 6 2" xfId="22496"/>
    <cellStyle name="Comma 19 2 7" xfId="22497"/>
    <cellStyle name="Comma 19 3" xfId="22498"/>
    <cellStyle name="Comma 19 3 2" xfId="22499"/>
    <cellStyle name="Comma 19 3 2 2" xfId="22500"/>
    <cellStyle name="Comma 19 3 2 2 2" xfId="22501"/>
    <cellStyle name="Comma 19 3 2 3" xfId="22502"/>
    <cellStyle name="Comma 19 3 3" xfId="22503"/>
    <cellStyle name="Comma 19 3 3 2" xfId="22504"/>
    <cellStyle name="Comma 19 3 4" xfId="22505"/>
    <cellStyle name="Comma 19 3 4 2" xfId="22506"/>
    <cellStyle name="Comma 19 3 5" xfId="22507"/>
    <cellStyle name="Comma 19 4" xfId="22508"/>
    <cellStyle name="Comma 19 4 2" xfId="22509"/>
    <cellStyle name="Comma 19 4 2 2" xfId="22510"/>
    <cellStyle name="Comma 19 4 2 2 2" xfId="22511"/>
    <cellStyle name="Comma 19 4 2 3" xfId="22512"/>
    <cellStyle name="Comma 19 4 3" xfId="22513"/>
    <cellStyle name="Comma 19 4 3 2" xfId="22514"/>
    <cellStyle name="Comma 19 4 4" xfId="22515"/>
    <cellStyle name="Comma 19 4 4 2" xfId="22516"/>
    <cellStyle name="Comma 19 4 5" xfId="22517"/>
    <cellStyle name="Comma 19 5" xfId="22518"/>
    <cellStyle name="Comma 19 5 2" xfId="22519"/>
    <cellStyle name="Comma 19 5 2 2" xfId="22520"/>
    <cellStyle name="Comma 19 5 3" xfId="22521"/>
    <cellStyle name="Comma 19 6" xfId="22522"/>
    <cellStyle name="Comma 19 6 2" xfId="22523"/>
    <cellStyle name="Comma 19 7" xfId="22524"/>
    <cellStyle name="Comma 19 7 2" xfId="22525"/>
    <cellStyle name="Comma 19 8" xfId="22526"/>
    <cellStyle name="Comma 2" xfId="22527"/>
    <cellStyle name="Comma 2 10" xfId="22528"/>
    <cellStyle name="Comma 2 11" xfId="22529"/>
    <cellStyle name="Comma 2 12" xfId="22530"/>
    <cellStyle name="Comma 2 2" xfId="22531"/>
    <cellStyle name="Comma 2 2 2" xfId="22532"/>
    <cellStyle name="Comma 2 2 2 10" xfId="22533"/>
    <cellStyle name="Comma 2 2 2 11" xfId="22534"/>
    <cellStyle name="Comma 2 2 2 12" xfId="22535"/>
    <cellStyle name="Comma 2 2 2 2" xfId="22536"/>
    <cellStyle name="Comma 2 2 2 2 2" xfId="22537"/>
    <cellStyle name="Comma 2 2 2 2 2 2" xfId="22538"/>
    <cellStyle name="Comma 2 2 2 2 2 2 2" xfId="22539"/>
    <cellStyle name="Comma 2 2 2 2 2 2 2 2" xfId="22540"/>
    <cellStyle name="Comma 2 2 2 2 2 2 3" xfId="22541"/>
    <cellStyle name="Comma 2 2 2 2 2 3" xfId="22542"/>
    <cellStyle name="Comma 2 2 2 2 2 3 2" xfId="22543"/>
    <cellStyle name="Comma 2 2 2 2 2 4" xfId="22544"/>
    <cellStyle name="Comma 2 2 2 2 2 4 2" xfId="22545"/>
    <cellStyle name="Comma 2 2 2 2 2 5" xfId="22546"/>
    <cellStyle name="Comma 2 2 2 2 3" xfId="22547"/>
    <cellStyle name="Comma 2 2 2 2 3 2" xfId="22548"/>
    <cellStyle name="Comma 2 2 2 2 3 2 2" xfId="22549"/>
    <cellStyle name="Comma 2 2 2 2 3 2 2 2" xfId="22550"/>
    <cellStyle name="Comma 2 2 2 2 3 2 3" xfId="22551"/>
    <cellStyle name="Comma 2 2 2 2 3 3" xfId="22552"/>
    <cellStyle name="Comma 2 2 2 2 3 3 2" xfId="22553"/>
    <cellStyle name="Comma 2 2 2 2 3 4" xfId="22554"/>
    <cellStyle name="Comma 2 2 2 2 3 4 2" xfId="22555"/>
    <cellStyle name="Comma 2 2 2 2 3 5" xfId="22556"/>
    <cellStyle name="Comma 2 2 2 2 4" xfId="22557"/>
    <cellStyle name="Comma 2 2 2 2 4 2" xfId="22558"/>
    <cellStyle name="Comma 2 2 2 2 4 2 2" xfId="22559"/>
    <cellStyle name="Comma 2 2 2 2 4 3" xfId="22560"/>
    <cellStyle name="Comma 2 2 2 2 5" xfId="22561"/>
    <cellStyle name="Comma 2 2 2 2 5 2" xfId="22562"/>
    <cellStyle name="Comma 2 2 2 2 6" xfId="22563"/>
    <cellStyle name="Comma 2 2 2 2 6 2" xfId="22564"/>
    <cellStyle name="Comma 2 2 2 2 7" xfId="22565"/>
    <cellStyle name="Comma 2 2 2 3" xfId="22566"/>
    <cellStyle name="Comma 2 2 2 3 2" xfId="22567"/>
    <cellStyle name="Comma 2 2 2 3 2 2" xfId="22568"/>
    <cellStyle name="Comma 2 2 2 3 2 2 2" xfId="22569"/>
    <cellStyle name="Comma 2 2 2 3 2 3" xfId="22570"/>
    <cellStyle name="Comma 2 2 2 3 3" xfId="22571"/>
    <cellStyle name="Comma 2 2 2 3 3 2" xfId="22572"/>
    <cellStyle name="Comma 2 2 2 3 4" xfId="22573"/>
    <cellStyle name="Comma 2 2 2 3 4 2" xfId="22574"/>
    <cellStyle name="Comma 2 2 2 3 5" xfId="22575"/>
    <cellStyle name="Comma 2 2 2 4" xfId="22576"/>
    <cellStyle name="Comma 2 2 2 4 2" xfId="22577"/>
    <cellStyle name="Comma 2 2 2 4 2 2" xfId="22578"/>
    <cellStyle name="Comma 2 2 2 4 2 2 2" xfId="22579"/>
    <cellStyle name="Comma 2 2 2 4 2 3" xfId="22580"/>
    <cellStyle name="Comma 2 2 2 4 3" xfId="22581"/>
    <cellStyle name="Comma 2 2 2 4 3 2" xfId="22582"/>
    <cellStyle name="Comma 2 2 2 4 4" xfId="22583"/>
    <cellStyle name="Comma 2 2 2 4 4 2" xfId="22584"/>
    <cellStyle name="Comma 2 2 2 4 5" xfId="22585"/>
    <cellStyle name="Comma 2 2 2 5" xfId="22586"/>
    <cellStyle name="Comma 2 2 2 5 2" xfId="22587"/>
    <cellStyle name="Comma 2 2 2 5 2 2" xfId="22588"/>
    <cellStyle name="Comma 2 2 2 5 2 2 2" xfId="22589"/>
    <cellStyle name="Comma 2 2 2 5 2 3" xfId="22590"/>
    <cellStyle name="Comma 2 2 2 5 3" xfId="22591"/>
    <cellStyle name="Comma 2 2 2 5 3 2" xfId="22592"/>
    <cellStyle name="Comma 2 2 2 5 4" xfId="22593"/>
    <cellStyle name="Comma 2 2 2 6" xfId="22594"/>
    <cellStyle name="Comma 2 2 2 6 2" xfId="22595"/>
    <cellStyle name="Comma 2 2 2 6 2 2" xfId="22596"/>
    <cellStyle name="Comma 2 2 2 6 3" xfId="22597"/>
    <cellStyle name="Comma 2 2 2 7" xfId="22598"/>
    <cellStyle name="Comma 2 2 2 7 2" xfId="22599"/>
    <cellStyle name="Comma 2 2 2 8" xfId="22600"/>
    <cellStyle name="Comma 2 2 2 8 2" xfId="22601"/>
    <cellStyle name="Comma 2 2 2 9" xfId="22602"/>
    <cellStyle name="Comma 2 2 3" xfId="22603"/>
    <cellStyle name="Comma 2 2 3 2" xfId="22604"/>
    <cellStyle name="Comma 2 2 3 2 2" xfId="22605"/>
    <cellStyle name="Comma 2 2 3 2 2 2" xfId="22606"/>
    <cellStyle name="Comma 2 2 3 2 2 2 2" xfId="22607"/>
    <cellStyle name="Comma 2 2 3 2 2 3" xfId="22608"/>
    <cellStyle name="Comma 2 2 3 2 3" xfId="22609"/>
    <cellStyle name="Comma 2 2 3 2 3 2" xfId="22610"/>
    <cellStyle name="Comma 2 2 3 2 4" xfId="22611"/>
    <cellStyle name="Comma 2 2 3 2 4 2" xfId="22612"/>
    <cellStyle name="Comma 2 2 3 2 5" xfId="22613"/>
    <cellStyle name="Comma 2 2 3 3" xfId="22614"/>
    <cellStyle name="Comma 2 2 3 3 2" xfId="22615"/>
    <cellStyle name="Comma 2 2 3 3 2 2" xfId="22616"/>
    <cellStyle name="Comma 2 2 3 3 2 2 2" xfId="22617"/>
    <cellStyle name="Comma 2 2 3 3 2 3" xfId="22618"/>
    <cellStyle name="Comma 2 2 3 3 3" xfId="22619"/>
    <cellStyle name="Comma 2 2 3 3 3 2" xfId="22620"/>
    <cellStyle name="Comma 2 2 3 3 4" xfId="22621"/>
    <cellStyle name="Comma 2 2 3 3 4 2" xfId="22622"/>
    <cellStyle name="Comma 2 2 3 3 5" xfId="22623"/>
    <cellStyle name="Comma 2 2 3 4" xfId="22624"/>
    <cellStyle name="Comma 2 2 3 4 2" xfId="22625"/>
    <cellStyle name="Comma 2 2 3 4 2 2" xfId="22626"/>
    <cellStyle name="Comma 2 2 3 4 3" xfId="22627"/>
    <cellStyle name="Comma 2 2 3 5" xfId="22628"/>
    <cellStyle name="Comma 2 2 3 5 2" xfId="22629"/>
    <cellStyle name="Comma 2 2 3 6" xfId="22630"/>
    <cellStyle name="Comma 2 2 3 6 2" xfId="22631"/>
    <cellStyle name="Comma 2 2 3 7" xfId="22632"/>
    <cellStyle name="Comma 2 2 3 8" xfId="22633"/>
    <cellStyle name="Comma 2 2 3 9" xfId="22634"/>
    <cellStyle name="Comma 2 2 4" xfId="22635"/>
    <cellStyle name="Comma 2 2 4 2" xfId="22636"/>
    <cellStyle name="Comma 2 2 4 2 2" xfId="22637"/>
    <cellStyle name="Comma 2 2 4 2 2 2" xfId="22638"/>
    <cellStyle name="Comma 2 2 4 2 2 2 2" xfId="22639"/>
    <cellStyle name="Comma 2 2 4 2 2 3" xfId="22640"/>
    <cellStyle name="Comma 2 2 4 2 3" xfId="22641"/>
    <cellStyle name="Comma 2 2 4 2 3 2" xfId="22642"/>
    <cellStyle name="Comma 2 2 4 2 4" xfId="22643"/>
    <cellStyle name="Comma 2 2 4 2 4 2" xfId="22644"/>
    <cellStyle name="Comma 2 2 4 2 5" xfId="22645"/>
    <cellStyle name="Comma 2 2 4 3" xfId="22646"/>
    <cellStyle name="Comma 2 2 4 3 2" xfId="22647"/>
    <cellStyle name="Comma 2 2 4 3 2 2" xfId="22648"/>
    <cellStyle name="Comma 2 2 4 3 2 2 2" xfId="22649"/>
    <cellStyle name="Comma 2 2 4 3 2 3" xfId="22650"/>
    <cellStyle name="Comma 2 2 4 3 3" xfId="22651"/>
    <cellStyle name="Comma 2 2 4 3 3 2" xfId="22652"/>
    <cellStyle name="Comma 2 2 4 3 4" xfId="22653"/>
    <cellStyle name="Comma 2 2 4 3 4 2" xfId="22654"/>
    <cellStyle name="Comma 2 2 4 3 5" xfId="22655"/>
    <cellStyle name="Comma 2 2 4 4" xfId="22656"/>
    <cellStyle name="Comma 2 2 4 4 2" xfId="22657"/>
    <cellStyle name="Comma 2 2 4 4 2 2" xfId="22658"/>
    <cellStyle name="Comma 2 2 4 4 3" xfId="22659"/>
    <cellStyle name="Comma 2 2 4 5" xfId="22660"/>
    <cellStyle name="Comma 2 2 4 5 2" xfId="22661"/>
    <cellStyle name="Comma 2 2 4 6" xfId="22662"/>
    <cellStyle name="Comma 2 2 4 6 2" xfId="22663"/>
    <cellStyle name="Comma 2 2 4 7" xfId="22664"/>
    <cellStyle name="Comma 2 2 5" xfId="22665"/>
    <cellStyle name="Comma 2 2 6" xfId="22666"/>
    <cellStyle name="Comma 2 2 6 2" xfId="22667"/>
    <cellStyle name="Comma 2 2 6 2 2" xfId="22668"/>
    <cellStyle name="Comma 2 2 6 2 2 2" xfId="22669"/>
    <cellStyle name="Comma 2 2 6 2 3" xfId="22670"/>
    <cellStyle name="Comma 2 2 6 3" xfId="22671"/>
    <cellStyle name="Comma 2 2 6 3 2" xfId="22672"/>
    <cellStyle name="Comma 2 2 6 4" xfId="22673"/>
    <cellStyle name="Comma 2 2 7" xfId="22674"/>
    <cellStyle name="Comma 2 2 8" xfId="22675"/>
    <cellStyle name="Comma 2 2 9" xfId="22676"/>
    <cellStyle name="Comma 2 3" xfId="22677"/>
    <cellStyle name="Comma 2 3 10" xfId="22678"/>
    <cellStyle name="Comma 2 3 11" xfId="22679"/>
    <cellStyle name="Comma 2 3 12" xfId="22680"/>
    <cellStyle name="Comma 2 3 13" xfId="22681"/>
    <cellStyle name="Comma 2 3 2" xfId="22682"/>
    <cellStyle name="Comma 2 3 2 10" xfId="22683"/>
    <cellStyle name="Comma 2 3 2 11" xfId="22684"/>
    <cellStyle name="Comma 2 3 2 2" xfId="22685"/>
    <cellStyle name="Comma 2 3 2 2 2" xfId="22686"/>
    <cellStyle name="Comma 2 3 2 2 2 2" xfId="22687"/>
    <cellStyle name="Comma 2 3 2 2 2 2 2" xfId="22688"/>
    <cellStyle name="Comma 2 3 2 2 2 2 2 2" xfId="22689"/>
    <cellStyle name="Comma 2 3 2 2 2 2 3" xfId="22690"/>
    <cellStyle name="Comma 2 3 2 2 2 3" xfId="22691"/>
    <cellStyle name="Comma 2 3 2 2 2 3 2" xfId="22692"/>
    <cellStyle name="Comma 2 3 2 2 2 4" xfId="22693"/>
    <cellStyle name="Comma 2 3 2 2 2 4 2" xfId="22694"/>
    <cellStyle name="Comma 2 3 2 2 2 5" xfId="22695"/>
    <cellStyle name="Comma 2 3 2 2 3" xfId="22696"/>
    <cellStyle name="Comma 2 3 2 2 3 2" xfId="22697"/>
    <cellStyle name="Comma 2 3 2 2 3 2 2" xfId="22698"/>
    <cellStyle name="Comma 2 3 2 2 3 2 2 2" xfId="22699"/>
    <cellStyle name="Comma 2 3 2 2 3 2 3" xfId="22700"/>
    <cellStyle name="Comma 2 3 2 2 3 3" xfId="22701"/>
    <cellStyle name="Comma 2 3 2 2 3 3 2" xfId="22702"/>
    <cellStyle name="Comma 2 3 2 2 3 4" xfId="22703"/>
    <cellStyle name="Comma 2 3 2 2 3 4 2" xfId="22704"/>
    <cellStyle name="Comma 2 3 2 2 3 5" xfId="22705"/>
    <cellStyle name="Comma 2 3 2 2 4" xfId="22706"/>
    <cellStyle name="Comma 2 3 2 2 4 2" xfId="22707"/>
    <cellStyle name="Comma 2 3 2 2 4 2 2" xfId="22708"/>
    <cellStyle name="Comma 2 3 2 2 4 3" xfId="22709"/>
    <cellStyle name="Comma 2 3 2 2 5" xfId="22710"/>
    <cellStyle name="Comma 2 3 2 2 5 2" xfId="22711"/>
    <cellStyle name="Comma 2 3 2 2 6" xfId="22712"/>
    <cellStyle name="Comma 2 3 2 2 6 2" xfId="22713"/>
    <cellStyle name="Comma 2 3 2 2 7" xfId="22714"/>
    <cellStyle name="Comma 2 3 2 3" xfId="22715"/>
    <cellStyle name="Comma 2 3 2 3 2" xfId="22716"/>
    <cellStyle name="Comma 2 3 2 3 2 2" xfId="22717"/>
    <cellStyle name="Comma 2 3 2 3 2 2 2" xfId="22718"/>
    <cellStyle name="Comma 2 3 2 3 2 3" xfId="22719"/>
    <cellStyle name="Comma 2 3 2 3 3" xfId="22720"/>
    <cellStyle name="Comma 2 3 2 3 3 2" xfId="22721"/>
    <cellStyle name="Comma 2 3 2 3 4" xfId="22722"/>
    <cellStyle name="Comma 2 3 2 3 4 2" xfId="22723"/>
    <cellStyle name="Comma 2 3 2 3 5" xfId="22724"/>
    <cellStyle name="Comma 2 3 2 4" xfId="22725"/>
    <cellStyle name="Comma 2 3 2 4 2" xfId="22726"/>
    <cellStyle name="Comma 2 3 2 4 2 2" xfId="22727"/>
    <cellStyle name="Comma 2 3 2 4 2 2 2" xfId="22728"/>
    <cellStyle name="Comma 2 3 2 4 2 3" xfId="22729"/>
    <cellStyle name="Comma 2 3 2 4 3" xfId="22730"/>
    <cellStyle name="Comma 2 3 2 4 3 2" xfId="22731"/>
    <cellStyle name="Comma 2 3 2 4 4" xfId="22732"/>
    <cellStyle name="Comma 2 3 2 4 4 2" xfId="22733"/>
    <cellStyle name="Comma 2 3 2 4 5" xfId="22734"/>
    <cellStyle name="Comma 2 3 2 5" xfId="22735"/>
    <cellStyle name="Comma 2 3 2 5 2" xfId="22736"/>
    <cellStyle name="Comma 2 3 2 5 2 2" xfId="22737"/>
    <cellStyle name="Comma 2 3 2 5 3" xfId="22738"/>
    <cellStyle name="Comma 2 3 2 6" xfId="22739"/>
    <cellStyle name="Comma 2 3 2 6 2" xfId="22740"/>
    <cellStyle name="Comma 2 3 2 7" xfId="22741"/>
    <cellStyle name="Comma 2 3 2 7 2" xfId="22742"/>
    <cellStyle name="Comma 2 3 2 8" xfId="22743"/>
    <cellStyle name="Comma 2 3 2 9" xfId="22744"/>
    <cellStyle name="Comma 2 3 3" xfId="22745"/>
    <cellStyle name="Comma 2 3 3 2" xfId="22746"/>
    <cellStyle name="Comma 2 3 3 2 2" xfId="22747"/>
    <cellStyle name="Comma 2 3 3 2 2 2" xfId="22748"/>
    <cellStyle name="Comma 2 3 3 2 2 2 2" xfId="22749"/>
    <cellStyle name="Comma 2 3 3 2 2 3" xfId="22750"/>
    <cellStyle name="Comma 2 3 3 2 3" xfId="22751"/>
    <cellStyle name="Comma 2 3 3 2 3 2" xfId="22752"/>
    <cellStyle name="Comma 2 3 3 2 4" xfId="22753"/>
    <cellStyle name="Comma 2 3 3 2 4 2" xfId="22754"/>
    <cellStyle name="Comma 2 3 3 2 5" xfId="22755"/>
    <cellStyle name="Comma 2 3 3 3" xfId="22756"/>
    <cellStyle name="Comma 2 3 3 3 2" xfId="22757"/>
    <cellStyle name="Comma 2 3 3 3 2 2" xfId="22758"/>
    <cellStyle name="Comma 2 3 3 3 2 2 2" xfId="22759"/>
    <cellStyle name="Comma 2 3 3 3 2 3" xfId="22760"/>
    <cellStyle name="Comma 2 3 3 3 3" xfId="22761"/>
    <cellStyle name="Comma 2 3 3 3 3 2" xfId="22762"/>
    <cellStyle name="Comma 2 3 3 3 4" xfId="22763"/>
    <cellStyle name="Comma 2 3 3 3 4 2" xfId="22764"/>
    <cellStyle name="Comma 2 3 3 3 5" xfId="22765"/>
    <cellStyle name="Comma 2 3 3 4" xfId="22766"/>
    <cellStyle name="Comma 2 3 3 4 2" xfId="22767"/>
    <cellStyle name="Comma 2 3 3 4 2 2" xfId="22768"/>
    <cellStyle name="Comma 2 3 3 4 3" xfId="22769"/>
    <cellStyle name="Comma 2 3 3 5" xfId="22770"/>
    <cellStyle name="Comma 2 3 3 5 2" xfId="22771"/>
    <cellStyle name="Comma 2 3 3 6" xfId="22772"/>
    <cellStyle name="Comma 2 3 3 6 2" xfId="22773"/>
    <cellStyle name="Comma 2 3 3 7" xfId="22774"/>
    <cellStyle name="Comma 2 3 3 8" xfId="22775"/>
    <cellStyle name="Comma 2 3 4" xfId="22776"/>
    <cellStyle name="Comma 2 3 4 2" xfId="22777"/>
    <cellStyle name="Comma 2 3 4 2 2" xfId="22778"/>
    <cellStyle name="Comma 2 3 4 2 2 2" xfId="22779"/>
    <cellStyle name="Comma 2 3 4 2 3" xfId="22780"/>
    <cellStyle name="Comma 2 3 4 3" xfId="22781"/>
    <cellStyle name="Comma 2 3 4 3 2" xfId="22782"/>
    <cellStyle name="Comma 2 3 4 4" xfId="22783"/>
    <cellStyle name="Comma 2 3 4 4 2" xfId="22784"/>
    <cellStyle name="Comma 2 3 4 5" xfId="22785"/>
    <cellStyle name="Comma 2 3 5" xfId="22786"/>
    <cellStyle name="Comma 2 3 5 2" xfId="22787"/>
    <cellStyle name="Comma 2 3 5 2 2" xfId="22788"/>
    <cellStyle name="Comma 2 3 5 2 2 2" xfId="22789"/>
    <cellStyle name="Comma 2 3 5 2 3" xfId="22790"/>
    <cellStyle name="Comma 2 3 5 3" xfId="22791"/>
    <cellStyle name="Comma 2 3 5 3 2" xfId="22792"/>
    <cellStyle name="Comma 2 3 5 4" xfId="22793"/>
    <cellStyle name="Comma 2 3 5 4 2" xfId="22794"/>
    <cellStyle name="Comma 2 3 5 5" xfId="22795"/>
    <cellStyle name="Comma 2 3 6" xfId="22796"/>
    <cellStyle name="Comma 2 3 6 2" xfId="22797"/>
    <cellStyle name="Comma 2 3 6 2 2" xfId="22798"/>
    <cellStyle name="Comma 2 3 6 2 2 2" xfId="22799"/>
    <cellStyle name="Comma 2 3 6 2 3" xfId="22800"/>
    <cellStyle name="Comma 2 3 6 3" xfId="22801"/>
    <cellStyle name="Comma 2 3 6 3 2" xfId="22802"/>
    <cellStyle name="Comma 2 3 6 4" xfId="22803"/>
    <cellStyle name="Comma 2 3 7" xfId="22804"/>
    <cellStyle name="Comma 2 3 7 2" xfId="22805"/>
    <cellStyle name="Comma 2 3 7 2 2" xfId="22806"/>
    <cellStyle name="Comma 2 3 7 3" xfId="22807"/>
    <cellStyle name="Comma 2 3 8" xfId="22808"/>
    <cellStyle name="Comma 2 3 8 2" xfId="22809"/>
    <cellStyle name="Comma 2 3 9" xfId="22810"/>
    <cellStyle name="Comma 2 3 9 2" xfId="22811"/>
    <cellStyle name="Comma 2 4" xfId="22812"/>
    <cellStyle name="Comma 2 4 10" xfId="22813"/>
    <cellStyle name="Comma 2 4 11" xfId="22814"/>
    <cellStyle name="Comma 2 4 12" xfId="22815"/>
    <cellStyle name="Comma 2 4 2" xfId="22816"/>
    <cellStyle name="Comma 2 4 2 2" xfId="22817"/>
    <cellStyle name="Comma 2 4 2 2 2" xfId="22818"/>
    <cellStyle name="Comma 2 4 2 2 2 2" xfId="22819"/>
    <cellStyle name="Comma 2 4 2 2 2 2 2" xfId="22820"/>
    <cellStyle name="Comma 2 4 2 2 2 3" xfId="22821"/>
    <cellStyle name="Comma 2 4 2 2 3" xfId="22822"/>
    <cellStyle name="Comma 2 4 2 2 3 2" xfId="22823"/>
    <cellStyle name="Comma 2 4 2 2 4" xfId="22824"/>
    <cellStyle name="Comma 2 4 2 2 4 2" xfId="22825"/>
    <cellStyle name="Comma 2 4 2 2 5" xfId="22826"/>
    <cellStyle name="Comma 2 4 2 3" xfId="22827"/>
    <cellStyle name="Comma 2 4 2 3 2" xfId="22828"/>
    <cellStyle name="Comma 2 4 2 3 2 2" xfId="22829"/>
    <cellStyle name="Comma 2 4 2 3 2 2 2" xfId="22830"/>
    <cellStyle name="Comma 2 4 2 3 2 3" xfId="22831"/>
    <cellStyle name="Comma 2 4 2 3 3" xfId="22832"/>
    <cellStyle name="Comma 2 4 2 3 3 2" xfId="22833"/>
    <cellStyle name="Comma 2 4 2 3 4" xfId="22834"/>
    <cellStyle name="Comma 2 4 2 3 4 2" xfId="22835"/>
    <cellStyle name="Comma 2 4 2 3 5" xfId="22836"/>
    <cellStyle name="Comma 2 4 2 4" xfId="22837"/>
    <cellStyle name="Comma 2 4 2 4 2" xfId="22838"/>
    <cellStyle name="Comma 2 4 2 4 2 2" xfId="22839"/>
    <cellStyle name="Comma 2 4 2 4 3" xfId="22840"/>
    <cellStyle name="Comma 2 4 2 5" xfId="22841"/>
    <cellStyle name="Comma 2 4 2 5 2" xfId="22842"/>
    <cellStyle name="Comma 2 4 2 6" xfId="22843"/>
    <cellStyle name="Comma 2 4 2 6 2" xfId="22844"/>
    <cellStyle name="Comma 2 4 2 7" xfId="22845"/>
    <cellStyle name="Comma 2 4 3" xfId="22846"/>
    <cellStyle name="Comma 2 4 3 2" xfId="22847"/>
    <cellStyle name="Comma 2 4 3 2 2" xfId="22848"/>
    <cellStyle name="Comma 2 4 3 2 2 2" xfId="22849"/>
    <cellStyle name="Comma 2 4 3 2 3" xfId="22850"/>
    <cellStyle name="Comma 2 4 3 3" xfId="22851"/>
    <cellStyle name="Comma 2 4 3 3 2" xfId="22852"/>
    <cellStyle name="Comma 2 4 3 4" xfId="22853"/>
    <cellStyle name="Comma 2 4 3 4 2" xfId="22854"/>
    <cellStyle name="Comma 2 4 3 5" xfId="22855"/>
    <cellStyle name="Comma 2 4 4" xfId="22856"/>
    <cellStyle name="Comma 2 4 4 2" xfId="22857"/>
    <cellStyle name="Comma 2 4 4 2 2" xfId="22858"/>
    <cellStyle name="Comma 2 4 4 2 2 2" xfId="22859"/>
    <cellStyle name="Comma 2 4 4 2 3" xfId="22860"/>
    <cellStyle name="Comma 2 4 4 3" xfId="22861"/>
    <cellStyle name="Comma 2 4 4 3 2" xfId="22862"/>
    <cellStyle name="Comma 2 4 4 4" xfId="22863"/>
    <cellStyle name="Comma 2 4 4 4 2" xfId="22864"/>
    <cellStyle name="Comma 2 4 4 5" xfId="22865"/>
    <cellStyle name="Comma 2 4 5" xfId="22866"/>
    <cellStyle name="Comma 2 4 5 2" xfId="22867"/>
    <cellStyle name="Comma 2 4 5 2 2" xfId="22868"/>
    <cellStyle name="Comma 2 4 5 2 2 2" xfId="22869"/>
    <cellStyle name="Comma 2 4 5 2 3" xfId="22870"/>
    <cellStyle name="Comma 2 4 5 3" xfId="22871"/>
    <cellStyle name="Comma 2 4 5 3 2" xfId="22872"/>
    <cellStyle name="Comma 2 4 5 4" xfId="22873"/>
    <cellStyle name="Comma 2 4 6" xfId="22874"/>
    <cellStyle name="Comma 2 4 6 2" xfId="22875"/>
    <cellStyle name="Comma 2 4 6 2 2" xfId="22876"/>
    <cellStyle name="Comma 2 4 6 3" xfId="22877"/>
    <cellStyle name="Comma 2 4 7" xfId="22878"/>
    <cellStyle name="Comma 2 4 7 2" xfId="22879"/>
    <cellStyle name="Comma 2 4 8" xfId="22880"/>
    <cellStyle name="Comma 2 4 8 2" xfId="22881"/>
    <cellStyle name="Comma 2 4 9" xfId="22882"/>
    <cellStyle name="Comma 2 5" xfId="22883"/>
    <cellStyle name="Comma 2 5 10" xfId="22884"/>
    <cellStyle name="Comma 2 5 2" xfId="22885"/>
    <cellStyle name="Comma 2 5 2 2" xfId="22886"/>
    <cellStyle name="Comma 2 5 2 2 2" xfId="22887"/>
    <cellStyle name="Comma 2 5 2 2 2 2" xfId="22888"/>
    <cellStyle name="Comma 2 5 2 2 3" xfId="22889"/>
    <cellStyle name="Comma 2 5 2 3" xfId="22890"/>
    <cellStyle name="Comma 2 5 2 3 2" xfId="22891"/>
    <cellStyle name="Comma 2 5 2 4" xfId="22892"/>
    <cellStyle name="Comma 2 5 2 4 2" xfId="22893"/>
    <cellStyle name="Comma 2 5 2 5" xfId="22894"/>
    <cellStyle name="Comma 2 5 3" xfId="22895"/>
    <cellStyle name="Comma 2 5 3 2" xfId="22896"/>
    <cellStyle name="Comma 2 5 3 2 2" xfId="22897"/>
    <cellStyle name="Comma 2 5 3 2 2 2" xfId="22898"/>
    <cellStyle name="Comma 2 5 3 2 3" xfId="22899"/>
    <cellStyle name="Comma 2 5 3 3" xfId="22900"/>
    <cellStyle name="Comma 2 5 3 3 2" xfId="22901"/>
    <cellStyle name="Comma 2 5 3 4" xfId="22902"/>
    <cellStyle name="Comma 2 5 3 4 2" xfId="22903"/>
    <cellStyle name="Comma 2 5 3 5" xfId="22904"/>
    <cellStyle name="Comma 2 5 4" xfId="22905"/>
    <cellStyle name="Comma 2 5 4 2" xfId="22906"/>
    <cellStyle name="Comma 2 5 4 2 2" xfId="22907"/>
    <cellStyle name="Comma 2 5 4 3" xfId="22908"/>
    <cellStyle name="Comma 2 5 5" xfId="22909"/>
    <cellStyle name="Comma 2 5 5 2" xfId="22910"/>
    <cellStyle name="Comma 2 5 6" xfId="22911"/>
    <cellStyle name="Comma 2 5 6 2" xfId="22912"/>
    <cellStyle name="Comma 2 5 7" xfId="22913"/>
    <cellStyle name="Comma 2 5 8" xfId="22914"/>
    <cellStyle name="Comma 2 5 9" xfId="22915"/>
    <cellStyle name="Comma 2 6" xfId="22916"/>
    <cellStyle name="Comma 2 6 2" xfId="22917"/>
    <cellStyle name="Comma 2 6 2 2" xfId="22918"/>
    <cellStyle name="Comma 2 6 2 2 2" xfId="22919"/>
    <cellStyle name="Comma 2 6 2 2 2 2" xfId="22920"/>
    <cellStyle name="Comma 2 6 2 2 3" xfId="22921"/>
    <cellStyle name="Comma 2 6 2 3" xfId="22922"/>
    <cellStyle name="Comma 2 6 2 3 2" xfId="22923"/>
    <cellStyle name="Comma 2 6 2 4" xfId="22924"/>
    <cellStyle name="Comma 2 6 2 4 2" xfId="22925"/>
    <cellStyle name="Comma 2 6 2 5" xfId="22926"/>
    <cellStyle name="Comma 2 6 3" xfId="22927"/>
    <cellStyle name="Comma 2 6 3 2" xfId="22928"/>
    <cellStyle name="Comma 2 6 3 2 2" xfId="22929"/>
    <cellStyle name="Comma 2 6 3 2 2 2" xfId="22930"/>
    <cellStyle name="Comma 2 6 3 2 3" xfId="22931"/>
    <cellStyle name="Comma 2 6 3 3" xfId="22932"/>
    <cellStyle name="Comma 2 6 3 3 2" xfId="22933"/>
    <cellStyle name="Comma 2 6 3 4" xfId="22934"/>
    <cellStyle name="Comma 2 6 3 4 2" xfId="22935"/>
    <cellStyle name="Comma 2 6 3 5" xfId="22936"/>
    <cellStyle name="Comma 2 6 4" xfId="22937"/>
    <cellStyle name="Comma 2 6 4 2" xfId="22938"/>
    <cellStyle name="Comma 2 6 4 2 2" xfId="22939"/>
    <cellStyle name="Comma 2 6 4 3" xfId="22940"/>
    <cellStyle name="Comma 2 6 5" xfId="22941"/>
    <cellStyle name="Comma 2 6 5 2" xfId="22942"/>
    <cellStyle name="Comma 2 6 6" xfId="22943"/>
    <cellStyle name="Comma 2 6 6 2" xfId="22944"/>
    <cellStyle name="Comma 2 6 7" xfId="22945"/>
    <cellStyle name="Comma 2 7" xfId="22946"/>
    <cellStyle name="Comma 2 7 2" xfId="22947"/>
    <cellStyle name="Comma 2 7 2 2" xfId="22948"/>
    <cellStyle name="Comma 2 7 2 2 2" xfId="22949"/>
    <cellStyle name="Comma 2 7 2 3" xfId="22950"/>
    <cellStyle name="Comma 2 7 3" xfId="22951"/>
    <cellStyle name="Comma 2 7 3 2" xfId="22952"/>
    <cellStyle name="Comma 2 7 4" xfId="22953"/>
    <cellStyle name="Comma 2 7 4 2" xfId="22954"/>
    <cellStyle name="Comma 2 7 5" xfId="22955"/>
    <cellStyle name="Comma 2 8" xfId="22956"/>
    <cellStyle name="Comma 2 8 2" xfId="22957"/>
    <cellStyle name="Comma 2 8 2 2" xfId="22958"/>
    <cellStyle name="Comma 2 8 2 2 2" xfId="22959"/>
    <cellStyle name="Comma 2 8 2 3" xfId="22960"/>
    <cellStyle name="Comma 2 8 3" xfId="22961"/>
    <cellStyle name="Comma 2 8 3 2" xfId="22962"/>
    <cellStyle name="Comma 2 8 4" xfId="22963"/>
    <cellStyle name="Comma 2 8 4 2" xfId="22964"/>
    <cellStyle name="Comma 2 8 5" xfId="22965"/>
    <cellStyle name="Comma 2 9" xfId="22966"/>
    <cellStyle name="Comma 2 9 2" xfId="22967"/>
    <cellStyle name="Comma 2 9 2 2" xfId="22968"/>
    <cellStyle name="Comma 2 9 2 2 2" xfId="22969"/>
    <cellStyle name="Comma 2 9 2 3" xfId="22970"/>
    <cellStyle name="Comma 2 9 3" xfId="22971"/>
    <cellStyle name="Comma 2 9 3 2" xfId="22972"/>
    <cellStyle name="Comma 2 9 4" xfId="22973"/>
    <cellStyle name="Comma 2_BS retrieve" xfId="22974"/>
    <cellStyle name="Comma 20" xfId="22975"/>
    <cellStyle name="Comma 20 2" xfId="22976"/>
    <cellStyle name="Comma 20 2 2" xfId="22977"/>
    <cellStyle name="Comma 20 2 2 2" xfId="22978"/>
    <cellStyle name="Comma 20 2 2 2 2" xfId="22979"/>
    <cellStyle name="Comma 20 2 2 2 2 2" xfId="22980"/>
    <cellStyle name="Comma 20 2 2 2 3" xfId="22981"/>
    <cellStyle name="Comma 20 2 2 3" xfId="22982"/>
    <cellStyle name="Comma 20 2 2 3 2" xfId="22983"/>
    <cellStyle name="Comma 20 2 2 4" xfId="22984"/>
    <cellStyle name="Comma 20 2 2 4 2" xfId="22985"/>
    <cellStyle name="Comma 20 2 2 5" xfId="22986"/>
    <cellStyle name="Comma 20 2 3" xfId="22987"/>
    <cellStyle name="Comma 20 2 3 2" xfId="22988"/>
    <cellStyle name="Comma 20 2 3 2 2" xfId="22989"/>
    <cellStyle name="Comma 20 2 3 2 2 2" xfId="22990"/>
    <cellStyle name="Comma 20 2 3 2 3" xfId="22991"/>
    <cellStyle name="Comma 20 2 3 3" xfId="22992"/>
    <cellStyle name="Comma 20 2 3 3 2" xfId="22993"/>
    <cellStyle name="Comma 20 2 3 4" xfId="22994"/>
    <cellStyle name="Comma 20 2 3 4 2" xfId="22995"/>
    <cellStyle name="Comma 20 2 3 5" xfId="22996"/>
    <cellStyle name="Comma 20 2 4" xfId="22997"/>
    <cellStyle name="Comma 20 2 4 2" xfId="22998"/>
    <cellStyle name="Comma 20 2 4 2 2" xfId="22999"/>
    <cellStyle name="Comma 20 2 4 3" xfId="23000"/>
    <cellStyle name="Comma 20 2 5" xfId="23001"/>
    <cellStyle name="Comma 20 2 5 2" xfId="23002"/>
    <cellStyle name="Comma 20 2 6" xfId="23003"/>
    <cellStyle name="Comma 20 2 6 2" xfId="23004"/>
    <cellStyle name="Comma 20 2 7" xfId="23005"/>
    <cellStyle name="Comma 20 3" xfId="23006"/>
    <cellStyle name="Comma 20 3 2" xfId="23007"/>
    <cellStyle name="Comma 20 3 2 2" xfId="23008"/>
    <cellStyle name="Comma 20 3 2 2 2" xfId="23009"/>
    <cellStyle name="Comma 20 3 2 3" xfId="23010"/>
    <cellStyle name="Comma 20 3 3" xfId="23011"/>
    <cellStyle name="Comma 20 3 3 2" xfId="23012"/>
    <cellStyle name="Comma 20 3 4" xfId="23013"/>
    <cellStyle name="Comma 20 3 4 2" xfId="23014"/>
    <cellStyle name="Comma 20 3 5" xfId="23015"/>
    <cellStyle name="Comma 20 4" xfId="23016"/>
    <cellStyle name="Comma 20 4 2" xfId="23017"/>
    <cellStyle name="Comma 20 4 2 2" xfId="23018"/>
    <cellStyle name="Comma 20 4 2 2 2" xfId="23019"/>
    <cellStyle name="Comma 20 4 2 3" xfId="23020"/>
    <cellStyle name="Comma 20 4 3" xfId="23021"/>
    <cellStyle name="Comma 20 4 3 2" xfId="23022"/>
    <cellStyle name="Comma 20 4 4" xfId="23023"/>
    <cellStyle name="Comma 20 4 4 2" xfId="23024"/>
    <cellStyle name="Comma 20 4 5" xfId="23025"/>
    <cellStyle name="Comma 20 5" xfId="23026"/>
    <cellStyle name="Comma 20 5 2" xfId="23027"/>
    <cellStyle name="Comma 20 5 2 2" xfId="23028"/>
    <cellStyle name="Comma 20 5 3" xfId="23029"/>
    <cellStyle name="Comma 20 6" xfId="23030"/>
    <cellStyle name="Comma 20 6 2" xfId="23031"/>
    <cellStyle name="Comma 20 7" xfId="23032"/>
    <cellStyle name="Comma 20 7 2" xfId="23033"/>
    <cellStyle name="Comma 20 8" xfId="23034"/>
    <cellStyle name="Comma 21" xfId="23035"/>
    <cellStyle name="Comma 21 2" xfId="23036"/>
    <cellStyle name="Comma 21 2 2" xfId="23037"/>
    <cellStyle name="Comma 21 2 2 2" xfId="23038"/>
    <cellStyle name="Comma 21 2 2 2 2" xfId="23039"/>
    <cellStyle name="Comma 21 2 2 2 2 2" xfId="23040"/>
    <cellStyle name="Comma 21 2 2 2 3" xfId="23041"/>
    <cellStyle name="Comma 21 2 2 3" xfId="23042"/>
    <cellStyle name="Comma 21 2 2 3 2" xfId="23043"/>
    <cellStyle name="Comma 21 2 2 4" xfId="23044"/>
    <cellStyle name="Comma 21 2 2 4 2" xfId="23045"/>
    <cellStyle name="Comma 21 2 2 5" xfId="23046"/>
    <cellStyle name="Comma 21 2 3" xfId="23047"/>
    <cellStyle name="Comma 21 2 3 2" xfId="23048"/>
    <cellStyle name="Comma 21 2 3 2 2" xfId="23049"/>
    <cellStyle name="Comma 21 2 3 2 2 2" xfId="23050"/>
    <cellStyle name="Comma 21 2 3 2 3" xfId="23051"/>
    <cellStyle name="Comma 21 2 3 3" xfId="23052"/>
    <cellStyle name="Comma 21 2 3 3 2" xfId="23053"/>
    <cellStyle name="Comma 21 2 3 4" xfId="23054"/>
    <cellStyle name="Comma 21 2 3 4 2" xfId="23055"/>
    <cellStyle name="Comma 21 2 3 5" xfId="23056"/>
    <cellStyle name="Comma 21 2 4" xfId="23057"/>
    <cellStyle name="Comma 21 2 4 2" xfId="23058"/>
    <cellStyle name="Comma 21 2 4 2 2" xfId="23059"/>
    <cellStyle name="Comma 21 2 4 3" xfId="23060"/>
    <cellStyle name="Comma 21 2 5" xfId="23061"/>
    <cellStyle name="Comma 21 2 5 2" xfId="23062"/>
    <cellStyle name="Comma 21 2 6" xfId="23063"/>
    <cellStyle name="Comma 21 2 6 2" xfId="23064"/>
    <cellStyle name="Comma 21 2 7" xfId="23065"/>
    <cellStyle name="Comma 21 3" xfId="23066"/>
    <cellStyle name="Comma 21 3 2" xfId="23067"/>
    <cellStyle name="Comma 21 3 2 2" xfId="23068"/>
    <cellStyle name="Comma 21 3 2 2 2" xfId="23069"/>
    <cellStyle name="Comma 21 3 2 3" xfId="23070"/>
    <cellStyle name="Comma 21 3 3" xfId="23071"/>
    <cellStyle name="Comma 21 3 3 2" xfId="23072"/>
    <cellStyle name="Comma 21 3 4" xfId="23073"/>
    <cellStyle name="Comma 21 3 4 2" xfId="23074"/>
    <cellStyle name="Comma 21 3 5" xfId="23075"/>
    <cellStyle name="Comma 21 4" xfId="23076"/>
    <cellStyle name="Comma 21 4 2" xfId="23077"/>
    <cellStyle name="Comma 21 4 2 2" xfId="23078"/>
    <cellStyle name="Comma 21 4 2 2 2" xfId="23079"/>
    <cellStyle name="Comma 21 4 2 3" xfId="23080"/>
    <cellStyle name="Comma 21 4 3" xfId="23081"/>
    <cellStyle name="Comma 21 4 3 2" xfId="23082"/>
    <cellStyle name="Comma 21 4 4" xfId="23083"/>
    <cellStyle name="Comma 21 4 4 2" xfId="23084"/>
    <cellStyle name="Comma 21 4 5" xfId="23085"/>
    <cellStyle name="Comma 21 5" xfId="23086"/>
    <cellStyle name="Comma 21 5 2" xfId="23087"/>
    <cellStyle name="Comma 21 5 2 2" xfId="23088"/>
    <cellStyle name="Comma 21 5 3" xfId="23089"/>
    <cellStyle name="Comma 21 6" xfId="23090"/>
    <cellStyle name="Comma 21 6 2" xfId="23091"/>
    <cellStyle name="Comma 21 7" xfId="23092"/>
    <cellStyle name="Comma 21 7 2" xfId="23093"/>
    <cellStyle name="Comma 21 8" xfId="23094"/>
    <cellStyle name="Comma 22" xfId="23095"/>
    <cellStyle name="Comma 22 2" xfId="23096"/>
    <cellStyle name="Comma 22 2 2" xfId="23097"/>
    <cellStyle name="Comma 22 2 2 2" xfId="23098"/>
    <cellStyle name="Comma 22 2 2 2 2" xfId="23099"/>
    <cellStyle name="Comma 22 2 2 2 2 2" xfId="23100"/>
    <cellStyle name="Comma 22 2 2 2 3" xfId="23101"/>
    <cellStyle name="Comma 22 2 2 3" xfId="23102"/>
    <cellStyle name="Comma 22 2 2 3 2" xfId="23103"/>
    <cellStyle name="Comma 22 2 2 4" xfId="23104"/>
    <cellStyle name="Comma 22 2 2 4 2" xfId="23105"/>
    <cellStyle name="Comma 22 2 2 5" xfId="23106"/>
    <cellStyle name="Comma 22 2 3" xfId="23107"/>
    <cellStyle name="Comma 22 2 3 2" xfId="23108"/>
    <cellStyle name="Comma 22 2 3 2 2" xfId="23109"/>
    <cellStyle name="Comma 22 2 3 2 2 2" xfId="23110"/>
    <cellStyle name="Comma 22 2 3 2 3" xfId="23111"/>
    <cellStyle name="Comma 22 2 3 3" xfId="23112"/>
    <cellStyle name="Comma 22 2 3 3 2" xfId="23113"/>
    <cellStyle name="Comma 22 2 3 4" xfId="23114"/>
    <cellStyle name="Comma 22 2 3 4 2" xfId="23115"/>
    <cellStyle name="Comma 22 2 3 5" xfId="23116"/>
    <cellStyle name="Comma 22 2 4" xfId="23117"/>
    <cellStyle name="Comma 22 2 4 2" xfId="23118"/>
    <cellStyle name="Comma 22 2 4 2 2" xfId="23119"/>
    <cellStyle name="Comma 22 2 4 3" xfId="23120"/>
    <cellStyle name="Comma 22 2 5" xfId="23121"/>
    <cellStyle name="Comma 22 2 5 2" xfId="23122"/>
    <cellStyle name="Comma 22 2 6" xfId="23123"/>
    <cellStyle name="Comma 22 2 6 2" xfId="23124"/>
    <cellStyle name="Comma 22 2 7" xfId="23125"/>
    <cellStyle name="Comma 22 3" xfId="23126"/>
    <cellStyle name="Comma 22 3 2" xfId="23127"/>
    <cellStyle name="Comma 22 3 2 2" xfId="23128"/>
    <cellStyle name="Comma 22 3 2 2 2" xfId="23129"/>
    <cellStyle name="Comma 22 3 2 3" xfId="23130"/>
    <cellStyle name="Comma 22 3 3" xfId="23131"/>
    <cellStyle name="Comma 22 3 3 2" xfId="23132"/>
    <cellStyle name="Comma 22 3 4" xfId="23133"/>
    <cellStyle name="Comma 22 3 4 2" xfId="23134"/>
    <cellStyle name="Comma 22 3 5" xfId="23135"/>
    <cellStyle name="Comma 22 4" xfId="23136"/>
    <cellStyle name="Comma 22 4 2" xfId="23137"/>
    <cellStyle name="Comma 22 4 2 2" xfId="23138"/>
    <cellStyle name="Comma 22 4 2 2 2" xfId="23139"/>
    <cellStyle name="Comma 22 4 2 3" xfId="23140"/>
    <cellStyle name="Comma 22 4 3" xfId="23141"/>
    <cellStyle name="Comma 22 4 3 2" xfId="23142"/>
    <cellStyle name="Comma 22 4 4" xfId="23143"/>
    <cellStyle name="Comma 22 4 4 2" xfId="23144"/>
    <cellStyle name="Comma 22 4 5" xfId="23145"/>
    <cellStyle name="Comma 22 5" xfId="23146"/>
    <cellStyle name="Comma 22 5 2" xfId="23147"/>
    <cellStyle name="Comma 22 5 2 2" xfId="23148"/>
    <cellStyle name="Comma 22 5 3" xfId="23149"/>
    <cellStyle name="Comma 22 6" xfId="23150"/>
    <cellStyle name="Comma 22 6 2" xfId="23151"/>
    <cellStyle name="Comma 22 7" xfId="23152"/>
    <cellStyle name="Comma 22 7 2" xfId="23153"/>
    <cellStyle name="Comma 22 8" xfId="23154"/>
    <cellStyle name="Comma 23" xfId="23155"/>
    <cellStyle name="Comma 23 2" xfId="23156"/>
    <cellStyle name="Comma 23 2 2" xfId="23157"/>
    <cellStyle name="Comma 23 2 2 2" xfId="23158"/>
    <cellStyle name="Comma 23 2 2 2 2" xfId="23159"/>
    <cellStyle name="Comma 23 2 2 2 2 2" xfId="23160"/>
    <cellStyle name="Comma 23 2 2 2 3" xfId="23161"/>
    <cellStyle name="Comma 23 2 2 3" xfId="23162"/>
    <cellStyle name="Comma 23 2 2 3 2" xfId="23163"/>
    <cellStyle name="Comma 23 2 2 4" xfId="23164"/>
    <cellStyle name="Comma 23 2 2 4 2" xfId="23165"/>
    <cellStyle name="Comma 23 2 2 5" xfId="23166"/>
    <cellStyle name="Comma 23 2 3" xfId="23167"/>
    <cellStyle name="Comma 23 2 3 2" xfId="23168"/>
    <cellStyle name="Comma 23 2 3 2 2" xfId="23169"/>
    <cellStyle name="Comma 23 2 3 2 2 2" xfId="23170"/>
    <cellStyle name="Comma 23 2 3 2 3" xfId="23171"/>
    <cellStyle name="Comma 23 2 3 3" xfId="23172"/>
    <cellStyle name="Comma 23 2 3 3 2" xfId="23173"/>
    <cellStyle name="Comma 23 2 3 4" xfId="23174"/>
    <cellStyle name="Comma 23 2 3 4 2" xfId="23175"/>
    <cellStyle name="Comma 23 2 3 5" xfId="23176"/>
    <cellStyle name="Comma 23 2 4" xfId="23177"/>
    <cellStyle name="Comma 23 2 4 2" xfId="23178"/>
    <cellStyle name="Comma 23 2 4 2 2" xfId="23179"/>
    <cellStyle name="Comma 23 2 4 3" xfId="23180"/>
    <cellStyle name="Comma 23 2 5" xfId="23181"/>
    <cellStyle name="Comma 23 2 5 2" xfId="23182"/>
    <cellStyle name="Comma 23 2 6" xfId="23183"/>
    <cellStyle name="Comma 23 2 6 2" xfId="23184"/>
    <cellStyle name="Comma 23 2 7" xfId="23185"/>
    <cellStyle name="Comma 23 3" xfId="23186"/>
    <cellStyle name="Comma 23 3 2" xfId="23187"/>
    <cellStyle name="Comma 23 3 2 2" xfId="23188"/>
    <cellStyle name="Comma 23 3 2 2 2" xfId="23189"/>
    <cellStyle name="Comma 23 3 2 3" xfId="23190"/>
    <cellStyle name="Comma 23 3 3" xfId="23191"/>
    <cellStyle name="Comma 23 3 3 2" xfId="23192"/>
    <cellStyle name="Comma 23 3 4" xfId="23193"/>
    <cellStyle name="Comma 23 3 4 2" xfId="23194"/>
    <cellStyle name="Comma 23 3 5" xfId="23195"/>
    <cellStyle name="Comma 23 4" xfId="23196"/>
    <cellStyle name="Comma 23 4 2" xfId="23197"/>
    <cellStyle name="Comma 23 4 2 2" xfId="23198"/>
    <cellStyle name="Comma 23 4 2 2 2" xfId="23199"/>
    <cellStyle name="Comma 23 4 2 3" xfId="23200"/>
    <cellStyle name="Comma 23 4 3" xfId="23201"/>
    <cellStyle name="Comma 23 4 3 2" xfId="23202"/>
    <cellStyle name="Comma 23 4 4" xfId="23203"/>
    <cellStyle name="Comma 23 4 4 2" xfId="23204"/>
    <cellStyle name="Comma 23 4 5" xfId="23205"/>
    <cellStyle name="Comma 23 5" xfId="23206"/>
    <cellStyle name="Comma 23 5 2" xfId="23207"/>
    <cellStyle name="Comma 23 5 2 2" xfId="23208"/>
    <cellStyle name="Comma 23 5 3" xfId="23209"/>
    <cellStyle name="Comma 23 6" xfId="23210"/>
    <cellStyle name="Comma 23 6 2" xfId="23211"/>
    <cellStyle name="Comma 23 7" xfId="23212"/>
    <cellStyle name="Comma 23 7 2" xfId="23213"/>
    <cellStyle name="Comma 23 8" xfId="23214"/>
    <cellStyle name="Comma 24" xfId="23215"/>
    <cellStyle name="Comma 24 2" xfId="23216"/>
    <cellStyle name="Comma 24 2 2" xfId="23217"/>
    <cellStyle name="Comma 24 2 2 2" xfId="23218"/>
    <cellStyle name="Comma 24 2 2 2 2" xfId="23219"/>
    <cellStyle name="Comma 24 2 2 2 2 2" xfId="23220"/>
    <cellStyle name="Comma 24 2 2 2 3" xfId="23221"/>
    <cellStyle name="Comma 24 2 2 3" xfId="23222"/>
    <cellStyle name="Comma 24 2 2 3 2" xfId="23223"/>
    <cellStyle name="Comma 24 2 2 4" xfId="23224"/>
    <cellStyle name="Comma 24 2 2 4 2" xfId="23225"/>
    <cellStyle name="Comma 24 2 2 5" xfId="23226"/>
    <cellStyle name="Comma 24 2 3" xfId="23227"/>
    <cellStyle name="Comma 24 2 3 2" xfId="23228"/>
    <cellStyle name="Comma 24 2 3 2 2" xfId="23229"/>
    <cellStyle name="Comma 24 2 3 2 2 2" xfId="23230"/>
    <cellStyle name="Comma 24 2 3 2 3" xfId="23231"/>
    <cellStyle name="Comma 24 2 3 3" xfId="23232"/>
    <cellStyle name="Comma 24 2 3 3 2" xfId="23233"/>
    <cellStyle name="Comma 24 2 3 4" xfId="23234"/>
    <cellStyle name="Comma 24 2 3 4 2" xfId="23235"/>
    <cellStyle name="Comma 24 2 3 5" xfId="23236"/>
    <cellStyle name="Comma 24 2 4" xfId="23237"/>
    <cellStyle name="Comma 24 2 4 2" xfId="23238"/>
    <cellStyle name="Comma 24 2 4 2 2" xfId="23239"/>
    <cellStyle name="Comma 24 2 4 3" xfId="23240"/>
    <cellStyle name="Comma 24 2 5" xfId="23241"/>
    <cellStyle name="Comma 24 2 5 2" xfId="23242"/>
    <cellStyle name="Comma 24 2 6" xfId="23243"/>
    <cellStyle name="Comma 24 2 6 2" xfId="23244"/>
    <cellStyle name="Comma 24 2 7" xfId="23245"/>
    <cellStyle name="Comma 24 3" xfId="23246"/>
    <cellStyle name="Comma 24 3 2" xfId="23247"/>
    <cellStyle name="Comma 24 3 2 2" xfId="23248"/>
    <cellStyle name="Comma 24 3 2 2 2" xfId="23249"/>
    <cellStyle name="Comma 24 3 2 3" xfId="23250"/>
    <cellStyle name="Comma 24 3 3" xfId="23251"/>
    <cellStyle name="Comma 24 3 3 2" xfId="23252"/>
    <cellStyle name="Comma 24 3 4" xfId="23253"/>
    <cellStyle name="Comma 24 3 4 2" xfId="23254"/>
    <cellStyle name="Comma 24 3 5" xfId="23255"/>
    <cellStyle name="Comma 24 4" xfId="23256"/>
    <cellStyle name="Comma 24 4 2" xfId="23257"/>
    <cellStyle name="Comma 24 4 2 2" xfId="23258"/>
    <cellStyle name="Comma 24 4 2 2 2" xfId="23259"/>
    <cellStyle name="Comma 24 4 2 3" xfId="23260"/>
    <cellStyle name="Comma 24 4 3" xfId="23261"/>
    <cellStyle name="Comma 24 4 3 2" xfId="23262"/>
    <cellStyle name="Comma 24 4 4" xfId="23263"/>
    <cellStyle name="Comma 24 4 4 2" xfId="23264"/>
    <cellStyle name="Comma 24 4 5" xfId="23265"/>
    <cellStyle name="Comma 24 5" xfId="23266"/>
    <cellStyle name="Comma 24 5 2" xfId="23267"/>
    <cellStyle name="Comma 24 5 2 2" xfId="23268"/>
    <cellStyle name="Comma 24 5 3" xfId="23269"/>
    <cellStyle name="Comma 24 6" xfId="23270"/>
    <cellStyle name="Comma 24 6 2" xfId="23271"/>
    <cellStyle name="Comma 24 7" xfId="23272"/>
    <cellStyle name="Comma 24 7 2" xfId="23273"/>
    <cellStyle name="Comma 24 8" xfId="23274"/>
    <cellStyle name="Comma 25" xfId="23275"/>
    <cellStyle name="Comma 25 2" xfId="23276"/>
    <cellStyle name="Comma 25 2 2" xfId="23277"/>
    <cellStyle name="Comma 25 2 2 2" xfId="23278"/>
    <cellStyle name="Comma 25 2 2 2 2" xfId="23279"/>
    <cellStyle name="Comma 25 2 2 2 2 2" xfId="23280"/>
    <cellStyle name="Comma 25 2 2 2 3" xfId="23281"/>
    <cellStyle name="Comma 25 2 2 3" xfId="23282"/>
    <cellStyle name="Comma 25 2 2 3 2" xfId="23283"/>
    <cellStyle name="Comma 25 2 2 4" xfId="23284"/>
    <cellStyle name="Comma 25 2 2 4 2" xfId="23285"/>
    <cellStyle name="Comma 25 2 2 5" xfId="23286"/>
    <cellStyle name="Comma 25 2 3" xfId="23287"/>
    <cellStyle name="Comma 25 2 3 2" xfId="23288"/>
    <cellStyle name="Comma 25 2 3 2 2" xfId="23289"/>
    <cellStyle name="Comma 25 2 3 2 2 2" xfId="23290"/>
    <cellStyle name="Comma 25 2 3 2 3" xfId="23291"/>
    <cellStyle name="Comma 25 2 3 3" xfId="23292"/>
    <cellStyle name="Comma 25 2 3 3 2" xfId="23293"/>
    <cellStyle name="Comma 25 2 3 4" xfId="23294"/>
    <cellStyle name="Comma 25 2 3 4 2" xfId="23295"/>
    <cellStyle name="Comma 25 2 3 5" xfId="23296"/>
    <cellStyle name="Comma 25 2 4" xfId="23297"/>
    <cellStyle name="Comma 25 2 4 2" xfId="23298"/>
    <cellStyle name="Comma 25 2 4 2 2" xfId="23299"/>
    <cellStyle name="Comma 25 2 4 3" xfId="23300"/>
    <cellStyle name="Comma 25 2 5" xfId="23301"/>
    <cellStyle name="Comma 25 2 5 2" xfId="23302"/>
    <cellStyle name="Comma 25 2 6" xfId="23303"/>
    <cellStyle name="Comma 25 2 6 2" xfId="23304"/>
    <cellStyle name="Comma 25 2 7" xfId="23305"/>
    <cellStyle name="Comma 25 3" xfId="23306"/>
    <cellStyle name="Comma 25 3 2" xfId="23307"/>
    <cellStyle name="Comma 25 3 2 2" xfId="23308"/>
    <cellStyle name="Comma 25 3 2 2 2" xfId="23309"/>
    <cellStyle name="Comma 25 3 2 3" xfId="23310"/>
    <cellStyle name="Comma 25 3 3" xfId="23311"/>
    <cellStyle name="Comma 25 3 3 2" xfId="23312"/>
    <cellStyle name="Comma 25 3 4" xfId="23313"/>
    <cellStyle name="Comma 25 3 4 2" xfId="23314"/>
    <cellStyle name="Comma 25 3 5" xfId="23315"/>
    <cellStyle name="Comma 25 4" xfId="23316"/>
    <cellStyle name="Comma 25 4 2" xfId="23317"/>
    <cellStyle name="Comma 25 4 2 2" xfId="23318"/>
    <cellStyle name="Comma 25 4 2 2 2" xfId="23319"/>
    <cellStyle name="Comma 25 4 2 3" xfId="23320"/>
    <cellStyle name="Comma 25 4 3" xfId="23321"/>
    <cellStyle name="Comma 25 4 3 2" xfId="23322"/>
    <cellStyle name="Comma 25 4 4" xfId="23323"/>
    <cellStyle name="Comma 25 4 4 2" xfId="23324"/>
    <cellStyle name="Comma 25 4 5" xfId="23325"/>
    <cellStyle name="Comma 25 5" xfId="23326"/>
    <cellStyle name="Comma 25 5 2" xfId="23327"/>
    <cellStyle name="Comma 25 5 2 2" xfId="23328"/>
    <cellStyle name="Comma 25 5 3" xfId="23329"/>
    <cellStyle name="Comma 25 6" xfId="23330"/>
    <cellStyle name="Comma 25 6 2" xfId="23331"/>
    <cellStyle name="Comma 25 7" xfId="23332"/>
    <cellStyle name="Comma 25 7 2" xfId="23333"/>
    <cellStyle name="Comma 25 8" xfId="23334"/>
    <cellStyle name="Comma 26" xfId="23335"/>
    <cellStyle name="Comma 26 2" xfId="23336"/>
    <cellStyle name="Comma 26 2 2" xfId="23337"/>
    <cellStyle name="Comma 26 2 2 2" xfId="23338"/>
    <cellStyle name="Comma 26 2 2 2 2" xfId="23339"/>
    <cellStyle name="Comma 26 2 2 2 2 2" xfId="23340"/>
    <cellStyle name="Comma 26 2 2 2 3" xfId="23341"/>
    <cellStyle name="Comma 26 2 2 3" xfId="23342"/>
    <cellStyle name="Comma 26 2 2 3 2" xfId="23343"/>
    <cellStyle name="Comma 26 2 2 4" xfId="23344"/>
    <cellStyle name="Comma 26 2 2 4 2" xfId="23345"/>
    <cellStyle name="Comma 26 2 2 5" xfId="23346"/>
    <cellStyle name="Comma 26 2 3" xfId="23347"/>
    <cellStyle name="Comma 26 2 3 2" xfId="23348"/>
    <cellStyle name="Comma 26 2 3 2 2" xfId="23349"/>
    <cellStyle name="Comma 26 2 3 2 2 2" xfId="23350"/>
    <cellStyle name="Comma 26 2 3 2 3" xfId="23351"/>
    <cellStyle name="Comma 26 2 3 3" xfId="23352"/>
    <cellStyle name="Comma 26 2 3 3 2" xfId="23353"/>
    <cellStyle name="Comma 26 2 3 4" xfId="23354"/>
    <cellStyle name="Comma 26 2 3 4 2" xfId="23355"/>
    <cellStyle name="Comma 26 2 3 5" xfId="23356"/>
    <cellStyle name="Comma 26 2 4" xfId="23357"/>
    <cellStyle name="Comma 26 2 4 2" xfId="23358"/>
    <cellStyle name="Comma 26 2 4 2 2" xfId="23359"/>
    <cellStyle name="Comma 26 2 4 3" xfId="23360"/>
    <cellStyle name="Comma 26 2 5" xfId="23361"/>
    <cellStyle name="Comma 26 2 5 2" xfId="23362"/>
    <cellStyle name="Comma 26 2 6" xfId="23363"/>
    <cellStyle name="Comma 26 2 6 2" xfId="23364"/>
    <cellStyle name="Comma 26 2 7" xfId="23365"/>
    <cellStyle name="Comma 26 3" xfId="23366"/>
    <cellStyle name="Comma 26 3 2" xfId="23367"/>
    <cellStyle name="Comma 26 3 2 2" xfId="23368"/>
    <cellStyle name="Comma 26 3 2 2 2" xfId="23369"/>
    <cellStyle name="Comma 26 3 2 3" xfId="23370"/>
    <cellStyle name="Comma 26 3 3" xfId="23371"/>
    <cellStyle name="Comma 26 3 3 2" xfId="23372"/>
    <cellStyle name="Comma 26 3 4" xfId="23373"/>
    <cellStyle name="Comma 26 3 4 2" xfId="23374"/>
    <cellStyle name="Comma 26 3 5" xfId="23375"/>
    <cellStyle name="Comma 26 4" xfId="23376"/>
    <cellStyle name="Comma 26 4 2" xfId="23377"/>
    <cellStyle name="Comma 26 4 2 2" xfId="23378"/>
    <cellStyle name="Comma 26 4 2 2 2" xfId="23379"/>
    <cellStyle name="Comma 26 4 2 3" xfId="23380"/>
    <cellStyle name="Comma 26 4 3" xfId="23381"/>
    <cellStyle name="Comma 26 4 3 2" xfId="23382"/>
    <cellStyle name="Comma 26 4 4" xfId="23383"/>
    <cellStyle name="Comma 26 4 4 2" xfId="23384"/>
    <cellStyle name="Comma 26 4 5" xfId="23385"/>
    <cellStyle name="Comma 26 5" xfId="23386"/>
    <cellStyle name="Comma 26 5 2" xfId="23387"/>
    <cellStyle name="Comma 26 5 2 2" xfId="23388"/>
    <cellStyle name="Comma 26 5 3" xfId="23389"/>
    <cellStyle name="Comma 26 6" xfId="23390"/>
    <cellStyle name="Comma 26 6 2" xfId="23391"/>
    <cellStyle name="Comma 26 7" xfId="23392"/>
    <cellStyle name="Comma 26 7 2" xfId="23393"/>
    <cellStyle name="Comma 26 8" xfId="23394"/>
    <cellStyle name="Comma 27" xfId="23395"/>
    <cellStyle name="Comma 27 2" xfId="23396"/>
    <cellStyle name="Comma 27 2 2" xfId="23397"/>
    <cellStyle name="Comma 27 2 2 2" xfId="23398"/>
    <cellStyle name="Comma 27 2 2 2 2" xfId="23399"/>
    <cellStyle name="Comma 27 2 2 2 2 2" xfId="23400"/>
    <cellStyle name="Comma 27 2 2 2 3" xfId="23401"/>
    <cellStyle name="Comma 27 2 2 3" xfId="23402"/>
    <cellStyle name="Comma 27 2 2 3 2" xfId="23403"/>
    <cellStyle name="Comma 27 2 2 4" xfId="23404"/>
    <cellStyle name="Comma 27 2 2 4 2" xfId="23405"/>
    <cellStyle name="Comma 27 2 2 5" xfId="23406"/>
    <cellStyle name="Comma 27 2 3" xfId="23407"/>
    <cellStyle name="Comma 27 2 3 2" xfId="23408"/>
    <cellStyle name="Comma 27 2 3 2 2" xfId="23409"/>
    <cellStyle name="Comma 27 2 3 2 2 2" xfId="23410"/>
    <cellStyle name="Comma 27 2 3 2 3" xfId="23411"/>
    <cellStyle name="Comma 27 2 3 3" xfId="23412"/>
    <cellStyle name="Comma 27 2 3 3 2" xfId="23413"/>
    <cellStyle name="Comma 27 2 3 4" xfId="23414"/>
    <cellStyle name="Comma 27 2 3 4 2" xfId="23415"/>
    <cellStyle name="Comma 27 2 3 5" xfId="23416"/>
    <cellStyle name="Comma 27 2 4" xfId="23417"/>
    <cellStyle name="Comma 27 2 4 2" xfId="23418"/>
    <cellStyle name="Comma 27 2 4 2 2" xfId="23419"/>
    <cellStyle name="Comma 27 2 4 3" xfId="23420"/>
    <cellStyle name="Comma 27 2 5" xfId="23421"/>
    <cellStyle name="Comma 27 2 5 2" xfId="23422"/>
    <cellStyle name="Comma 27 2 6" xfId="23423"/>
    <cellStyle name="Comma 27 2 6 2" xfId="23424"/>
    <cellStyle name="Comma 27 2 7" xfId="23425"/>
    <cellStyle name="Comma 27 3" xfId="23426"/>
    <cellStyle name="Comma 27 3 2" xfId="23427"/>
    <cellStyle name="Comma 27 3 2 2" xfId="23428"/>
    <cellStyle name="Comma 27 3 2 2 2" xfId="23429"/>
    <cellStyle name="Comma 27 3 2 3" xfId="23430"/>
    <cellStyle name="Comma 27 3 3" xfId="23431"/>
    <cellStyle name="Comma 27 3 3 2" xfId="23432"/>
    <cellStyle name="Comma 27 3 4" xfId="23433"/>
    <cellStyle name="Comma 27 3 4 2" xfId="23434"/>
    <cellStyle name="Comma 27 3 5" xfId="23435"/>
    <cellStyle name="Comma 27 4" xfId="23436"/>
    <cellStyle name="Comma 27 4 2" xfId="23437"/>
    <cellStyle name="Comma 27 4 2 2" xfId="23438"/>
    <cellStyle name="Comma 27 4 2 2 2" xfId="23439"/>
    <cellStyle name="Comma 27 4 2 3" xfId="23440"/>
    <cellStyle name="Comma 27 4 3" xfId="23441"/>
    <cellStyle name="Comma 27 4 3 2" xfId="23442"/>
    <cellStyle name="Comma 27 4 4" xfId="23443"/>
    <cellStyle name="Comma 27 4 4 2" xfId="23444"/>
    <cellStyle name="Comma 27 4 5" xfId="23445"/>
    <cellStyle name="Comma 27 5" xfId="23446"/>
    <cellStyle name="Comma 27 5 2" xfId="23447"/>
    <cellStyle name="Comma 27 5 2 2" xfId="23448"/>
    <cellStyle name="Comma 27 5 3" xfId="23449"/>
    <cellStyle name="Comma 27 6" xfId="23450"/>
    <cellStyle name="Comma 27 6 2" xfId="23451"/>
    <cellStyle name="Comma 27 7" xfId="23452"/>
    <cellStyle name="Comma 27 7 2" xfId="23453"/>
    <cellStyle name="Comma 27 8" xfId="23454"/>
    <cellStyle name="Comma 28" xfId="23455"/>
    <cellStyle name="Comma 28 2" xfId="23456"/>
    <cellStyle name="Comma 28 2 2" xfId="23457"/>
    <cellStyle name="Comma 28 2 2 2" xfId="23458"/>
    <cellStyle name="Comma 28 2 2 2 2" xfId="23459"/>
    <cellStyle name="Comma 28 2 2 2 2 2" xfId="23460"/>
    <cellStyle name="Comma 28 2 2 2 3" xfId="23461"/>
    <cellStyle name="Comma 28 2 2 3" xfId="23462"/>
    <cellStyle name="Comma 28 2 2 3 2" xfId="23463"/>
    <cellStyle name="Comma 28 2 2 4" xfId="23464"/>
    <cellStyle name="Comma 28 2 2 4 2" xfId="23465"/>
    <cellStyle name="Comma 28 2 2 5" xfId="23466"/>
    <cellStyle name="Comma 28 2 3" xfId="23467"/>
    <cellStyle name="Comma 28 2 3 2" xfId="23468"/>
    <cellStyle name="Comma 28 2 3 2 2" xfId="23469"/>
    <cellStyle name="Comma 28 2 3 2 2 2" xfId="23470"/>
    <cellStyle name="Comma 28 2 3 2 3" xfId="23471"/>
    <cellStyle name="Comma 28 2 3 3" xfId="23472"/>
    <cellStyle name="Comma 28 2 3 3 2" xfId="23473"/>
    <cellStyle name="Comma 28 2 3 4" xfId="23474"/>
    <cellStyle name="Comma 28 2 3 4 2" xfId="23475"/>
    <cellStyle name="Comma 28 2 3 5" xfId="23476"/>
    <cellStyle name="Comma 28 2 4" xfId="23477"/>
    <cellStyle name="Comma 28 2 4 2" xfId="23478"/>
    <cellStyle name="Comma 28 2 4 2 2" xfId="23479"/>
    <cellStyle name="Comma 28 2 4 3" xfId="23480"/>
    <cellStyle name="Comma 28 2 5" xfId="23481"/>
    <cellStyle name="Comma 28 2 5 2" xfId="23482"/>
    <cellStyle name="Comma 28 2 6" xfId="23483"/>
    <cellStyle name="Comma 28 2 6 2" xfId="23484"/>
    <cellStyle name="Comma 28 2 7" xfId="23485"/>
    <cellStyle name="Comma 28 3" xfId="23486"/>
    <cellStyle name="Comma 28 3 2" xfId="23487"/>
    <cellStyle name="Comma 28 3 2 2" xfId="23488"/>
    <cellStyle name="Comma 28 3 2 2 2" xfId="23489"/>
    <cellStyle name="Comma 28 3 2 3" xfId="23490"/>
    <cellStyle name="Comma 28 3 3" xfId="23491"/>
    <cellStyle name="Comma 28 3 3 2" xfId="23492"/>
    <cellStyle name="Comma 28 3 4" xfId="23493"/>
    <cellStyle name="Comma 28 3 4 2" xfId="23494"/>
    <cellStyle name="Comma 28 3 5" xfId="23495"/>
    <cellStyle name="Comma 28 4" xfId="23496"/>
    <cellStyle name="Comma 28 4 2" xfId="23497"/>
    <cellStyle name="Comma 28 4 2 2" xfId="23498"/>
    <cellStyle name="Comma 28 4 2 2 2" xfId="23499"/>
    <cellStyle name="Comma 28 4 2 3" xfId="23500"/>
    <cellStyle name="Comma 28 4 3" xfId="23501"/>
    <cellStyle name="Comma 28 4 3 2" xfId="23502"/>
    <cellStyle name="Comma 28 4 4" xfId="23503"/>
    <cellStyle name="Comma 28 4 4 2" xfId="23504"/>
    <cellStyle name="Comma 28 4 5" xfId="23505"/>
    <cellStyle name="Comma 28 5" xfId="23506"/>
    <cellStyle name="Comma 28 5 2" xfId="23507"/>
    <cellStyle name="Comma 28 5 2 2" xfId="23508"/>
    <cellStyle name="Comma 28 5 3" xfId="23509"/>
    <cellStyle name="Comma 28 6" xfId="23510"/>
    <cellStyle name="Comma 28 6 2" xfId="23511"/>
    <cellStyle name="Comma 28 7" xfId="23512"/>
    <cellStyle name="Comma 28 7 2" xfId="23513"/>
    <cellStyle name="Comma 28 8" xfId="23514"/>
    <cellStyle name="Comma 29" xfId="23515"/>
    <cellStyle name="Comma 29 2" xfId="23516"/>
    <cellStyle name="Comma 29 2 2" xfId="23517"/>
    <cellStyle name="Comma 29 2 2 2" xfId="23518"/>
    <cellStyle name="Comma 29 2 2 2 2" xfId="23519"/>
    <cellStyle name="Comma 29 2 2 2 2 2" xfId="23520"/>
    <cellStyle name="Comma 29 2 2 2 3" xfId="23521"/>
    <cellStyle name="Comma 29 2 2 3" xfId="23522"/>
    <cellStyle name="Comma 29 2 2 3 2" xfId="23523"/>
    <cellStyle name="Comma 29 2 2 4" xfId="23524"/>
    <cellStyle name="Comma 29 2 2 4 2" xfId="23525"/>
    <cellStyle name="Comma 29 2 2 5" xfId="23526"/>
    <cellStyle name="Comma 29 2 3" xfId="23527"/>
    <cellStyle name="Comma 29 2 3 2" xfId="23528"/>
    <cellStyle name="Comma 29 2 3 2 2" xfId="23529"/>
    <cellStyle name="Comma 29 2 3 2 2 2" xfId="23530"/>
    <cellStyle name="Comma 29 2 3 2 3" xfId="23531"/>
    <cellStyle name="Comma 29 2 3 3" xfId="23532"/>
    <cellStyle name="Comma 29 2 3 3 2" xfId="23533"/>
    <cellStyle name="Comma 29 2 3 4" xfId="23534"/>
    <cellStyle name="Comma 29 2 3 4 2" xfId="23535"/>
    <cellStyle name="Comma 29 2 3 5" xfId="23536"/>
    <cellStyle name="Comma 29 2 4" xfId="23537"/>
    <cellStyle name="Comma 29 2 4 2" xfId="23538"/>
    <cellStyle name="Comma 29 2 4 2 2" xfId="23539"/>
    <cellStyle name="Comma 29 2 4 3" xfId="23540"/>
    <cellStyle name="Comma 29 2 5" xfId="23541"/>
    <cellStyle name="Comma 29 2 5 2" xfId="23542"/>
    <cellStyle name="Comma 29 2 6" xfId="23543"/>
    <cellStyle name="Comma 29 2 6 2" xfId="23544"/>
    <cellStyle name="Comma 29 2 7" xfId="23545"/>
    <cellStyle name="Comma 29 3" xfId="23546"/>
    <cellStyle name="Comma 29 3 2" xfId="23547"/>
    <cellStyle name="Comma 29 3 2 2" xfId="23548"/>
    <cellStyle name="Comma 29 3 2 2 2" xfId="23549"/>
    <cellStyle name="Comma 29 3 2 3" xfId="23550"/>
    <cellStyle name="Comma 29 3 3" xfId="23551"/>
    <cellStyle name="Comma 29 3 3 2" xfId="23552"/>
    <cellStyle name="Comma 29 3 4" xfId="23553"/>
    <cellStyle name="Comma 29 3 4 2" xfId="23554"/>
    <cellStyle name="Comma 29 3 5" xfId="23555"/>
    <cellStyle name="Comma 29 4" xfId="23556"/>
    <cellStyle name="Comma 29 4 2" xfId="23557"/>
    <cellStyle name="Comma 29 4 2 2" xfId="23558"/>
    <cellStyle name="Comma 29 4 2 2 2" xfId="23559"/>
    <cellStyle name="Comma 29 4 2 3" xfId="23560"/>
    <cellStyle name="Comma 29 4 3" xfId="23561"/>
    <cellStyle name="Comma 29 4 3 2" xfId="23562"/>
    <cellStyle name="Comma 29 4 4" xfId="23563"/>
    <cellStyle name="Comma 29 4 4 2" xfId="23564"/>
    <cellStyle name="Comma 29 4 5" xfId="23565"/>
    <cellStyle name="Comma 29 5" xfId="23566"/>
    <cellStyle name="Comma 29 5 2" xfId="23567"/>
    <cellStyle name="Comma 29 5 2 2" xfId="23568"/>
    <cellStyle name="Comma 29 5 3" xfId="23569"/>
    <cellStyle name="Comma 29 6" xfId="23570"/>
    <cellStyle name="Comma 29 6 2" xfId="23571"/>
    <cellStyle name="Comma 29 7" xfId="23572"/>
    <cellStyle name="Comma 29 7 2" xfId="23573"/>
    <cellStyle name="Comma 29 8" xfId="23574"/>
    <cellStyle name="Comma 3" xfId="23575"/>
    <cellStyle name="Comma 3 10" xfId="23576"/>
    <cellStyle name="Comma 3 2" xfId="23577"/>
    <cellStyle name="Comma 3 2 2" xfId="23578"/>
    <cellStyle name="Comma 3 2 2 2" xfId="23579"/>
    <cellStyle name="Comma 3 2 3" xfId="23580"/>
    <cellStyle name="Comma 3 2 4" xfId="23581"/>
    <cellStyle name="Comma 3 2 5" xfId="23582"/>
    <cellStyle name="Comma 3 3" xfId="23583"/>
    <cellStyle name="Comma 3 3 2" xfId="23584"/>
    <cellStyle name="Comma 3 4" xfId="23585"/>
    <cellStyle name="Comma 3 4 2" xfId="23586"/>
    <cellStyle name="Comma 3 4 2 2" xfId="23587"/>
    <cellStyle name="Comma 3 4 2 2 2" xfId="23588"/>
    <cellStyle name="Comma 3 4 2 2 2 2" xfId="23589"/>
    <cellStyle name="Comma 3 4 2 2 3" xfId="23590"/>
    <cellStyle name="Comma 3 4 2 3" xfId="23591"/>
    <cellStyle name="Comma 3 4 2 3 2" xfId="23592"/>
    <cellStyle name="Comma 3 4 2 4" xfId="23593"/>
    <cellStyle name="Comma 3 4 2 4 2" xfId="23594"/>
    <cellStyle name="Comma 3 4 2 5" xfId="23595"/>
    <cellStyle name="Comma 3 4 3" xfId="23596"/>
    <cellStyle name="Comma 3 4 3 2" xfId="23597"/>
    <cellStyle name="Comma 3 4 3 2 2" xfId="23598"/>
    <cellStyle name="Comma 3 4 3 2 2 2" xfId="23599"/>
    <cellStyle name="Comma 3 4 3 2 3" xfId="23600"/>
    <cellStyle name="Comma 3 4 3 3" xfId="23601"/>
    <cellStyle name="Comma 3 4 3 3 2" xfId="23602"/>
    <cellStyle name="Comma 3 4 3 4" xfId="23603"/>
    <cellStyle name="Comma 3 4 3 4 2" xfId="23604"/>
    <cellStyle name="Comma 3 4 3 5" xfId="23605"/>
    <cellStyle name="Comma 3 4 4" xfId="23606"/>
    <cellStyle name="Comma 3 4 4 2" xfId="23607"/>
    <cellStyle name="Comma 3 4 4 2 2" xfId="23608"/>
    <cellStyle name="Comma 3 4 4 3" xfId="23609"/>
    <cellStyle name="Comma 3 4 5" xfId="23610"/>
    <cellStyle name="Comma 3 4 5 2" xfId="23611"/>
    <cellStyle name="Comma 3 4 6" xfId="23612"/>
    <cellStyle name="Comma 3 4 6 2" xfId="23613"/>
    <cellStyle name="Comma 3 4 7" xfId="23614"/>
    <cellStyle name="Comma 3 5" xfId="23615"/>
    <cellStyle name="Comma 3 5 2" xfId="23616"/>
    <cellStyle name="Comma 3 5 2 2" xfId="23617"/>
    <cellStyle name="Comma 3 5 2 2 2" xfId="23618"/>
    <cellStyle name="Comma 3 5 2 3" xfId="23619"/>
    <cellStyle name="Comma 3 5 3" xfId="23620"/>
    <cellStyle name="Comma 3 5 3 2" xfId="23621"/>
    <cellStyle name="Comma 3 5 4" xfId="23622"/>
    <cellStyle name="Comma 3 5 4 2" xfId="23623"/>
    <cellStyle name="Comma 3 5 5" xfId="23624"/>
    <cellStyle name="Comma 3 6" xfId="23625"/>
    <cellStyle name="Comma 3 6 2" xfId="23626"/>
    <cellStyle name="Comma 3 6 2 2" xfId="23627"/>
    <cellStyle name="Comma 3 6 2 2 2" xfId="23628"/>
    <cellStyle name="Comma 3 6 2 3" xfId="23629"/>
    <cellStyle name="Comma 3 6 3" xfId="23630"/>
    <cellStyle name="Comma 3 6 3 2" xfId="23631"/>
    <cellStyle name="Comma 3 6 4" xfId="23632"/>
    <cellStyle name="Comma 3 6 4 2" xfId="23633"/>
    <cellStyle name="Comma 3 6 5" xfId="23634"/>
    <cellStyle name="Comma 3 7" xfId="23635"/>
    <cellStyle name="Comma 3 7 2" xfId="23636"/>
    <cellStyle name="Comma 3 7 2 2" xfId="23637"/>
    <cellStyle name="Comma 3 7 2 2 2" xfId="23638"/>
    <cellStyle name="Comma 3 7 2 3" xfId="23639"/>
    <cellStyle name="Comma 3 7 3" xfId="23640"/>
    <cellStyle name="Comma 3 7 3 2" xfId="23641"/>
    <cellStyle name="Comma 3 7 4" xfId="23642"/>
    <cellStyle name="Comma 3 8" xfId="23643"/>
    <cellStyle name="Comma 3 9" xfId="23644"/>
    <cellStyle name="Comma 30" xfId="23645"/>
    <cellStyle name="Comma 30 2" xfId="23646"/>
    <cellStyle name="Comma 30 2 2" xfId="23647"/>
    <cellStyle name="Comma 30 2 2 2" xfId="23648"/>
    <cellStyle name="Comma 30 2 2 2 2" xfId="23649"/>
    <cellStyle name="Comma 30 2 2 2 2 2" xfId="23650"/>
    <cellStyle name="Comma 30 2 2 2 3" xfId="23651"/>
    <cellStyle name="Comma 30 2 2 3" xfId="23652"/>
    <cellStyle name="Comma 30 2 2 3 2" xfId="23653"/>
    <cellStyle name="Comma 30 2 2 4" xfId="23654"/>
    <cellStyle name="Comma 30 2 2 4 2" xfId="23655"/>
    <cellStyle name="Comma 30 2 2 5" xfId="23656"/>
    <cellStyle name="Comma 30 2 3" xfId="23657"/>
    <cellStyle name="Comma 30 2 3 2" xfId="23658"/>
    <cellStyle name="Comma 30 2 3 2 2" xfId="23659"/>
    <cellStyle name="Comma 30 2 3 2 2 2" xfId="23660"/>
    <cellStyle name="Comma 30 2 3 2 3" xfId="23661"/>
    <cellStyle name="Comma 30 2 3 3" xfId="23662"/>
    <cellStyle name="Comma 30 2 3 3 2" xfId="23663"/>
    <cellStyle name="Comma 30 2 3 4" xfId="23664"/>
    <cellStyle name="Comma 30 2 3 4 2" xfId="23665"/>
    <cellStyle name="Comma 30 2 3 5" xfId="23666"/>
    <cellStyle name="Comma 30 2 4" xfId="23667"/>
    <cellStyle name="Comma 30 2 4 2" xfId="23668"/>
    <cellStyle name="Comma 30 2 4 2 2" xfId="23669"/>
    <cellStyle name="Comma 30 2 4 3" xfId="23670"/>
    <cellStyle name="Comma 30 2 5" xfId="23671"/>
    <cellStyle name="Comma 30 2 5 2" xfId="23672"/>
    <cellStyle name="Comma 30 2 6" xfId="23673"/>
    <cellStyle name="Comma 30 2 6 2" xfId="23674"/>
    <cellStyle name="Comma 30 2 7" xfId="23675"/>
    <cellStyle name="Comma 30 3" xfId="23676"/>
    <cellStyle name="Comma 30 3 2" xfId="23677"/>
    <cellStyle name="Comma 30 3 2 2" xfId="23678"/>
    <cellStyle name="Comma 30 3 2 2 2" xfId="23679"/>
    <cellStyle name="Comma 30 3 2 3" xfId="23680"/>
    <cellStyle name="Comma 30 3 3" xfId="23681"/>
    <cellStyle name="Comma 30 3 3 2" xfId="23682"/>
    <cellStyle name="Comma 30 3 4" xfId="23683"/>
    <cellStyle name="Comma 30 3 4 2" xfId="23684"/>
    <cellStyle name="Comma 30 3 5" xfId="23685"/>
    <cellStyle name="Comma 30 4" xfId="23686"/>
    <cellStyle name="Comma 30 4 2" xfId="23687"/>
    <cellStyle name="Comma 30 4 2 2" xfId="23688"/>
    <cellStyle name="Comma 30 4 2 2 2" xfId="23689"/>
    <cellStyle name="Comma 30 4 2 3" xfId="23690"/>
    <cellStyle name="Comma 30 4 3" xfId="23691"/>
    <cellStyle name="Comma 30 4 3 2" xfId="23692"/>
    <cellStyle name="Comma 30 4 4" xfId="23693"/>
    <cellStyle name="Comma 30 4 4 2" xfId="23694"/>
    <cellStyle name="Comma 30 4 5" xfId="23695"/>
    <cellStyle name="Comma 30 5" xfId="23696"/>
    <cellStyle name="Comma 30 5 2" xfId="23697"/>
    <cellStyle name="Comma 30 5 2 2" xfId="23698"/>
    <cellStyle name="Comma 30 5 3" xfId="23699"/>
    <cellStyle name="Comma 30 6" xfId="23700"/>
    <cellStyle name="Comma 30 6 2" xfId="23701"/>
    <cellStyle name="Comma 30 7" xfId="23702"/>
    <cellStyle name="Comma 30 7 2" xfId="23703"/>
    <cellStyle name="Comma 30 8" xfId="23704"/>
    <cellStyle name="Comma 31" xfId="23705"/>
    <cellStyle name="Comma 31 2" xfId="23706"/>
    <cellStyle name="Comma 31 2 2" xfId="23707"/>
    <cellStyle name="Comma 31 2 2 2" xfId="23708"/>
    <cellStyle name="Comma 31 2 2 2 2" xfId="23709"/>
    <cellStyle name="Comma 31 2 2 2 2 2" xfId="23710"/>
    <cellStyle name="Comma 31 2 2 2 3" xfId="23711"/>
    <cellStyle name="Comma 31 2 2 3" xfId="23712"/>
    <cellStyle name="Comma 31 2 2 3 2" xfId="23713"/>
    <cellStyle name="Comma 31 2 2 4" xfId="23714"/>
    <cellStyle name="Comma 31 2 2 4 2" xfId="23715"/>
    <cellStyle name="Comma 31 2 2 5" xfId="23716"/>
    <cellStyle name="Comma 31 2 3" xfId="23717"/>
    <cellStyle name="Comma 31 2 3 2" xfId="23718"/>
    <cellStyle name="Comma 31 2 3 2 2" xfId="23719"/>
    <cellStyle name="Comma 31 2 3 2 2 2" xfId="23720"/>
    <cellStyle name="Comma 31 2 3 2 3" xfId="23721"/>
    <cellStyle name="Comma 31 2 3 3" xfId="23722"/>
    <cellStyle name="Comma 31 2 3 3 2" xfId="23723"/>
    <cellStyle name="Comma 31 2 3 4" xfId="23724"/>
    <cellStyle name="Comma 31 2 3 4 2" xfId="23725"/>
    <cellStyle name="Comma 31 2 3 5" xfId="23726"/>
    <cellStyle name="Comma 31 2 4" xfId="23727"/>
    <cellStyle name="Comma 31 2 4 2" xfId="23728"/>
    <cellStyle name="Comma 31 2 4 2 2" xfId="23729"/>
    <cellStyle name="Comma 31 2 4 3" xfId="23730"/>
    <cellStyle name="Comma 31 2 5" xfId="23731"/>
    <cellStyle name="Comma 31 2 5 2" xfId="23732"/>
    <cellStyle name="Comma 31 2 6" xfId="23733"/>
    <cellStyle name="Comma 31 2 6 2" xfId="23734"/>
    <cellStyle name="Comma 31 2 7" xfId="23735"/>
    <cellStyle name="Comma 31 3" xfId="23736"/>
    <cellStyle name="Comma 31 3 2" xfId="23737"/>
    <cellStyle name="Comma 31 3 2 2" xfId="23738"/>
    <cellStyle name="Comma 31 3 2 2 2" xfId="23739"/>
    <cellStyle name="Comma 31 3 2 3" xfId="23740"/>
    <cellStyle name="Comma 31 3 3" xfId="23741"/>
    <cellStyle name="Comma 31 3 3 2" xfId="23742"/>
    <cellStyle name="Comma 31 3 4" xfId="23743"/>
    <cellStyle name="Comma 31 3 4 2" xfId="23744"/>
    <cellStyle name="Comma 31 3 5" xfId="23745"/>
    <cellStyle name="Comma 31 4" xfId="23746"/>
    <cellStyle name="Comma 31 4 2" xfId="23747"/>
    <cellStyle name="Comma 31 4 2 2" xfId="23748"/>
    <cellStyle name="Comma 31 4 2 2 2" xfId="23749"/>
    <cellStyle name="Comma 31 4 2 3" xfId="23750"/>
    <cellStyle name="Comma 31 4 3" xfId="23751"/>
    <cellStyle name="Comma 31 4 3 2" xfId="23752"/>
    <cellStyle name="Comma 31 4 4" xfId="23753"/>
    <cellStyle name="Comma 31 4 4 2" xfId="23754"/>
    <cellStyle name="Comma 31 4 5" xfId="23755"/>
    <cellStyle name="Comma 31 5" xfId="23756"/>
    <cellStyle name="Comma 31 5 2" xfId="23757"/>
    <cellStyle name="Comma 31 5 2 2" xfId="23758"/>
    <cellStyle name="Comma 31 5 3" xfId="23759"/>
    <cellStyle name="Comma 31 6" xfId="23760"/>
    <cellStyle name="Comma 31 6 2" xfId="23761"/>
    <cellStyle name="Comma 31 7" xfId="23762"/>
    <cellStyle name="Comma 31 7 2" xfId="23763"/>
    <cellStyle name="Comma 31 8" xfId="23764"/>
    <cellStyle name="Comma 32" xfId="23765"/>
    <cellStyle name="Comma 32 2" xfId="23766"/>
    <cellStyle name="Comma 32 2 2" xfId="23767"/>
    <cellStyle name="Comma 32 2 2 2" xfId="23768"/>
    <cellStyle name="Comma 32 2 2 2 2" xfId="23769"/>
    <cellStyle name="Comma 32 2 2 2 2 2" xfId="23770"/>
    <cellStyle name="Comma 32 2 2 2 3" xfId="23771"/>
    <cellStyle name="Comma 32 2 2 3" xfId="23772"/>
    <cellStyle name="Comma 32 2 2 3 2" xfId="23773"/>
    <cellStyle name="Comma 32 2 2 4" xfId="23774"/>
    <cellStyle name="Comma 32 2 2 4 2" xfId="23775"/>
    <cellStyle name="Comma 32 2 2 5" xfId="23776"/>
    <cellStyle name="Comma 32 2 3" xfId="23777"/>
    <cellStyle name="Comma 32 2 3 2" xfId="23778"/>
    <cellStyle name="Comma 32 2 3 2 2" xfId="23779"/>
    <cellStyle name="Comma 32 2 3 2 2 2" xfId="23780"/>
    <cellStyle name="Comma 32 2 3 2 3" xfId="23781"/>
    <cellStyle name="Comma 32 2 3 3" xfId="23782"/>
    <cellStyle name="Comma 32 2 3 3 2" xfId="23783"/>
    <cellStyle name="Comma 32 2 3 4" xfId="23784"/>
    <cellStyle name="Comma 32 2 3 4 2" xfId="23785"/>
    <cellStyle name="Comma 32 2 3 5" xfId="23786"/>
    <cellStyle name="Comma 32 2 4" xfId="23787"/>
    <cellStyle name="Comma 32 2 4 2" xfId="23788"/>
    <cellStyle name="Comma 32 2 4 2 2" xfId="23789"/>
    <cellStyle name="Comma 32 2 4 3" xfId="23790"/>
    <cellStyle name="Comma 32 2 5" xfId="23791"/>
    <cellStyle name="Comma 32 2 5 2" xfId="23792"/>
    <cellStyle name="Comma 32 2 6" xfId="23793"/>
    <cellStyle name="Comma 32 2 6 2" xfId="23794"/>
    <cellStyle name="Comma 32 2 7" xfId="23795"/>
    <cellStyle name="Comma 32 3" xfId="23796"/>
    <cellStyle name="Comma 32 3 2" xfId="23797"/>
    <cellStyle name="Comma 32 3 2 2" xfId="23798"/>
    <cellStyle name="Comma 32 3 2 2 2" xfId="23799"/>
    <cellStyle name="Comma 32 3 2 3" xfId="23800"/>
    <cellStyle name="Comma 32 3 3" xfId="23801"/>
    <cellStyle name="Comma 32 3 3 2" xfId="23802"/>
    <cellStyle name="Comma 32 3 4" xfId="23803"/>
    <cellStyle name="Comma 32 3 4 2" xfId="23804"/>
    <cellStyle name="Comma 32 3 5" xfId="23805"/>
    <cellStyle name="Comma 32 4" xfId="23806"/>
    <cellStyle name="Comma 32 4 2" xfId="23807"/>
    <cellStyle name="Comma 32 4 2 2" xfId="23808"/>
    <cellStyle name="Comma 32 4 2 2 2" xfId="23809"/>
    <cellStyle name="Comma 32 4 2 3" xfId="23810"/>
    <cellStyle name="Comma 32 4 3" xfId="23811"/>
    <cellStyle name="Comma 32 4 3 2" xfId="23812"/>
    <cellStyle name="Comma 32 4 4" xfId="23813"/>
    <cellStyle name="Comma 32 4 4 2" xfId="23814"/>
    <cellStyle name="Comma 32 4 5" xfId="23815"/>
    <cellStyle name="Comma 32 5" xfId="23816"/>
    <cellStyle name="Comma 32 5 2" xfId="23817"/>
    <cellStyle name="Comma 32 5 2 2" xfId="23818"/>
    <cellStyle name="Comma 32 5 3" xfId="23819"/>
    <cellStyle name="Comma 32 6" xfId="23820"/>
    <cellStyle name="Comma 32 6 2" xfId="23821"/>
    <cellStyle name="Comma 32 7" xfId="23822"/>
    <cellStyle name="Comma 32 7 2" xfId="23823"/>
    <cellStyle name="Comma 32 8" xfId="23824"/>
    <cellStyle name="Comma 33" xfId="23825"/>
    <cellStyle name="Comma 33 2" xfId="23826"/>
    <cellStyle name="Comma 33 2 2" xfId="23827"/>
    <cellStyle name="Comma 33 2 2 2" xfId="23828"/>
    <cellStyle name="Comma 33 2 2 2 2" xfId="23829"/>
    <cellStyle name="Comma 33 2 2 2 2 2" xfId="23830"/>
    <cellStyle name="Comma 33 2 2 2 3" xfId="23831"/>
    <cellStyle name="Comma 33 2 2 3" xfId="23832"/>
    <cellStyle name="Comma 33 2 2 3 2" xfId="23833"/>
    <cellStyle name="Comma 33 2 2 4" xfId="23834"/>
    <cellStyle name="Comma 33 2 2 4 2" xfId="23835"/>
    <cellStyle name="Comma 33 2 2 5" xfId="23836"/>
    <cellStyle name="Comma 33 2 3" xfId="23837"/>
    <cellStyle name="Comma 33 2 3 2" xfId="23838"/>
    <cellStyle name="Comma 33 2 3 2 2" xfId="23839"/>
    <cellStyle name="Comma 33 2 3 2 2 2" xfId="23840"/>
    <cellStyle name="Comma 33 2 3 2 3" xfId="23841"/>
    <cellStyle name="Comma 33 2 3 3" xfId="23842"/>
    <cellStyle name="Comma 33 2 3 3 2" xfId="23843"/>
    <cellStyle name="Comma 33 2 3 4" xfId="23844"/>
    <cellStyle name="Comma 33 2 3 4 2" xfId="23845"/>
    <cellStyle name="Comma 33 2 3 5" xfId="23846"/>
    <cellStyle name="Comma 33 2 4" xfId="23847"/>
    <cellStyle name="Comma 33 2 4 2" xfId="23848"/>
    <cellStyle name="Comma 33 2 4 2 2" xfId="23849"/>
    <cellStyle name="Comma 33 2 4 3" xfId="23850"/>
    <cellStyle name="Comma 33 2 5" xfId="23851"/>
    <cellStyle name="Comma 33 2 5 2" xfId="23852"/>
    <cellStyle name="Comma 33 2 6" xfId="23853"/>
    <cellStyle name="Comma 33 2 6 2" xfId="23854"/>
    <cellStyle name="Comma 33 2 7" xfId="23855"/>
    <cellStyle name="Comma 33 3" xfId="23856"/>
    <cellStyle name="Comma 33 3 2" xfId="23857"/>
    <cellStyle name="Comma 33 3 2 2" xfId="23858"/>
    <cellStyle name="Comma 33 3 2 2 2" xfId="23859"/>
    <cellStyle name="Comma 33 3 2 3" xfId="23860"/>
    <cellStyle name="Comma 33 3 3" xfId="23861"/>
    <cellStyle name="Comma 33 3 3 2" xfId="23862"/>
    <cellStyle name="Comma 33 3 4" xfId="23863"/>
    <cellStyle name="Comma 33 3 4 2" xfId="23864"/>
    <cellStyle name="Comma 33 3 5" xfId="23865"/>
    <cellStyle name="Comma 33 4" xfId="23866"/>
    <cellStyle name="Comma 33 4 2" xfId="23867"/>
    <cellStyle name="Comma 33 4 2 2" xfId="23868"/>
    <cellStyle name="Comma 33 4 2 2 2" xfId="23869"/>
    <cellStyle name="Comma 33 4 2 3" xfId="23870"/>
    <cellStyle name="Comma 33 4 3" xfId="23871"/>
    <cellStyle name="Comma 33 4 3 2" xfId="23872"/>
    <cellStyle name="Comma 33 4 4" xfId="23873"/>
    <cellStyle name="Comma 33 4 4 2" xfId="23874"/>
    <cellStyle name="Comma 33 4 5" xfId="23875"/>
    <cellStyle name="Comma 33 5" xfId="23876"/>
    <cellStyle name="Comma 33 5 2" xfId="23877"/>
    <cellStyle name="Comma 33 5 2 2" xfId="23878"/>
    <cellStyle name="Comma 33 5 3" xfId="23879"/>
    <cellStyle name="Comma 33 6" xfId="23880"/>
    <cellStyle name="Comma 33 6 2" xfId="23881"/>
    <cellStyle name="Comma 33 7" xfId="23882"/>
    <cellStyle name="Comma 33 7 2" xfId="23883"/>
    <cellStyle name="Comma 33 8" xfId="23884"/>
    <cellStyle name="Comma 34" xfId="23885"/>
    <cellStyle name="Comma 34 2" xfId="23886"/>
    <cellStyle name="Comma 34 2 2" xfId="23887"/>
    <cellStyle name="Comma 34 2 2 2" xfId="23888"/>
    <cellStyle name="Comma 34 2 2 2 2" xfId="23889"/>
    <cellStyle name="Comma 34 2 2 2 2 2" xfId="23890"/>
    <cellStyle name="Comma 34 2 2 2 3" xfId="23891"/>
    <cellStyle name="Comma 34 2 2 3" xfId="23892"/>
    <cellStyle name="Comma 34 2 2 3 2" xfId="23893"/>
    <cellStyle name="Comma 34 2 2 4" xfId="23894"/>
    <cellStyle name="Comma 34 2 2 4 2" xfId="23895"/>
    <cellStyle name="Comma 34 2 2 5" xfId="23896"/>
    <cellStyle name="Comma 34 2 3" xfId="23897"/>
    <cellStyle name="Comma 34 2 3 2" xfId="23898"/>
    <cellStyle name="Comma 34 2 3 2 2" xfId="23899"/>
    <cellStyle name="Comma 34 2 3 2 2 2" xfId="23900"/>
    <cellStyle name="Comma 34 2 3 2 3" xfId="23901"/>
    <cellStyle name="Comma 34 2 3 3" xfId="23902"/>
    <cellStyle name="Comma 34 2 3 3 2" xfId="23903"/>
    <cellStyle name="Comma 34 2 3 4" xfId="23904"/>
    <cellStyle name="Comma 34 2 3 4 2" xfId="23905"/>
    <cellStyle name="Comma 34 2 3 5" xfId="23906"/>
    <cellStyle name="Comma 34 2 4" xfId="23907"/>
    <cellStyle name="Comma 34 2 4 2" xfId="23908"/>
    <cellStyle name="Comma 34 2 4 2 2" xfId="23909"/>
    <cellStyle name="Comma 34 2 4 3" xfId="23910"/>
    <cellStyle name="Comma 34 2 5" xfId="23911"/>
    <cellStyle name="Comma 34 2 5 2" xfId="23912"/>
    <cellStyle name="Comma 34 2 6" xfId="23913"/>
    <cellStyle name="Comma 34 2 6 2" xfId="23914"/>
    <cellStyle name="Comma 34 2 7" xfId="23915"/>
    <cellStyle name="Comma 34 3" xfId="23916"/>
    <cellStyle name="Comma 34 3 2" xfId="23917"/>
    <cellStyle name="Comma 34 3 2 2" xfId="23918"/>
    <cellStyle name="Comma 34 3 2 2 2" xfId="23919"/>
    <cellStyle name="Comma 34 3 2 3" xfId="23920"/>
    <cellStyle name="Comma 34 3 3" xfId="23921"/>
    <cellStyle name="Comma 34 3 3 2" xfId="23922"/>
    <cellStyle name="Comma 34 3 4" xfId="23923"/>
    <cellStyle name="Comma 34 3 4 2" xfId="23924"/>
    <cellStyle name="Comma 34 3 5" xfId="23925"/>
    <cellStyle name="Comma 34 4" xfId="23926"/>
    <cellStyle name="Comma 34 4 2" xfId="23927"/>
    <cellStyle name="Comma 34 4 2 2" xfId="23928"/>
    <cellStyle name="Comma 34 4 2 2 2" xfId="23929"/>
    <cellStyle name="Comma 34 4 2 3" xfId="23930"/>
    <cellStyle name="Comma 34 4 3" xfId="23931"/>
    <cellStyle name="Comma 34 4 3 2" xfId="23932"/>
    <cellStyle name="Comma 34 4 4" xfId="23933"/>
    <cellStyle name="Comma 34 4 4 2" xfId="23934"/>
    <cellStyle name="Comma 34 4 5" xfId="23935"/>
    <cellStyle name="Comma 34 5" xfId="23936"/>
    <cellStyle name="Comma 34 5 2" xfId="23937"/>
    <cellStyle name="Comma 34 5 2 2" xfId="23938"/>
    <cellStyle name="Comma 34 5 3" xfId="23939"/>
    <cellStyle name="Comma 34 6" xfId="23940"/>
    <cellStyle name="Comma 34 6 2" xfId="23941"/>
    <cellStyle name="Comma 34 7" xfId="23942"/>
    <cellStyle name="Comma 34 7 2" xfId="23943"/>
    <cellStyle name="Comma 34 8" xfId="23944"/>
    <cellStyle name="Comma 35" xfId="23945"/>
    <cellStyle name="Comma 35 2" xfId="23946"/>
    <cellStyle name="Comma 35 2 2" xfId="23947"/>
    <cellStyle name="Comma 35 2 2 2" xfId="23948"/>
    <cellStyle name="Comma 35 2 2 2 2" xfId="23949"/>
    <cellStyle name="Comma 35 2 2 2 2 2" xfId="23950"/>
    <cellStyle name="Comma 35 2 2 2 3" xfId="23951"/>
    <cellStyle name="Comma 35 2 2 3" xfId="23952"/>
    <cellStyle name="Comma 35 2 2 3 2" xfId="23953"/>
    <cellStyle name="Comma 35 2 2 4" xfId="23954"/>
    <cellStyle name="Comma 35 2 2 4 2" xfId="23955"/>
    <cellStyle name="Comma 35 2 2 5" xfId="23956"/>
    <cellStyle name="Comma 35 2 3" xfId="23957"/>
    <cellStyle name="Comma 35 2 3 2" xfId="23958"/>
    <cellStyle name="Comma 35 2 3 2 2" xfId="23959"/>
    <cellStyle name="Comma 35 2 3 2 2 2" xfId="23960"/>
    <cellStyle name="Comma 35 2 3 2 3" xfId="23961"/>
    <cellStyle name="Comma 35 2 3 3" xfId="23962"/>
    <cellStyle name="Comma 35 2 3 3 2" xfId="23963"/>
    <cellStyle name="Comma 35 2 3 4" xfId="23964"/>
    <cellStyle name="Comma 35 2 3 4 2" xfId="23965"/>
    <cellStyle name="Comma 35 2 3 5" xfId="23966"/>
    <cellStyle name="Comma 35 2 4" xfId="23967"/>
    <cellStyle name="Comma 35 2 4 2" xfId="23968"/>
    <cellStyle name="Comma 35 2 4 2 2" xfId="23969"/>
    <cellStyle name="Comma 35 2 4 3" xfId="23970"/>
    <cellStyle name="Comma 35 2 5" xfId="23971"/>
    <cellStyle name="Comma 35 2 5 2" xfId="23972"/>
    <cellStyle name="Comma 35 2 6" xfId="23973"/>
    <cellStyle name="Comma 35 2 6 2" xfId="23974"/>
    <cellStyle name="Comma 35 2 7" xfId="23975"/>
    <cellStyle name="Comma 35 3" xfId="23976"/>
    <cellStyle name="Comma 35 3 2" xfId="23977"/>
    <cellStyle name="Comma 35 3 2 2" xfId="23978"/>
    <cellStyle name="Comma 35 3 2 2 2" xfId="23979"/>
    <cellStyle name="Comma 35 3 2 3" xfId="23980"/>
    <cellStyle name="Comma 35 3 3" xfId="23981"/>
    <cellStyle name="Comma 35 3 3 2" xfId="23982"/>
    <cellStyle name="Comma 35 3 4" xfId="23983"/>
    <cellStyle name="Comma 35 3 4 2" xfId="23984"/>
    <cellStyle name="Comma 35 3 5" xfId="23985"/>
    <cellStyle name="Comma 35 4" xfId="23986"/>
    <cellStyle name="Comma 35 4 2" xfId="23987"/>
    <cellStyle name="Comma 35 4 2 2" xfId="23988"/>
    <cellStyle name="Comma 35 4 2 2 2" xfId="23989"/>
    <cellStyle name="Comma 35 4 2 3" xfId="23990"/>
    <cellStyle name="Comma 35 4 3" xfId="23991"/>
    <cellStyle name="Comma 35 4 3 2" xfId="23992"/>
    <cellStyle name="Comma 35 4 4" xfId="23993"/>
    <cellStyle name="Comma 35 4 4 2" xfId="23994"/>
    <cellStyle name="Comma 35 4 5" xfId="23995"/>
    <cellStyle name="Comma 35 5" xfId="23996"/>
    <cellStyle name="Comma 35 5 2" xfId="23997"/>
    <cellStyle name="Comma 35 5 2 2" xfId="23998"/>
    <cellStyle name="Comma 35 5 3" xfId="23999"/>
    <cellStyle name="Comma 35 6" xfId="24000"/>
    <cellStyle name="Comma 35 6 2" xfId="24001"/>
    <cellStyle name="Comma 35 7" xfId="24002"/>
    <cellStyle name="Comma 35 7 2" xfId="24003"/>
    <cellStyle name="Comma 35 8" xfId="24004"/>
    <cellStyle name="Comma 36" xfId="24005"/>
    <cellStyle name="Comma 36 2" xfId="24006"/>
    <cellStyle name="Comma 36 2 2" xfId="24007"/>
    <cellStyle name="Comma 36 2 2 2" xfId="24008"/>
    <cellStyle name="Comma 36 2 2 2 2" xfId="24009"/>
    <cellStyle name="Comma 36 2 2 3" xfId="24010"/>
    <cellStyle name="Comma 36 2 3" xfId="24011"/>
    <cellStyle name="Comma 36 2 3 2" xfId="24012"/>
    <cellStyle name="Comma 36 2 4" xfId="24013"/>
    <cellStyle name="Comma 36 2 4 2" xfId="24014"/>
    <cellStyle name="Comma 36 2 5" xfId="24015"/>
    <cellStyle name="Comma 36 3" xfId="24016"/>
    <cellStyle name="Comma 36 3 2" xfId="24017"/>
    <cellStyle name="Comma 36 3 2 2" xfId="24018"/>
    <cellStyle name="Comma 36 3 2 2 2" xfId="24019"/>
    <cellStyle name="Comma 36 3 2 3" xfId="24020"/>
    <cellStyle name="Comma 36 3 3" xfId="24021"/>
    <cellStyle name="Comma 36 3 3 2" xfId="24022"/>
    <cellStyle name="Comma 36 3 4" xfId="24023"/>
    <cellStyle name="Comma 36 3 4 2" xfId="24024"/>
    <cellStyle name="Comma 36 3 5" xfId="24025"/>
    <cellStyle name="Comma 36 4" xfId="24026"/>
    <cellStyle name="Comma 36 4 2" xfId="24027"/>
    <cellStyle name="Comma 36 4 2 2" xfId="24028"/>
    <cellStyle name="Comma 36 4 3" xfId="24029"/>
    <cellStyle name="Comma 36 5" xfId="24030"/>
    <cellStyle name="Comma 36 5 2" xfId="24031"/>
    <cellStyle name="Comma 36 6" xfId="24032"/>
    <cellStyle name="Comma 36 6 2" xfId="24033"/>
    <cellStyle name="Comma 36 7" xfId="24034"/>
    <cellStyle name="Comma 37" xfId="24035"/>
    <cellStyle name="Comma 37 2" xfId="24036"/>
    <cellStyle name="Comma 37 2 2" xfId="24037"/>
    <cellStyle name="Comma 37 2 2 2" xfId="24038"/>
    <cellStyle name="Comma 37 2 2 2 2" xfId="24039"/>
    <cellStyle name="Comma 37 2 2 3" xfId="24040"/>
    <cellStyle name="Comma 37 2 3" xfId="24041"/>
    <cellStyle name="Comma 37 2 3 2" xfId="24042"/>
    <cellStyle name="Comma 37 2 4" xfId="24043"/>
    <cellStyle name="Comma 37 2 4 2" xfId="24044"/>
    <cellStyle name="Comma 37 2 5" xfId="24045"/>
    <cellStyle name="Comma 37 3" xfId="24046"/>
    <cellStyle name="Comma 37 3 2" xfId="24047"/>
    <cellStyle name="Comma 37 3 2 2" xfId="24048"/>
    <cellStyle name="Comma 37 3 2 2 2" xfId="24049"/>
    <cellStyle name="Comma 37 3 2 3" xfId="24050"/>
    <cellStyle name="Comma 37 3 3" xfId="24051"/>
    <cellStyle name="Comma 37 3 3 2" xfId="24052"/>
    <cellStyle name="Comma 37 3 4" xfId="24053"/>
    <cellStyle name="Comma 37 3 4 2" xfId="24054"/>
    <cellStyle name="Comma 37 3 5" xfId="24055"/>
    <cellStyle name="Comma 37 4" xfId="24056"/>
    <cellStyle name="Comma 37 4 2" xfId="24057"/>
    <cellStyle name="Comma 37 4 2 2" xfId="24058"/>
    <cellStyle name="Comma 37 4 3" xfId="24059"/>
    <cellStyle name="Comma 37 5" xfId="24060"/>
    <cellStyle name="Comma 37 5 2" xfId="24061"/>
    <cellStyle name="Comma 37 6" xfId="24062"/>
    <cellStyle name="Comma 37 6 2" xfId="24063"/>
    <cellStyle name="Comma 37 7" xfId="24064"/>
    <cellStyle name="Comma 38" xfId="24065"/>
    <cellStyle name="Comma 38 2" xfId="24066"/>
    <cellStyle name="Comma 38 2 2" xfId="24067"/>
    <cellStyle name="Comma 38 2 2 2" xfId="24068"/>
    <cellStyle name="Comma 38 2 2 2 2" xfId="24069"/>
    <cellStyle name="Comma 38 2 2 3" xfId="24070"/>
    <cellStyle name="Comma 38 2 3" xfId="24071"/>
    <cellStyle name="Comma 38 2 3 2" xfId="24072"/>
    <cellStyle name="Comma 38 2 4" xfId="24073"/>
    <cellStyle name="Comma 38 2 4 2" xfId="24074"/>
    <cellStyle name="Comma 38 2 5" xfId="24075"/>
    <cellStyle name="Comma 38 3" xfId="24076"/>
    <cellStyle name="Comma 38 3 2" xfId="24077"/>
    <cellStyle name="Comma 38 3 2 2" xfId="24078"/>
    <cellStyle name="Comma 38 3 2 2 2" xfId="24079"/>
    <cellStyle name="Comma 38 3 2 3" xfId="24080"/>
    <cellStyle name="Comma 38 3 3" xfId="24081"/>
    <cellStyle name="Comma 38 3 3 2" xfId="24082"/>
    <cellStyle name="Comma 38 3 4" xfId="24083"/>
    <cellStyle name="Comma 38 3 4 2" xfId="24084"/>
    <cellStyle name="Comma 38 3 5" xfId="24085"/>
    <cellStyle name="Comma 38 4" xfId="24086"/>
    <cellStyle name="Comma 38 4 2" xfId="24087"/>
    <cellStyle name="Comma 38 4 2 2" xfId="24088"/>
    <cellStyle name="Comma 38 4 3" xfId="24089"/>
    <cellStyle name="Comma 38 5" xfId="24090"/>
    <cellStyle name="Comma 38 5 2" xfId="24091"/>
    <cellStyle name="Comma 38 6" xfId="24092"/>
    <cellStyle name="Comma 38 6 2" xfId="24093"/>
    <cellStyle name="Comma 38 7" xfId="24094"/>
    <cellStyle name="Comma 39" xfId="24095"/>
    <cellStyle name="Comma 39 2" xfId="24096"/>
    <cellStyle name="Comma 39 2 2" xfId="24097"/>
    <cellStyle name="Comma 39 2 2 2" xfId="24098"/>
    <cellStyle name="Comma 39 2 2 2 2" xfId="24099"/>
    <cellStyle name="Comma 39 2 2 3" xfId="24100"/>
    <cellStyle name="Comma 39 2 3" xfId="24101"/>
    <cellStyle name="Comma 39 2 3 2" xfId="24102"/>
    <cellStyle name="Comma 39 2 4" xfId="24103"/>
    <cellStyle name="Comma 39 2 4 2" xfId="24104"/>
    <cellStyle name="Comma 39 2 5" xfId="24105"/>
    <cellStyle name="Comma 39 3" xfId="24106"/>
    <cellStyle name="Comma 39 3 2" xfId="24107"/>
    <cellStyle name="Comma 39 3 2 2" xfId="24108"/>
    <cellStyle name="Comma 39 3 2 2 2" xfId="24109"/>
    <cellStyle name="Comma 39 3 2 3" xfId="24110"/>
    <cellStyle name="Comma 39 3 3" xfId="24111"/>
    <cellStyle name="Comma 39 3 3 2" xfId="24112"/>
    <cellStyle name="Comma 39 3 4" xfId="24113"/>
    <cellStyle name="Comma 39 3 4 2" xfId="24114"/>
    <cellStyle name="Comma 39 3 5" xfId="24115"/>
    <cellStyle name="Comma 39 4" xfId="24116"/>
    <cellStyle name="Comma 39 4 2" xfId="24117"/>
    <cellStyle name="Comma 39 4 2 2" xfId="24118"/>
    <cellStyle name="Comma 39 4 3" xfId="24119"/>
    <cellStyle name="Comma 39 5" xfId="24120"/>
    <cellStyle name="Comma 39 5 2" xfId="24121"/>
    <cellStyle name="Comma 39 6" xfId="24122"/>
    <cellStyle name="Comma 39 6 2" xfId="24123"/>
    <cellStyle name="Comma 39 7" xfId="24124"/>
    <cellStyle name="Comma 4" xfId="24125"/>
    <cellStyle name="Comma 4 2" xfId="24126"/>
    <cellStyle name="Comma 4 2 2" xfId="24127"/>
    <cellStyle name="Comma 4 3" xfId="24128"/>
    <cellStyle name="Comma 4 4" xfId="24129"/>
    <cellStyle name="Comma 4 4 2" xfId="24130"/>
    <cellStyle name="Comma 4 4 2 2" xfId="24131"/>
    <cellStyle name="Comma 4 4 2 2 2" xfId="24132"/>
    <cellStyle name="Comma 4 4 2 3" xfId="24133"/>
    <cellStyle name="Comma 4 4 3" xfId="24134"/>
    <cellStyle name="Comma 4 4 3 2" xfId="24135"/>
    <cellStyle name="Comma 4 4 4" xfId="24136"/>
    <cellStyle name="Comma 4 4 4 2" xfId="24137"/>
    <cellStyle name="Comma 4 4 5" xfId="24138"/>
    <cellStyle name="Comma 4 5" xfId="24139"/>
    <cellStyle name="Comma 4 5 2" xfId="24140"/>
    <cellStyle name="Comma 4 5 2 2" xfId="24141"/>
    <cellStyle name="Comma 4 5 2 2 2" xfId="24142"/>
    <cellStyle name="Comma 4 5 2 3" xfId="24143"/>
    <cellStyle name="Comma 4 5 3" xfId="24144"/>
    <cellStyle name="Comma 4 5 3 2" xfId="24145"/>
    <cellStyle name="Comma 4 5 4" xfId="24146"/>
    <cellStyle name="Comma 4 5 4 2" xfId="24147"/>
    <cellStyle name="Comma 4 5 5" xfId="24148"/>
    <cellStyle name="Comma 4 6" xfId="24149"/>
    <cellStyle name="Comma 4 6 2" xfId="24150"/>
    <cellStyle name="Comma 4 6 2 2" xfId="24151"/>
    <cellStyle name="Comma 4 6 2 2 2" xfId="24152"/>
    <cellStyle name="Comma 4 6 2 3" xfId="24153"/>
    <cellStyle name="Comma 4 6 3" xfId="24154"/>
    <cellStyle name="Comma 4 6 3 2" xfId="24155"/>
    <cellStyle name="Comma 4 6 4" xfId="24156"/>
    <cellStyle name="Comma 4 6 4 2" xfId="24157"/>
    <cellStyle name="Comma 4 6 5" xfId="24158"/>
    <cellStyle name="Comma 4 7" xfId="24159"/>
    <cellStyle name="Comma 4 8" xfId="24160"/>
    <cellStyle name="Comma 40" xfId="24161"/>
    <cellStyle name="Comma 40 2" xfId="24162"/>
    <cellStyle name="Comma 40 2 2" xfId="24163"/>
    <cellStyle name="Comma 40 2 2 2" xfId="24164"/>
    <cellStyle name="Comma 40 2 2 2 2" xfId="24165"/>
    <cellStyle name="Comma 40 2 2 3" xfId="24166"/>
    <cellStyle name="Comma 40 2 3" xfId="24167"/>
    <cellStyle name="Comma 40 2 3 2" xfId="24168"/>
    <cellStyle name="Comma 40 2 4" xfId="24169"/>
    <cellStyle name="Comma 40 2 4 2" xfId="24170"/>
    <cellStyle name="Comma 40 2 5" xfId="24171"/>
    <cellStyle name="Comma 40 3" xfId="24172"/>
    <cellStyle name="Comma 40 3 2" xfId="24173"/>
    <cellStyle name="Comma 40 3 2 2" xfId="24174"/>
    <cellStyle name="Comma 40 3 2 2 2" xfId="24175"/>
    <cellStyle name="Comma 40 3 2 3" xfId="24176"/>
    <cellStyle name="Comma 40 3 3" xfId="24177"/>
    <cellStyle name="Comma 40 3 3 2" xfId="24178"/>
    <cellStyle name="Comma 40 3 4" xfId="24179"/>
    <cellStyle name="Comma 40 3 4 2" xfId="24180"/>
    <cellStyle name="Comma 40 3 5" xfId="24181"/>
    <cellStyle name="Comma 40 4" xfId="24182"/>
    <cellStyle name="Comma 40 4 2" xfId="24183"/>
    <cellStyle name="Comma 40 4 2 2" xfId="24184"/>
    <cellStyle name="Comma 40 4 3" xfId="24185"/>
    <cellStyle name="Comma 40 5" xfId="24186"/>
    <cellStyle name="Comma 40 5 2" xfId="24187"/>
    <cellStyle name="Comma 40 6" xfId="24188"/>
    <cellStyle name="Comma 40 6 2" xfId="24189"/>
    <cellStyle name="Comma 40 7" xfId="24190"/>
    <cellStyle name="Comma 41" xfId="24191"/>
    <cellStyle name="Comma 41 2" xfId="24192"/>
    <cellStyle name="Comma 41 2 2" xfId="24193"/>
    <cellStyle name="Comma 41 2 2 2" xfId="24194"/>
    <cellStyle name="Comma 41 2 2 2 2" xfId="24195"/>
    <cellStyle name="Comma 41 2 2 3" xfId="24196"/>
    <cellStyle name="Comma 41 2 3" xfId="24197"/>
    <cellStyle name="Comma 41 2 3 2" xfId="24198"/>
    <cellStyle name="Comma 41 2 4" xfId="24199"/>
    <cellStyle name="Comma 41 2 4 2" xfId="24200"/>
    <cellStyle name="Comma 41 2 5" xfId="24201"/>
    <cellStyle name="Comma 41 3" xfId="24202"/>
    <cellStyle name="Comma 41 3 2" xfId="24203"/>
    <cellStyle name="Comma 41 3 2 2" xfId="24204"/>
    <cellStyle name="Comma 41 3 2 2 2" xfId="24205"/>
    <cellStyle name="Comma 41 3 2 3" xfId="24206"/>
    <cellStyle name="Comma 41 3 3" xfId="24207"/>
    <cellStyle name="Comma 41 3 3 2" xfId="24208"/>
    <cellStyle name="Comma 41 3 4" xfId="24209"/>
    <cellStyle name="Comma 41 3 4 2" xfId="24210"/>
    <cellStyle name="Comma 41 3 5" xfId="24211"/>
    <cellStyle name="Comma 41 4" xfId="24212"/>
    <cellStyle name="Comma 41 4 2" xfId="24213"/>
    <cellStyle name="Comma 41 4 2 2" xfId="24214"/>
    <cellStyle name="Comma 41 4 3" xfId="24215"/>
    <cellStyle name="Comma 41 5" xfId="24216"/>
    <cellStyle name="Comma 41 5 2" xfId="24217"/>
    <cellStyle name="Comma 41 6" xfId="24218"/>
    <cellStyle name="Comma 41 6 2" xfId="24219"/>
    <cellStyle name="Comma 41 7" xfId="24220"/>
    <cellStyle name="Comma 42" xfId="24221"/>
    <cellStyle name="Comma 42 2" xfId="24222"/>
    <cellStyle name="Comma 42 2 2" xfId="24223"/>
    <cellStyle name="Comma 42 2 2 2" xfId="24224"/>
    <cellStyle name="Comma 42 2 2 2 2" xfId="24225"/>
    <cellStyle name="Comma 42 2 2 3" xfId="24226"/>
    <cellStyle name="Comma 42 2 3" xfId="24227"/>
    <cellStyle name="Comma 42 2 3 2" xfId="24228"/>
    <cellStyle name="Comma 42 2 4" xfId="24229"/>
    <cellStyle name="Comma 42 2 4 2" xfId="24230"/>
    <cellStyle name="Comma 42 2 5" xfId="24231"/>
    <cellStyle name="Comma 42 3" xfId="24232"/>
    <cellStyle name="Comma 42 3 2" xfId="24233"/>
    <cellStyle name="Comma 42 3 2 2" xfId="24234"/>
    <cellStyle name="Comma 42 3 2 2 2" xfId="24235"/>
    <cellStyle name="Comma 42 3 2 3" xfId="24236"/>
    <cellStyle name="Comma 42 3 3" xfId="24237"/>
    <cellStyle name="Comma 42 3 3 2" xfId="24238"/>
    <cellStyle name="Comma 42 3 4" xfId="24239"/>
    <cellStyle name="Comma 42 3 4 2" xfId="24240"/>
    <cellStyle name="Comma 42 3 5" xfId="24241"/>
    <cellStyle name="Comma 42 4" xfId="24242"/>
    <cellStyle name="Comma 42 4 2" xfId="24243"/>
    <cellStyle name="Comma 42 4 2 2" xfId="24244"/>
    <cellStyle name="Comma 42 4 3" xfId="24245"/>
    <cellStyle name="Comma 42 5" xfId="24246"/>
    <cellStyle name="Comma 42 5 2" xfId="24247"/>
    <cellStyle name="Comma 42 6" xfId="24248"/>
    <cellStyle name="Comma 42 6 2" xfId="24249"/>
    <cellStyle name="Comma 42 7" xfId="24250"/>
    <cellStyle name="Comma 43" xfId="24251"/>
    <cellStyle name="Comma 44" xfId="24252"/>
    <cellStyle name="Comma 44 2" xfId="24253"/>
    <cellStyle name="Comma 44 2 2" xfId="24254"/>
    <cellStyle name="Comma 44 2 2 2" xfId="24255"/>
    <cellStyle name="Comma 44 2 2 2 2" xfId="24256"/>
    <cellStyle name="Comma 44 2 2 3" xfId="24257"/>
    <cellStyle name="Comma 44 2 3" xfId="24258"/>
    <cellStyle name="Comma 44 2 3 2" xfId="24259"/>
    <cellStyle name="Comma 44 2 4" xfId="24260"/>
    <cellStyle name="Comma 44 2 4 2" xfId="24261"/>
    <cellStyle name="Comma 44 2 5" xfId="24262"/>
    <cellStyle name="Comma 44 3" xfId="24263"/>
    <cellStyle name="Comma 44 3 2" xfId="24264"/>
    <cellStyle name="Comma 44 3 2 2" xfId="24265"/>
    <cellStyle name="Comma 44 3 2 2 2" xfId="24266"/>
    <cellStyle name="Comma 44 3 2 3" xfId="24267"/>
    <cellStyle name="Comma 44 3 3" xfId="24268"/>
    <cellStyle name="Comma 44 3 3 2" xfId="24269"/>
    <cellStyle name="Comma 44 3 4" xfId="24270"/>
    <cellStyle name="Comma 44 3 4 2" xfId="24271"/>
    <cellStyle name="Comma 44 3 5" xfId="24272"/>
    <cellStyle name="Comma 44 4" xfId="24273"/>
    <cellStyle name="Comma 44 4 2" xfId="24274"/>
    <cellStyle name="Comma 44 4 2 2" xfId="24275"/>
    <cellStyle name="Comma 44 4 3" xfId="24276"/>
    <cellStyle name="Comma 44 5" xfId="24277"/>
    <cellStyle name="Comma 44 5 2" xfId="24278"/>
    <cellStyle name="Comma 44 6" xfId="24279"/>
    <cellStyle name="Comma 44 6 2" xfId="24280"/>
    <cellStyle name="Comma 44 7" xfId="24281"/>
    <cellStyle name="Comma 45" xfId="24282"/>
    <cellStyle name="Comma 45 2" xfId="24283"/>
    <cellStyle name="Comma 45 2 2" xfId="24284"/>
    <cellStyle name="Comma 45 2 2 2" xfId="24285"/>
    <cellStyle name="Comma 45 2 3" xfId="24286"/>
    <cellStyle name="Comma 45 3" xfId="24287"/>
    <cellStyle name="Comma 45 3 2" xfId="24288"/>
    <cellStyle name="Comma 45 4" xfId="24289"/>
    <cellStyle name="Comma 45 4 2" xfId="24290"/>
    <cellStyle name="Comma 45 5" xfId="24291"/>
    <cellStyle name="Comma 46" xfId="24292"/>
    <cellStyle name="Comma 46 2" xfId="24293"/>
    <cellStyle name="Comma 46 2 2" xfId="24294"/>
    <cellStyle name="Comma 46 2 2 2" xfId="24295"/>
    <cellStyle name="Comma 46 2 3" xfId="24296"/>
    <cellStyle name="Comma 46 3" xfId="24297"/>
    <cellStyle name="Comma 46 3 2" xfId="24298"/>
    <cellStyle name="Comma 46 4" xfId="24299"/>
    <cellStyle name="Comma 46 4 2" xfId="24300"/>
    <cellStyle name="Comma 46 5" xfId="24301"/>
    <cellStyle name="Comma 5" xfId="24302"/>
    <cellStyle name="Comma 5 2" xfId="24303"/>
    <cellStyle name="Comma 5 2 2" xfId="24304"/>
    <cellStyle name="Comma 5 2 2 2" xfId="24305"/>
    <cellStyle name="Comma 5 2 2 2 2" xfId="24306"/>
    <cellStyle name="Comma 5 2 2 2 2 2" xfId="24307"/>
    <cellStyle name="Comma 5 2 2 2 3" xfId="24308"/>
    <cellStyle name="Comma 5 2 2 3" xfId="24309"/>
    <cellStyle name="Comma 5 2 2 3 2" xfId="24310"/>
    <cellStyle name="Comma 5 2 2 4" xfId="24311"/>
    <cellStyle name="Comma 5 2 2 4 2" xfId="24312"/>
    <cellStyle name="Comma 5 2 2 5" xfId="24313"/>
    <cellStyle name="Comma 5 2 3" xfId="24314"/>
    <cellStyle name="Comma 5 2 3 2" xfId="24315"/>
    <cellStyle name="Comma 5 2 3 2 2" xfId="24316"/>
    <cellStyle name="Comma 5 2 3 2 2 2" xfId="24317"/>
    <cellStyle name="Comma 5 2 3 2 3" xfId="24318"/>
    <cellStyle name="Comma 5 2 3 3" xfId="24319"/>
    <cellStyle name="Comma 5 2 3 3 2" xfId="24320"/>
    <cellStyle name="Comma 5 2 3 4" xfId="24321"/>
    <cellStyle name="Comma 5 2 3 4 2" xfId="24322"/>
    <cellStyle name="Comma 5 2 3 5" xfId="24323"/>
    <cellStyle name="Comma 5 2 4" xfId="24324"/>
    <cellStyle name="Comma 5 2 4 2" xfId="24325"/>
    <cellStyle name="Comma 5 2 4 2 2" xfId="24326"/>
    <cellStyle name="Comma 5 2 4 3" xfId="24327"/>
    <cellStyle name="Comma 5 2 5" xfId="24328"/>
    <cellStyle name="Comma 5 2 5 2" xfId="24329"/>
    <cellStyle name="Comma 5 2 6" xfId="24330"/>
    <cellStyle name="Comma 5 2 6 2" xfId="24331"/>
    <cellStyle name="Comma 5 2 7" xfId="24332"/>
    <cellStyle name="Comma 5 3" xfId="24333"/>
    <cellStyle name="Comma 5 3 2" xfId="24334"/>
    <cellStyle name="Comma 5 3 2 2" xfId="24335"/>
    <cellStyle name="Comma 5 3 2 2 2" xfId="24336"/>
    <cellStyle name="Comma 5 3 2 2 2 2" xfId="24337"/>
    <cellStyle name="Comma 5 3 2 2 3" xfId="24338"/>
    <cellStyle name="Comma 5 3 2 3" xfId="24339"/>
    <cellStyle name="Comma 5 3 2 3 2" xfId="24340"/>
    <cellStyle name="Comma 5 3 2 4" xfId="24341"/>
    <cellStyle name="Comma 5 3 2 4 2" xfId="24342"/>
    <cellStyle name="Comma 5 3 2 5" xfId="24343"/>
    <cellStyle name="Comma 5 3 3" xfId="24344"/>
    <cellStyle name="Comma 5 3 3 2" xfId="24345"/>
    <cellStyle name="Comma 5 3 3 2 2" xfId="24346"/>
    <cellStyle name="Comma 5 3 3 2 2 2" xfId="24347"/>
    <cellStyle name="Comma 5 3 3 2 3" xfId="24348"/>
    <cellStyle name="Comma 5 3 3 3" xfId="24349"/>
    <cellStyle name="Comma 5 3 3 3 2" xfId="24350"/>
    <cellStyle name="Comma 5 3 3 4" xfId="24351"/>
    <cellStyle name="Comma 5 3 3 4 2" xfId="24352"/>
    <cellStyle name="Comma 5 3 3 5" xfId="24353"/>
    <cellStyle name="Comma 5 3 4" xfId="24354"/>
    <cellStyle name="Comma 5 3 4 2" xfId="24355"/>
    <cellStyle name="Comma 5 3 4 2 2" xfId="24356"/>
    <cellStyle name="Comma 5 3 4 3" xfId="24357"/>
    <cellStyle name="Comma 5 3 5" xfId="24358"/>
    <cellStyle name="Comma 5 3 5 2" xfId="24359"/>
    <cellStyle name="Comma 5 3 6" xfId="24360"/>
    <cellStyle name="Comma 5 3 6 2" xfId="24361"/>
    <cellStyle name="Comma 5 3 7" xfId="24362"/>
    <cellStyle name="Comma 6" xfId="24363"/>
    <cellStyle name="Comma 6 2" xfId="24364"/>
    <cellStyle name="Comma 6 2 2" xfId="24365"/>
    <cellStyle name="Comma 6 2 2 2" xfId="24366"/>
    <cellStyle name="Comma 6 2 2 2 2" xfId="24367"/>
    <cellStyle name="Comma 6 2 2 2 2 2" xfId="24368"/>
    <cellStyle name="Comma 6 2 2 2 2 2 2" xfId="24369"/>
    <cellStyle name="Comma 6 2 2 2 2 3" xfId="24370"/>
    <cellStyle name="Comma 6 2 2 2 3" xfId="24371"/>
    <cellStyle name="Comma 6 2 2 2 3 2" xfId="24372"/>
    <cellStyle name="Comma 6 2 2 2 4" xfId="24373"/>
    <cellStyle name="Comma 6 2 2 2 4 2" xfId="24374"/>
    <cellStyle name="Comma 6 2 2 2 5" xfId="24375"/>
    <cellStyle name="Comma 6 2 2 3" xfId="24376"/>
    <cellStyle name="Comma 6 2 2 3 2" xfId="24377"/>
    <cellStyle name="Comma 6 2 2 3 2 2" xfId="24378"/>
    <cellStyle name="Comma 6 2 2 3 2 2 2" xfId="24379"/>
    <cellStyle name="Comma 6 2 2 3 2 3" xfId="24380"/>
    <cellStyle name="Comma 6 2 2 3 3" xfId="24381"/>
    <cellStyle name="Comma 6 2 2 3 3 2" xfId="24382"/>
    <cellStyle name="Comma 6 2 2 3 4" xfId="24383"/>
    <cellStyle name="Comma 6 2 2 3 4 2" xfId="24384"/>
    <cellStyle name="Comma 6 2 2 3 5" xfId="24385"/>
    <cellStyle name="Comma 6 2 2 4" xfId="24386"/>
    <cellStyle name="Comma 6 2 2 4 2" xfId="24387"/>
    <cellStyle name="Comma 6 2 2 4 2 2" xfId="24388"/>
    <cellStyle name="Comma 6 2 2 4 3" xfId="24389"/>
    <cellStyle name="Comma 6 2 2 5" xfId="24390"/>
    <cellStyle name="Comma 6 2 2 5 2" xfId="24391"/>
    <cellStyle name="Comma 6 2 2 6" xfId="24392"/>
    <cellStyle name="Comma 6 2 2 6 2" xfId="24393"/>
    <cellStyle name="Comma 6 2 2 7" xfId="24394"/>
    <cellStyle name="Comma 6 2 3" xfId="24395"/>
    <cellStyle name="Comma 6 2 3 2" xfId="24396"/>
    <cellStyle name="Comma 6 2 3 2 2" xfId="24397"/>
    <cellStyle name="Comma 6 2 3 2 2 2" xfId="24398"/>
    <cellStyle name="Comma 6 2 3 2 3" xfId="24399"/>
    <cellStyle name="Comma 6 2 3 3" xfId="24400"/>
    <cellStyle name="Comma 6 2 3 3 2" xfId="24401"/>
    <cellStyle name="Comma 6 2 3 4" xfId="24402"/>
    <cellStyle name="Comma 6 2 3 4 2" xfId="24403"/>
    <cellStyle name="Comma 6 2 3 5" xfId="24404"/>
    <cellStyle name="Comma 6 2 4" xfId="24405"/>
    <cellStyle name="Comma 6 2 4 2" xfId="24406"/>
    <cellStyle name="Comma 6 2 4 2 2" xfId="24407"/>
    <cellStyle name="Comma 6 2 4 2 2 2" xfId="24408"/>
    <cellStyle name="Comma 6 2 4 2 3" xfId="24409"/>
    <cellStyle name="Comma 6 2 4 3" xfId="24410"/>
    <cellStyle name="Comma 6 2 4 3 2" xfId="24411"/>
    <cellStyle name="Comma 6 2 4 4" xfId="24412"/>
    <cellStyle name="Comma 6 2 4 4 2" xfId="24413"/>
    <cellStyle name="Comma 6 2 4 5" xfId="24414"/>
    <cellStyle name="Comma 6 2 5" xfId="24415"/>
    <cellStyle name="Comma 6 2 5 2" xfId="24416"/>
    <cellStyle name="Comma 6 2 5 2 2" xfId="24417"/>
    <cellStyle name="Comma 6 2 5 3" xfId="24418"/>
    <cellStyle name="Comma 6 2 6" xfId="24419"/>
    <cellStyle name="Comma 6 2 6 2" xfId="24420"/>
    <cellStyle name="Comma 6 2 7" xfId="24421"/>
    <cellStyle name="Comma 6 2 7 2" xfId="24422"/>
    <cellStyle name="Comma 6 2 8" xfId="24423"/>
    <cellStyle name="Comma 6 3" xfId="24424"/>
    <cellStyle name="Comma 6 4" xfId="24425"/>
    <cellStyle name="Comma 6 5" xfId="24426"/>
    <cellStyle name="Comma 6_BS retrieve" xfId="24427"/>
    <cellStyle name="Comma 7" xfId="24428"/>
    <cellStyle name="Comma 7 2" xfId="24429"/>
    <cellStyle name="Comma 8" xfId="24430"/>
    <cellStyle name="Comma 8 2" xfId="24431"/>
    <cellStyle name="Comma 9" xfId="24432"/>
    <cellStyle name="Comma 9 2" xfId="24433"/>
    <cellStyle name="Comma 9 2 2" xfId="24434"/>
    <cellStyle name="Comma 9 2 2 2" xfId="24435"/>
    <cellStyle name="Comma 9 2 2 2 2" xfId="24436"/>
    <cellStyle name="Comma 9 2 2 2 2 2" xfId="24437"/>
    <cellStyle name="Comma 9 2 2 2 3" xfId="24438"/>
    <cellStyle name="Comma 9 2 2 3" xfId="24439"/>
    <cellStyle name="Comma 9 2 2 3 2" xfId="24440"/>
    <cellStyle name="Comma 9 2 2 4" xfId="24441"/>
    <cellStyle name="Comma 9 2 2 4 2" xfId="24442"/>
    <cellStyle name="Comma 9 2 2 5" xfId="24443"/>
    <cellStyle name="Comma 9 2 3" xfId="24444"/>
    <cellStyle name="Comma 9 2 3 2" xfId="24445"/>
    <cellStyle name="Comma 9 2 3 2 2" xfId="24446"/>
    <cellStyle name="Comma 9 2 3 2 2 2" xfId="24447"/>
    <cellStyle name="Comma 9 2 3 2 3" xfId="24448"/>
    <cellStyle name="Comma 9 2 3 3" xfId="24449"/>
    <cellStyle name="Comma 9 2 3 3 2" xfId="24450"/>
    <cellStyle name="Comma 9 2 3 4" xfId="24451"/>
    <cellStyle name="Comma 9 2 3 4 2" xfId="24452"/>
    <cellStyle name="Comma 9 2 3 5" xfId="24453"/>
    <cellStyle name="Comma 9 2 4" xfId="24454"/>
    <cellStyle name="Comma 9 2 4 2" xfId="24455"/>
    <cellStyle name="Comma 9 2 4 2 2" xfId="24456"/>
    <cellStyle name="Comma 9 2 4 3" xfId="24457"/>
    <cellStyle name="Comma 9 2 5" xfId="24458"/>
    <cellStyle name="Comma 9 2 5 2" xfId="24459"/>
    <cellStyle name="Comma 9 2 6" xfId="24460"/>
    <cellStyle name="Comma 9 2 6 2" xfId="24461"/>
    <cellStyle name="Comma 9 2 7" xfId="24462"/>
    <cellStyle name="Comma 9 3" xfId="24463"/>
    <cellStyle name="Comma 9 3 2" xfId="24464"/>
    <cellStyle name="Comma 9 3 2 2" xfId="24465"/>
    <cellStyle name="Comma 9 3 2 2 2" xfId="24466"/>
    <cellStyle name="Comma 9 3 2 3" xfId="24467"/>
    <cellStyle name="Comma 9 3 3" xfId="24468"/>
    <cellStyle name="Comma 9 3 3 2" xfId="24469"/>
    <cellStyle name="Comma 9 3 4" xfId="24470"/>
    <cellStyle name="Comma 9 3 4 2" xfId="24471"/>
    <cellStyle name="Comma 9 3 5" xfId="24472"/>
    <cellStyle name="Comma 9 4" xfId="24473"/>
    <cellStyle name="Comma 9 4 2" xfId="24474"/>
    <cellStyle name="Comma 9 4 2 2" xfId="24475"/>
    <cellStyle name="Comma 9 4 2 2 2" xfId="24476"/>
    <cellStyle name="Comma 9 4 2 3" xfId="24477"/>
    <cellStyle name="Comma 9 4 3" xfId="24478"/>
    <cellStyle name="Comma 9 4 3 2" xfId="24479"/>
    <cellStyle name="Comma 9 4 4" xfId="24480"/>
    <cellStyle name="Comma 9 4 4 2" xfId="24481"/>
    <cellStyle name="Comma 9 4 5" xfId="24482"/>
    <cellStyle name="Comma 9 5" xfId="24483"/>
    <cellStyle name="Comma 9 5 2" xfId="24484"/>
    <cellStyle name="Comma 9 5 2 2" xfId="24485"/>
    <cellStyle name="Comma 9 5 3" xfId="24486"/>
    <cellStyle name="Comma 9 6" xfId="24487"/>
    <cellStyle name="Comma 9 6 2" xfId="24488"/>
    <cellStyle name="Comma 9 7" xfId="24489"/>
    <cellStyle name="Comma 9 7 2" xfId="24490"/>
    <cellStyle name="Comma 9 8" xfId="24491"/>
    <cellStyle name="Comma0" xfId="24492"/>
    <cellStyle name="Comma0 2" xfId="24493"/>
    <cellStyle name="Comma0 2 2" xfId="24494"/>
    <cellStyle name="CommaşAPAC Productivity base on New AOP by quarter-0406" xfId="24495"/>
    <cellStyle name="CommaşAPAC Productivity base on New AOP by quarter-0406 2" xfId="24496"/>
    <cellStyle name="Content" xfId="24497"/>
    <cellStyle name="Copied" xfId="24498"/>
    <cellStyle name="Currency (0)" xfId="24499"/>
    <cellStyle name="Currency (0) 2" xfId="24500"/>
    <cellStyle name="Currency (0.00)" xfId="24501"/>
    <cellStyle name="Currency (0.00) 2" xfId="24502"/>
    <cellStyle name="Currency (0.00) 2 2" xfId="24503"/>
    <cellStyle name="Currency (0.00) 2 2 2" xfId="24504"/>
    <cellStyle name="Currency (0.00) 2 2 3" xfId="24505"/>
    <cellStyle name="Currency (0.00) 2 3" xfId="24506"/>
    <cellStyle name="Currency (0.00) 2 3 2" xfId="24507"/>
    <cellStyle name="Currency (0.00) 2 3 3" xfId="24508"/>
    <cellStyle name="Currency (0.00) 2 4" xfId="24509"/>
    <cellStyle name="Currency (0.00) 3" xfId="24510"/>
    <cellStyle name="Currency (0.00) 3 2" xfId="24511"/>
    <cellStyle name="Currency (0.00) 3 3" xfId="24512"/>
    <cellStyle name="Currency (0.00) 4" xfId="24513"/>
    <cellStyle name="Currency (0.00) 4 2" xfId="24514"/>
    <cellStyle name="Currency (0.00) 4 3" xfId="24515"/>
    <cellStyle name="Currency (2)" xfId="24516"/>
    <cellStyle name="Currency (2) 2" xfId="24517"/>
    <cellStyle name="Currency [00]" xfId="24518"/>
    <cellStyle name="Currency [00] 2" xfId="24519"/>
    <cellStyle name="Currency 2" xfId="24520"/>
    <cellStyle name="Currency 2 2" xfId="24521"/>
    <cellStyle name="Currency 2 3" xfId="24522"/>
    <cellStyle name="Currency 2 3 2" xfId="24523"/>
    <cellStyle name="Currency 2 3 2 2" xfId="24524"/>
    <cellStyle name="Currency 2 3 2 2 2" xfId="24525"/>
    <cellStyle name="Currency 2 3 2 2 2 2" xfId="24526"/>
    <cellStyle name="Currency 2 3 2 2 3" xfId="24527"/>
    <cellStyle name="Currency 2 3 2 3" xfId="24528"/>
    <cellStyle name="Currency 2 3 2 3 2" xfId="24529"/>
    <cellStyle name="Currency 2 3 2 4" xfId="24530"/>
    <cellStyle name="Currency 2 3 2 4 2" xfId="24531"/>
    <cellStyle name="Currency 2 3 2 5" xfId="24532"/>
    <cellStyle name="Currency 2 3 3" xfId="24533"/>
    <cellStyle name="Currency 2 3 3 2" xfId="24534"/>
    <cellStyle name="Currency 2 3 3 2 2" xfId="24535"/>
    <cellStyle name="Currency 2 3 3 2 2 2" xfId="24536"/>
    <cellStyle name="Currency 2 3 3 2 3" xfId="24537"/>
    <cellStyle name="Currency 2 3 3 3" xfId="24538"/>
    <cellStyle name="Currency 2 3 3 3 2" xfId="24539"/>
    <cellStyle name="Currency 2 3 3 4" xfId="24540"/>
    <cellStyle name="Currency 2 3 3 4 2" xfId="24541"/>
    <cellStyle name="Currency 2 3 3 5" xfId="24542"/>
    <cellStyle name="Currency 2 3 4" xfId="24543"/>
    <cellStyle name="Currency 2 3 4 2" xfId="24544"/>
    <cellStyle name="Currency 2 3 4 2 2" xfId="24545"/>
    <cellStyle name="Currency 2 3 4 3" xfId="24546"/>
    <cellStyle name="Currency 2 3 5" xfId="24547"/>
    <cellStyle name="Currency 2 3 5 2" xfId="24548"/>
    <cellStyle name="Currency 2 3 6" xfId="24549"/>
    <cellStyle name="Currency 2 3 6 2" xfId="24550"/>
    <cellStyle name="Currency 2 3 7" xfId="24551"/>
    <cellStyle name="Currency 2 4" xfId="24552"/>
    <cellStyle name="Currency 2 4 2" xfId="24553"/>
    <cellStyle name="Currency 2 4 2 2" xfId="24554"/>
    <cellStyle name="Currency 2 4 2 2 2" xfId="24555"/>
    <cellStyle name="Currency 2 4 2 3" xfId="24556"/>
    <cellStyle name="Currency 2 4 3" xfId="24557"/>
    <cellStyle name="Currency 2 4 3 2" xfId="24558"/>
    <cellStyle name="Currency 2 4 4" xfId="24559"/>
    <cellStyle name="Currency 2 4 4 2" xfId="24560"/>
    <cellStyle name="Currency 2 4 5" xfId="24561"/>
    <cellStyle name="Currency 2 5" xfId="24562"/>
    <cellStyle name="Currency 2 5 2" xfId="24563"/>
    <cellStyle name="Currency 2 5 2 2" xfId="24564"/>
    <cellStyle name="Currency 2 5 2 2 2" xfId="24565"/>
    <cellStyle name="Currency 2 5 2 3" xfId="24566"/>
    <cellStyle name="Currency 2 5 3" xfId="24567"/>
    <cellStyle name="Currency 2 5 3 2" xfId="24568"/>
    <cellStyle name="Currency 2 5 4" xfId="24569"/>
    <cellStyle name="Currency 2 5 4 2" xfId="24570"/>
    <cellStyle name="Currency 2 5 5" xfId="24571"/>
    <cellStyle name="Currency 2 6" xfId="24572"/>
    <cellStyle name="Currency 3" xfId="24573"/>
    <cellStyle name="Currency 3 2" xfId="24574"/>
    <cellStyle name="Currency 3 2 2" xfId="24575"/>
    <cellStyle name="Currency 3 2 2 2" xfId="24576"/>
    <cellStyle name="Currency 3 2 2 2 2" xfId="24577"/>
    <cellStyle name="Currency 3 2 2 2 2 2" xfId="24578"/>
    <cellStyle name="Currency 3 2 2 2 3" xfId="24579"/>
    <cellStyle name="Currency 3 2 2 3" xfId="24580"/>
    <cellStyle name="Currency 3 2 2 3 2" xfId="24581"/>
    <cellStyle name="Currency 3 2 2 4" xfId="24582"/>
    <cellStyle name="Currency 3 2 2 4 2" xfId="24583"/>
    <cellStyle name="Currency 3 2 2 5" xfId="24584"/>
    <cellStyle name="Currency 3 2 3" xfId="24585"/>
    <cellStyle name="Currency 3 2 3 2" xfId="24586"/>
    <cellStyle name="Currency 3 2 3 2 2" xfId="24587"/>
    <cellStyle name="Currency 3 2 3 2 2 2" xfId="24588"/>
    <cellStyle name="Currency 3 2 3 2 3" xfId="24589"/>
    <cellStyle name="Currency 3 2 3 3" xfId="24590"/>
    <cellStyle name="Currency 3 2 3 3 2" xfId="24591"/>
    <cellStyle name="Currency 3 2 3 4" xfId="24592"/>
    <cellStyle name="Currency 3 2 3 4 2" xfId="24593"/>
    <cellStyle name="Currency 3 2 3 5" xfId="24594"/>
    <cellStyle name="Currency 3 2 4" xfId="24595"/>
    <cellStyle name="Currency 3 2 4 2" xfId="24596"/>
    <cellStyle name="Currency 3 2 4 2 2" xfId="24597"/>
    <cellStyle name="Currency 3 2 4 3" xfId="24598"/>
    <cellStyle name="Currency 3 2 5" xfId="24599"/>
    <cellStyle name="Currency 3 2 5 2" xfId="24600"/>
    <cellStyle name="Currency 3 2 6" xfId="24601"/>
    <cellStyle name="Currency 3 2 6 2" xfId="24602"/>
    <cellStyle name="Currency 3 2 7" xfId="24603"/>
    <cellStyle name="Currency 3 3" xfId="24604"/>
    <cellStyle name="Currency 3 3 2" xfId="24605"/>
    <cellStyle name="Currency 3 3 2 2" xfId="24606"/>
    <cellStyle name="Currency 3 3 2 2 2" xfId="24607"/>
    <cellStyle name="Currency 3 3 2 3" xfId="24608"/>
    <cellStyle name="Currency 3 3 3" xfId="24609"/>
    <cellStyle name="Currency 3 3 3 2" xfId="24610"/>
    <cellStyle name="Currency 3 3 4" xfId="24611"/>
    <cellStyle name="Currency 3 3 4 2" xfId="24612"/>
    <cellStyle name="Currency 3 3 5" xfId="24613"/>
    <cellStyle name="Currency 3 4" xfId="24614"/>
    <cellStyle name="Currency 3 4 2" xfId="24615"/>
    <cellStyle name="Currency 3 4 2 2" xfId="24616"/>
    <cellStyle name="Currency 3 4 2 2 2" xfId="24617"/>
    <cellStyle name="Currency 3 4 2 3" xfId="24618"/>
    <cellStyle name="Currency 3 4 3" xfId="24619"/>
    <cellStyle name="Currency 3 4 3 2" xfId="24620"/>
    <cellStyle name="Currency 3 4 4" xfId="24621"/>
    <cellStyle name="Currency 3 4 4 2" xfId="24622"/>
    <cellStyle name="Currency 3 4 5" xfId="24623"/>
    <cellStyle name="Currency 3 5" xfId="24624"/>
    <cellStyle name="Currency 4" xfId="24625"/>
    <cellStyle name="Currency 4 2" xfId="24626"/>
    <cellStyle name="Currency 4 3" xfId="24627"/>
    <cellStyle name="Currency 4 3 2" xfId="24628"/>
    <cellStyle name="Currency 4 3 2 2" xfId="24629"/>
    <cellStyle name="Currency 4 3 2 2 2" xfId="24630"/>
    <cellStyle name="Currency 4 3 2 2 2 2" xfId="24631"/>
    <cellStyle name="Currency 4 3 2 2 3" xfId="24632"/>
    <cellStyle name="Currency 4 3 2 3" xfId="24633"/>
    <cellStyle name="Currency 4 3 2 3 2" xfId="24634"/>
    <cellStyle name="Currency 4 3 2 4" xfId="24635"/>
    <cellStyle name="Currency 4 3 2 4 2" xfId="24636"/>
    <cellStyle name="Currency 4 3 2 5" xfId="24637"/>
    <cellStyle name="Currency 4 3 3" xfId="24638"/>
    <cellStyle name="Currency 4 3 3 2" xfId="24639"/>
    <cellStyle name="Currency 4 3 3 2 2" xfId="24640"/>
    <cellStyle name="Currency 4 3 3 2 2 2" xfId="24641"/>
    <cellStyle name="Currency 4 3 3 2 3" xfId="24642"/>
    <cellStyle name="Currency 4 3 3 3" xfId="24643"/>
    <cellStyle name="Currency 4 3 3 3 2" xfId="24644"/>
    <cellStyle name="Currency 4 3 3 4" xfId="24645"/>
    <cellStyle name="Currency 4 3 3 4 2" xfId="24646"/>
    <cellStyle name="Currency 4 3 3 5" xfId="24647"/>
    <cellStyle name="Currency 4 3 4" xfId="24648"/>
    <cellStyle name="Currency 4 3 4 2" xfId="24649"/>
    <cellStyle name="Currency 4 3 4 2 2" xfId="24650"/>
    <cellStyle name="Currency 4 3 4 3" xfId="24651"/>
    <cellStyle name="Currency 4 3 5" xfId="24652"/>
    <cellStyle name="Currency 4 3 5 2" xfId="24653"/>
    <cellStyle name="Currency 4 3 6" xfId="24654"/>
    <cellStyle name="Currency 4 3 6 2" xfId="24655"/>
    <cellStyle name="Currency 4 3 7" xfId="24656"/>
    <cellStyle name="Currency 4 4" xfId="24657"/>
    <cellStyle name="Currency 4 4 2" xfId="24658"/>
    <cellStyle name="Currency 4 4 2 2" xfId="24659"/>
    <cellStyle name="Currency 4 4 2 2 2" xfId="24660"/>
    <cellStyle name="Currency 4 4 2 3" xfId="24661"/>
    <cellStyle name="Currency 4 4 3" xfId="24662"/>
    <cellStyle name="Currency 4 4 3 2" xfId="24663"/>
    <cellStyle name="Currency 4 4 4" xfId="24664"/>
    <cellStyle name="Currency 4 4 4 2" xfId="24665"/>
    <cellStyle name="Currency 4 4 5" xfId="24666"/>
    <cellStyle name="Currency 4 5" xfId="24667"/>
    <cellStyle name="Currency 4 5 2" xfId="24668"/>
    <cellStyle name="Currency 4 5 2 2" xfId="24669"/>
    <cellStyle name="Currency 4 5 2 2 2" xfId="24670"/>
    <cellStyle name="Currency 4 5 2 3" xfId="24671"/>
    <cellStyle name="Currency 4 5 3" xfId="24672"/>
    <cellStyle name="Currency 4 5 3 2" xfId="24673"/>
    <cellStyle name="Currency 4 5 4" xfId="24674"/>
    <cellStyle name="Currency 4 5 4 2" xfId="24675"/>
    <cellStyle name="Currency 4 5 5" xfId="24676"/>
    <cellStyle name="Currency 4 6" xfId="24677"/>
    <cellStyle name="Currency 5" xfId="24678"/>
    <cellStyle name="Currency 5 2" xfId="24679"/>
    <cellStyle name="Currency 5 2 2" xfId="24680"/>
    <cellStyle name="Currency 5 2 2 2" xfId="24681"/>
    <cellStyle name="Currency 5 2 2 2 2" xfId="24682"/>
    <cellStyle name="Currency 5 2 2 2 2 2" xfId="24683"/>
    <cellStyle name="Currency 5 2 2 2 3" xfId="24684"/>
    <cellStyle name="Currency 5 2 2 3" xfId="24685"/>
    <cellStyle name="Currency 5 2 2 3 2" xfId="24686"/>
    <cellStyle name="Currency 5 2 2 4" xfId="24687"/>
    <cellStyle name="Currency 5 2 2 4 2" xfId="24688"/>
    <cellStyle name="Currency 5 2 2 5" xfId="24689"/>
    <cellStyle name="Currency 5 2 3" xfId="24690"/>
    <cellStyle name="Currency 5 2 3 2" xfId="24691"/>
    <cellStyle name="Currency 5 2 3 2 2" xfId="24692"/>
    <cellStyle name="Currency 5 2 3 2 2 2" xfId="24693"/>
    <cellStyle name="Currency 5 2 3 2 3" xfId="24694"/>
    <cellStyle name="Currency 5 2 3 3" xfId="24695"/>
    <cellStyle name="Currency 5 2 3 3 2" xfId="24696"/>
    <cellStyle name="Currency 5 2 3 4" xfId="24697"/>
    <cellStyle name="Currency 5 2 3 4 2" xfId="24698"/>
    <cellStyle name="Currency 5 2 3 5" xfId="24699"/>
    <cellStyle name="Currency 5 2 4" xfId="24700"/>
    <cellStyle name="Currency 5 2 4 2" xfId="24701"/>
    <cellStyle name="Currency 5 2 4 2 2" xfId="24702"/>
    <cellStyle name="Currency 5 2 4 3" xfId="24703"/>
    <cellStyle name="Currency 5 2 5" xfId="24704"/>
    <cellStyle name="Currency 5 2 5 2" xfId="24705"/>
    <cellStyle name="Currency 5 2 6" xfId="24706"/>
    <cellStyle name="Currency 5 2 6 2" xfId="24707"/>
    <cellStyle name="Currency 5 2 7" xfId="24708"/>
    <cellStyle name="Currency 5 3" xfId="24709"/>
    <cellStyle name="Currency 5 3 2" xfId="24710"/>
    <cellStyle name="Currency 5 3 2 2" xfId="24711"/>
    <cellStyle name="Currency 5 3 2 2 2" xfId="24712"/>
    <cellStyle name="Currency 5 3 2 3" xfId="24713"/>
    <cellStyle name="Currency 5 3 3" xfId="24714"/>
    <cellStyle name="Currency 5 3 3 2" xfId="24715"/>
    <cellStyle name="Currency 5 3 4" xfId="24716"/>
    <cellStyle name="Currency 5 3 4 2" xfId="24717"/>
    <cellStyle name="Currency 5 3 5" xfId="24718"/>
    <cellStyle name="Currency 5 4" xfId="24719"/>
    <cellStyle name="Currency 5 4 2" xfId="24720"/>
    <cellStyle name="Currency 5 4 2 2" xfId="24721"/>
    <cellStyle name="Currency 5 4 2 2 2" xfId="24722"/>
    <cellStyle name="Currency 5 4 2 3" xfId="24723"/>
    <cellStyle name="Currency 5 4 3" xfId="24724"/>
    <cellStyle name="Currency 5 4 3 2" xfId="24725"/>
    <cellStyle name="Currency 5 4 4" xfId="24726"/>
    <cellStyle name="Currency 5 4 4 2" xfId="24727"/>
    <cellStyle name="Currency 5 4 5" xfId="24728"/>
    <cellStyle name="Currency 5 5" xfId="24729"/>
    <cellStyle name="Currency 5 5 2" xfId="24730"/>
    <cellStyle name="Currency 5 5 2 2" xfId="24731"/>
    <cellStyle name="Currency 5 5 2 2 2" xfId="24732"/>
    <cellStyle name="Currency 5 5 2 3" xfId="24733"/>
    <cellStyle name="Currency 5 5 3" xfId="24734"/>
    <cellStyle name="Currency 5 5 3 2" xfId="24735"/>
    <cellStyle name="Currency 5 5 4" xfId="24736"/>
    <cellStyle name="Currency 5 5 4 2" xfId="24737"/>
    <cellStyle name="Currency 5 5 5" xfId="24738"/>
    <cellStyle name="Currency 5 6" xfId="24739"/>
    <cellStyle name="Currency 5 6 2" xfId="24740"/>
    <cellStyle name="Currency 5 6 2 2" xfId="24741"/>
    <cellStyle name="Currency 5 6 3" xfId="24742"/>
    <cellStyle name="Currency 5 7" xfId="24743"/>
    <cellStyle name="Currency 5 7 2" xfId="24744"/>
    <cellStyle name="Currency 5 8" xfId="24745"/>
    <cellStyle name="Currency 5 8 2" xfId="24746"/>
    <cellStyle name="Currency 5 9" xfId="24747"/>
    <cellStyle name="Currency 6" xfId="24748"/>
    <cellStyle name="Currency 6 2" xfId="24749"/>
    <cellStyle name="Currency 6 2 2" xfId="24750"/>
    <cellStyle name="Currency 6 2 2 2" xfId="24751"/>
    <cellStyle name="Currency 6 2 3" xfId="24752"/>
    <cellStyle name="Currency 6 3" xfId="24753"/>
    <cellStyle name="Currency 6 3 2" xfId="24754"/>
    <cellStyle name="Currency 6 4" xfId="24755"/>
    <cellStyle name="Currency 6 4 2" xfId="24756"/>
    <cellStyle name="Currency 6 5" xfId="24757"/>
    <cellStyle name="Currency 7" xfId="24758"/>
    <cellStyle name="Currency 7 2" xfId="24759"/>
    <cellStyle name="Currency 7 2 2" xfId="24760"/>
    <cellStyle name="Currency 7 2 2 2" xfId="24761"/>
    <cellStyle name="Currency 7 2 3" xfId="24762"/>
    <cellStyle name="Currency 7 3" xfId="24763"/>
    <cellStyle name="Currency 7 3 2" xfId="24764"/>
    <cellStyle name="Currency 7 4" xfId="24765"/>
    <cellStyle name="Currency 7 4 2" xfId="24766"/>
    <cellStyle name="Currency 7 5" xfId="24767"/>
    <cellStyle name="Currency0" xfId="24768"/>
    <cellStyle name="Currency0 2" xfId="24769"/>
    <cellStyle name="Currency0_BS retrieve" xfId="24770"/>
    <cellStyle name="Dan" xfId="24771"/>
    <cellStyle name="Dark Title" xfId="24772"/>
    <cellStyle name="Data" xfId="24773"/>
    <cellStyle name="Data 2" xfId="24774"/>
    <cellStyle name="Data 2 2" xfId="24775"/>
    <cellStyle name="Data 2 2 2" xfId="24776"/>
    <cellStyle name="Data 2 2 3" xfId="24777"/>
    <cellStyle name="Data 2 3" xfId="24778"/>
    <cellStyle name="Data 2 3 2" xfId="24779"/>
    <cellStyle name="Data 2 3 3" xfId="24780"/>
    <cellStyle name="Data 2 4" xfId="24781"/>
    <cellStyle name="Data 2 5" xfId="24782"/>
    <cellStyle name="Data 3" xfId="24783"/>
    <cellStyle name="Date" xfId="24784"/>
    <cellStyle name="Date 2" xfId="24785"/>
    <cellStyle name="Date Short" xfId="24786"/>
    <cellStyle name="Date_BS retrieve" xfId="24787"/>
    <cellStyle name="Date-Time" xfId="24788"/>
    <cellStyle name="Decimal 1" xfId="24789"/>
    <cellStyle name="Decimal 2" xfId="24790"/>
    <cellStyle name="Decimal 3" xfId="24791"/>
    <cellStyle name="DELTA" xfId="24792"/>
    <cellStyle name="DELTA 2" xfId="24793"/>
    <cellStyle name="Dezimal [0]_1994 - 1998" xfId="24794"/>
    <cellStyle name="Dezimal_1994 - 1998" xfId="24795"/>
    <cellStyle name="diskette" xfId="24796"/>
    <cellStyle name="Dziesiętny [0]_D" xfId="24797"/>
    <cellStyle name="Dziesietny [0]_Zeszyt1" xfId="24798"/>
    <cellStyle name="Dziesiętny [0]_Zeszyt1" xfId="24799"/>
    <cellStyle name="Dziesietny [0]_Zeszyt1 2" xfId="24800"/>
    <cellStyle name="Dziesiętny [0]_Zeszyt1 2" xfId="24801"/>
    <cellStyle name="Dziesietny [0]_Zeszyt1 3" xfId="24802"/>
    <cellStyle name="Dziesiętny [0]_Zeszyt1 3" xfId="24803"/>
    <cellStyle name="Dziesietny [0]_Zeszyt1 4" xfId="24804"/>
    <cellStyle name="Dziesiętny [0]_Zeszyt1 4" xfId="24805"/>
    <cellStyle name="Dziesietny [0]_Zeszyt1 5" xfId="24806"/>
    <cellStyle name="Dziesiętny [0]_Zeszyt1 5" xfId="24807"/>
    <cellStyle name="Dziesietny [0]_Zeszyt1_Book2" xfId="24808"/>
    <cellStyle name="Dziesiętny [0]_Zeszyt1_Book2" xfId="24809"/>
    <cellStyle name="Dziesietny [0]_Zeszyt1_Book2 2" xfId="24810"/>
    <cellStyle name="Dziesiętny [0]_Zeszyt1_Book2 2" xfId="24811"/>
    <cellStyle name="Dziesietny [0]_Zeszyt1_Book2 3" xfId="24812"/>
    <cellStyle name="Dziesiętny [0]_Zeszyt1_Book2 3" xfId="24813"/>
    <cellStyle name="Dziesietny [0]_Zeszyt1_Book2 4" xfId="24814"/>
    <cellStyle name="Dziesiętny [0]_Zeszyt1_Book2 4" xfId="24815"/>
    <cellStyle name="Dziesietny [0]_Zeszyt1_Book2 5" xfId="24816"/>
    <cellStyle name="Dziesiętny [0]_Zeszyt1_Book2 5" xfId="24817"/>
    <cellStyle name="Dziesietny [0]_Zeszyt1_Book2_1" xfId="24818"/>
    <cellStyle name="Dziesiętny [0]_Zeszyt1_Book2_1" xfId="24819"/>
    <cellStyle name="Dziesietny [0]_Zeszyt1_Camb calc2002_4_Rev 1508" xfId="24820"/>
    <cellStyle name="Dziesiętny [0]_Zeszyt1_Camb calc2002_4_Rev 1508" xfId="24821"/>
    <cellStyle name="Dziesietny [0]_Zeszyt1_Camb calc2002_4_Rev 1508 2" xfId="24822"/>
    <cellStyle name="Dziesiętny [0]_Zeszyt1_Camb calc2002_4_Rev 1508 2" xfId="24823"/>
    <cellStyle name="Dziesietny [0]_Zeszyt1_Camb calc2002_4_Rev 1508 3" xfId="24824"/>
    <cellStyle name="Dziesiętny [0]_Zeszyt1_Camb calc2002_4_Rev 1508 3" xfId="24825"/>
    <cellStyle name="Dziesietny [0]_Zeszyt1_Camb calc2002_4_Rev 1508 4" xfId="24826"/>
    <cellStyle name="Dziesiętny [0]_Zeszyt1_Camb calc2002_4_Rev 1508 4" xfId="24827"/>
    <cellStyle name="Dziesietny [0]_Zeszyt1_Camb calc2002_4_Rev 1508 5" xfId="24828"/>
    <cellStyle name="Dziesiętny [0]_Zeszyt1_Camb calc2002_4_Rev 1508 5" xfId="24829"/>
    <cellStyle name="Dziesiętny_D" xfId="24830"/>
    <cellStyle name="Dziesietny_Zeszyt1" xfId="24831"/>
    <cellStyle name="Dziesiętny_Zeszyt1" xfId="24832"/>
    <cellStyle name="Dziesietny_Zeszyt1 2" xfId="24833"/>
    <cellStyle name="Dziesiętny_Zeszyt1 2" xfId="24834"/>
    <cellStyle name="Dziesietny_Zeszyt1 3" xfId="24835"/>
    <cellStyle name="Dziesiętny_Zeszyt1 3" xfId="24836"/>
    <cellStyle name="Dziesietny_Zeszyt1 4" xfId="24837"/>
    <cellStyle name="Dziesiętny_Zeszyt1 4" xfId="24838"/>
    <cellStyle name="Dziesietny_Zeszyt1 5" xfId="24839"/>
    <cellStyle name="Dziesiętny_Zeszyt1 5" xfId="24840"/>
    <cellStyle name="Dziesietny_Zeszyt1_Book2" xfId="24841"/>
    <cellStyle name="Dziesiętny_Zeszyt1_Book2" xfId="24842"/>
    <cellStyle name="Dziesietny_Zeszyt1_Book2 2" xfId="24843"/>
    <cellStyle name="Dziesiętny_Zeszyt1_Book2 2" xfId="24844"/>
    <cellStyle name="Dziesietny_Zeszyt1_Book2 3" xfId="24845"/>
    <cellStyle name="Dziesiętny_Zeszyt1_Book2 3" xfId="24846"/>
    <cellStyle name="Dziesietny_Zeszyt1_Book2 4" xfId="24847"/>
    <cellStyle name="Dziesiętny_Zeszyt1_Book2 4" xfId="24848"/>
    <cellStyle name="Dziesietny_Zeszyt1_Book2 5" xfId="24849"/>
    <cellStyle name="Dziesiętny_Zeszyt1_Book2 5" xfId="24850"/>
    <cellStyle name="Dziesietny_Zeszyt1_Book2_1" xfId="24851"/>
    <cellStyle name="Dziesiętny_Zeszyt1_Book2_1" xfId="24852"/>
    <cellStyle name="Dziesietny_Zeszyt1_Camb calc2002_4_Rev 1508" xfId="24853"/>
    <cellStyle name="Dziesiętny_Zeszyt1_Camb calc2002_4_Rev 1508" xfId="24854"/>
    <cellStyle name="Dziesietny_Zeszyt1_Camb calc2002_4_Rev 1508 2" xfId="24855"/>
    <cellStyle name="Dziesiętny_Zeszyt1_Camb calc2002_4_Rev 1508 2" xfId="24856"/>
    <cellStyle name="Dziesietny_Zeszyt1_Camb calc2002_4_Rev 1508 3" xfId="24857"/>
    <cellStyle name="Dziesiętny_Zeszyt1_Camb calc2002_4_Rev 1508 3" xfId="24858"/>
    <cellStyle name="Dziesietny_Zeszyt1_Camb calc2002_4_Rev 1508 4" xfId="24859"/>
    <cellStyle name="Dziesiętny_Zeszyt1_Camb calc2002_4_Rev 1508 4" xfId="24860"/>
    <cellStyle name="Dziesietny_Zeszyt1_Camb calc2002_4_Rev 1508 5" xfId="24861"/>
    <cellStyle name="Dziesiętny_Zeszyt1_Camb calc2002_4_Rev 1508 5" xfId="24862"/>
    <cellStyle name="Enter Currency (0)" xfId="24863"/>
    <cellStyle name="Enter Currency (0) 2" xfId="24864"/>
    <cellStyle name="Enter Currency (2)" xfId="24865"/>
    <cellStyle name="Enter Currency (2) 2" xfId="24866"/>
    <cellStyle name="Enter Units (0)" xfId="24867"/>
    <cellStyle name="Enter Units (0) 2" xfId="24868"/>
    <cellStyle name="Enter Units (1)" xfId="24869"/>
    <cellStyle name="Enter Units (1) 2" xfId="24870"/>
    <cellStyle name="Enter Units (2)" xfId="24871"/>
    <cellStyle name="Enter Units (2) 2" xfId="24872"/>
    <cellStyle name="Entered" xfId="24873"/>
    <cellStyle name="entry" xfId="24874"/>
    <cellStyle name="Euro" xfId="24875"/>
    <cellStyle name="Euro 2" xfId="24876"/>
    <cellStyle name="Euro 3" xfId="24877"/>
    <cellStyle name="Euro_BS retrieve" xfId="24878"/>
    <cellStyle name="Excel Built-in Normal" xfId="24879"/>
    <cellStyle name="Explanatory Text 2" xfId="24880"/>
    <cellStyle name="Explanatory Text 2 2" xfId="24881"/>
    <cellStyle name="Explanatory Text 2 3" xfId="24882"/>
    <cellStyle name="Explanatory Text 3" xfId="24883"/>
    <cellStyle name="EYBlocked" xfId="24884"/>
    <cellStyle name="EYCallUp" xfId="24885"/>
    <cellStyle name="EYCheck" xfId="24886"/>
    <cellStyle name="EYDate" xfId="24887"/>
    <cellStyle name="EYDeviant" xfId="24888"/>
    <cellStyle name="EYHeader1" xfId="24889"/>
    <cellStyle name="EYHeader1 2" xfId="24890"/>
    <cellStyle name="EYHeader1 2 2" xfId="24891"/>
    <cellStyle name="EYHeader1 2 2 2" xfId="24892"/>
    <cellStyle name="EYHeader1 2 2 3" xfId="24893"/>
    <cellStyle name="EYHeader1 2 3" xfId="24894"/>
    <cellStyle name="EYHeader1 2 3 2" xfId="24895"/>
    <cellStyle name="EYHeader1 2 3 3" xfId="24896"/>
    <cellStyle name="EYHeader1 2 4" xfId="24897"/>
    <cellStyle name="EYHeader1 2 5" xfId="24898"/>
    <cellStyle name="EYHeader1 3" xfId="24899"/>
    <cellStyle name="EYHeader1 3 2" xfId="24900"/>
    <cellStyle name="EYHeader1 3 3" xfId="24901"/>
    <cellStyle name="EYHeader1 4" xfId="24902"/>
    <cellStyle name="EYHeader2" xfId="24903"/>
    <cellStyle name="EYHeader3" xfId="24904"/>
    <cellStyle name="EYInputDate" xfId="24905"/>
    <cellStyle name="EYInputPercent" xfId="24906"/>
    <cellStyle name="EYInputValue" xfId="24907"/>
    <cellStyle name="EYNormal" xfId="24908"/>
    <cellStyle name="EYPercent" xfId="24909"/>
    <cellStyle name="EYPercentCapped" xfId="24910"/>
    <cellStyle name="EYSubTotal" xfId="24911"/>
    <cellStyle name="EYSubTotal 2" xfId="24912"/>
    <cellStyle name="EYSubTotal 2 2" xfId="24913"/>
    <cellStyle name="EYSubTotal 2 2 2" xfId="24914"/>
    <cellStyle name="EYSubTotal 2 2 3" xfId="24915"/>
    <cellStyle name="EYSubTotal 2 3" xfId="24916"/>
    <cellStyle name="EYSubTotal 2 3 2" xfId="24917"/>
    <cellStyle name="EYSubTotal 2 3 3" xfId="24918"/>
    <cellStyle name="EYSubTotal 2 4" xfId="24919"/>
    <cellStyle name="EYSubTotal 2 5" xfId="24920"/>
    <cellStyle name="EYSubTotal 3" xfId="24921"/>
    <cellStyle name="EYSubTotal 3 2" xfId="24922"/>
    <cellStyle name="EYSubTotal 3 3" xfId="24923"/>
    <cellStyle name="EYSubTotal 4" xfId="24924"/>
    <cellStyle name="EYTotal" xfId="24925"/>
    <cellStyle name="EYWIP" xfId="24926"/>
    <cellStyle name="Ezres [0]_Ausdruck" xfId="24927"/>
    <cellStyle name="Ezres_Ausdruck" xfId="24928"/>
    <cellStyle name="Fixed" xfId="24929"/>
    <cellStyle name="Fixed 2" xfId="24930"/>
    <cellStyle name="Fixed 2 2" xfId="24931"/>
    <cellStyle name="Fixed_BS retrieve" xfId="24932"/>
    <cellStyle name="Flag" xfId="24933"/>
    <cellStyle name="Flag 2" xfId="24934"/>
    <cellStyle name="Forecast" xfId="24935"/>
    <cellStyle name="General" xfId="24936"/>
    <cellStyle name="Good 2" xfId="24937"/>
    <cellStyle name="Good 2 2" xfId="24938"/>
    <cellStyle name="Good 2 3" xfId="24939"/>
    <cellStyle name="Good 3" xfId="24940"/>
    <cellStyle name="Grey" xfId="24941"/>
    <cellStyle name="Grey 2" xfId="24942"/>
    <cellStyle name="hard no." xfId="24943"/>
    <cellStyle name="hard no. 2" xfId="24944"/>
    <cellStyle name="hard no. 2 2" xfId="24945"/>
    <cellStyle name="hard no. 2 2 2" xfId="24946"/>
    <cellStyle name="hard no. 2 2 3" xfId="24947"/>
    <cellStyle name="hard no. 2 3" xfId="24948"/>
    <cellStyle name="hard no. 2 3 2" xfId="24949"/>
    <cellStyle name="hard no. 2 3 3" xfId="24950"/>
    <cellStyle name="hard no. 2 4" xfId="24951"/>
    <cellStyle name="hard no. 3" xfId="24952"/>
    <cellStyle name="hard no. 3 2" xfId="24953"/>
    <cellStyle name="hard no. 3 3" xfId="24954"/>
    <cellStyle name="hard no. 4" xfId="24955"/>
    <cellStyle name="hard no. 4 2" xfId="24956"/>
    <cellStyle name="hard no. 4 3" xfId="24957"/>
    <cellStyle name="Head" xfId="24958"/>
    <cellStyle name="Header1" xfId="24959"/>
    <cellStyle name="Header1 2" xfId="24960"/>
    <cellStyle name="Header2" xfId="24961"/>
    <cellStyle name="Header2 2" xfId="24962"/>
    <cellStyle name="Header2 2 2" xfId="24963"/>
    <cellStyle name="Header2 2 2 2" xfId="24964"/>
    <cellStyle name="Header2 2 2 2 2" xfId="24965"/>
    <cellStyle name="Header2 2 2 2 3" xfId="24966"/>
    <cellStyle name="Header2 2 2 3" xfId="24967"/>
    <cellStyle name="Header2 2 2 3 2" xfId="24968"/>
    <cellStyle name="Header2 2 2 3 3" xfId="24969"/>
    <cellStyle name="Header2 2 2 4" xfId="24970"/>
    <cellStyle name="Header2 2 2 5" xfId="24971"/>
    <cellStyle name="Header2 2 3" xfId="24972"/>
    <cellStyle name="Header2 2 3 2" xfId="24973"/>
    <cellStyle name="Header2 2 3 3" xfId="24974"/>
    <cellStyle name="Header2 2 4" xfId="24975"/>
    <cellStyle name="Header2 3" xfId="24976"/>
    <cellStyle name="Header2 3 2" xfId="24977"/>
    <cellStyle name="Header2 3 2 2" xfId="24978"/>
    <cellStyle name="Header2 3 2 3" xfId="24979"/>
    <cellStyle name="Header2 3 3" xfId="24980"/>
    <cellStyle name="Header2 3 3 2" xfId="24981"/>
    <cellStyle name="Header2 3 3 3" xfId="24982"/>
    <cellStyle name="Header2 3 4" xfId="24983"/>
    <cellStyle name="Header2 3 5" xfId="24984"/>
    <cellStyle name="Header2 4" xfId="24985"/>
    <cellStyle name="Header2 4 2" xfId="24986"/>
    <cellStyle name="Header2 4 3" xfId="24987"/>
    <cellStyle name="Header2 5" xfId="24988"/>
    <cellStyle name="Header2_BS retrieve" xfId="24989"/>
    <cellStyle name="Heading" xfId="24990"/>
    <cellStyle name="Heading 1 2" xfId="24991"/>
    <cellStyle name="Heading 1 2 2" xfId="24992"/>
    <cellStyle name="Heading 1 2 3" xfId="24993"/>
    <cellStyle name="Heading 1 3" xfId="24994"/>
    <cellStyle name="Heading 2 2" xfId="24995"/>
    <cellStyle name="Heading 2 2 2" xfId="24996"/>
    <cellStyle name="Heading 2 2 3" xfId="24997"/>
    <cellStyle name="Heading 2 3" xfId="24998"/>
    <cellStyle name="Heading 3 2" xfId="24999"/>
    <cellStyle name="Heading 3 2 2" xfId="25000"/>
    <cellStyle name="Heading 3 2 3" xfId="25001"/>
    <cellStyle name="Heading 3 3" xfId="25002"/>
    <cellStyle name="Heading 4 2" xfId="25003"/>
    <cellStyle name="Heading 4 2 2" xfId="25004"/>
    <cellStyle name="Heading 4 2 3" xfId="25005"/>
    <cellStyle name="Heading 4 3" xfId="25006"/>
    <cellStyle name="Heading1" xfId="25007"/>
    <cellStyle name="Heading2" xfId="25008"/>
    <cellStyle name="Heading3" xfId="25009"/>
    <cellStyle name="Heading4" xfId="25010"/>
    <cellStyle name="Heading5" xfId="25011"/>
    <cellStyle name="Heading6" xfId="25012"/>
    <cellStyle name="Horizontal" xfId="25013"/>
    <cellStyle name="Horizontal 2" xfId="25014"/>
    <cellStyle name="Hyperlink 2" xfId="25015"/>
    <cellStyle name="Hyperlink 2 2" xfId="25016"/>
    <cellStyle name="Hyperlink 2 3" xfId="25017"/>
    <cellStyle name="Hyperlink 2 4" xfId="25018"/>
    <cellStyle name="Hyperlink 3" xfId="25019"/>
    <cellStyle name="Hyperlink 3 2" xfId="25020"/>
    <cellStyle name="Hyperlink 4" xfId="25021"/>
    <cellStyle name="Hyperlink 4 2" xfId="25022"/>
    <cellStyle name="Hyperlink 5" xfId="25023"/>
    <cellStyle name="Îáû÷íûé_UPL-pers" xfId="25024"/>
    <cellStyle name="Indent" xfId="25025"/>
    <cellStyle name="Input %" xfId="25026"/>
    <cellStyle name="Input [yellow]" xfId="25027"/>
    <cellStyle name="Input [yellow] 2" xfId="25028"/>
    <cellStyle name="Input [yellow] 2 2" xfId="25029"/>
    <cellStyle name="Input [yellow] 2 2 2" xfId="25030"/>
    <cellStyle name="Input [yellow] 2 2 2 2" xfId="25031"/>
    <cellStyle name="Input [yellow] 2 2 2 3" xfId="25032"/>
    <cellStyle name="Input [yellow] 2 2 3" xfId="25033"/>
    <cellStyle name="Input [yellow] 2 2 3 2" xfId="25034"/>
    <cellStyle name="Input [yellow] 2 2 3 3" xfId="25035"/>
    <cellStyle name="Input [yellow] 2 2 4" xfId="25036"/>
    <cellStyle name="Input [yellow] 2 3" xfId="25037"/>
    <cellStyle name="Input [yellow] 2 3 2" xfId="25038"/>
    <cellStyle name="Input [yellow] 2 3 3" xfId="25039"/>
    <cellStyle name="Input [yellow] 2 4" xfId="25040"/>
    <cellStyle name="Input [yellow] 2 4 2" xfId="25041"/>
    <cellStyle name="Input [yellow] 2 4 3" xfId="25042"/>
    <cellStyle name="Input [yellow] 3" xfId="25043"/>
    <cellStyle name="Input [yellow] 3 2" xfId="25044"/>
    <cellStyle name="Input [yellow] 3 2 2" xfId="25045"/>
    <cellStyle name="Input [yellow] 3 2 3" xfId="25046"/>
    <cellStyle name="Input [yellow] 3 3" xfId="25047"/>
    <cellStyle name="Input [yellow] 3 3 2" xfId="25048"/>
    <cellStyle name="Input [yellow] 3 3 3" xfId="25049"/>
    <cellStyle name="Input [yellow] 3 4" xfId="25050"/>
    <cellStyle name="Input [yellow] 4" xfId="25051"/>
    <cellStyle name="Input [yellow] 4 2" xfId="25052"/>
    <cellStyle name="Input [yellow] 4 3" xfId="25053"/>
    <cellStyle name="Input [yellow] 5" xfId="25054"/>
    <cellStyle name="Input [yellow] 5 2" xfId="25055"/>
    <cellStyle name="Input [yellow] 5 3" xfId="25056"/>
    <cellStyle name="Input 1" xfId="25057"/>
    <cellStyle name="Input 2" xfId="25058"/>
    <cellStyle name="Input 2 2" xfId="25059"/>
    <cellStyle name="Input 2 3" xfId="25060"/>
    <cellStyle name="Input 2 3 2" xfId="25061"/>
    <cellStyle name="Input 2 3 2 2" xfId="25062"/>
    <cellStyle name="Input 2 3 2 3" xfId="25063"/>
    <cellStyle name="Input 2 3 3" xfId="25064"/>
    <cellStyle name="Input 2 3 3 2" xfId="25065"/>
    <cellStyle name="Input 2 3 3 3" xfId="25066"/>
    <cellStyle name="Input 2 3 4" xfId="25067"/>
    <cellStyle name="Input 2 3 5" xfId="25068"/>
    <cellStyle name="Input 2 4" xfId="25069"/>
    <cellStyle name="Input 2 4 2" xfId="25070"/>
    <cellStyle name="Input 2 4 3" xfId="25071"/>
    <cellStyle name="Input 2 5" xfId="25072"/>
    <cellStyle name="Input 2 6" xfId="25073"/>
    <cellStyle name="Input 3" xfId="25074"/>
    <cellStyle name="Input 3 2" xfId="25075"/>
    <cellStyle name="Input 3 2 2" xfId="25076"/>
    <cellStyle name="Input 3 2 2 2" xfId="25077"/>
    <cellStyle name="Input 3 2 2 3" xfId="25078"/>
    <cellStyle name="Input 3 2 3" xfId="25079"/>
    <cellStyle name="Input 3 2 3 2" xfId="25080"/>
    <cellStyle name="Input 3 2 3 3" xfId="25081"/>
    <cellStyle name="Input 3 2 4" xfId="25082"/>
    <cellStyle name="Input 3 2 5" xfId="25083"/>
    <cellStyle name="Input 3 3" xfId="25084"/>
    <cellStyle name="Input 3 3 2" xfId="25085"/>
    <cellStyle name="Input 3 3 3" xfId="25086"/>
    <cellStyle name="Input 3 4" xfId="25087"/>
    <cellStyle name="Input 3 5" xfId="25088"/>
    <cellStyle name="Input 4" xfId="25089"/>
    <cellStyle name="Input 4 2" xfId="25090"/>
    <cellStyle name="Input 4 2 2" xfId="25091"/>
    <cellStyle name="Input 4 2 2 2" xfId="25092"/>
    <cellStyle name="Input 4 2 2 3" xfId="25093"/>
    <cellStyle name="Input 4 2 3" xfId="25094"/>
    <cellStyle name="Input 4 2 3 2" xfId="25095"/>
    <cellStyle name="Input 4 2 3 3" xfId="25096"/>
    <cellStyle name="Input 4 2 4" xfId="25097"/>
    <cellStyle name="Input 4 2 5" xfId="25098"/>
    <cellStyle name="Input 4 3" xfId="25099"/>
    <cellStyle name="Input 4 3 2" xfId="25100"/>
    <cellStyle name="Input 4 3 3" xfId="25101"/>
    <cellStyle name="Input 4 4" xfId="25102"/>
    <cellStyle name="Input 5" xfId="25103"/>
    <cellStyle name="Input 5 2" xfId="25104"/>
    <cellStyle name="Input 5 2 2" xfId="25105"/>
    <cellStyle name="Input 5 2 2 2" xfId="25106"/>
    <cellStyle name="Input 5 2 2 3" xfId="25107"/>
    <cellStyle name="Input 5 2 3" xfId="25108"/>
    <cellStyle name="Input 5 2 3 2" xfId="25109"/>
    <cellStyle name="Input 5 2 3 3" xfId="25110"/>
    <cellStyle name="Input 5 2 4" xfId="25111"/>
    <cellStyle name="Input 5 2 5" xfId="25112"/>
    <cellStyle name="Input 5 3" xfId="25113"/>
    <cellStyle name="Input 5 3 2" xfId="25114"/>
    <cellStyle name="Input 5 3 3" xfId="25115"/>
    <cellStyle name="Input 5 4" xfId="25116"/>
    <cellStyle name="Input 6" xfId="25117"/>
    <cellStyle name="Input 6 2" xfId="25118"/>
    <cellStyle name="Input 6 2 2" xfId="25119"/>
    <cellStyle name="Input 6 2 2 2" xfId="25120"/>
    <cellStyle name="Input 6 2 2 3" xfId="25121"/>
    <cellStyle name="Input 6 2 3" xfId="25122"/>
    <cellStyle name="Input 6 2 3 2" xfId="25123"/>
    <cellStyle name="Input 6 2 3 3" xfId="25124"/>
    <cellStyle name="Input 6 2 4" xfId="25125"/>
    <cellStyle name="Input 6 2 5" xfId="25126"/>
    <cellStyle name="Input 6 3" xfId="25127"/>
    <cellStyle name="Input 6 3 2" xfId="25128"/>
    <cellStyle name="Input 6 3 3" xfId="25129"/>
    <cellStyle name="Input 6 4" xfId="25130"/>
    <cellStyle name="Input 7" xfId="25131"/>
    <cellStyle name="Komma 2" xfId="25132"/>
    <cellStyle name="Komma 2 2" xfId="25133"/>
    <cellStyle name="Komma 2 2 2" xfId="25134"/>
    <cellStyle name="Komma_DPI Performance (Unit's Level) Level 1 final version" xfId="25135"/>
    <cellStyle name="KPMG Heading 1" xfId="25136"/>
    <cellStyle name="KPMG Heading 2" xfId="25137"/>
    <cellStyle name="KPMG Heading 3" xfId="25138"/>
    <cellStyle name="KPMG Heading 4" xfId="25139"/>
    <cellStyle name="KPMG Normal" xfId="25140"/>
    <cellStyle name="KPMG Normal Text" xfId="25141"/>
    <cellStyle name="KPMG Normal_Book1" xfId="25142"/>
    <cellStyle name="Lien hypertexte" xfId="25143"/>
    <cellStyle name="Link Currency (0)" xfId="25144"/>
    <cellStyle name="Link Currency (0) 2" xfId="25145"/>
    <cellStyle name="Link Currency (2)" xfId="25146"/>
    <cellStyle name="Link Currency (2) 2" xfId="25147"/>
    <cellStyle name="Link Units (0)" xfId="25148"/>
    <cellStyle name="Link Units (0) 2" xfId="25149"/>
    <cellStyle name="Link Units (1)" xfId="25150"/>
    <cellStyle name="Link Units (1) 2" xfId="25151"/>
    <cellStyle name="Link Units (2)" xfId="25152"/>
    <cellStyle name="Link Units (2) 2" xfId="25153"/>
    <cellStyle name="Linked Cell 2" xfId="25154"/>
    <cellStyle name="Linked Cell 2 2" xfId="25155"/>
    <cellStyle name="Linked Cell 2 3" xfId="25156"/>
    <cellStyle name="Linked Cell 3" xfId="25157"/>
    <cellStyle name="Market Segment" xfId="25158"/>
    <cellStyle name="Market Segment 2" xfId="25159"/>
    <cellStyle name="Market Segment 2 2" xfId="25160"/>
    <cellStyle name="Market Segment 2 2 2" xfId="25161"/>
    <cellStyle name="Market Segment 2 2 3" xfId="25162"/>
    <cellStyle name="Market Segment 2 3" xfId="25163"/>
    <cellStyle name="Market Segment 2 3 2" xfId="25164"/>
    <cellStyle name="Market Segment 2 3 3" xfId="25165"/>
    <cellStyle name="Market Segment 2 4" xfId="25166"/>
    <cellStyle name="Market Segment 2 5" xfId="25167"/>
    <cellStyle name="Market Segment 3" xfId="25168"/>
    <cellStyle name="Market Segment 3 2" xfId="25169"/>
    <cellStyle name="Market Segment 3 3" xfId="25170"/>
    <cellStyle name="Market Segment 4" xfId="25171"/>
    <cellStyle name="Matrix" xfId="25172"/>
    <cellStyle name="Matrix 2" xfId="25173"/>
    <cellStyle name="Menu Bar" xfId="25174"/>
    <cellStyle name="Milliers [0]_28A Total Functional Costs" xfId="25175"/>
    <cellStyle name="Milliers_28A Total Functional Costs" xfId="25176"/>
    <cellStyle name="Moeda [0]_aola" xfId="25177"/>
    <cellStyle name="Moeda_aola" xfId="25178"/>
    <cellStyle name="Monétaire [0]_28A Total Functional Costs" xfId="25179"/>
    <cellStyle name="Monétaire_28A Total Functional Costs" xfId="25180"/>
    <cellStyle name="Month" xfId="25181"/>
    <cellStyle name="MS_Arabic" xfId="25182"/>
    <cellStyle name="n" xfId="25183"/>
    <cellStyle name="Neutral 2" xfId="25184"/>
    <cellStyle name="Neutral 2 2" xfId="25185"/>
    <cellStyle name="Neutral 2 3" xfId="25186"/>
    <cellStyle name="Neutral 2 4" xfId="25187"/>
    <cellStyle name="Neutral 3" xfId="25188"/>
    <cellStyle name="no dec" xfId="25189"/>
    <cellStyle name="Normal" xfId="25190"/>
    <cellStyle name="Normal - Formatvorlage1" xfId="25191"/>
    <cellStyle name="Normal - Formatvorlage2" xfId="25192"/>
    <cellStyle name="Normal - Formatvorlage3" xfId="25193"/>
    <cellStyle name="Normal - Formatvorlage4" xfId="25194"/>
    <cellStyle name="Normal - Formatvorlage5" xfId="25195"/>
    <cellStyle name="Normal - Formatvorlage6" xfId="25196"/>
    <cellStyle name="Normal - Formatvorlage7" xfId="25197"/>
    <cellStyle name="Normal - Formatvorlage8" xfId="25198"/>
    <cellStyle name="Normal - Style1" xfId="25199"/>
    <cellStyle name="Normal - Style1 2" xfId="25200"/>
    <cellStyle name="Normal - Style1 2 2" xfId="25201"/>
    <cellStyle name="Normal - Style1 2 3" xfId="25202"/>
    <cellStyle name="Normal - Style1 3" xfId="25203"/>
    <cellStyle name="Normal - Style1_BS retrieve" xfId="25204"/>
    <cellStyle name="Normal [0]" xfId="25205"/>
    <cellStyle name="Normal [0] 2" xfId="25206"/>
    <cellStyle name="Normal [1]" xfId="25207"/>
    <cellStyle name="Normal [1] 2" xfId="25208"/>
    <cellStyle name="Normal 10" xfId="25209"/>
    <cellStyle name="Normal 10 2" xfId="25210"/>
    <cellStyle name="Normal 10 2 2" xfId="25211"/>
    <cellStyle name="Normal 10 2 2 2" xfId="25212"/>
    <cellStyle name="Normal 10 2 3" xfId="25213"/>
    <cellStyle name="Normal 10 2 4" xfId="25214"/>
    <cellStyle name="Normal 10 2 5" xfId="25215"/>
    <cellStyle name="Normal 10 2 6" xfId="25216"/>
    <cellStyle name="Normal 10 3" xfId="25217"/>
    <cellStyle name="Normal 10 3 2" xfId="25218"/>
    <cellStyle name="Normal 10 4" xfId="25219"/>
    <cellStyle name="Normal 10 4 2" xfId="25220"/>
    <cellStyle name="Normal 10 5" xfId="25221"/>
    <cellStyle name="Normal 10 6" xfId="25222"/>
    <cellStyle name="Normal 10 7" xfId="25223"/>
    <cellStyle name="Normal 10_Free CF" xfId="25224"/>
    <cellStyle name="Normal 100" xfId="25225"/>
    <cellStyle name="Normal 101" xfId="25226"/>
    <cellStyle name="Normal 102" xfId="25227"/>
    <cellStyle name="Normal 103" xfId="25228"/>
    <cellStyle name="Normal 104" xfId="25229"/>
    <cellStyle name="Normal 105" xfId="25230"/>
    <cellStyle name="Normal 106" xfId="25231"/>
    <cellStyle name="Normal 107" xfId="25232"/>
    <cellStyle name="Normal 108" xfId="25233"/>
    <cellStyle name="Normal 109" xfId="25234"/>
    <cellStyle name="Normal 11" xfId="25235"/>
    <cellStyle name="Normal 11 2" xfId="25236"/>
    <cellStyle name="Normal 11 2 2" xfId="25237"/>
    <cellStyle name="Normal 11 2 2 2" xfId="25238"/>
    <cellStyle name="Normal 11 2 3" xfId="25239"/>
    <cellStyle name="Normal 11 2 3 2" xfId="25240"/>
    <cellStyle name="Normal 11 2 4" xfId="25241"/>
    <cellStyle name="Normal 11 2 4 2" xfId="25242"/>
    <cellStyle name="Normal 11 2 5" xfId="25243"/>
    <cellStyle name="Normal 11 2 6" xfId="25244"/>
    <cellStyle name="Normal 11 3" xfId="25245"/>
    <cellStyle name="Normal 11 3 2" xfId="25246"/>
    <cellStyle name="Normal 11 3 3" xfId="25247"/>
    <cellStyle name="Normal 11 4" xfId="25248"/>
    <cellStyle name="Normal 11 4 2" xfId="25249"/>
    <cellStyle name="Normal 11 5" xfId="25250"/>
    <cellStyle name="Normal 11 5 2" xfId="25251"/>
    <cellStyle name="Normal 11 6" xfId="25252"/>
    <cellStyle name="Normal 11 7" xfId="25253"/>
    <cellStyle name="Normal 110" xfId="25254"/>
    <cellStyle name="Normal 110 2" xfId="25255"/>
    <cellStyle name="Normal 111" xfId="25256"/>
    <cellStyle name="Normal 111 2" xfId="25257"/>
    <cellStyle name="Normal 112" xfId="25258"/>
    <cellStyle name="Normal 113" xfId="25259"/>
    <cellStyle name="Normal 114" xfId="25260"/>
    <cellStyle name="Normal 115" xfId="25261"/>
    <cellStyle name="Normal 116" xfId="25262"/>
    <cellStyle name="Normal 117" xfId="25263"/>
    <cellStyle name="Normal 118" xfId="25264"/>
    <cellStyle name="Normal 119" xfId="25265"/>
    <cellStyle name="Normal 12" xfId="25266"/>
    <cellStyle name="Normal 12 2" xfId="25267"/>
    <cellStyle name="Normal 12 2 2" xfId="25268"/>
    <cellStyle name="Normal 12 2 2 2" xfId="25269"/>
    <cellStyle name="Normal 12 2 3" xfId="25270"/>
    <cellStyle name="Normal 12 2 4" xfId="25271"/>
    <cellStyle name="Normal 12 2 5" xfId="25272"/>
    <cellStyle name="Normal 12 3" xfId="25273"/>
    <cellStyle name="Normal 12 3 2" xfId="25274"/>
    <cellStyle name="Normal 12 4" xfId="25275"/>
    <cellStyle name="Normal 12 4 2" xfId="25276"/>
    <cellStyle name="Normal 12 5" xfId="25277"/>
    <cellStyle name="Normal 12 5 2" xfId="25278"/>
    <cellStyle name="Normal 12 6" xfId="25279"/>
    <cellStyle name="Normal 12 7" xfId="25280"/>
    <cellStyle name="Normal 120" xfId="25281"/>
    <cellStyle name="Normal 121" xfId="25282"/>
    <cellStyle name="Normal 122" xfId="25283"/>
    <cellStyle name="Normal 123" xfId="25284"/>
    <cellStyle name="Normal 124" xfId="25285"/>
    <cellStyle name="Normal 125" xfId="25286"/>
    <cellStyle name="Normal 126" xfId="25287"/>
    <cellStyle name="Normal 127" xfId="25288"/>
    <cellStyle name="Normal 128" xfId="25289"/>
    <cellStyle name="Normal 129" xfId="25290"/>
    <cellStyle name="Normal 13" xfId="25291"/>
    <cellStyle name="Normal 13 2" xfId="25292"/>
    <cellStyle name="Normal 13 2 2" xfId="25293"/>
    <cellStyle name="Normal 13 2 2 2" xfId="25294"/>
    <cellStyle name="Normal 13 2 3" xfId="25295"/>
    <cellStyle name="Normal 13 2 4" xfId="25296"/>
    <cellStyle name="Normal 13 2 5" xfId="25297"/>
    <cellStyle name="Normal 13 3" xfId="25298"/>
    <cellStyle name="Normal 13 3 2" xfId="25299"/>
    <cellStyle name="Normal 13 4" xfId="25300"/>
    <cellStyle name="Normal 13 4 2" xfId="25301"/>
    <cellStyle name="Normal 13 5" xfId="25302"/>
    <cellStyle name="Normal 13 6" xfId="25303"/>
    <cellStyle name="Normal 13 7" xfId="25304"/>
    <cellStyle name="Normal 13 8" xfId="25305"/>
    <cellStyle name="Normal 130" xfId="25306"/>
    <cellStyle name="Normal 131" xfId="25307"/>
    <cellStyle name="Normal 14" xfId="25308"/>
    <cellStyle name="Normal 14 2" xfId="25309"/>
    <cellStyle name="Normal 14 2 2" xfId="25310"/>
    <cellStyle name="Normal 14 2 2 2" xfId="25311"/>
    <cellStyle name="Normal 14 2 3" xfId="25312"/>
    <cellStyle name="Normal 14 2 3 2" xfId="25313"/>
    <cellStyle name="Normal 14 2 4" xfId="25314"/>
    <cellStyle name="Normal 14 2 5" xfId="25315"/>
    <cellStyle name="Normal 14 3" xfId="25316"/>
    <cellStyle name="Normal 14 3 2" xfId="25317"/>
    <cellStyle name="Normal 14 4" xfId="25318"/>
    <cellStyle name="Normal 14 4 2" xfId="25319"/>
    <cellStyle name="Normal 14 5" xfId="25320"/>
    <cellStyle name="Normal 14 5 2" xfId="25321"/>
    <cellStyle name="Normal 14 6" xfId="25322"/>
    <cellStyle name="Normal 14 7" xfId="25323"/>
    <cellStyle name="Normal 14 8" xfId="25324"/>
    <cellStyle name="Normal 144" xfId="25325"/>
    <cellStyle name="Normal 15" xfId="25326"/>
    <cellStyle name="Normal 15 2" xfId="25327"/>
    <cellStyle name="Normal 15 2 2" xfId="25328"/>
    <cellStyle name="Normal 15 2 2 2" xfId="25329"/>
    <cellStyle name="Normal 15 2 3" xfId="25330"/>
    <cellStyle name="Normal 15 2 4" xfId="25331"/>
    <cellStyle name="Normal 15 2 5" xfId="25332"/>
    <cellStyle name="Normal 15 3" xfId="25333"/>
    <cellStyle name="Normal 15 3 2" xfId="25334"/>
    <cellStyle name="Normal 15 4" xfId="25335"/>
    <cellStyle name="Normal 15 5" xfId="25336"/>
    <cellStyle name="Normal 15 6" xfId="25337"/>
    <cellStyle name="Normal 16" xfId="25338"/>
    <cellStyle name="Normal 16 2" xfId="25339"/>
    <cellStyle name="Normal 16 2 2" xfId="25340"/>
    <cellStyle name="Normal 16 2 2 2" xfId="25341"/>
    <cellStyle name="Normal 16 2 3" xfId="25342"/>
    <cellStyle name="Normal 16 2 4" xfId="25343"/>
    <cellStyle name="Normal 16 2 5" xfId="25344"/>
    <cellStyle name="Normal 16 3" xfId="25345"/>
    <cellStyle name="Normal 16 3 2" xfId="25346"/>
    <cellStyle name="Normal 16 4" xfId="25347"/>
    <cellStyle name="Normal 16 5" xfId="25348"/>
    <cellStyle name="Normal 16 6" xfId="25349"/>
    <cellStyle name="Normal 17" xfId="25350"/>
    <cellStyle name="Normal 17 2" xfId="25351"/>
    <cellStyle name="Normal 17 2 2" xfId="25352"/>
    <cellStyle name="Normal 17 2 2 2" xfId="25353"/>
    <cellStyle name="Normal 17 2 3" xfId="25354"/>
    <cellStyle name="Normal 17 2 4" xfId="25355"/>
    <cellStyle name="Normal 17 2 5" xfId="25356"/>
    <cellStyle name="Normal 17 3" xfId="25357"/>
    <cellStyle name="Normal 17 4" xfId="25358"/>
    <cellStyle name="Normal 17 5" xfId="25359"/>
    <cellStyle name="Normal 17 6" xfId="25360"/>
    <cellStyle name="Normal 18" xfId="25361"/>
    <cellStyle name="Normal 18 2" xfId="25362"/>
    <cellStyle name="Normal 18 2 2" xfId="25363"/>
    <cellStyle name="Normal 18 2 2 2" xfId="25364"/>
    <cellStyle name="Normal 18 2 3" xfId="25365"/>
    <cellStyle name="Normal 18 2 4" xfId="25366"/>
    <cellStyle name="Normal 18 2 5" xfId="25367"/>
    <cellStyle name="Normal 18 3" xfId="25368"/>
    <cellStyle name="Normal 18 3 2" xfId="25369"/>
    <cellStyle name="Normal 18 4" xfId="25370"/>
    <cellStyle name="Normal 18 5" xfId="25371"/>
    <cellStyle name="Normal 18 6" xfId="25372"/>
    <cellStyle name="Normal 19" xfId="25373"/>
    <cellStyle name="Normal 19 2" xfId="25374"/>
    <cellStyle name="Normal 19 2 2" xfId="25375"/>
    <cellStyle name="Normal 19 2 3" xfId="25376"/>
    <cellStyle name="Normal 19 2 4" xfId="25377"/>
    <cellStyle name="Normal 19 2 5" xfId="25378"/>
    <cellStyle name="Normal 19 3" xfId="25379"/>
    <cellStyle name="Normal 19 3 2" xfId="25380"/>
    <cellStyle name="Normal 19 4" xfId="25381"/>
    <cellStyle name="Normal 19 5" xfId="25382"/>
    <cellStyle name="Normal 19 6" xfId="25383"/>
    <cellStyle name="Normal 2" xfId="25384"/>
    <cellStyle name="Normal 2 10" xfId="25385"/>
    <cellStyle name="Normal 2 12" xfId="25386"/>
    <cellStyle name="Normal 2 2" xfId="25387"/>
    <cellStyle name="Normal 2 2 10" xfId="25388"/>
    <cellStyle name="Normal 2 2 2" xfId="25389"/>
    <cellStyle name="Normal 2 2 2 2" xfId="25390"/>
    <cellStyle name="Normal 2 2 2 2 2" xfId="25391"/>
    <cellStyle name="Normal 2 2 2 2 3" xfId="25392"/>
    <cellStyle name="Normal 2 2 2 3" xfId="25393"/>
    <cellStyle name="Normal 2 2 2 4" xfId="25394"/>
    <cellStyle name="Normal 2 2 3" xfId="25395"/>
    <cellStyle name="Normal 2 2 3 2" xfId="25396"/>
    <cellStyle name="Normal 2 2 3 3" xfId="25397"/>
    <cellStyle name="Normal 2 2 4" xfId="25398"/>
    <cellStyle name="Normal 2 2 4 2" xfId="25399"/>
    <cellStyle name="Normal 2 2 5" xfId="25400"/>
    <cellStyle name="Normal 2 2 5 2" xfId="25401"/>
    <cellStyle name="Normal 2 2 5 3" xfId="25402"/>
    <cellStyle name="Normal 2 2 6" xfId="25403"/>
    <cellStyle name="Normal 2 2 7" xfId="25404"/>
    <cellStyle name="Normal 2 2 8" xfId="25405"/>
    <cellStyle name="Normal 2 2 9" xfId="25406"/>
    <cellStyle name="Normal 2 3" xfId="25407"/>
    <cellStyle name="Normal 2 3 2" xfId="25408"/>
    <cellStyle name="Normal 2 3 2 2" xfId="25409"/>
    <cellStyle name="Normal 2 3 2 2 2" xfId="25410"/>
    <cellStyle name="Normal 2 3 2 3" xfId="25411"/>
    <cellStyle name="Normal 2 3 2 4" xfId="25412"/>
    <cellStyle name="Normal 2 3 3" xfId="25413"/>
    <cellStyle name="Normal 2 3 3 2" xfId="25414"/>
    <cellStyle name="Normal 2 3 3 3" xfId="25415"/>
    <cellStyle name="Normal 2 3 4" xfId="25416"/>
    <cellStyle name="Normal 2 3 5" xfId="25417"/>
    <cellStyle name="Normal 2 3 6" xfId="25418"/>
    <cellStyle name="Normal 2 4" xfId="25419"/>
    <cellStyle name="Normal 2 4 2" xfId="25420"/>
    <cellStyle name="Normal 2 4 2 2" xfId="25421"/>
    <cellStyle name="Normal 2 4 2 2 2" xfId="25422"/>
    <cellStyle name="Normal 2 4 2 3" xfId="25423"/>
    <cellStyle name="Normal 2 4 3" xfId="25424"/>
    <cellStyle name="Normal 2 4 3 2" xfId="25425"/>
    <cellStyle name="Normal 2 4 3 3" xfId="25426"/>
    <cellStyle name="Normal 2 4 3 4" xfId="25427"/>
    <cellStyle name="Normal 2 4 4" xfId="25428"/>
    <cellStyle name="Normal 2 5" xfId="25429"/>
    <cellStyle name="Normal 2 5 2" xfId="25430"/>
    <cellStyle name="Normal 2 6" xfId="25431"/>
    <cellStyle name="Normal 2 6 2" xfId="25432"/>
    <cellStyle name="Normal 2 6 2 2" xfId="25433"/>
    <cellStyle name="Normal 2 6 3" xfId="25434"/>
    <cellStyle name="Normal 2 7" xfId="25435"/>
    <cellStyle name="Normal 2 7 2" xfId="25436"/>
    <cellStyle name="Normal 2 8" xfId="25437"/>
    <cellStyle name="Normal 2 9" xfId="25438"/>
    <cellStyle name="Normal 2_BS retrieve" xfId="25439"/>
    <cellStyle name="Normal 20" xfId="25440"/>
    <cellStyle name="Normal 20 2" xfId="25441"/>
    <cellStyle name="Normal 20 2 2" xfId="25442"/>
    <cellStyle name="Normal 20 2 3" xfId="25443"/>
    <cellStyle name="Normal 20 2 4" xfId="25444"/>
    <cellStyle name="Normal 20 2 5" xfId="25445"/>
    <cellStyle name="Normal 20 3" xfId="25446"/>
    <cellStyle name="Normal 20 3 2" xfId="25447"/>
    <cellStyle name="Normal 20 4" xfId="25448"/>
    <cellStyle name="Normal 20 5" xfId="25449"/>
    <cellStyle name="Normal 20 6" xfId="25450"/>
    <cellStyle name="Normal 21" xfId="25451"/>
    <cellStyle name="Normal 21 2" xfId="25452"/>
    <cellStyle name="Normal 21 2 2" xfId="25453"/>
    <cellStyle name="Normal 21 2 3" xfId="25454"/>
    <cellStyle name="Normal 21 2 4" xfId="25455"/>
    <cellStyle name="Normal 21 2 5" xfId="25456"/>
    <cellStyle name="Normal 21 3" xfId="25457"/>
    <cellStyle name="Normal 21 3 2" xfId="25458"/>
    <cellStyle name="Normal 21 4" xfId="25459"/>
    <cellStyle name="Normal 21 5" xfId="25460"/>
    <cellStyle name="Normal 21 6" xfId="25461"/>
    <cellStyle name="Normal 22" xfId="25462"/>
    <cellStyle name="Normal 22 2" xfId="25463"/>
    <cellStyle name="Normal 22 2 2" xfId="25464"/>
    <cellStyle name="Normal 22 2 3" xfId="25465"/>
    <cellStyle name="Normal 22 2 4" xfId="25466"/>
    <cellStyle name="Normal 22 2 5" xfId="25467"/>
    <cellStyle name="Normal 22 3" xfId="25468"/>
    <cellStyle name="Normal 22 3 2" xfId="25469"/>
    <cellStyle name="Normal 22 4" xfId="25470"/>
    <cellStyle name="Normal 22 5" xfId="25471"/>
    <cellStyle name="Normal 22 6" xfId="25472"/>
    <cellStyle name="Normal 23" xfId="25473"/>
    <cellStyle name="Normal 23 2" xfId="25474"/>
    <cellStyle name="Normal 23 2 2" xfId="25475"/>
    <cellStyle name="Normal 23 2 3" xfId="25476"/>
    <cellStyle name="Normal 23 2 4" xfId="25477"/>
    <cellStyle name="Normal 23 2 5" xfId="25478"/>
    <cellStyle name="Normal 23 3" xfId="25479"/>
    <cellStyle name="Normal 23 3 2" xfId="25480"/>
    <cellStyle name="Normal 23 4" xfId="25481"/>
    <cellStyle name="Normal 23 5" xfId="25482"/>
    <cellStyle name="Normal 23 6" xfId="25483"/>
    <cellStyle name="Normal 24" xfId="25484"/>
    <cellStyle name="Normal 24 2" xfId="25485"/>
    <cellStyle name="Normal 24 2 2" xfId="25486"/>
    <cellStyle name="Normal 24 2 3" xfId="25487"/>
    <cellStyle name="Normal 24 2 4" xfId="25488"/>
    <cellStyle name="Normal 24 2 5" xfId="25489"/>
    <cellStyle name="Normal 24 3" xfId="25490"/>
    <cellStyle name="Normal 24 3 2" xfId="25491"/>
    <cellStyle name="Normal 24 4" xfId="25492"/>
    <cellStyle name="Normal 24 5" xfId="25493"/>
    <cellStyle name="Normal 24 6" xfId="25494"/>
    <cellStyle name="Normal 25" xfId="25495"/>
    <cellStyle name="Normal 25 2" xfId="25496"/>
    <cellStyle name="Normal 25 2 2" xfId="25497"/>
    <cellStyle name="Normal 25 2 3" xfId="25498"/>
    <cellStyle name="Normal 25 2 4" xfId="25499"/>
    <cellStyle name="Normal 25 2 5" xfId="25500"/>
    <cellStyle name="Normal 25 3" xfId="25501"/>
    <cellStyle name="Normal 25 3 2" xfId="25502"/>
    <cellStyle name="Normal 25 4" xfId="25503"/>
    <cellStyle name="Normal 25 5" xfId="25504"/>
    <cellStyle name="Normal 25 6" xfId="25505"/>
    <cellStyle name="Normal 26" xfId="25506"/>
    <cellStyle name="Normal 26 2" xfId="25507"/>
    <cellStyle name="Normal 26 2 2" xfId="25508"/>
    <cellStyle name="Normal 26 2 3" xfId="25509"/>
    <cellStyle name="Normal 26 2 4" xfId="25510"/>
    <cellStyle name="Normal 26 2 5" xfId="25511"/>
    <cellStyle name="Normal 26 3" xfId="25512"/>
    <cellStyle name="Normal 26 3 2" xfId="25513"/>
    <cellStyle name="Normal 26 4" xfId="25514"/>
    <cellStyle name="Normal 26 5" xfId="25515"/>
    <cellStyle name="Normal 26 6" xfId="25516"/>
    <cellStyle name="Normal 27" xfId="25517"/>
    <cellStyle name="Normal 27 2" xfId="25518"/>
    <cellStyle name="Normal 27 2 2" xfId="25519"/>
    <cellStyle name="Normal 27 2 3" xfId="25520"/>
    <cellStyle name="Normal 27 2 4" xfId="25521"/>
    <cellStyle name="Normal 27 2 5" xfId="25522"/>
    <cellStyle name="Normal 27 3" xfId="25523"/>
    <cellStyle name="Normal 27 3 2" xfId="25524"/>
    <cellStyle name="Normal 27 4" xfId="25525"/>
    <cellStyle name="Normal 27 5" xfId="25526"/>
    <cellStyle name="Normal 27 6" xfId="25527"/>
    <cellStyle name="Normal 28" xfId="25528"/>
    <cellStyle name="Normal 28 2" xfId="25529"/>
    <cellStyle name="Normal 28 2 2" xfId="25530"/>
    <cellStyle name="Normal 28 2 3" xfId="25531"/>
    <cellStyle name="Normal 28 2 4" xfId="25532"/>
    <cellStyle name="Normal 28 2 5" xfId="25533"/>
    <cellStyle name="Normal 28 3" xfId="25534"/>
    <cellStyle name="Normal 28 3 2" xfId="25535"/>
    <cellStyle name="Normal 28 4" xfId="25536"/>
    <cellStyle name="Normal 28 5" xfId="25537"/>
    <cellStyle name="Normal 28 6" xfId="25538"/>
    <cellStyle name="Normal 29" xfId="25539"/>
    <cellStyle name="Normal 29 2" xfId="25540"/>
    <cellStyle name="Normal 29 2 2" xfId="25541"/>
    <cellStyle name="Normal 29 2 3" xfId="25542"/>
    <cellStyle name="Normal 29 2 4" xfId="25543"/>
    <cellStyle name="Normal 29 2 5" xfId="25544"/>
    <cellStyle name="Normal 29 3" xfId="25545"/>
    <cellStyle name="Normal 29 3 2" xfId="25546"/>
    <cellStyle name="Normal 29 4" xfId="25547"/>
    <cellStyle name="Normal 29 5" xfId="25548"/>
    <cellStyle name="Normal 29 6" xfId="25549"/>
    <cellStyle name="Normal 3" xfId="25550"/>
    <cellStyle name="Normal 3 2" xfId="25551"/>
    <cellStyle name="Normal 3 2 2" xfId="25552"/>
    <cellStyle name="Normal 3 2 2 2" xfId="25553"/>
    <cellStyle name="Normal 3 2 2 3" xfId="25554"/>
    <cellStyle name="Normal 3 2 2 4" xfId="25555"/>
    <cellStyle name="Normal 3 2 3" xfId="25556"/>
    <cellStyle name="Normal 3 2 3 2" xfId="25557"/>
    <cellStyle name="Normal 3 2 4" xfId="25558"/>
    <cellStyle name="Normal 3 2 4 2" xfId="25559"/>
    <cellStyle name="Normal 3 2 5" xfId="25560"/>
    <cellStyle name="Normal 3 3" xfId="25561"/>
    <cellStyle name="Normal 3 3 2" xfId="25562"/>
    <cellStyle name="Normal 3 3 2 2" xfId="25563"/>
    <cellStyle name="Normal 3 3 3" xfId="25564"/>
    <cellStyle name="Normal 3 3 4" xfId="25565"/>
    <cellStyle name="Normal 3 3 5" xfId="25566"/>
    <cellStyle name="Normal 3 4" xfId="25567"/>
    <cellStyle name="Normal 3 4 2" xfId="25568"/>
    <cellStyle name="Normal 3 5" xfId="25569"/>
    <cellStyle name="Normal 3 5 2" xfId="25570"/>
    <cellStyle name="Normal 3 5 3" xfId="25571"/>
    <cellStyle name="Normal 3 6" xfId="25572"/>
    <cellStyle name="Normal 3 7" xfId="25573"/>
    <cellStyle name="Normal 3 8" xfId="25574"/>
    <cellStyle name="Normal 3 9" xfId="25575"/>
    <cellStyle name="Normal 3_BS retrieve" xfId="25576"/>
    <cellStyle name="Normal 30" xfId="25577"/>
    <cellStyle name="Normal 30 2" xfId="25578"/>
    <cellStyle name="Normal 30 2 2" xfId="25579"/>
    <cellStyle name="Normal 30 2 3" xfId="25580"/>
    <cellStyle name="Normal 30 2 4" xfId="25581"/>
    <cellStyle name="Normal 30 2 5" xfId="25582"/>
    <cellStyle name="Normal 30 3" xfId="25583"/>
    <cellStyle name="Normal 30 3 2" xfId="25584"/>
    <cellStyle name="Normal 30 4" xfId="25585"/>
    <cellStyle name="Normal 30 5" xfId="25586"/>
    <cellStyle name="Normal 30 6" xfId="25587"/>
    <cellStyle name="Normal 31" xfId="25588"/>
    <cellStyle name="Normal 31 2" xfId="25589"/>
    <cellStyle name="Normal 31 2 2" xfId="25590"/>
    <cellStyle name="Normal 31 2 3" xfId="25591"/>
    <cellStyle name="Normal 31 2 4" xfId="25592"/>
    <cellStyle name="Normal 31 2 5" xfId="25593"/>
    <cellStyle name="Normal 31 3" xfId="25594"/>
    <cellStyle name="Normal 31 3 2" xfId="25595"/>
    <cellStyle name="Normal 31 4" xfId="25596"/>
    <cellStyle name="Normal 31 5" xfId="25597"/>
    <cellStyle name="Normal 31 6" xfId="25598"/>
    <cellStyle name="Normal 32" xfId="25599"/>
    <cellStyle name="Normal 32 2" xfId="25600"/>
    <cellStyle name="Normal 32 2 2" xfId="25601"/>
    <cellStyle name="Normal 32 2 3" xfId="25602"/>
    <cellStyle name="Normal 32 2 4" xfId="25603"/>
    <cellStyle name="Normal 32 2 5" xfId="25604"/>
    <cellStyle name="Normal 32 3" xfId="25605"/>
    <cellStyle name="Normal 32 3 2" xfId="25606"/>
    <cellStyle name="Normal 32 4" xfId="25607"/>
    <cellStyle name="Normal 32 5" xfId="25608"/>
    <cellStyle name="Normal 32 6" xfId="25609"/>
    <cellStyle name="Normal 33" xfId="25610"/>
    <cellStyle name="Normal 33 2" xfId="25611"/>
    <cellStyle name="Normal 33 2 2" xfId="25612"/>
    <cellStyle name="Normal 33 2 3" xfId="25613"/>
    <cellStyle name="Normal 33 2 4" xfId="25614"/>
    <cellStyle name="Normal 33 2 5" xfId="25615"/>
    <cellStyle name="Normal 33 3" xfId="25616"/>
    <cellStyle name="Normal 33 4" xfId="25617"/>
    <cellStyle name="Normal 33 5" xfId="25618"/>
    <cellStyle name="Normal 33 6" xfId="25619"/>
    <cellStyle name="Normal 34" xfId="25620"/>
    <cellStyle name="Normal 34 2" xfId="25621"/>
    <cellStyle name="Normal 34 2 2" xfId="25622"/>
    <cellStyle name="Normal 34 2 3" xfId="25623"/>
    <cellStyle name="Normal 34 2 4" xfId="25624"/>
    <cellStyle name="Normal 34 2 5" xfId="25625"/>
    <cellStyle name="Normal 34 3" xfId="25626"/>
    <cellStyle name="Normal 34 3 2" xfId="25627"/>
    <cellStyle name="Normal 34 4" xfId="25628"/>
    <cellStyle name="Normal 34 5" xfId="25629"/>
    <cellStyle name="Normal 34 6" xfId="25630"/>
    <cellStyle name="Normal 35" xfId="25631"/>
    <cellStyle name="Normal 35 2" xfId="25632"/>
    <cellStyle name="Normal 35 2 2" xfId="25633"/>
    <cellStyle name="Normal 35 2 3" xfId="25634"/>
    <cellStyle name="Normal 35 2 4" xfId="25635"/>
    <cellStyle name="Normal 35 2 5" xfId="25636"/>
    <cellStyle name="Normal 35 3" xfId="25637"/>
    <cellStyle name="Normal 35 3 2" xfId="25638"/>
    <cellStyle name="Normal 35 4" xfId="25639"/>
    <cellStyle name="Normal 35 5" xfId="25640"/>
    <cellStyle name="Normal 35 6" xfId="25641"/>
    <cellStyle name="Normal 36" xfId="25642"/>
    <cellStyle name="Normal 36 2" xfId="25643"/>
    <cellStyle name="Normal 36 2 2" xfId="25644"/>
    <cellStyle name="Normal 36 2 3" xfId="25645"/>
    <cellStyle name="Normal 36 2 4" xfId="25646"/>
    <cellStyle name="Normal 36 2 5" xfId="25647"/>
    <cellStyle name="Normal 36 3" xfId="25648"/>
    <cellStyle name="Normal 36 4" xfId="25649"/>
    <cellStyle name="Normal 36 5" xfId="25650"/>
    <cellStyle name="Normal 36 6" xfId="25651"/>
    <cellStyle name="Normal 37" xfId="25652"/>
    <cellStyle name="Normal 37 2" xfId="25653"/>
    <cellStyle name="Normal 37 2 2" xfId="25654"/>
    <cellStyle name="Normal 37 2 3" xfId="25655"/>
    <cellStyle name="Normal 37 2 4" xfId="25656"/>
    <cellStyle name="Normal 37 2 5" xfId="25657"/>
    <cellStyle name="Normal 37 3" xfId="25658"/>
    <cellStyle name="Normal 37 3 2" xfId="25659"/>
    <cellStyle name="Normal 37 4" xfId="25660"/>
    <cellStyle name="Normal 37 5" xfId="25661"/>
    <cellStyle name="Normal 37 6" xfId="25662"/>
    <cellStyle name="Normal 38" xfId="25663"/>
    <cellStyle name="Normal 38 2" xfId="25664"/>
    <cellStyle name="Normal 38 2 2" xfId="25665"/>
    <cellStyle name="Normal 38 2 3" xfId="25666"/>
    <cellStyle name="Normal 38 2 4" xfId="25667"/>
    <cellStyle name="Normal 38 2 5" xfId="25668"/>
    <cellStyle name="Normal 38 3" xfId="25669"/>
    <cellStyle name="Normal 38 3 2" xfId="25670"/>
    <cellStyle name="Normal 38 4" xfId="25671"/>
    <cellStyle name="Normal 38 5" xfId="25672"/>
    <cellStyle name="Normal 38 6" xfId="25673"/>
    <cellStyle name="Normal 39" xfId="25674"/>
    <cellStyle name="Normal 39 2" xfId="25675"/>
    <cellStyle name="Normal 39 2 2" xfId="25676"/>
    <cellStyle name="Normal 39 2 3" xfId="25677"/>
    <cellStyle name="Normal 39 2 4" xfId="25678"/>
    <cellStyle name="Normal 39 2 5" xfId="25679"/>
    <cellStyle name="Normal 39 3" xfId="25680"/>
    <cellStyle name="Normal 39 4" xfId="25681"/>
    <cellStyle name="Normal 39 5" xfId="25682"/>
    <cellStyle name="Normal 39 6" xfId="25683"/>
    <cellStyle name="Normal 4" xfId="25684"/>
    <cellStyle name="Normal 4 2" xfId="25685"/>
    <cellStyle name="Normal 4 2 2" xfId="25686"/>
    <cellStyle name="Normal 4 2 2 2" xfId="25687"/>
    <cellStyle name="Normal 4 2 2 3" xfId="25688"/>
    <cellStyle name="Normal 4 2 2 4" xfId="25689"/>
    <cellStyle name="Normal 4 2 3" xfId="25690"/>
    <cellStyle name="Normal 4 2 3 2" xfId="25691"/>
    <cellStyle name="Normal 4 2 3 2 2" xfId="25692"/>
    <cellStyle name="Normal 4 2 3 2 3" xfId="25693"/>
    <cellStyle name="Normal 4 2 3 3" xfId="25694"/>
    <cellStyle name="Normal 4 2 3 4" xfId="25695"/>
    <cellStyle name="Normal 4 2 3 5" xfId="25696"/>
    <cellStyle name="Normal 4 2 4" xfId="25697"/>
    <cellStyle name="Normal 4 2 4 2" xfId="25698"/>
    <cellStyle name="Normal 4 2 5" xfId="25699"/>
    <cellStyle name="Normal 4 2 6" xfId="25700"/>
    <cellStyle name="Normal 4 2 7" xfId="25701"/>
    <cellStyle name="Normal 4 2 8" xfId="25702"/>
    <cellStyle name="Normal 4 3" xfId="25703"/>
    <cellStyle name="Normal 4 3 2" xfId="25704"/>
    <cellStyle name="Normal 4 3 2 2" xfId="25705"/>
    <cellStyle name="Normal 4 3 3" xfId="25706"/>
    <cellStyle name="Normal 4 3 3 2" xfId="25707"/>
    <cellStyle name="Normal 4 3 4" xfId="25708"/>
    <cellStyle name="Normal 4 3 5" xfId="25709"/>
    <cellStyle name="Normal 4 4" xfId="25710"/>
    <cellStyle name="Normal 4 4 2" xfId="25711"/>
    <cellStyle name="Normal 4 4 2 2" xfId="25712"/>
    <cellStyle name="Normal 4 4 3" xfId="25713"/>
    <cellStyle name="Normal 4 5" xfId="25714"/>
    <cellStyle name="Normal 4 5 2" xfId="25715"/>
    <cellStyle name="Normal 4 5 3" xfId="25716"/>
    <cellStyle name="Normal 4 6" xfId="25717"/>
    <cellStyle name="Normal 4 6 2" xfId="25718"/>
    <cellStyle name="Normal 4 7" xfId="25719"/>
    <cellStyle name="Normal 4 7 2" xfId="25720"/>
    <cellStyle name="Normal 4 8" xfId="25721"/>
    <cellStyle name="Normal 4 9" xfId="25722"/>
    <cellStyle name="Normal 40" xfId="25723"/>
    <cellStyle name="Normal 40 2" xfId="25724"/>
    <cellStyle name="Normal 40 2 2" xfId="25725"/>
    <cellStyle name="Normal 40 2 3" xfId="25726"/>
    <cellStyle name="Normal 40 2 4" xfId="25727"/>
    <cellStyle name="Normal 40 2 5" xfId="25728"/>
    <cellStyle name="Normal 40 3" xfId="25729"/>
    <cellStyle name="Normal 40 4" xfId="25730"/>
    <cellStyle name="Normal 40 5" xfId="25731"/>
    <cellStyle name="Normal 40 6" xfId="25732"/>
    <cellStyle name="Normal 41" xfId="25733"/>
    <cellStyle name="Normal 41 2" xfId="25734"/>
    <cellStyle name="Normal 41 2 2" xfId="25735"/>
    <cellStyle name="Normal 41 2 3" xfId="25736"/>
    <cellStyle name="Normal 41 2 4" xfId="25737"/>
    <cellStyle name="Normal 41 2 5" xfId="25738"/>
    <cellStyle name="Normal 41 3" xfId="25739"/>
    <cellStyle name="Normal 41 4" xfId="25740"/>
    <cellStyle name="Normal 41 5" xfId="25741"/>
    <cellStyle name="Normal 41 6" xfId="25742"/>
    <cellStyle name="Normal 42" xfId="25743"/>
    <cellStyle name="Normal 42 2" xfId="25744"/>
    <cellStyle name="Normal 42 2 2" xfId="25745"/>
    <cellStyle name="Normal 42 2 3" xfId="25746"/>
    <cellStyle name="Normal 42 2 4" xfId="25747"/>
    <cellStyle name="Normal 42 3" xfId="25748"/>
    <cellStyle name="Normal 42 4" xfId="25749"/>
    <cellStyle name="Normal 42 5" xfId="25750"/>
    <cellStyle name="Normal 42 6" xfId="25751"/>
    <cellStyle name="Normal 43" xfId="25752"/>
    <cellStyle name="Normal 43 2" xfId="25753"/>
    <cellStyle name="Normal 43 2 2" xfId="25754"/>
    <cellStyle name="Normal 43 2 3" xfId="25755"/>
    <cellStyle name="Normal 43 2 4" xfId="25756"/>
    <cellStyle name="Normal 43 3" xfId="25757"/>
    <cellStyle name="Normal 43 4" xfId="25758"/>
    <cellStyle name="Normal 43 5" xfId="25759"/>
    <cellStyle name="Normal 43 6" xfId="25760"/>
    <cellStyle name="Normal 44" xfId="25761"/>
    <cellStyle name="Normal 44 2" xfId="25762"/>
    <cellStyle name="Normal 44 2 2" xfId="25763"/>
    <cellStyle name="Normal 44 2 3" xfId="25764"/>
    <cellStyle name="Normal 44 2 4" xfId="25765"/>
    <cellStyle name="Normal 44 3" xfId="25766"/>
    <cellStyle name="Normal 44 4" xfId="25767"/>
    <cellStyle name="Normal 44 5" xfId="25768"/>
    <cellStyle name="Normal 44 6" xfId="25769"/>
    <cellStyle name="Normal 45" xfId="25770"/>
    <cellStyle name="Normal 45 2" xfId="25771"/>
    <cellStyle name="Normal 45 2 2" xfId="25772"/>
    <cellStyle name="Normal 45 2 3" xfId="25773"/>
    <cellStyle name="Normal 45 2 4" xfId="25774"/>
    <cellStyle name="Normal 45 3" xfId="25775"/>
    <cellStyle name="Normal 45 4" xfId="25776"/>
    <cellStyle name="Normal 45 5" xfId="25777"/>
    <cellStyle name="Normal 45 6" xfId="25778"/>
    <cellStyle name="Normal 46" xfId="25779"/>
    <cellStyle name="Normal 46 2" xfId="25780"/>
    <cellStyle name="Normal 46 2 2" xfId="25781"/>
    <cellStyle name="Normal 46 2 3" xfId="25782"/>
    <cellStyle name="Normal 46 2 4" xfId="25783"/>
    <cellStyle name="Normal 46 3" xfId="25784"/>
    <cellStyle name="Normal 46 4" xfId="25785"/>
    <cellStyle name="Normal 46 5" xfId="25786"/>
    <cellStyle name="Normal 46 6" xfId="25787"/>
    <cellStyle name="Normal 47" xfId="25788"/>
    <cellStyle name="Normal 47 2" xfId="25789"/>
    <cellStyle name="Normal 47 2 2" xfId="25790"/>
    <cellStyle name="Normal 47 2 3" xfId="25791"/>
    <cellStyle name="Normal 47 2 4" xfId="25792"/>
    <cellStyle name="Normal 47 3" xfId="25793"/>
    <cellStyle name="Normal 47 4" xfId="25794"/>
    <cellStyle name="Normal 47 5" xfId="25795"/>
    <cellStyle name="Normal 47 6" xfId="25796"/>
    <cellStyle name="Normal 48" xfId="25797"/>
    <cellStyle name="Normal 49" xfId="25798"/>
    <cellStyle name="Normal 49 2" xfId="25799"/>
    <cellStyle name="Normal 5" xfId="25800"/>
    <cellStyle name="Normal 5 2" xfId="25801"/>
    <cellStyle name="Normal 5 2 2" xfId="25802"/>
    <cellStyle name="Normal 5 2 2 2" xfId="25803"/>
    <cellStyle name="Normal 5 2 3" xfId="25804"/>
    <cellStyle name="Normal 5 2 3 2" xfId="25805"/>
    <cellStyle name="Normal 5 2 4" xfId="25806"/>
    <cellStyle name="Normal 5 2 5" xfId="25807"/>
    <cellStyle name="Normal 5 2 6" xfId="25808"/>
    <cellStyle name="Normal 5 3" xfId="25809"/>
    <cellStyle name="Normal 5 3 2" xfId="25810"/>
    <cellStyle name="Normal 5 3 2 2" xfId="25811"/>
    <cellStyle name="Normal 5 3 3" xfId="25812"/>
    <cellStyle name="Normal 5 4" xfId="25813"/>
    <cellStyle name="Normal 5 4 2" xfId="25814"/>
    <cellStyle name="Normal 5 4 3" xfId="25815"/>
    <cellStyle name="Normal 5 5" xfId="25816"/>
    <cellStyle name="Normal 5 5 2" xfId="25817"/>
    <cellStyle name="Normal 5 6" xfId="25818"/>
    <cellStyle name="Normal 5 6 2" xfId="25819"/>
    <cellStyle name="Normal 5 7" xfId="25820"/>
    <cellStyle name="Normal 5 8" xfId="25821"/>
    <cellStyle name="Normal 50" xfId="25822"/>
    <cellStyle name="Normal 51" xfId="25823"/>
    <cellStyle name="Normal 52" xfId="25824"/>
    <cellStyle name="Normal 53" xfId="25825"/>
    <cellStyle name="Normal 54" xfId="25826"/>
    <cellStyle name="Normal 55" xfId="25827"/>
    <cellStyle name="Normal 55 2" xfId="25828"/>
    <cellStyle name="Normal 56" xfId="25829"/>
    <cellStyle name="Normal 57" xfId="25830"/>
    <cellStyle name="Normal 58" xfId="25831"/>
    <cellStyle name="Normal 59" xfId="25832"/>
    <cellStyle name="Normal 6" xfId="25833"/>
    <cellStyle name="Normal 6 2" xfId="25834"/>
    <cellStyle name="Normal 6 2 2" xfId="25835"/>
    <cellStyle name="Normal 6 2 2 2" xfId="25836"/>
    <cellStyle name="Normal 6 2 3" xfId="25837"/>
    <cellStyle name="Normal 6 2 4" xfId="25838"/>
    <cellStyle name="Normal 6 2 5" xfId="25839"/>
    <cellStyle name="Normal 6 2 6" xfId="25840"/>
    <cellStyle name="Normal 6 3" xfId="25841"/>
    <cellStyle name="Normal 6 3 2" xfId="25842"/>
    <cellStyle name="Normal 6 3 3" xfId="25843"/>
    <cellStyle name="Normal 6 4" xfId="25844"/>
    <cellStyle name="Normal 6 4 2" xfId="25845"/>
    <cellStyle name="Normal 6 5" xfId="25846"/>
    <cellStyle name="Normal 6 6" xfId="25847"/>
    <cellStyle name="Normal 6 7" xfId="25848"/>
    <cellStyle name="Normal 6 8" xfId="25849"/>
    <cellStyle name="Normal 60" xfId="25850"/>
    <cellStyle name="Normal 61" xfId="25851"/>
    <cellStyle name="Normal 62" xfId="25852"/>
    <cellStyle name="Normal 63" xfId="25853"/>
    <cellStyle name="Normal 64" xfId="25854"/>
    <cellStyle name="Normal 64 2" xfId="25855"/>
    <cellStyle name="Normal 65" xfId="25856"/>
    <cellStyle name="Normal 66" xfId="25857"/>
    <cellStyle name="Normal 67" xfId="25858"/>
    <cellStyle name="Normal 68" xfId="25859"/>
    <cellStyle name="Normal 68 2" xfId="25860"/>
    <cellStyle name="Normal 69" xfId="25861"/>
    <cellStyle name="Normal 7" xfId="25862"/>
    <cellStyle name="Normal 7 2" xfId="25863"/>
    <cellStyle name="Normal 7 2 2" xfId="25864"/>
    <cellStyle name="Normal 7 2 2 2" xfId="25865"/>
    <cellStyle name="Normal 7 2 3" xfId="25866"/>
    <cellStyle name="Normal 7 2 4" xfId="25867"/>
    <cellStyle name="Normal 7 2 5" xfId="25868"/>
    <cellStyle name="Normal 7 3" xfId="25869"/>
    <cellStyle name="Normal 7 3 2" xfId="25870"/>
    <cellStyle name="Normal 7 4" xfId="25871"/>
    <cellStyle name="Normal 7 5" xfId="25872"/>
    <cellStyle name="Normal 7 6" xfId="25873"/>
    <cellStyle name="Normal 7 7" xfId="25874"/>
    <cellStyle name="Normal 70" xfId="25875"/>
    <cellStyle name="Normal 71" xfId="25876"/>
    <cellStyle name="Normal 72" xfId="25877"/>
    <cellStyle name="Normal 73" xfId="25878"/>
    <cellStyle name="Normal 74" xfId="25879"/>
    <cellStyle name="Normal 75" xfId="25880"/>
    <cellStyle name="Normal 75 2" xfId="25881"/>
    <cellStyle name="Normal 76" xfId="25882"/>
    <cellStyle name="Normal 76 2" xfId="25883"/>
    <cellStyle name="Normal 77" xfId="25884"/>
    <cellStyle name="Normal 77 2" xfId="25885"/>
    <cellStyle name="Normal 78" xfId="25886"/>
    <cellStyle name="Normal 79" xfId="25887"/>
    <cellStyle name="Normal 8" xfId="25888"/>
    <cellStyle name="Normal 8 2" xfId="25889"/>
    <cellStyle name="Normal 8 2 2" xfId="25890"/>
    <cellStyle name="Normal 8 2 3" xfId="25891"/>
    <cellStyle name="Normal 8 2 4" xfId="25892"/>
    <cellStyle name="Normal 8 2 5" xfId="25893"/>
    <cellStyle name="Normal 8 3" xfId="25894"/>
    <cellStyle name="Normal 8 3 2" xfId="25895"/>
    <cellStyle name="Normal 8 4" xfId="25896"/>
    <cellStyle name="Normal 8 4 2" xfId="25897"/>
    <cellStyle name="Normal 8 5" xfId="25898"/>
    <cellStyle name="Normal 8 6" xfId="25899"/>
    <cellStyle name="Normal 8 7" xfId="25900"/>
    <cellStyle name="Normal 80" xfId="25901"/>
    <cellStyle name="Normal 81" xfId="25902"/>
    <cellStyle name="Normal 81 2" xfId="25903"/>
    <cellStyle name="Normal 82" xfId="25904"/>
    <cellStyle name="Normal 82 2" xfId="25905"/>
    <cellStyle name="Normal 83" xfId="25906"/>
    <cellStyle name="Normal 84" xfId="25907"/>
    <cellStyle name="Normal 85" xfId="25908"/>
    <cellStyle name="Normal 86" xfId="25909"/>
    <cellStyle name="Normal 86 2" xfId="25910"/>
    <cellStyle name="Normal 87" xfId="25911"/>
    <cellStyle name="Normal 87 2" xfId="25912"/>
    <cellStyle name="Normal 88" xfId="25913"/>
    <cellStyle name="Normal 88 2" xfId="25914"/>
    <cellStyle name="Normal 89" xfId="25915"/>
    <cellStyle name="Normal 89 2" xfId="25916"/>
    <cellStyle name="Normal 9" xfId="25917"/>
    <cellStyle name="Normal 9 2" xfId="25918"/>
    <cellStyle name="Normal 9 2 2" xfId="25919"/>
    <cellStyle name="Normal 9 2 2 2" xfId="25920"/>
    <cellStyle name="Normal 9 2 3" xfId="25921"/>
    <cellStyle name="Normal 9 2 4" xfId="25922"/>
    <cellStyle name="Normal 9 2 5" xfId="25923"/>
    <cellStyle name="Normal 9 2 6" xfId="25924"/>
    <cellStyle name="Normal 9 3" xfId="25925"/>
    <cellStyle name="Normal 9 3 2" xfId="25926"/>
    <cellStyle name="Normal 9 4" xfId="25927"/>
    <cellStyle name="Normal 9 4 2" xfId="25928"/>
    <cellStyle name="Normal 9 5" xfId="25929"/>
    <cellStyle name="Normal 9 6" xfId="25930"/>
    <cellStyle name="Normal 9 7" xfId="25931"/>
    <cellStyle name="Normal 90" xfId="25932"/>
    <cellStyle name="Normal 90 2" xfId="25933"/>
    <cellStyle name="Normal 91" xfId="25934"/>
    <cellStyle name="Normal 91 2" xfId="25935"/>
    <cellStyle name="Normal 92" xfId="25936"/>
    <cellStyle name="Normal 92 2" xfId="25937"/>
    <cellStyle name="Normal 93" xfId="25938"/>
    <cellStyle name="Normal 93 2" xfId="25939"/>
    <cellStyle name="Normal 94" xfId="25940"/>
    <cellStyle name="Normal 95" xfId="25941"/>
    <cellStyle name="Normal 96" xfId="25942"/>
    <cellStyle name="Normal 97" xfId="25943"/>
    <cellStyle name="Normal 98" xfId="25944"/>
    <cellStyle name="Normal 99" xfId="25945"/>
    <cellStyle name="Normál_ABS96 PLAN" xfId="25946"/>
    <cellStyle name="Normal_Components" xfId="25947"/>
    <cellStyle name="Normalny_KIScommHa03" xfId="25948"/>
    <cellStyle name="Normбl_Paramйter tбbla" xfId="25949"/>
    <cellStyle name="Notas 2" xfId="25950"/>
    <cellStyle name="Notas 2 2" xfId="25951"/>
    <cellStyle name="Notas 2 2 2" xfId="25952"/>
    <cellStyle name="Notas 2 2 2 2" xfId="25953"/>
    <cellStyle name="Notas 2 2 2 2 2" xfId="25954"/>
    <cellStyle name="Notas 2 2 3" xfId="25955"/>
    <cellStyle name="Notas 2 2 3 2" xfId="25956"/>
    <cellStyle name="Notas 2 3" xfId="25957"/>
    <cellStyle name="Notas 2 3 2" xfId="25958"/>
    <cellStyle name="Notas 2 3 2 2" xfId="25959"/>
    <cellStyle name="Notas 2 4" xfId="25960"/>
    <cellStyle name="Notas 2 4 2" xfId="25961"/>
    <cellStyle name="Note 10" xfId="25962"/>
    <cellStyle name="Note 10 2" xfId="25963"/>
    <cellStyle name="Note 10 3" xfId="25964"/>
    <cellStyle name="Note 10 4" xfId="25965"/>
    <cellStyle name="Note 10 5" xfId="25966"/>
    <cellStyle name="Note 11" xfId="25967"/>
    <cellStyle name="Note 11 2" xfId="25968"/>
    <cellStyle name="Note 11 3" xfId="25969"/>
    <cellStyle name="Note 11 4" xfId="25970"/>
    <cellStyle name="Note 12" xfId="25971"/>
    <cellStyle name="Note 13" xfId="25972"/>
    <cellStyle name="Note 14" xfId="25973"/>
    <cellStyle name="Note 15" xfId="25974"/>
    <cellStyle name="Note 2" xfId="25975"/>
    <cellStyle name="Note 2 10" xfId="25976"/>
    <cellStyle name="Note 2 2" xfId="25977"/>
    <cellStyle name="Note 2 2 10" xfId="25978"/>
    <cellStyle name="Note 2 2 2" xfId="25979"/>
    <cellStyle name="Note 2 2 2 2" xfId="25980"/>
    <cellStyle name="Note 2 2 2 2 2" xfId="25981"/>
    <cellStyle name="Note 2 2 2 2 2 2" xfId="25982"/>
    <cellStyle name="Note 2 2 2 2 2 3" xfId="25983"/>
    <cellStyle name="Note 2 2 2 2 2 4" xfId="25984"/>
    <cellStyle name="Note 2 2 2 2 2 5" xfId="25985"/>
    <cellStyle name="Note 2 2 2 2 3" xfId="25986"/>
    <cellStyle name="Note 2 2 2 2 3 2" xfId="25987"/>
    <cellStyle name="Note 2 2 2 2 3 3" xfId="25988"/>
    <cellStyle name="Note 2 2 2 2 3 4" xfId="25989"/>
    <cellStyle name="Note 2 2 2 2 3 5" xfId="25990"/>
    <cellStyle name="Note 2 2 2 2 4" xfId="25991"/>
    <cellStyle name="Note 2 2 2 2 5" xfId="25992"/>
    <cellStyle name="Note 2 2 2 2 6" xfId="25993"/>
    <cellStyle name="Note 2 2 2 2 7" xfId="25994"/>
    <cellStyle name="Note 2 2 2 3" xfId="25995"/>
    <cellStyle name="Note 2 2 2 3 2" xfId="25996"/>
    <cellStyle name="Note 2 2 2 3 2 2" xfId="25997"/>
    <cellStyle name="Note 2 2 2 3 2 3" xfId="25998"/>
    <cellStyle name="Note 2 2 2 3 2 4" xfId="25999"/>
    <cellStyle name="Note 2 2 2 3 2 5" xfId="26000"/>
    <cellStyle name="Note 2 2 2 3 3" xfId="26001"/>
    <cellStyle name="Note 2 2 2 3 3 2" xfId="26002"/>
    <cellStyle name="Note 2 2 2 3 3 3" xfId="26003"/>
    <cellStyle name="Note 2 2 2 3 3 4" xfId="26004"/>
    <cellStyle name="Note 2 2 2 3 3 5" xfId="26005"/>
    <cellStyle name="Note 2 2 2 3 4" xfId="26006"/>
    <cellStyle name="Note 2 2 2 3 5" xfId="26007"/>
    <cellStyle name="Note 2 2 2 3 6" xfId="26008"/>
    <cellStyle name="Note 2 2 2 3 7" xfId="26009"/>
    <cellStyle name="Note 2 2 2 4" xfId="26010"/>
    <cellStyle name="Note 2 2 2 4 2" xfId="26011"/>
    <cellStyle name="Note 2 2 2 4 3" xfId="26012"/>
    <cellStyle name="Note 2 2 2 4 4" xfId="26013"/>
    <cellStyle name="Note 2 2 2 4 5" xfId="26014"/>
    <cellStyle name="Note 2 2 2 5" xfId="26015"/>
    <cellStyle name="Note 2 2 2 5 2" xfId="26016"/>
    <cellStyle name="Note 2 2 2 5 3" xfId="26017"/>
    <cellStyle name="Note 2 2 2 5 4" xfId="26018"/>
    <cellStyle name="Note 2 2 2 5 5" xfId="26019"/>
    <cellStyle name="Note 2 2 2 6" xfId="26020"/>
    <cellStyle name="Note 2 2 2 7" xfId="26021"/>
    <cellStyle name="Note 2 2 2 8" xfId="26022"/>
    <cellStyle name="Note 2 2 2 9" xfId="26023"/>
    <cellStyle name="Note 2 2 3" xfId="26024"/>
    <cellStyle name="Note 2 2 3 2" xfId="26025"/>
    <cellStyle name="Note 2 2 3 2 2" xfId="26026"/>
    <cellStyle name="Note 2 2 3 2 3" xfId="26027"/>
    <cellStyle name="Note 2 2 3 2 4" xfId="26028"/>
    <cellStyle name="Note 2 2 3 2 5" xfId="26029"/>
    <cellStyle name="Note 2 2 3 3" xfId="26030"/>
    <cellStyle name="Note 2 2 3 3 2" xfId="26031"/>
    <cellStyle name="Note 2 2 3 3 3" xfId="26032"/>
    <cellStyle name="Note 2 2 3 3 4" xfId="26033"/>
    <cellStyle name="Note 2 2 3 3 5" xfId="26034"/>
    <cellStyle name="Note 2 2 3 4" xfId="26035"/>
    <cellStyle name="Note 2 2 3 5" xfId="26036"/>
    <cellStyle name="Note 2 2 3 6" xfId="26037"/>
    <cellStyle name="Note 2 2 3 7" xfId="26038"/>
    <cellStyle name="Note 2 2 4" xfId="26039"/>
    <cellStyle name="Note 2 2 4 2" xfId="26040"/>
    <cellStyle name="Note 2 2 4 2 2" xfId="26041"/>
    <cellStyle name="Note 2 2 4 2 3" xfId="26042"/>
    <cellStyle name="Note 2 2 4 2 4" xfId="26043"/>
    <cellStyle name="Note 2 2 4 3" xfId="26044"/>
    <cellStyle name="Note 2 2 4 3 2" xfId="26045"/>
    <cellStyle name="Note 2 2 4 3 3" xfId="26046"/>
    <cellStyle name="Note 2 2 4 3 4" xfId="26047"/>
    <cellStyle name="Note 2 2 4 4" xfId="26048"/>
    <cellStyle name="Note 2 2 4 5" xfId="26049"/>
    <cellStyle name="Note 2 2 4 6" xfId="26050"/>
    <cellStyle name="Note 2 2 4 7" xfId="26051"/>
    <cellStyle name="Note 2 2 5" xfId="26052"/>
    <cellStyle name="Note 2 2 5 2" xfId="26053"/>
    <cellStyle name="Note 2 2 5 3" xfId="26054"/>
    <cellStyle name="Note 2 2 5 4" xfId="26055"/>
    <cellStyle name="Note 2 2 6" xfId="26056"/>
    <cellStyle name="Note 2 2 6 2" xfId="26057"/>
    <cellStyle name="Note 2 2 6 3" xfId="26058"/>
    <cellStyle name="Note 2 2 6 4" xfId="26059"/>
    <cellStyle name="Note 2 2 7" xfId="26060"/>
    <cellStyle name="Note 2 2 8" xfId="26061"/>
    <cellStyle name="Note 2 2 9" xfId="26062"/>
    <cellStyle name="Note 2 3" xfId="26063"/>
    <cellStyle name="Note 2 3 2" xfId="26064"/>
    <cellStyle name="Note 2 3 2 2" xfId="26065"/>
    <cellStyle name="Note 2 3 2 2 2" xfId="26066"/>
    <cellStyle name="Note 2 3 2 2 3" xfId="26067"/>
    <cellStyle name="Note 2 3 2 2 4" xfId="26068"/>
    <cellStyle name="Note 2 3 2 3" xfId="26069"/>
    <cellStyle name="Note 2 3 2 3 2" xfId="26070"/>
    <cellStyle name="Note 2 3 2 3 3" xfId="26071"/>
    <cellStyle name="Note 2 3 2 3 4" xfId="26072"/>
    <cellStyle name="Note 2 3 2 4" xfId="26073"/>
    <cellStyle name="Note 2 3 2 4 2" xfId="26074"/>
    <cellStyle name="Note 2 3 2 5" xfId="26075"/>
    <cellStyle name="Note 2 3 2 6" xfId="26076"/>
    <cellStyle name="Note 2 3 3" xfId="26077"/>
    <cellStyle name="Note 2 3 3 2" xfId="26078"/>
    <cellStyle name="Note 2 3 3 2 2" xfId="26079"/>
    <cellStyle name="Note 2 3 3 3" xfId="26080"/>
    <cellStyle name="Note 2 3 3 3 2" xfId="26081"/>
    <cellStyle name="Note 2 3 3 4" xfId="26082"/>
    <cellStyle name="Note 2 3 3 5" xfId="26083"/>
    <cellStyle name="Note 2 3 4" xfId="26084"/>
    <cellStyle name="Note 2 3 4 2" xfId="26085"/>
    <cellStyle name="Note 2 3 5" xfId="26086"/>
    <cellStyle name="Note 2 3 6" xfId="26087"/>
    <cellStyle name="Note 2 3 7" xfId="26088"/>
    <cellStyle name="Note 2 4" xfId="26089"/>
    <cellStyle name="Note 2 4 2" xfId="26090"/>
    <cellStyle name="Note 2 4 2 2" xfId="26091"/>
    <cellStyle name="Note 2 4 2 3" xfId="26092"/>
    <cellStyle name="Note 2 4 2 4" xfId="26093"/>
    <cellStyle name="Note 2 4 3" xfId="26094"/>
    <cellStyle name="Note 2 4 3 2" xfId="26095"/>
    <cellStyle name="Note 2 4 3 3" xfId="26096"/>
    <cellStyle name="Note 2 4 3 4" xfId="26097"/>
    <cellStyle name="Note 2 4 4" xfId="26098"/>
    <cellStyle name="Note 2 4 5" xfId="26099"/>
    <cellStyle name="Note 2 4 6" xfId="26100"/>
    <cellStyle name="Note 2 5" xfId="26101"/>
    <cellStyle name="Note 2 5 2" xfId="26102"/>
    <cellStyle name="Note 2 5 3" xfId="26103"/>
    <cellStyle name="Note 2 5 4" xfId="26104"/>
    <cellStyle name="Note 2 6" xfId="26105"/>
    <cellStyle name="Note 2 6 2" xfId="26106"/>
    <cellStyle name="Note 2 6 3" xfId="26107"/>
    <cellStyle name="Note 2 6 4" xfId="26108"/>
    <cellStyle name="Note 2 7" xfId="26109"/>
    <cellStyle name="Note 2 8" xfId="26110"/>
    <cellStyle name="Note 2 9" xfId="26111"/>
    <cellStyle name="Note 3" xfId="26112"/>
    <cellStyle name="Note 3 10" xfId="26113"/>
    <cellStyle name="Note 3 2" xfId="26114"/>
    <cellStyle name="Note 3 2 10" xfId="26115"/>
    <cellStyle name="Note 3 2 2" xfId="26116"/>
    <cellStyle name="Note 3 2 2 2" xfId="26117"/>
    <cellStyle name="Note 3 2 2 2 2" xfId="26118"/>
    <cellStyle name="Note 3 2 2 2 2 2" xfId="26119"/>
    <cellStyle name="Note 3 2 2 2 2 3" xfId="26120"/>
    <cellStyle name="Note 3 2 2 2 2 4" xfId="26121"/>
    <cellStyle name="Note 3 2 2 2 3" xfId="26122"/>
    <cellStyle name="Note 3 2 2 2 3 2" xfId="26123"/>
    <cellStyle name="Note 3 2 2 2 3 3" xfId="26124"/>
    <cellStyle name="Note 3 2 2 2 3 4" xfId="26125"/>
    <cellStyle name="Note 3 2 2 2 4" xfId="26126"/>
    <cellStyle name="Note 3 2 2 2 5" xfId="26127"/>
    <cellStyle name="Note 3 2 2 2 6" xfId="26128"/>
    <cellStyle name="Note 3 2 2 3" xfId="26129"/>
    <cellStyle name="Note 3 2 2 3 2" xfId="26130"/>
    <cellStyle name="Note 3 2 2 3 2 2" xfId="26131"/>
    <cellStyle name="Note 3 2 2 3 2 3" xfId="26132"/>
    <cellStyle name="Note 3 2 2 3 2 4" xfId="26133"/>
    <cellStyle name="Note 3 2 2 3 3" xfId="26134"/>
    <cellStyle name="Note 3 2 2 3 3 2" xfId="26135"/>
    <cellStyle name="Note 3 2 2 3 3 3" xfId="26136"/>
    <cellStyle name="Note 3 2 2 3 3 4" xfId="26137"/>
    <cellStyle name="Note 3 2 2 3 4" xfId="26138"/>
    <cellStyle name="Note 3 2 2 3 5" xfId="26139"/>
    <cellStyle name="Note 3 2 2 3 6" xfId="26140"/>
    <cellStyle name="Note 3 2 2 4" xfId="26141"/>
    <cellStyle name="Note 3 2 2 4 2" xfId="26142"/>
    <cellStyle name="Note 3 2 2 4 3" xfId="26143"/>
    <cellStyle name="Note 3 2 2 4 4" xfId="26144"/>
    <cellStyle name="Note 3 2 2 5" xfId="26145"/>
    <cellStyle name="Note 3 2 2 5 2" xfId="26146"/>
    <cellStyle name="Note 3 2 2 5 3" xfId="26147"/>
    <cellStyle name="Note 3 2 2 5 4" xfId="26148"/>
    <cellStyle name="Note 3 2 2 6" xfId="26149"/>
    <cellStyle name="Note 3 2 2 7" xfId="26150"/>
    <cellStyle name="Note 3 2 2 8" xfId="26151"/>
    <cellStyle name="Note 3 2 3" xfId="26152"/>
    <cellStyle name="Note 3 2 3 2" xfId="26153"/>
    <cellStyle name="Note 3 2 3 2 2" xfId="26154"/>
    <cellStyle name="Note 3 2 3 2 3" xfId="26155"/>
    <cellStyle name="Note 3 2 3 2 4" xfId="26156"/>
    <cellStyle name="Note 3 2 3 3" xfId="26157"/>
    <cellStyle name="Note 3 2 3 3 2" xfId="26158"/>
    <cellStyle name="Note 3 2 3 3 3" xfId="26159"/>
    <cellStyle name="Note 3 2 3 3 4" xfId="26160"/>
    <cellStyle name="Note 3 2 3 4" xfId="26161"/>
    <cellStyle name="Note 3 2 3 5" xfId="26162"/>
    <cellStyle name="Note 3 2 3 6" xfId="26163"/>
    <cellStyle name="Note 3 2 4" xfId="26164"/>
    <cellStyle name="Note 3 2 4 2" xfId="26165"/>
    <cellStyle name="Note 3 2 4 2 2" xfId="26166"/>
    <cellStyle name="Note 3 2 4 2 3" xfId="26167"/>
    <cellStyle name="Note 3 2 4 2 4" xfId="26168"/>
    <cellStyle name="Note 3 2 4 3" xfId="26169"/>
    <cellStyle name="Note 3 2 4 3 2" xfId="26170"/>
    <cellStyle name="Note 3 2 4 3 3" xfId="26171"/>
    <cellStyle name="Note 3 2 4 3 4" xfId="26172"/>
    <cellStyle name="Note 3 2 4 4" xfId="26173"/>
    <cellStyle name="Note 3 2 4 5" xfId="26174"/>
    <cellStyle name="Note 3 2 4 6" xfId="26175"/>
    <cellStyle name="Note 3 2 5" xfId="26176"/>
    <cellStyle name="Note 3 2 5 2" xfId="26177"/>
    <cellStyle name="Note 3 2 5 3" xfId="26178"/>
    <cellStyle name="Note 3 2 5 4" xfId="26179"/>
    <cellStyle name="Note 3 2 6" xfId="26180"/>
    <cellStyle name="Note 3 2 6 2" xfId="26181"/>
    <cellStyle name="Note 3 2 6 3" xfId="26182"/>
    <cellStyle name="Note 3 2 6 4" xfId="26183"/>
    <cellStyle name="Note 3 2 7" xfId="26184"/>
    <cellStyle name="Note 3 2 8" xfId="26185"/>
    <cellStyle name="Note 3 2 9" xfId="26186"/>
    <cellStyle name="Note 3 3" xfId="26187"/>
    <cellStyle name="Note 3 3 2" xfId="26188"/>
    <cellStyle name="Note 3 3 2 2" xfId="26189"/>
    <cellStyle name="Note 3 3 2 3" xfId="26190"/>
    <cellStyle name="Note 3 3 2 4" xfId="26191"/>
    <cellStyle name="Note 3 3 3" xfId="26192"/>
    <cellStyle name="Note 3 3 3 2" xfId="26193"/>
    <cellStyle name="Note 3 3 3 3" xfId="26194"/>
    <cellStyle name="Note 3 3 3 4" xfId="26195"/>
    <cellStyle name="Note 3 3 4" xfId="26196"/>
    <cellStyle name="Note 3 3 5" xfId="26197"/>
    <cellStyle name="Note 3 3 6" xfId="26198"/>
    <cellStyle name="Note 3 4" xfId="26199"/>
    <cellStyle name="Note 3 4 2" xfId="26200"/>
    <cellStyle name="Note 3 4 2 2" xfId="26201"/>
    <cellStyle name="Note 3 4 2 3" xfId="26202"/>
    <cellStyle name="Note 3 4 2 4" xfId="26203"/>
    <cellStyle name="Note 3 4 3" xfId="26204"/>
    <cellStyle name="Note 3 4 3 2" xfId="26205"/>
    <cellStyle name="Note 3 4 3 3" xfId="26206"/>
    <cellStyle name="Note 3 4 3 4" xfId="26207"/>
    <cellStyle name="Note 3 4 4" xfId="26208"/>
    <cellStyle name="Note 3 4 5" xfId="26209"/>
    <cellStyle name="Note 3 4 6" xfId="26210"/>
    <cellStyle name="Note 3 5" xfId="26211"/>
    <cellStyle name="Note 3 5 2" xfId="26212"/>
    <cellStyle name="Note 3 5 3" xfId="26213"/>
    <cellStyle name="Note 3 5 4" xfId="26214"/>
    <cellStyle name="Note 3 6" xfId="26215"/>
    <cellStyle name="Note 3 6 2" xfId="26216"/>
    <cellStyle name="Note 3 6 3" xfId="26217"/>
    <cellStyle name="Note 3 6 4" xfId="26218"/>
    <cellStyle name="Note 3 7" xfId="26219"/>
    <cellStyle name="Note 3 8" xfId="26220"/>
    <cellStyle name="Note 3 9" xfId="26221"/>
    <cellStyle name="Note 4" xfId="26222"/>
    <cellStyle name="Note 4 10" xfId="26223"/>
    <cellStyle name="Note 4 2" xfId="26224"/>
    <cellStyle name="Note 4 2 2" xfId="26225"/>
    <cellStyle name="Note 4 2 2 2" xfId="26226"/>
    <cellStyle name="Note 4 2 2 2 2" xfId="26227"/>
    <cellStyle name="Note 4 2 2 2 2 2" xfId="26228"/>
    <cellStyle name="Note 4 2 2 2 2 3" xfId="26229"/>
    <cellStyle name="Note 4 2 2 2 2 4" xfId="26230"/>
    <cellStyle name="Note 4 2 2 2 3" xfId="26231"/>
    <cellStyle name="Note 4 2 2 2 3 2" xfId="26232"/>
    <cellStyle name="Note 4 2 2 2 3 3" xfId="26233"/>
    <cellStyle name="Note 4 2 2 2 3 4" xfId="26234"/>
    <cellStyle name="Note 4 2 2 2 4" xfId="26235"/>
    <cellStyle name="Note 4 2 2 2 5" xfId="26236"/>
    <cellStyle name="Note 4 2 2 2 6" xfId="26237"/>
    <cellStyle name="Note 4 2 2 3" xfId="26238"/>
    <cellStyle name="Note 4 2 2 3 2" xfId="26239"/>
    <cellStyle name="Note 4 2 2 3 2 2" xfId="26240"/>
    <cellStyle name="Note 4 2 2 3 2 3" xfId="26241"/>
    <cellStyle name="Note 4 2 2 3 2 4" xfId="26242"/>
    <cellStyle name="Note 4 2 2 3 3" xfId="26243"/>
    <cellStyle name="Note 4 2 2 3 3 2" xfId="26244"/>
    <cellStyle name="Note 4 2 2 3 3 3" xfId="26245"/>
    <cellStyle name="Note 4 2 2 3 3 4" xfId="26246"/>
    <cellStyle name="Note 4 2 2 3 4" xfId="26247"/>
    <cellStyle name="Note 4 2 2 3 5" xfId="26248"/>
    <cellStyle name="Note 4 2 2 3 6" xfId="26249"/>
    <cellStyle name="Note 4 2 2 4" xfId="26250"/>
    <cellStyle name="Note 4 2 2 4 2" xfId="26251"/>
    <cellStyle name="Note 4 2 2 4 3" xfId="26252"/>
    <cellStyle name="Note 4 2 2 4 4" xfId="26253"/>
    <cellStyle name="Note 4 2 2 5" xfId="26254"/>
    <cellStyle name="Note 4 2 2 5 2" xfId="26255"/>
    <cellStyle name="Note 4 2 2 5 3" xfId="26256"/>
    <cellStyle name="Note 4 2 2 5 4" xfId="26257"/>
    <cellStyle name="Note 4 2 2 6" xfId="26258"/>
    <cellStyle name="Note 4 2 2 7" xfId="26259"/>
    <cellStyle name="Note 4 2 2 8" xfId="26260"/>
    <cellStyle name="Note 4 2 3" xfId="26261"/>
    <cellStyle name="Note 4 2 3 2" xfId="26262"/>
    <cellStyle name="Note 4 2 3 2 2" xfId="26263"/>
    <cellStyle name="Note 4 2 3 2 3" xfId="26264"/>
    <cellStyle name="Note 4 2 3 2 4" xfId="26265"/>
    <cellStyle name="Note 4 2 3 3" xfId="26266"/>
    <cellStyle name="Note 4 2 3 3 2" xfId="26267"/>
    <cellStyle name="Note 4 2 3 3 3" xfId="26268"/>
    <cellStyle name="Note 4 2 3 3 4" xfId="26269"/>
    <cellStyle name="Note 4 2 3 4" xfId="26270"/>
    <cellStyle name="Note 4 2 3 5" xfId="26271"/>
    <cellStyle name="Note 4 2 3 6" xfId="26272"/>
    <cellStyle name="Note 4 2 4" xfId="26273"/>
    <cellStyle name="Note 4 2 4 2" xfId="26274"/>
    <cellStyle name="Note 4 2 4 2 2" xfId="26275"/>
    <cellStyle name="Note 4 2 4 2 3" xfId="26276"/>
    <cellStyle name="Note 4 2 4 2 4" xfId="26277"/>
    <cellStyle name="Note 4 2 4 3" xfId="26278"/>
    <cellStyle name="Note 4 2 4 3 2" xfId="26279"/>
    <cellStyle name="Note 4 2 4 3 3" xfId="26280"/>
    <cellStyle name="Note 4 2 4 3 4" xfId="26281"/>
    <cellStyle name="Note 4 2 4 4" xfId="26282"/>
    <cellStyle name="Note 4 2 4 5" xfId="26283"/>
    <cellStyle name="Note 4 2 4 6" xfId="26284"/>
    <cellStyle name="Note 4 2 5" xfId="26285"/>
    <cellStyle name="Note 4 2 5 2" xfId="26286"/>
    <cellStyle name="Note 4 2 5 3" xfId="26287"/>
    <cellStyle name="Note 4 2 5 4" xfId="26288"/>
    <cellStyle name="Note 4 2 6" xfId="26289"/>
    <cellStyle name="Note 4 2 6 2" xfId="26290"/>
    <cellStyle name="Note 4 2 6 3" xfId="26291"/>
    <cellStyle name="Note 4 2 6 4" xfId="26292"/>
    <cellStyle name="Note 4 2 7" xfId="26293"/>
    <cellStyle name="Note 4 2 8" xfId="26294"/>
    <cellStyle name="Note 4 2 9" xfId="26295"/>
    <cellStyle name="Note 4 3" xfId="26296"/>
    <cellStyle name="Note 4 3 2" xfId="26297"/>
    <cellStyle name="Note 4 3 2 2" xfId="26298"/>
    <cellStyle name="Note 4 3 2 3" xfId="26299"/>
    <cellStyle name="Note 4 3 2 4" xfId="26300"/>
    <cellStyle name="Note 4 3 3" xfId="26301"/>
    <cellStyle name="Note 4 3 3 2" xfId="26302"/>
    <cellStyle name="Note 4 3 3 3" xfId="26303"/>
    <cellStyle name="Note 4 3 3 4" xfId="26304"/>
    <cellStyle name="Note 4 3 4" xfId="26305"/>
    <cellStyle name="Note 4 3 5" xfId="26306"/>
    <cellStyle name="Note 4 3 6" xfId="26307"/>
    <cellStyle name="Note 4 4" xfId="26308"/>
    <cellStyle name="Note 4 4 2" xfId="26309"/>
    <cellStyle name="Note 4 4 2 2" xfId="26310"/>
    <cellStyle name="Note 4 4 2 3" xfId="26311"/>
    <cellStyle name="Note 4 4 2 4" xfId="26312"/>
    <cellStyle name="Note 4 4 3" xfId="26313"/>
    <cellStyle name="Note 4 4 3 2" xfId="26314"/>
    <cellStyle name="Note 4 4 3 3" xfId="26315"/>
    <cellStyle name="Note 4 4 3 4" xfId="26316"/>
    <cellStyle name="Note 4 4 4" xfId="26317"/>
    <cellStyle name="Note 4 4 5" xfId="26318"/>
    <cellStyle name="Note 4 4 6" xfId="26319"/>
    <cellStyle name="Note 4 5" xfId="26320"/>
    <cellStyle name="Note 4 5 2" xfId="26321"/>
    <cellStyle name="Note 4 5 3" xfId="26322"/>
    <cellStyle name="Note 4 5 4" xfId="26323"/>
    <cellStyle name="Note 4 6" xfId="26324"/>
    <cellStyle name="Note 4 6 2" xfId="26325"/>
    <cellStyle name="Note 4 6 3" xfId="26326"/>
    <cellStyle name="Note 4 6 4" xfId="26327"/>
    <cellStyle name="Note 4 7" xfId="26328"/>
    <cellStyle name="Note 4 8" xfId="26329"/>
    <cellStyle name="Note 4 9" xfId="26330"/>
    <cellStyle name="Note 5" xfId="26331"/>
    <cellStyle name="Note 5 10" xfId="26332"/>
    <cellStyle name="Note 5 2" xfId="26333"/>
    <cellStyle name="Note 5 2 2" xfId="26334"/>
    <cellStyle name="Note 5 2 2 2" xfId="26335"/>
    <cellStyle name="Note 5 2 2 2 2" xfId="26336"/>
    <cellStyle name="Note 5 2 2 2 2 2" xfId="26337"/>
    <cellStyle name="Note 5 2 2 2 2 3" xfId="26338"/>
    <cellStyle name="Note 5 2 2 2 2 4" xfId="26339"/>
    <cellStyle name="Note 5 2 2 2 3" xfId="26340"/>
    <cellStyle name="Note 5 2 2 2 3 2" xfId="26341"/>
    <cellStyle name="Note 5 2 2 2 3 3" xfId="26342"/>
    <cellStyle name="Note 5 2 2 2 3 4" xfId="26343"/>
    <cellStyle name="Note 5 2 2 2 4" xfId="26344"/>
    <cellStyle name="Note 5 2 2 2 5" xfId="26345"/>
    <cellStyle name="Note 5 2 2 2 6" xfId="26346"/>
    <cellStyle name="Note 5 2 2 3" xfId="26347"/>
    <cellStyle name="Note 5 2 2 3 2" xfId="26348"/>
    <cellStyle name="Note 5 2 2 3 2 2" xfId="26349"/>
    <cellStyle name="Note 5 2 2 3 2 3" xfId="26350"/>
    <cellStyle name="Note 5 2 2 3 2 4" xfId="26351"/>
    <cellStyle name="Note 5 2 2 3 3" xfId="26352"/>
    <cellStyle name="Note 5 2 2 3 3 2" xfId="26353"/>
    <cellStyle name="Note 5 2 2 3 3 3" xfId="26354"/>
    <cellStyle name="Note 5 2 2 3 3 4" xfId="26355"/>
    <cellStyle name="Note 5 2 2 3 4" xfId="26356"/>
    <cellStyle name="Note 5 2 2 3 5" xfId="26357"/>
    <cellStyle name="Note 5 2 2 3 6" xfId="26358"/>
    <cellStyle name="Note 5 2 2 4" xfId="26359"/>
    <cellStyle name="Note 5 2 2 4 2" xfId="26360"/>
    <cellStyle name="Note 5 2 2 4 3" xfId="26361"/>
    <cellStyle name="Note 5 2 2 4 4" xfId="26362"/>
    <cellStyle name="Note 5 2 2 5" xfId="26363"/>
    <cellStyle name="Note 5 2 2 5 2" xfId="26364"/>
    <cellStyle name="Note 5 2 2 5 3" xfId="26365"/>
    <cellStyle name="Note 5 2 2 5 4" xfId="26366"/>
    <cellStyle name="Note 5 2 2 6" xfId="26367"/>
    <cellStyle name="Note 5 2 2 7" xfId="26368"/>
    <cellStyle name="Note 5 2 2 8" xfId="26369"/>
    <cellStyle name="Note 5 2 3" xfId="26370"/>
    <cellStyle name="Note 5 2 3 2" xfId="26371"/>
    <cellStyle name="Note 5 2 3 2 2" xfId="26372"/>
    <cellStyle name="Note 5 2 3 2 3" xfId="26373"/>
    <cellStyle name="Note 5 2 3 2 4" xfId="26374"/>
    <cellStyle name="Note 5 2 3 3" xfId="26375"/>
    <cellStyle name="Note 5 2 3 3 2" xfId="26376"/>
    <cellStyle name="Note 5 2 3 3 3" xfId="26377"/>
    <cellStyle name="Note 5 2 3 3 4" xfId="26378"/>
    <cellStyle name="Note 5 2 3 4" xfId="26379"/>
    <cellStyle name="Note 5 2 3 5" xfId="26380"/>
    <cellStyle name="Note 5 2 3 6" xfId="26381"/>
    <cellStyle name="Note 5 2 4" xfId="26382"/>
    <cellStyle name="Note 5 2 4 2" xfId="26383"/>
    <cellStyle name="Note 5 2 4 2 2" xfId="26384"/>
    <cellStyle name="Note 5 2 4 2 3" xfId="26385"/>
    <cellStyle name="Note 5 2 4 2 4" xfId="26386"/>
    <cellStyle name="Note 5 2 4 3" xfId="26387"/>
    <cellStyle name="Note 5 2 4 3 2" xfId="26388"/>
    <cellStyle name="Note 5 2 4 3 3" xfId="26389"/>
    <cellStyle name="Note 5 2 4 3 4" xfId="26390"/>
    <cellStyle name="Note 5 2 4 4" xfId="26391"/>
    <cellStyle name="Note 5 2 4 5" xfId="26392"/>
    <cellStyle name="Note 5 2 4 6" xfId="26393"/>
    <cellStyle name="Note 5 2 5" xfId="26394"/>
    <cellStyle name="Note 5 2 5 2" xfId="26395"/>
    <cellStyle name="Note 5 2 5 3" xfId="26396"/>
    <cellStyle name="Note 5 2 5 4" xfId="26397"/>
    <cellStyle name="Note 5 2 6" xfId="26398"/>
    <cellStyle name="Note 5 2 6 2" xfId="26399"/>
    <cellStyle name="Note 5 2 6 3" xfId="26400"/>
    <cellStyle name="Note 5 2 6 4" xfId="26401"/>
    <cellStyle name="Note 5 2 7" xfId="26402"/>
    <cellStyle name="Note 5 2 8" xfId="26403"/>
    <cellStyle name="Note 5 2 9" xfId="26404"/>
    <cellStyle name="Note 5 3" xfId="26405"/>
    <cellStyle name="Note 5 3 2" xfId="26406"/>
    <cellStyle name="Note 5 3 2 2" xfId="26407"/>
    <cellStyle name="Note 5 3 2 3" xfId="26408"/>
    <cellStyle name="Note 5 3 2 4" xfId="26409"/>
    <cellStyle name="Note 5 3 3" xfId="26410"/>
    <cellStyle name="Note 5 3 3 2" xfId="26411"/>
    <cellStyle name="Note 5 3 3 3" xfId="26412"/>
    <cellStyle name="Note 5 3 3 4" xfId="26413"/>
    <cellStyle name="Note 5 3 4" xfId="26414"/>
    <cellStyle name="Note 5 3 5" xfId="26415"/>
    <cellStyle name="Note 5 3 6" xfId="26416"/>
    <cellStyle name="Note 5 4" xfId="26417"/>
    <cellStyle name="Note 5 4 2" xfId="26418"/>
    <cellStyle name="Note 5 4 2 2" xfId="26419"/>
    <cellStyle name="Note 5 4 2 3" xfId="26420"/>
    <cellStyle name="Note 5 4 2 4" xfId="26421"/>
    <cellStyle name="Note 5 4 3" xfId="26422"/>
    <cellStyle name="Note 5 4 3 2" xfId="26423"/>
    <cellStyle name="Note 5 4 3 3" xfId="26424"/>
    <cellStyle name="Note 5 4 3 4" xfId="26425"/>
    <cellStyle name="Note 5 4 4" xfId="26426"/>
    <cellStyle name="Note 5 4 5" xfId="26427"/>
    <cellStyle name="Note 5 4 6" xfId="26428"/>
    <cellStyle name="Note 5 5" xfId="26429"/>
    <cellStyle name="Note 5 5 2" xfId="26430"/>
    <cellStyle name="Note 5 5 3" xfId="26431"/>
    <cellStyle name="Note 5 5 4" xfId="26432"/>
    <cellStyle name="Note 5 6" xfId="26433"/>
    <cellStyle name="Note 5 6 2" xfId="26434"/>
    <cellStyle name="Note 5 6 3" xfId="26435"/>
    <cellStyle name="Note 5 6 4" xfId="26436"/>
    <cellStyle name="Note 5 7" xfId="26437"/>
    <cellStyle name="Note 5 8" xfId="26438"/>
    <cellStyle name="Note 5 9" xfId="26439"/>
    <cellStyle name="Note 6" xfId="26440"/>
    <cellStyle name="Note 6 10" xfId="26441"/>
    <cellStyle name="Note 6 2" xfId="26442"/>
    <cellStyle name="Note 6 2 2" xfId="26443"/>
    <cellStyle name="Note 6 2 2 2" xfId="26444"/>
    <cellStyle name="Note 6 2 2 2 2" xfId="26445"/>
    <cellStyle name="Note 6 2 2 2 2 2" xfId="26446"/>
    <cellStyle name="Note 6 2 2 2 2 3" xfId="26447"/>
    <cellStyle name="Note 6 2 2 2 2 4" xfId="26448"/>
    <cellStyle name="Note 6 2 2 2 3" xfId="26449"/>
    <cellStyle name="Note 6 2 2 2 3 2" xfId="26450"/>
    <cellStyle name="Note 6 2 2 2 3 3" xfId="26451"/>
    <cellStyle name="Note 6 2 2 2 3 4" xfId="26452"/>
    <cellStyle name="Note 6 2 2 2 4" xfId="26453"/>
    <cellStyle name="Note 6 2 2 2 5" xfId="26454"/>
    <cellStyle name="Note 6 2 2 2 6" xfId="26455"/>
    <cellStyle name="Note 6 2 2 3" xfId="26456"/>
    <cellStyle name="Note 6 2 2 3 2" xfId="26457"/>
    <cellStyle name="Note 6 2 2 3 2 2" xfId="26458"/>
    <cellStyle name="Note 6 2 2 3 2 3" xfId="26459"/>
    <cellStyle name="Note 6 2 2 3 2 4" xfId="26460"/>
    <cellStyle name="Note 6 2 2 3 3" xfId="26461"/>
    <cellStyle name="Note 6 2 2 3 3 2" xfId="26462"/>
    <cellStyle name="Note 6 2 2 3 3 3" xfId="26463"/>
    <cellStyle name="Note 6 2 2 3 3 4" xfId="26464"/>
    <cellStyle name="Note 6 2 2 3 4" xfId="26465"/>
    <cellStyle name="Note 6 2 2 3 5" xfId="26466"/>
    <cellStyle name="Note 6 2 2 3 6" xfId="26467"/>
    <cellStyle name="Note 6 2 2 4" xfId="26468"/>
    <cellStyle name="Note 6 2 2 4 2" xfId="26469"/>
    <cellStyle name="Note 6 2 2 4 3" xfId="26470"/>
    <cellStyle name="Note 6 2 2 4 4" xfId="26471"/>
    <cellStyle name="Note 6 2 2 5" xfId="26472"/>
    <cellStyle name="Note 6 2 2 5 2" xfId="26473"/>
    <cellStyle name="Note 6 2 2 5 3" xfId="26474"/>
    <cellStyle name="Note 6 2 2 5 4" xfId="26475"/>
    <cellStyle name="Note 6 2 2 6" xfId="26476"/>
    <cellStyle name="Note 6 2 2 7" xfId="26477"/>
    <cellStyle name="Note 6 2 2 8" xfId="26478"/>
    <cellStyle name="Note 6 2 3" xfId="26479"/>
    <cellStyle name="Note 6 2 3 2" xfId="26480"/>
    <cellStyle name="Note 6 2 3 2 2" xfId="26481"/>
    <cellStyle name="Note 6 2 3 2 3" xfId="26482"/>
    <cellStyle name="Note 6 2 3 2 4" xfId="26483"/>
    <cellStyle name="Note 6 2 3 3" xfId="26484"/>
    <cellStyle name="Note 6 2 3 3 2" xfId="26485"/>
    <cellStyle name="Note 6 2 3 3 3" xfId="26486"/>
    <cellStyle name="Note 6 2 3 3 4" xfId="26487"/>
    <cellStyle name="Note 6 2 3 4" xfId="26488"/>
    <cellStyle name="Note 6 2 3 5" xfId="26489"/>
    <cellStyle name="Note 6 2 3 6" xfId="26490"/>
    <cellStyle name="Note 6 2 4" xfId="26491"/>
    <cellStyle name="Note 6 2 4 2" xfId="26492"/>
    <cellStyle name="Note 6 2 4 2 2" xfId="26493"/>
    <cellStyle name="Note 6 2 4 2 3" xfId="26494"/>
    <cellStyle name="Note 6 2 4 2 4" xfId="26495"/>
    <cellStyle name="Note 6 2 4 3" xfId="26496"/>
    <cellStyle name="Note 6 2 4 3 2" xfId="26497"/>
    <cellStyle name="Note 6 2 4 3 3" xfId="26498"/>
    <cellStyle name="Note 6 2 4 3 4" xfId="26499"/>
    <cellStyle name="Note 6 2 4 4" xfId="26500"/>
    <cellStyle name="Note 6 2 4 5" xfId="26501"/>
    <cellStyle name="Note 6 2 4 6" xfId="26502"/>
    <cellStyle name="Note 6 2 5" xfId="26503"/>
    <cellStyle name="Note 6 2 5 2" xfId="26504"/>
    <cellStyle name="Note 6 2 5 3" xfId="26505"/>
    <cellStyle name="Note 6 2 5 4" xfId="26506"/>
    <cellStyle name="Note 6 2 6" xfId="26507"/>
    <cellStyle name="Note 6 2 6 2" xfId="26508"/>
    <cellStyle name="Note 6 2 6 3" xfId="26509"/>
    <cellStyle name="Note 6 2 6 4" xfId="26510"/>
    <cellStyle name="Note 6 2 7" xfId="26511"/>
    <cellStyle name="Note 6 2 8" xfId="26512"/>
    <cellStyle name="Note 6 2 9" xfId="26513"/>
    <cellStyle name="Note 6 3" xfId="26514"/>
    <cellStyle name="Note 6 3 2" xfId="26515"/>
    <cellStyle name="Note 6 3 2 2" xfId="26516"/>
    <cellStyle name="Note 6 3 2 3" xfId="26517"/>
    <cellStyle name="Note 6 3 2 4" xfId="26518"/>
    <cellStyle name="Note 6 3 3" xfId="26519"/>
    <cellStyle name="Note 6 3 3 2" xfId="26520"/>
    <cellStyle name="Note 6 3 3 3" xfId="26521"/>
    <cellStyle name="Note 6 3 3 4" xfId="26522"/>
    <cellStyle name="Note 6 3 4" xfId="26523"/>
    <cellStyle name="Note 6 3 5" xfId="26524"/>
    <cellStyle name="Note 6 3 6" xfId="26525"/>
    <cellStyle name="Note 6 4" xfId="26526"/>
    <cellStyle name="Note 6 4 2" xfId="26527"/>
    <cellStyle name="Note 6 4 2 2" xfId="26528"/>
    <cellStyle name="Note 6 4 2 3" xfId="26529"/>
    <cellStyle name="Note 6 4 2 4" xfId="26530"/>
    <cellStyle name="Note 6 4 3" xfId="26531"/>
    <cellStyle name="Note 6 4 3 2" xfId="26532"/>
    <cellStyle name="Note 6 4 3 3" xfId="26533"/>
    <cellStyle name="Note 6 4 3 4" xfId="26534"/>
    <cellStyle name="Note 6 4 4" xfId="26535"/>
    <cellStyle name="Note 6 4 5" xfId="26536"/>
    <cellStyle name="Note 6 4 6" xfId="26537"/>
    <cellStyle name="Note 6 5" xfId="26538"/>
    <cellStyle name="Note 6 5 2" xfId="26539"/>
    <cellStyle name="Note 6 5 3" xfId="26540"/>
    <cellStyle name="Note 6 5 4" xfId="26541"/>
    <cellStyle name="Note 6 6" xfId="26542"/>
    <cellStyle name="Note 6 6 2" xfId="26543"/>
    <cellStyle name="Note 6 6 3" xfId="26544"/>
    <cellStyle name="Note 6 6 4" xfId="26545"/>
    <cellStyle name="Note 6 7" xfId="26546"/>
    <cellStyle name="Note 6 8" xfId="26547"/>
    <cellStyle name="Note 6 9" xfId="26548"/>
    <cellStyle name="Note 7" xfId="26549"/>
    <cellStyle name="Note 7 10" xfId="26550"/>
    <cellStyle name="Note 7 2" xfId="26551"/>
    <cellStyle name="Note 7 2 2" xfId="26552"/>
    <cellStyle name="Note 7 2 2 2" xfId="26553"/>
    <cellStyle name="Note 7 2 2 2 2" xfId="26554"/>
    <cellStyle name="Note 7 2 2 2 3" xfId="26555"/>
    <cellStyle name="Note 7 2 2 2 4" xfId="26556"/>
    <cellStyle name="Note 7 2 2 3" xfId="26557"/>
    <cellStyle name="Note 7 2 2 3 2" xfId="26558"/>
    <cellStyle name="Note 7 2 2 3 3" xfId="26559"/>
    <cellStyle name="Note 7 2 2 3 4" xfId="26560"/>
    <cellStyle name="Note 7 2 2 4" xfId="26561"/>
    <cellStyle name="Note 7 2 2 5" xfId="26562"/>
    <cellStyle name="Note 7 2 2 6" xfId="26563"/>
    <cellStyle name="Note 7 2 3" xfId="26564"/>
    <cellStyle name="Note 7 2 3 2" xfId="26565"/>
    <cellStyle name="Note 7 2 3 2 2" xfId="26566"/>
    <cellStyle name="Note 7 2 3 2 3" xfId="26567"/>
    <cellStyle name="Note 7 2 3 2 4" xfId="26568"/>
    <cellStyle name="Note 7 2 3 3" xfId="26569"/>
    <cellStyle name="Note 7 2 3 3 2" xfId="26570"/>
    <cellStyle name="Note 7 2 3 3 3" xfId="26571"/>
    <cellStyle name="Note 7 2 3 3 4" xfId="26572"/>
    <cellStyle name="Note 7 2 3 4" xfId="26573"/>
    <cellStyle name="Note 7 2 3 5" xfId="26574"/>
    <cellStyle name="Note 7 2 3 6" xfId="26575"/>
    <cellStyle name="Note 7 2 4" xfId="26576"/>
    <cellStyle name="Note 7 2 4 2" xfId="26577"/>
    <cellStyle name="Note 7 2 4 3" xfId="26578"/>
    <cellStyle name="Note 7 2 4 4" xfId="26579"/>
    <cellStyle name="Note 7 2 5" xfId="26580"/>
    <cellStyle name="Note 7 2 5 2" xfId="26581"/>
    <cellStyle name="Note 7 2 5 3" xfId="26582"/>
    <cellStyle name="Note 7 2 5 4" xfId="26583"/>
    <cellStyle name="Note 7 2 6" xfId="26584"/>
    <cellStyle name="Note 7 2 7" xfId="26585"/>
    <cellStyle name="Note 7 2 8" xfId="26586"/>
    <cellStyle name="Note 7 3" xfId="26587"/>
    <cellStyle name="Note 7 3 2" xfId="26588"/>
    <cellStyle name="Note 7 3 2 2" xfId="26589"/>
    <cellStyle name="Note 7 3 2 3" xfId="26590"/>
    <cellStyle name="Note 7 3 2 4" xfId="26591"/>
    <cellStyle name="Note 7 3 3" xfId="26592"/>
    <cellStyle name="Note 7 3 3 2" xfId="26593"/>
    <cellStyle name="Note 7 3 3 3" xfId="26594"/>
    <cellStyle name="Note 7 3 3 4" xfId="26595"/>
    <cellStyle name="Note 7 3 4" xfId="26596"/>
    <cellStyle name="Note 7 3 5" xfId="26597"/>
    <cellStyle name="Note 7 3 6" xfId="26598"/>
    <cellStyle name="Note 7 4" xfId="26599"/>
    <cellStyle name="Note 7 4 2" xfId="26600"/>
    <cellStyle name="Note 7 4 2 2" xfId="26601"/>
    <cellStyle name="Note 7 4 2 3" xfId="26602"/>
    <cellStyle name="Note 7 4 2 4" xfId="26603"/>
    <cellStyle name="Note 7 4 3" xfId="26604"/>
    <cellStyle name="Note 7 4 3 2" xfId="26605"/>
    <cellStyle name="Note 7 4 3 3" xfId="26606"/>
    <cellStyle name="Note 7 4 3 4" xfId="26607"/>
    <cellStyle name="Note 7 4 4" xfId="26608"/>
    <cellStyle name="Note 7 4 5" xfId="26609"/>
    <cellStyle name="Note 7 4 6" xfId="26610"/>
    <cellStyle name="Note 7 5" xfId="26611"/>
    <cellStyle name="Note 7 5 2" xfId="26612"/>
    <cellStyle name="Note 7 5 3" xfId="26613"/>
    <cellStyle name="Note 7 5 4" xfId="26614"/>
    <cellStyle name="Note 7 6" xfId="26615"/>
    <cellStyle name="Note 7 6 2" xfId="26616"/>
    <cellStyle name="Note 7 6 3" xfId="26617"/>
    <cellStyle name="Note 7 6 4" xfId="26618"/>
    <cellStyle name="Note 7 7" xfId="26619"/>
    <cellStyle name="Note 7 8" xfId="26620"/>
    <cellStyle name="Note 7 9" xfId="26621"/>
    <cellStyle name="Note 8" xfId="26622"/>
    <cellStyle name="Note 8 2" xfId="26623"/>
    <cellStyle name="Note 8 2 2" xfId="26624"/>
    <cellStyle name="Note 8 2 3" xfId="26625"/>
    <cellStyle name="Note 8 2 4" xfId="26626"/>
    <cellStyle name="Note 8 3" xfId="26627"/>
    <cellStyle name="Note 8 3 2" xfId="26628"/>
    <cellStyle name="Note 8 3 3" xfId="26629"/>
    <cellStyle name="Note 8 3 4" xfId="26630"/>
    <cellStyle name="Note 8 4" xfId="26631"/>
    <cellStyle name="Note 8 5" xfId="26632"/>
    <cellStyle name="Note 8 6" xfId="26633"/>
    <cellStyle name="Note 8 7" xfId="26634"/>
    <cellStyle name="Note 9" xfId="26635"/>
    <cellStyle name="Note 9 2" xfId="26636"/>
    <cellStyle name="Note 9 2 2" xfId="26637"/>
    <cellStyle name="Note 9 2 3" xfId="26638"/>
    <cellStyle name="Note 9 2 4" xfId="26639"/>
    <cellStyle name="Note 9 3" xfId="26640"/>
    <cellStyle name="Note 9 3 2" xfId="26641"/>
    <cellStyle name="Note 9 3 3" xfId="26642"/>
    <cellStyle name="Note 9 3 4" xfId="26643"/>
    <cellStyle name="Note 9 4" xfId="26644"/>
    <cellStyle name="Note 9 5" xfId="26645"/>
    <cellStyle name="Note 9 6" xfId="26646"/>
    <cellStyle name="Note 9 7" xfId="26647"/>
    <cellStyle name="Notes" xfId="26648"/>
    <cellStyle name="Notes 2" xfId="26649"/>
    <cellStyle name="Notiz 2" xfId="26650"/>
    <cellStyle name="Number_00_Red" xfId="26651"/>
    <cellStyle name="øöñÞ_Australia_original" xfId="26652"/>
    <cellStyle name="Option" xfId="26653"/>
    <cellStyle name="Option 2" xfId="26654"/>
    <cellStyle name="OptionHeading" xfId="26655"/>
    <cellStyle name="Output 2" xfId="26656"/>
    <cellStyle name="Output 2 2" xfId="26657"/>
    <cellStyle name="Output 2 3" xfId="26658"/>
    <cellStyle name="Output 2 3 2" xfId="26659"/>
    <cellStyle name="Output 2 3 2 2" xfId="26660"/>
    <cellStyle name="Output 2 3 2 3" xfId="26661"/>
    <cellStyle name="Output 2 3 3" xfId="26662"/>
    <cellStyle name="Output 2 3 3 2" xfId="26663"/>
    <cellStyle name="Output 2 3 3 3" xfId="26664"/>
    <cellStyle name="Output 2 3 4" xfId="26665"/>
    <cellStyle name="Output 2 3 5" xfId="26666"/>
    <cellStyle name="Output 2 4" xfId="26667"/>
    <cellStyle name="Output 2 4 2" xfId="26668"/>
    <cellStyle name="Output 2 4 3" xfId="26669"/>
    <cellStyle name="Output 2 5" xfId="26670"/>
    <cellStyle name="Output 2 6" xfId="26671"/>
    <cellStyle name="Output 3" xfId="26672"/>
    <cellStyle name="Output 3 2" xfId="26673"/>
    <cellStyle name="pcent" xfId="26674"/>
    <cellStyle name="pcent 2" xfId="26675"/>
    <cellStyle name="Pénznem [0]_Ausdruck" xfId="26676"/>
    <cellStyle name="Pénznem_Ausdruck" xfId="26677"/>
    <cellStyle name="Percent ()" xfId="26678"/>
    <cellStyle name="Percent (0)" xfId="26679"/>
    <cellStyle name="Percent (1)" xfId="26680"/>
    <cellStyle name="Percent (1) 2" xfId="26681"/>
    <cellStyle name="Percent (2)" xfId="26682"/>
    <cellStyle name="Percent (2) 2" xfId="26683"/>
    <cellStyle name="Percent [0]" xfId="26684"/>
    <cellStyle name="Percent [0] 2" xfId="26685"/>
    <cellStyle name="Percent [00]" xfId="26686"/>
    <cellStyle name="Percent [2]" xfId="26687"/>
    <cellStyle name="Percent [2] 2" xfId="26688"/>
    <cellStyle name="Percent [2] 2 2" xfId="26689"/>
    <cellStyle name="Percent 1" xfId="26690"/>
    <cellStyle name="Percent 10" xfId="26691"/>
    <cellStyle name="Percent 10 2" xfId="26692"/>
    <cellStyle name="Percent 10 2 2" xfId="26693"/>
    <cellStyle name="Percent 10 3" xfId="26694"/>
    <cellStyle name="Percent 11" xfId="26695"/>
    <cellStyle name="Percent 11 2" xfId="26696"/>
    <cellStyle name="Percent 11 2 2" xfId="26697"/>
    <cellStyle name="Percent 11 3" xfId="26698"/>
    <cellStyle name="Percent 12" xfId="26699"/>
    <cellStyle name="Percent 12 2" xfId="26700"/>
    <cellStyle name="Percent 12 2 2" xfId="26701"/>
    <cellStyle name="Percent 12 3" xfId="26702"/>
    <cellStyle name="Percent 13" xfId="26703"/>
    <cellStyle name="Percent 14" xfId="26704"/>
    <cellStyle name="Percent 15" xfId="26705"/>
    <cellStyle name="Percent 16" xfId="26706"/>
    <cellStyle name="Percent 17" xfId="26707"/>
    <cellStyle name="Percent 18" xfId="26708"/>
    <cellStyle name="Percent 19" xfId="26709"/>
    <cellStyle name="Percent 2" xfId="26710"/>
    <cellStyle name="Percent 2 2" xfId="26711"/>
    <cellStyle name="Percent 2 3" xfId="26712"/>
    <cellStyle name="Percent 2 4" xfId="26713"/>
    <cellStyle name="Percent 2 5" xfId="26714"/>
    <cellStyle name="Percent 20" xfId="26715"/>
    <cellStyle name="Percent 21" xfId="26716"/>
    <cellStyle name="Percent 22" xfId="26717"/>
    <cellStyle name="Percent 23" xfId="26718"/>
    <cellStyle name="Percent 24" xfId="26719"/>
    <cellStyle name="Percent 25" xfId="26720"/>
    <cellStyle name="Percent 26" xfId="26721"/>
    <cellStyle name="Percent 27" xfId="26722"/>
    <cellStyle name="Percent 28" xfId="26723"/>
    <cellStyle name="Percent 29" xfId="26724"/>
    <cellStyle name="Percent 3" xfId="26725"/>
    <cellStyle name="Percent 3 2" xfId="26726"/>
    <cellStyle name="Percent 3 3" xfId="26727"/>
    <cellStyle name="Percent 3 4" xfId="26728"/>
    <cellStyle name="Percent 3 5" xfId="26729"/>
    <cellStyle name="Percent 30" xfId="26730"/>
    <cellStyle name="Percent 31" xfId="26731"/>
    <cellStyle name="Percent 32" xfId="26732"/>
    <cellStyle name="Percent 33" xfId="26733"/>
    <cellStyle name="Percent 34" xfId="26734"/>
    <cellStyle name="Percent 35" xfId="26735"/>
    <cellStyle name="Percent 36" xfId="26736"/>
    <cellStyle name="Percent 37" xfId="26737"/>
    <cellStyle name="Percent 38" xfId="26738"/>
    <cellStyle name="Percent 4" xfId="26739"/>
    <cellStyle name="Percent 4 2" xfId="26740"/>
    <cellStyle name="Percent 4 3" xfId="26741"/>
    <cellStyle name="Percent 4 4" xfId="26742"/>
    <cellStyle name="Percent 5" xfId="26743"/>
    <cellStyle name="Percent 5 2" xfId="26744"/>
    <cellStyle name="Percent 5 3" xfId="26745"/>
    <cellStyle name="Percent 5 4" xfId="26746"/>
    <cellStyle name="Percent 6" xfId="26747"/>
    <cellStyle name="Percent 6 2" xfId="26748"/>
    <cellStyle name="Percent 7" xfId="26749"/>
    <cellStyle name="Percent 7 2" xfId="26750"/>
    <cellStyle name="Percent 8" xfId="26751"/>
    <cellStyle name="Percent 8 2" xfId="26752"/>
    <cellStyle name="Percent 9" xfId="26753"/>
    <cellStyle name="Percent 9 2" xfId="26754"/>
    <cellStyle name="Percent 9 2 2" xfId="26755"/>
    <cellStyle name="Percent 9 3" xfId="26756"/>
    <cellStyle name="percentage" xfId="26757"/>
    <cellStyle name="PrePop Currency (0)" xfId="26758"/>
    <cellStyle name="PrePop Currency (0) 2" xfId="26759"/>
    <cellStyle name="PrePop Currency (2)" xfId="26760"/>
    <cellStyle name="PrePop Currency (2) 2" xfId="26761"/>
    <cellStyle name="PrePop Units (0)" xfId="26762"/>
    <cellStyle name="PrePop Units (0) 2" xfId="26763"/>
    <cellStyle name="PrePop Units (1)" xfId="26764"/>
    <cellStyle name="PrePop Units (1) 2" xfId="26765"/>
    <cellStyle name="PrePop Units (2)" xfId="26766"/>
    <cellStyle name="PrePop Units (2) 2" xfId="26767"/>
    <cellStyle name="Price" xfId="26768"/>
    <cellStyle name="Price 2" xfId="26769"/>
    <cellStyle name="Price 3" xfId="26770"/>
    <cellStyle name="Prozent_DEPREC.XLS" xfId="26771"/>
    <cellStyle name="PSChar" xfId="26772"/>
    <cellStyle name="PSDate" xfId="26773"/>
    <cellStyle name="PSDec" xfId="26774"/>
    <cellStyle name="PSHeading" xfId="26775"/>
    <cellStyle name="PSInt" xfId="26776"/>
    <cellStyle name="PSSpacer" xfId="26777"/>
    <cellStyle name="Qty" xfId="26778"/>
    <cellStyle name="RAMEY" xfId="26779"/>
    <cellStyle name="Ramey $k" xfId="26780"/>
    <cellStyle name="Ramey $k 2" xfId="26781"/>
    <cellStyle name="RAMEY_P&amp;O BKUP" xfId="26782"/>
    <cellStyle name="RevList" xfId="26783"/>
    <cellStyle name="SAPBEXaggData" xfId="26784"/>
    <cellStyle name="SAPBEXaggData 2" xfId="26785"/>
    <cellStyle name="SAPBEXaggData 2 2" xfId="26786"/>
    <cellStyle name="SAPBEXaggData 2 2 2" xfId="26787"/>
    <cellStyle name="SAPBEXaggData 2 2 2 2" xfId="26788"/>
    <cellStyle name="SAPBEXaggData 2 2 2 3" xfId="26789"/>
    <cellStyle name="SAPBEXaggData 2 2 3" xfId="26790"/>
    <cellStyle name="SAPBEXaggData 2 2 3 2" xfId="26791"/>
    <cellStyle name="SAPBEXaggData 2 2 3 3" xfId="26792"/>
    <cellStyle name="SAPBEXaggData 2 2 4" xfId="26793"/>
    <cellStyle name="SAPBEXaggData 2 2 5" xfId="26794"/>
    <cellStyle name="SAPBEXaggData 2 3" xfId="26795"/>
    <cellStyle name="SAPBEXaggData 2 3 2" xfId="26796"/>
    <cellStyle name="SAPBEXaggData 2 3 3" xfId="26797"/>
    <cellStyle name="SAPBEXaggData 2 4" xfId="26798"/>
    <cellStyle name="SAPBEXaggData 3" xfId="26799"/>
    <cellStyle name="SAPBEXaggData 3 2" xfId="26800"/>
    <cellStyle name="SAPBEXaggData 3 2 2" xfId="26801"/>
    <cellStyle name="SAPBEXaggData 3 2 3" xfId="26802"/>
    <cellStyle name="SAPBEXaggData 3 3" xfId="26803"/>
    <cellStyle name="SAPBEXaggData 3 3 2" xfId="26804"/>
    <cellStyle name="SAPBEXaggData 3 3 3" xfId="26805"/>
    <cellStyle name="SAPBEXaggData 3 4" xfId="26806"/>
    <cellStyle name="SAPBEXaggData 3 5" xfId="26807"/>
    <cellStyle name="SAPBEXaggData 4" xfId="26808"/>
    <cellStyle name="SAPBEXaggData 4 2" xfId="26809"/>
    <cellStyle name="SAPBEXaggData 4 3" xfId="26810"/>
    <cellStyle name="SAPBEXaggData 5" xfId="26811"/>
    <cellStyle name="SAPBEXaggDataEmph" xfId="26812"/>
    <cellStyle name="SAPBEXaggDataEmph 2" xfId="26813"/>
    <cellStyle name="SAPBEXaggDataEmph 2 2" xfId="26814"/>
    <cellStyle name="SAPBEXaggDataEmph 2 2 2" xfId="26815"/>
    <cellStyle name="SAPBEXaggDataEmph 2 2 3" xfId="26816"/>
    <cellStyle name="SAPBEXaggDataEmph 2 3" xfId="26817"/>
    <cellStyle name="SAPBEXaggDataEmph 2 3 2" xfId="26818"/>
    <cellStyle name="SAPBEXaggDataEmph 2 3 3" xfId="26819"/>
    <cellStyle name="SAPBEXaggDataEmph 2 4" xfId="26820"/>
    <cellStyle name="SAPBEXaggDataEmph 2 5" xfId="26821"/>
    <cellStyle name="SAPBEXaggDataEmph 3" xfId="26822"/>
    <cellStyle name="SAPBEXaggDataEmph 3 2" xfId="26823"/>
    <cellStyle name="SAPBEXaggDataEmph 3 3" xfId="26824"/>
    <cellStyle name="SAPBEXaggDataEmph 4" xfId="26825"/>
    <cellStyle name="SAPBEXaggItem" xfId="26826"/>
    <cellStyle name="SAPBEXaggItem 2" xfId="26827"/>
    <cellStyle name="SAPBEXaggItem 2 2" xfId="26828"/>
    <cellStyle name="SAPBEXaggItem 2 2 2" xfId="26829"/>
    <cellStyle name="SAPBEXaggItem 2 2 2 2" xfId="26830"/>
    <cellStyle name="SAPBEXaggItem 2 2 2 3" xfId="26831"/>
    <cellStyle name="SAPBEXaggItem 2 2 3" xfId="26832"/>
    <cellStyle name="SAPBEXaggItem 2 2 3 2" xfId="26833"/>
    <cellStyle name="SAPBEXaggItem 2 2 3 3" xfId="26834"/>
    <cellStyle name="SAPBEXaggItem 2 2 4" xfId="26835"/>
    <cellStyle name="SAPBEXaggItem 2 2 5" xfId="26836"/>
    <cellStyle name="SAPBEXaggItem 2 3" xfId="26837"/>
    <cellStyle name="SAPBEXaggItem 2 3 2" xfId="26838"/>
    <cellStyle name="SAPBEXaggItem 2 3 3" xfId="26839"/>
    <cellStyle name="SAPBEXaggItem 2 4" xfId="26840"/>
    <cellStyle name="SAPBEXaggItem 3" xfId="26841"/>
    <cellStyle name="SAPBEXaggItem 3 2" xfId="26842"/>
    <cellStyle name="SAPBEXaggItem 3 2 2" xfId="26843"/>
    <cellStyle name="SAPBEXaggItem 3 2 3" xfId="26844"/>
    <cellStyle name="SAPBEXaggItem 3 3" xfId="26845"/>
    <cellStyle name="SAPBEXaggItem 3 3 2" xfId="26846"/>
    <cellStyle name="SAPBEXaggItem 3 3 3" xfId="26847"/>
    <cellStyle name="SAPBEXaggItem 3 4" xfId="26848"/>
    <cellStyle name="SAPBEXaggItem 3 5" xfId="26849"/>
    <cellStyle name="SAPBEXaggItem 4" xfId="26850"/>
    <cellStyle name="SAPBEXaggItem 4 2" xfId="26851"/>
    <cellStyle name="SAPBEXaggItem 4 3" xfId="26852"/>
    <cellStyle name="SAPBEXaggItem 5" xfId="26853"/>
    <cellStyle name="SAPBEXaggItemX" xfId="26854"/>
    <cellStyle name="SAPBEXaggItemX 2" xfId="26855"/>
    <cellStyle name="SAPBEXaggItemX 2 2" xfId="26856"/>
    <cellStyle name="SAPBEXaggItemX 2 2 2" xfId="26857"/>
    <cellStyle name="SAPBEXaggItemX 2 2 2 2" xfId="26858"/>
    <cellStyle name="SAPBEXaggItemX 2 2 2 3" xfId="26859"/>
    <cellStyle name="SAPBEXaggItemX 2 2 3" xfId="26860"/>
    <cellStyle name="SAPBEXaggItemX 2 2 3 2" xfId="26861"/>
    <cellStyle name="SAPBEXaggItemX 2 2 3 3" xfId="26862"/>
    <cellStyle name="SAPBEXaggItemX 2 2 4" xfId="26863"/>
    <cellStyle name="SAPBEXaggItemX 2 2 5" xfId="26864"/>
    <cellStyle name="SAPBEXaggItemX 2 3" xfId="26865"/>
    <cellStyle name="SAPBEXaggItemX 2 3 2" xfId="26866"/>
    <cellStyle name="SAPBEXaggItemX 2 3 3" xfId="26867"/>
    <cellStyle name="SAPBEXaggItemX 2 4" xfId="26868"/>
    <cellStyle name="SAPBEXaggItemX 3" xfId="26869"/>
    <cellStyle name="SAPBEXaggItemX 3 2" xfId="26870"/>
    <cellStyle name="SAPBEXaggItemX 3 2 2" xfId="26871"/>
    <cellStyle name="SAPBEXaggItemX 3 2 3" xfId="26872"/>
    <cellStyle name="SAPBEXaggItemX 3 3" xfId="26873"/>
    <cellStyle name="SAPBEXaggItemX 3 3 2" xfId="26874"/>
    <cellStyle name="SAPBEXaggItemX 3 3 3" xfId="26875"/>
    <cellStyle name="SAPBEXaggItemX 3 4" xfId="26876"/>
    <cellStyle name="SAPBEXaggItemX 3 5" xfId="26877"/>
    <cellStyle name="SAPBEXaggItemX 4" xfId="26878"/>
    <cellStyle name="SAPBEXaggItemX 4 2" xfId="26879"/>
    <cellStyle name="SAPBEXaggItemX 4 3" xfId="26880"/>
    <cellStyle name="SAPBEXaggItemX 5" xfId="26881"/>
    <cellStyle name="SAPBEXchaText" xfId="26882"/>
    <cellStyle name="SAPBEXchaText 2" xfId="26883"/>
    <cellStyle name="SAPBEXchaText 2 2" xfId="26884"/>
    <cellStyle name="SAPBEXchaText 2 2 2" xfId="26885"/>
    <cellStyle name="SAPBEXchaText 2 2 3" xfId="26886"/>
    <cellStyle name="SAPBEXchaText 2 3" xfId="26887"/>
    <cellStyle name="SAPBEXchaText 2 3 2" xfId="26888"/>
    <cellStyle name="SAPBEXchaText 2 3 3" xfId="26889"/>
    <cellStyle name="SAPBEXchaText 2 4" xfId="26890"/>
    <cellStyle name="SAPBEXchaText 2 5" xfId="26891"/>
    <cellStyle name="SAPBEXchaText 3" xfId="26892"/>
    <cellStyle name="SAPBEXchaText 3 2" xfId="26893"/>
    <cellStyle name="SAPBEXchaText 3 3" xfId="26894"/>
    <cellStyle name="SAPBEXchaText 4" xfId="26895"/>
    <cellStyle name="SAPBEXexcBad7" xfId="26896"/>
    <cellStyle name="SAPBEXexcBad7 2" xfId="26897"/>
    <cellStyle name="SAPBEXexcBad7 2 2" xfId="26898"/>
    <cellStyle name="SAPBEXexcBad7 2 2 2" xfId="26899"/>
    <cellStyle name="SAPBEXexcBad7 2 2 2 2" xfId="26900"/>
    <cellStyle name="SAPBEXexcBad7 2 2 2 3" xfId="26901"/>
    <cellStyle name="SAPBEXexcBad7 2 2 3" xfId="26902"/>
    <cellStyle name="SAPBEXexcBad7 2 2 3 2" xfId="26903"/>
    <cellStyle name="SAPBEXexcBad7 2 2 3 3" xfId="26904"/>
    <cellStyle name="SAPBEXexcBad7 2 2 4" xfId="26905"/>
    <cellStyle name="SAPBEXexcBad7 2 2 5" xfId="26906"/>
    <cellStyle name="SAPBEXexcBad7 2 3" xfId="26907"/>
    <cellStyle name="SAPBEXexcBad7 2 3 2" xfId="26908"/>
    <cellStyle name="SAPBEXexcBad7 2 3 3" xfId="26909"/>
    <cellStyle name="SAPBEXexcBad7 2 4" xfId="26910"/>
    <cellStyle name="SAPBEXexcBad7 3" xfId="26911"/>
    <cellStyle name="SAPBEXexcBad7 3 2" xfId="26912"/>
    <cellStyle name="SAPBEXexcBad7 3 2 2" xfId="26913"/>
    <cellStyle name="SAPBEXexcBad7 3 2 3" xfId="26914"/>
    <cellStyle name="SAPBEXexcBad7 3 3" xfId="26915"/>
    <cellStyle name="SAPBEXexcBad7 3 3 2" xfId="26916"/>
    <cellStyle name="SAPBEXexcBad7 3 3 3" xfId="26917"/>
    <cellStyle name="SAPBEXexcBad7 3 4" xfId="26918"/>
    <cellStyle name="SAPBEXexcBad7 3 5" xfId="26919"/>
    <cellStyle name="SAPBEXexcBad7 4" xfId="26920"/>
    <cellStyle name="SAPBEXexcBad7 4 2" xfId="26921"/>
    <cellStyle name="SAPBEXexcBad7 4 3" xfId="26922"/>
    <cellStyle name="SAPBEXexcBad7 5" xfId="26923"/>
    <cellStyle name="SAPBEXexcBad8" xfId="26924"/>
    <cellStyle name="SAPBEXexcBad8 2" xfId="26925"/>
    <cellStyle name="SAPBEXexcBad8 2 2" xfId="26926"/>
    <cellStyle name="SAPBEXexcBad8 2 2 2" xfId="26927"/>
    <cellStyle name="SAPBEXexcBad8 2 2 2 2" xfId="26928"/>
    <cellStyle name="SAPBEXexcBad8 2 2 2 3" xfId="26929"/>
    <cellStyle name="SAPBEXexcBad8 2 2 3" xfId="26930"/>
    <cellStyle name="SAPBEXexcBad8 2 2 3 2" xfId="26931"/>
    <cellStyle name="SAPBEXexcBad8 2 2 3 3" xfId="26932"/>
    <cellStyle name="SAPBEXexcBad8 2 2 4" xfId="26933"/>
    <cellStyle name="SAPBEXexcBad8 2 2 5" xfId="26934"/>
    <cellStyle name="SAPBEXexcBad8 2 3" xfId="26935"/>
    <cellStyle name="SAPBEXexcBad8 2 3 2" xfId="26936"/>
    <cellStyle name="SAPBEXexcBad8 2 3 3" xfId="26937"/>
    <cellStyle name="SAPBEXexcBad8 2 4" xfId="26938"/>
    <cellStyle name="SAPBEXexcBad8 3" xfId="26939"/>
    <cellStyle name="SAPBEXexcBad8 3 2" xfId="26940"/>
    <cellStyle name="SAPBEXexcBad8 3 2 2" xfId="26941"/>
    <cellStyle name="SAPBEXexcBad8 3 2 3" xfId="26942"/>
    <cellStyle name="SAPBEXexcBad8 3 3" xfId="26943"/>
    <cellStyle name="SAPBEXexcBad8 3 3 2" xfId="26944"/>
    <cellStyle name="SAPBEXexcBad8 3 3 3" xfId="26945"/>
    <cellStyle name="SAPBEXexcBad8 3 4" xfId="26946"/>
    <cellStyle name="SAPBEXexcBad8 3 5" xfId="26947"/>
    <cellStyle name="SAPBEXexcBad8 4" xfId="26948"/>
    <cellStyle name="SAPBEXexcBad8 4 2" xfId="26949"/>
    <cellStyle name="SAPBEXexcBad8 4 3" xfId="26950"/>
    <cellStyle name="SAPBEXexcBad8 5" xfId="26951"/>
    <cellStyle name="SAPBEXexcBad9" xfId="26952"/>
    <cellStyle name="SAPBEXexcBad9 2" xfId="26953"/>
    <cellStyle name="SAPBEXexcBad9 2 2" xfId="26954"/>
    <cellStyle name="SAPBEXexcBad9 2 2 2" xfId="26955"/>
    <cellStyle name="SAPBEXexcBad9 2 2 2 2" xfId="26956"/>
    <cellStyle name="SAPBEXexcBad9 2 2 2 3" xfId="26957"/>
    <cellStyle name="SAPBEXexcBad9 2 2 3" xfId="26958"/>
    <cellStyle name="SAPBEXexcBad9 2 2 3 2" xfId="26959"/>
    <cellStyle name="SAPBEXexcBad9 2 2 3 3" xfId="26960"/>
    <cellStyle name="SAPBEXexcBad9 2 2 4" xfId="26961"/>
    <cellStyle name="SAPBEXexcBad9 2 2 5" xfId="26962"/>
    <cellStyle name="SAPBEXexcBad9 2 3" xfId="26963"/>
    <cellStyle name="SAPBEXexcBad9 2 3 2" xfId="26964"/>
    <cellStyle name="SAPBEXexcBad9 2 3 3" xfId="26965"/>
    <cellStyle name="SAPBEXexcBad9 2 4" xfId="26966"/>
    <cellStyle name="SAPBEXexcBad9 3" xfId="26967"/>
    <cellStyle name="SAPBEXexcBad9 3 2" xfId="26968"/>
    <cellStyle name="SAPBEXexcBad9 3 2 2" xfId="26969"/>
    <cellStyle name="SAPBEXexcBad9 3 2 3" xfId="26970"/>
    <cellStyle name="SAPBEXexcBad9 3 3" xfId="26971"/>
    <cellStyle name="SAPBEXexcBad9 3 3 2" xfId="26972"/>
    <cellStyle name="SAPBEXexcBad9 3 3 3" xfId="26973"/>
    <cellStyle name="SAPBEXexcBad9 3 4" xfId="26974"/>
    <cellStyle name="SAPBEXexcBad9 3 5" xfId="26975"/>
    <cellStyle name="SAPBEXexcBad9 4" xfId="26976"/>
    <cellStyle name="SAPBEXexcBad9 4 2" xfId="26977"/>
    <cellStyle name="SAPBEXexcBad9 4 3" xfId="26978"/>
    <cellStyle name="SAPBEXexcBad9 5" xfId="26979"/>
    <cellStyle name="SAPBEXexcCritical4" xfId="26980"/>
    <cellStyle name="SAPBEXexcCritical4 2" xfId="26981"/>
    <cellStyle name="SAPBEXexcCritical4 2 2" xfId="26982"/>
    <cellStyle name="SAPBEXexcCritical4 2 2 2" xfId="26983"/>
    <cellStyle name="SAPBEXexcCritical4 2 2 2 2" xfId="26984"/>
    <cellStyle name="SAPBEXexcCritical4 2 2 2 3" xfId="26985"/>
    <cellStyle name="SAPBEXexcCritical4 2 2 3" xfId="26986"/>
    <cellStyle name="SAPBEXexcCritical4 2 2 3 2" xfId="26987"/>
    <cellStyle name="SAPBEXexcCritical4 2 2 3 3" xfId="26988"/>
    <cellStyle name="SAPBEXexcCritical4 2 2 4" xfId="26989"/>
    <cellStyle name="SAPBEXexcCritical4 2 2 5" xfId="26990"/>
    <cellStyle name="SAPBEXexcCritical4 2 3" xfId="26991"/>
    <cellStyle name="SAPBEXexcCritical4 2 3 2" xfId="26992"/>
    <cellStyle name="SAPBEXexcCritical4 2 3 3" xfId="26993"/>
    <cellStyle name="SAPBEXexcCritical4 2 4" xfId="26994"/>
    <cellStyle name="SAPBEXexcCritical4 3" xfId="26995"/>
    <cellStyle name="SAPBEXexcCritical4 3 2" xfId="26996"/>
    <cellStyle name="SAPBEXexcCritical4 3 2 2" xfId="26997"/>
    <cellStyle name="SAPBEXexcCritical4 3 2 3" xfId="26998"/>
    <cellStyle name="SAPBEXexcCritical4 3 3" xfId="26999"/>
    <cellStyle name="SAPBEXexcCritical4 3 3 2" xfId="27000"/>
    <cellStyle name="SAPBEXexcCritical4 3 3 3" xfId="27001"/>
    <cellStyle name="SAPBEXexcCritical4 3 4" xfId="27002"/>
    <cellStyle name="SAPBEXexcCritical4 3 5" xfId="27003"/>
    <cellStyle name="SAPBEXexcCritical4 4" xfId="27004"/>
    <cellStyle name="SAPBEXexcCritical4 4 2" xfId="27005"/>
    <cellStyle name="SAPBEXexcCritical4 4 3" xfId="27006"/>
    <cellStyle name="SAPBEXexcCritical4 5" xfId="27007"/>
    <cellStyle name="SAPBEXexcCritical5" xfId="27008"/>
    <cellStyle name="SAPBEXexcCritical5 2" xfId="27009"/>
    <cellStyle name="SAPBEXexcCritical5 2 2" xfId="27010"/>
    <cellStyle name="SAPBEXexcCritical5 2 2 2" xfId="27011"/>
    <cellStyle name="SAPBEXexcCritical5 2 2 2 2" xfId="27012"/>
    <cellStyle name="SAPBEXexcCritical5 2 2 2 3" xfId="27013"/>
    <cellStyle name="SAPBEXexcCritical5 2 2 3" xfId="27014"/>
    <cellStyle name="SAPBEXexcCritical5 2 2 3 2" xfId="27015"/>
    <cellStyle name="SAPBEXexcCritical5 2 2 3 3" xfId="27016"/>
    <cellStyle name="SAPBEXexcCritical5 2 2 4" xfId="27017"/>
    <cellStyle name="SAPBEXexcCritical5 2 2 5" xfId="27018"/>
    <cellStyle name="SAPBEXexcCritical5 2 3" xfId="27019"/>
    <cellStyle name="SAPBEXexcCritical5 2 3 2" xfId="27020"/>
    <cellStyle name="SAPBEXexcCritical5 2 3 3" xfId="27021"/>
    <cellStyle name="SAPBEXexcCritical5 2 4" xfId="27022"/>
    <cellStyle name="SAPBEXexcCritical5 3" xfId="27023"/>
    <cellStyle name="SAPBEXexcCritical5 3 2" xfId="27024"/>
    <cellStyle name="SAPBEXexcCritical5 3 2 2" xfId="27025"/>
    <cellStyle name="SAPBEXexcCritical5 3 2 3" xfId="27026"/>
    <cellStyle name="SAPBEXexcCritical5 3 3" xfId="27027"/>
    <cellStyle name="SAPBEXexcCritical5 3 3 2" xfId="27028"/>
    <cellStyle name="SAPBEXexcCritical5 3 3 3" xfId="27029"/>
    <cellStyle name="SAPBEXexcCritical5 3 4" xfId="27030"/>
    <cellStyle name="SAPBEXexcCritical5 3 5" xfId="27031"/>
    <cellStyle name="SAPBEXexcCritical5 4" xfId="27032"/>
    <cellStyle name="SAPBEXexcCritical5 4 2" xfId="27033"/>
    <cellStyle name="SAPBEXexcCritical5 4 3" xfId="27034"/>
    <cellStyle name="SAPBEXexcCritical5 5" xfId="27035"/>
    <cellStyle name="SAPBEXexcCritical6" xfId="27036"/>
    <cellStyle name="SAPBEXexcCritical6 2" xfId="27037"/>
    <cellStyle name="SAPBEXexcCritical6 2 2" xfId="27038"/>
    <cellStyle name="SAPBEXexcCritical6 2 2 2" xfId="27039"/>
    <cellStyle name="SAPBEXexcCritical6 2 2 2 2" xfId="27040"/>
    <cellStyle name="SAPBEXexcCritical6 2 2 2 3" xfId="27041"/>
    <cellStyle name="SAPBEXexcCritical6 2 2 3" xfId="27042"/>
    <cellStyle name="SAPBEXexcCritical6 2 2 3 2" xfId="27043"/>
    <cellStyle name="SAPBEXexcCritical6 2 2 3 3" xfId="27044"/>
    <cellStyle name="SAPBEXexcCritical6 2 2 4" xfId="27045"/>
    <cellStyle name="SAPBEXexcCritical6 2 2 5" xfId="27046"/>
    <cellStyle name="SAPBEXexcCritical6 2 3" xfId="27047"/>
    <cellStyle name="SAPBEXexcCritical6 2 3 2" xfId="27048"/>
    <cellStyle name="SAPBEXexcCritical6 2 3 3" xfId="27049"/>
    <cellStyle name="SAPBEXexcCritical6 2 4" xfId="27050"/>
    <cellStyle name="SAPBEXexcCritical6 3" xfId="27051"/>
    <cellStyle name="SAPBEXexcCritical6 3 2" xfId="27052"/>
    <cellStyle name="SAPBEXexcCritical6 3 2 2" xfId="27053"/>
    <cellStyle name="SAPBEXexcCritical6 3 2 3" xfId="27054"/>
    <cellStyle name="SAPBEXexcCritical6 3 3" xfId="27055"/>
    <cellStyle name="SAPBEXexcCritical6 3 3 2" xfId="27056"/>
    <cellStyle name="SAPBEXexcCritical6 3 3 3" xfId="27057"/>
    <cellStyle name="SAPBEXexcCritical6 3 4" xfId="27058"/>
    <cellStyle name="SAPBEXexcCritical6 3 5" xfId="27059"/>
    <cellStyle name="SAPBEXexcCritical6 4" xfId="27060"/>
    <cellStyle name="SAPBEXexcCritical6 4 2" xfId="27061"/>
    <cellStyle name="SAPBEXexcCritical6 4 3" xfId="27062"/>
    <cellStyle name="SAPBEXexcCritical6 5" xfId="27063"/>
    <cellStyle name="SAPBEXexcGood1" xfId="27064"/>
    <cellStyle name="SAPBEXexcGood1 2" xfId="27065"/>
    <cellStyle name="SAPBEXexcGood1 2 2" xfId="27066"/>
    <cellStyle name="SAPBEXexcGood1 2 2 2" xfId="27067"/>
    <cellStyle name="SAPBEXexcGood1 2 2 2 2" xfId="27068"/>
    <cellStyle name="SAPBEXexcGood1 2 2 2 3" xfId="27069"/>
    <cellStyle name="SAPBEXexcGood1 2 2 3" xfId="27070"/>
    <cellStyle name="SAPBEXexcGood1 2 2 3 2" xfId="27071"/>
    <cellStyle name="SAPBEXexcGood1 2 2 3 3" xfId="27072"/>
    <cellStyle name="SAPBEXexcGood1 2 2 4" xfId="27073"/>
    <cellStyle name="SAPBEXexcGood1 2 2 5" xfId="27074"/>
    <cellStyle name="SAPBEXexcGood1 2 3" xfId="27075"/>
    <cellStyle name="SAPBEXexcGood1 2 3 2" xfId="27076"/>
    <cellStyle name="SAPBEXexcGood1 2 3 3" xfId="27077"/>
    <cellStyle name="SAPBEXexcGood1 2 4" xfId="27078"/>
    <cellStyle name="SAPBEXexcGood1 3" xfId="27079"/>
    <cellStyle name="SAPBEXexcGood1 3 2" xfId="27080"/>
    <cellStyle name="SAPBEXexcGood1 3 2 2" xfId="27081"/>
    <cellStyle name="SAPBEXexcGood1 3 2 3" xfId="27082"/>
    <cellStyle name="SAPBEXexcGood1 3 3" xfId="27083"/>
    <cellStyle name="SAPBEXexcGood1 3 3 2" xfId="27084"/>
    <cellStyle name="SAPBEXexcGood1 3 3 3" xfId="27085"/>
    <cellStyle name="SAPBEXexcGood1 3 4" xfId="27086"/>
    <cellStyle name="SAPBEXexcGood1 3 5" xfId="27087"/>
    <cellStyle name="SAPBEXexcGood1 4" xfId="27088"/>
    <cellStyle name="SAPBEXexcGood1 4 2" xfId="27089"/>
    <cellStyle name="SAPBEXexcGood1 4 3" xfId="27090"/>
    <cellStyle name="SAPBEXexcGood1 5" xfId="27091"/>
    <cellStyle name="SAPBEXexcGood2" xfId="27092"/>
    <cellStyle name="SAPBEXexcGood2 2" xfId="27093"/>
    <cellStyle name="SAPBEXexcGood2 2 2" xfId="27094"/>
    <cellStyle name="SAPBEXexcGood2 2 2 2" xfId="27095"/>
    <cellStyle name="SAPBEXexcGood2 2 2 2 2" xfId="27096"/>
    <cellStyle name="SAPBEXexcGood2 2 2 2 3" xfId="27097"/>
    <cellStyle name="SAPBEXexcGood2 2 2 3" xfId="27098"/>
    <cellStyle name="SAPBEXexcGood2 2 2 3 2" xfId="27099"/>
    <cellStyle name="SAPBEXexcGood2 2 2 3 3" xfId="27100"/>
    <cellStyle name="SAPBEXexcGood2 2 2 4" xfId="27101"/>
    <cellStyle name="SAPBEXexcGood2 2 2 5" xfId="27102"/>
    <cellStyle name="SAPBEXexcGood2 2 3" xfId="27103"/>
    <cellStyle name="SAPBEXexcGood2 2 3 2" xfId="27104"/>
    <cellStyle name="SAPBEXexcGood2 2 3 3" xfId="27105"/>
    <cellStyle name="SAPBEXexcGood2 2 4" xfId="27106"/>
    <cellStyle name="SAPBEXexcGood2 3" xfId="27107"/>
    <cellStyle name="SAPBEXexcGood2 3 2" xfId="27108"/>
    <cellStyle name="SAPBEXexcGood2 3 2 2" xfId="27109"/>
    <cellStyle name="SAPBEXexcGood2 3 2 3" xfId="27110"/>
    <cellStyle name="SAPBEXexcGood2 3 3" xfId="27111"/>
    <cellStyle name="SAPBEXexcGood2 3 3 2" xfId="27112"/>
    <cellStyle name="SAPBEXexcGood2 3 3 3" xfId="27113"/>
    <cellStyle name="SAPBEXexcGood2 3 4" xfId="27114"/>
    <cellStyle name="SAPBEXexcGood2 3 5" xfId="27115"/>
    <cellStyle name="SAPBEXexcGood2 4" xfId="27116"/>
    <cellStyle name="SAPBEXexcGood2 4 2" xfId="27117"/>
    <cellStyle name="SAPBEXexcGood2 4 3" xfId="27118"/>
    <cellStyle name="SAPBEXexcGood2 5" xfId="27119"/>
    <cellStyle name="SAPBEXexcGood3" xfId="27120"/>
    <cellStyle name="SAPBEXexcGood3 2" xfId="27121"/>
    <cellStyle name="SAPBEXexcGood3 2 2" xfId="27122"/>
    <cellStyle name="SAPBEXexcGood3 2 2 2" xfId="27123"/>
    <cellStyle name="SAPBEXexcGood3 2 2 2 2" xfId="27124"/>
    <cellStyle name="SAPBEXexcGood3 2 2 2 3" xfId="27125"/>
    <cellStyle name="SAPBEXexcGood3 2 2 3" xfId="27126"/>
    <cellStyle name="SAPBEXexcGood3 2 2 3 2" xfId="27127"/>
    <cellStyle name="SAPBEXexcGood3 2 2 3 3" xfId="27128"/>
    <cellStyle name="SAPBEXexcGood3 2 2 4" xfId="27129"/>
    <cellStyle name="SAPBEXexcGood3 2 2 5" xfId="27130"/>
    <cellStyle name="SAPBEXexcGood3 2 3" xfId="27131"/>
    <cellStyle name="SAPBEXexcGood3 2 3 2" xfId="27132"/>
    <cellStyle name="SAPBEXexcGood3 2 3 3" xfId="27133"/>
    <cellStyle name="SAPBEXexcGood3 2 4" xfId="27134"/>
    <cellStyle name="SAPBEXexcGood3 3" xfId="27135"/>
    <cellStyle name="SAPBEXexcGood3 3 2" xfId="27136"/>
    <cellStyle name="SAPBEXexcGood3 3 2 2" xfId="27137"/>
    <cellStyle name="SAPBEXexcGood3 3 2 3" xfId="27138"/>
    <cellStyle name="SAPBEXexcGood3 3 3" xfId="27139"/>
    <cellStyle name="SAPBEXexcGood3 3 3 2" xfId="27140"/>
    <cellStyle name="SAPBEXexcGood3 3 3 3" xfId="27141"/>
    <cellStyle name="SAPBEXexcGood3 3 4" xfId="27142"/>
    <cellStyle name="SAPBEXexcGood3 3 5" xfId="27143"/>
    <cellStyle name="SAPBEXexcGood3 4" xfId="27144"/>
    <cellStyle name="SAPBEXexcGood3 4 2" xfId="27145"/>
    <cellStyle name="SAPBEXexcGood3 4 3" xfId="27146"/>
    <cellStyle name="SAPBEXexcGood3 5" xfId="27147"/>
    <cellStyle name="SAPBEXfilterDrill" xfId="27148"/>
    <cellStyle name="SAPBEXfilterDrill 2" xfId="27149"/>
    <cellStyle name="SAPBEXfilterDrill 2 2" xfId="27150"/>
    <cellStyle name="SAPBEXfilterDrill 2 2 2" xfId="27151"/>
    <cellStyle name="SAPBEXfilterDrill 2 2 3" xfId="27152"/>
    <cellStyle name="SAPBEXfilterDrill 2 3" xfId="27153"/>
    <cellStyle name="SAPBEXfilterDrill 2 3 2" xfId="27154"/>
    <cellStyle name="SAPBEXfilterDrill 2 3 3" xfId="27155"/>
    <cellStyle name="SAPBEXfilterDrill 2 4" xfId="27156"/>
    <cellStyle name="SAPBEXfilterDrill 2 5" xfId="27157"/>
    <cellStyle name="SAPBEXfilterDrill 3" xfId="27158"/>
    <cellStyle name="SAPBEXfilterDrill 3 2" xfId="27159"/>
    <cellStyle name="SAPBEXfilterDrill 3 3" xfId="27160"/>
    <cellStyle name="SAPBEXfilterDrill 4" xfId="27161"/>
    <cellStyle name="SAPBEXfilterItem" xfId="27162"/>
    <cellStyle name="SAPBEXfilterItem 2" xfId="27163"/>
    <cellStyle name="SAPBEXfilterItem 2 2" xfId="27164"/>
    <cellStyle name="SAPBEXfilterItem 2 2 2" xfId="27165"/>
    <cellStyle name="SAPBEXfilterItem 2 2 2 2" xfId="27166"/>
    <cellStyle name="SAPBEXfilterItem 2 2 2 3" xfId="27167"/>
    <cellStyle name="SAPBEXfilterItem 2 2 3" xfId="27168"/>
    <cellStyle name="SAPBEXfilterItem 2 2 3 2" xfId="27169"/>
    <cellStyle name="SAPBEXfilterItem 2 2 3 3" xfId="27170"/>
    <cellStyle name="SAPBEXfilterItem 2 2 4" xfId="27171"/>
    <cellStyle name="SAPBEXfilterItem 2 3" xfId="27172"/>
    <cellStyle name="SAPBEXfilterItem 3" xfId="27173"/>
    <cellStyle name="SAPBEXfilterItem 3 2" xfId="27174"/>
    <cellStyle name="SAPBEXfilterItem 3 2 2" xfId="27175"/>
    <cellStyle name="SAPBEXfilterItem 3 2 3" xfId="27176"/>
    <cellStyle name="SAPBEXfilterItem 3 3" xfId="27177"/>
    <cellStyle name="SAPBEXfilterItem 3 3 2" xfId="27178"/>
    <cellStyle name="SAPBEXfilterItem 3 3 3" xfId="27179"/>
    <cellStyle name="SAPBEXfilterItem 3 4" xfId="27180"/>
    <cellStyle name="SAPBEXfilterItem 4" xfId="27181"/>
    <cellStyle name="SAPBEXfilterText" xfId="27182"/>
    <cellStyle name="SAPBEXformats" xfId="27183"/>
    <cellStyle name="SAPBEXformats 2" xfId="27184"/>
    <cellStyle name="SAPBEXformats 2 2" xfId="27185"/>
    <cellStyle name="SAPBEXformats 2 2 2" xfId="27186"/>
    <cellStyle name="SAPBEXformats 2 2 3" xfId="27187"/>
    <cellStyle name="SAPBEXformats 2 3" xfId="27188"/>
    <cellStyle name="SAPBEXformats 2 3 2" xfId="27189"/>
    <cellStyle name="SAPBEXformats 2 3 3" xfId="27190"/>
    <cellStyle name="SAPBEXformats 2 4" xfId="27191"/>
    <cellStyle name="SAPBEXformats 2 5" xfId="27192"/>
    <cellStyle name="SAPBEXformats 3" xfId="27193"/>
    <cellStyle name="SAPBEXformats 3 2" xfId="27194"/>
    <cellStyle name="SAPBEXformats 3 3" xfId="27195"/>
    <cellStyle name="SAPBEXformats 4" xfId="27196"/>
    <cellStyle name="SAPBEXheaderItem" xfId="27197"/>
    <cellStyle name="SAPBEXheaderItem 2" xfId="27198"/>
    <cellStyle name="SAPBEXheaderItem 2 2" xfId="27199"/>
    <cellStyle name="SAPBEXheaderItem 2 2 2" xfId="27200"/>
    <cellStyle name="SAPBEXheaderItem 2 2 2 2" xfId="27201"/>
    <cellStyle name="SAPBEXheaderItem 2 2 2 3" xfId="27202"/>
    <cellStyle name="SAPBEXheaderItem 2 2 3" xfId="27203"/>
    <cellStyle name="SAPBEXheaderItem 2 2 3 2" xfId="27204"/>
    <cellStyle name="SAPBEXheaderItem 2 2 3 3" xfId="27205"/>
    <cellStyle name="SAPBEXheaderItem 2 2 4" xfId="27206"/>
    <cellStyle name="SAPBEXheaderItem 2 2 5" xfId="27207"/>
    <cellStyle name="SAPBEXheaderItem 2 3" xfId="27208"/>
    <cellStyle name="SAPBEXheaderItem 2 3 2" xfId="27209"/>
    <cellStyle name="SAPBEXheaderItem 2 3 3" xfId="27210"/>
    <cellStyle name="SAPBEXheaderItem 2 4" xfId="27211"/>
    <cellStyle name="SAPBEXheaderItem 3" xfId="27212"/>
    <cellStyle name="SAPBEXheaderItem 3 2" xfId="27213"/>
    <cellStyle name="SAPBEXheaderItem 3 2 2" xfId="27214"/>
    <cellStyle name="SAPBEXheaderItem 3 2 3" xfId="27215"/>
    <cellStyle name="SAPBEXheaderItem 3 3" xfId="27216"/>
    <cellStyle name="SAPBEXheaderItem 3 3 2" xfId="27217"/>
    <cellStyle name="SAPBEXheaderItem 3 3 3" xfId="27218"/>
    <cellStyle name="SAPBEXheaderItem 3 4" xfId="27219"/>
    <cellStyle name="SAPBEXheaderItem 3 5" xfId="27220"/>
    <cellStyle name="SAPBEXheaderItem 4" xfId="27221"/>
    <cellStyle name="SAPBEXheaderItem 4 2" xfId="27222"/>
    <cellStyle name="SAPBEXheaderItem 4 3" xfId="27223"/>
    <cellStyle name="SAPBEXheaderItem 5" xfId="27224"/>
    <cellStyle name="SAPBEXheaderText" xfId="27225"/>
    <cellStyle name="SAPBEXheaderText 2" xfId="27226"/>
    <cellStyle name="SAPBEXheaderText 2 2" xfId="27227"/>
    <cellStyle name="SAPBEXheaderText 2 2 2" xfId="27228"/>
    <cellStyle name="SAPBEXheaderText 2 2 2 2" xfId="27229"/>
    <cellStyle name="SAPBEXheaderText 2 2 2 3" xfId="27230"/>
    <cellStyle name="SAPBEXheaderText 2 2 3" xfId="27231"/>
    <cellStyle name="SAPBEXheaderText 2 2 3 2" xfId="27232"/>
    <cellStyle name="SAPBEXheaderText 2 2 3 3" xfId="27233"/>
    <cellStyle name="SAPBEXheaderText 2 2 4" xfId="27234"/>
    <cellStyle name="SAPBEXheaderText 2 2 5" xfId="27235"/>
    <cellStyle name="SAPBEXheaderText 2 3" xfId="27236"/>
    <cellStyle name="SAPBEXheaderText 2 3 2" xfId="27237"/>
    <cellStyle name="SAPBEXheaderText 2 3 3" xfId="27238"/>
    <cellStyle name="SAPBEXheaderText 2 4" xfId="27239"/>
    <cellStyle name="SAPBEXheaderText 3" xfId="27240"/>
    <cellStyle name="SAPBEXheaderText 3 2" xfId="27241"/>
    <cellStyle name="SAPBEXheaderText 3 2 2" xfId="27242"/>
    <cellStyle name="SAPBEXheaderText 3 2 3" xfId="27243"/>
    <cellStyle name="SAPBEXheaderText 3 3" xfId="27244"/>
    <cellStyle name="SAPBEXheaderText 3 3 2" xfId="27245"/>
    <cellStyle name="SAPBEXheaderText 3 3 3" xfId="27246"/>
    <cellStyle name="SAPBEXheaderText 3 4" xfId="27247"/>
    <cellStyle name="SAPBEXheaderText 3 5" xfId="27248"/>
    <cellStyle name="SAPBEXheaderText 4" xfId="27249"/>
    <cellStyle name="SAPBEXheaderText 4 2" xfId="27250"/>
    <cellStyle name="SAPBEXheaderText 4 3" xfId="27251"/>
    <cellStyle name="SAPBEXheaderText 5" xfId="27252"/>
    <cellStyle name="SAPBEXHLevel0" xfId="27253"/>
    <cellStyle name="SAPBEXHLevel0 2" xfId="27254"/>
    <cellStyle name="SAPBEXHLevel0 2 2" xfId="27255"/>
    <cellStyle name="SAPBEXHLevel0 2 2 2" xfId="27256"/>
    <cellStyle name="SAPBEXHLevel0 2 2 3" xfId="27257"/>
    <cellStyle name="SAPBEXHLevel0 2 3" xfId="27258"/>
    <cellStyle name="SAPBEXHLevel0 2 3 2" xfId="27259"/>
    <cellStyle name="SAPBEXHLevel0 2 3 3" xfId="27260"/>
    <cellStyle name="SAPBEXHLevel0 2 4" xfId="27261"/>
    <cellStyle name="SAPBEXHLevel0 2 5" xfId="27262"/>
    <cellStyle name="SAPBEXHLevel0 3" xfId="27263"/>
    <cellStyle name="SAPBEXHLevel0 3 2" xfId="27264"/>
    <cellStyle name="SAPBEXHLevel0 3 3" xfId="27265"/>
    <cellStyle name="SAPBEXHLevel0 4" xfId="27266"/>
    <cellStyle name="SAPBEXHLevel0X" xfId="27267"/>
    <cellStyle name="SAPBEXHLevel0X 2" xfId="27268"/>
    <cellStyle name="SAPBEXHLevel0X 2 2" xfId="27269"/>
    <cellStyle name="SAPBEXHLevel0X 2 2 2" xfId="27270"/>
    <cellStyle name="SAPBEXHLevel0X 2 2 3" xfId="27271"/>
    <cellStyle name="SAPBEXHLevel0X 2 3" xfId="27272"/>
    <cellStyle name="SAPBEXHLevel0X 2 3 2" xfId="27273"/>
    <cellStyle name="SAPBEXHLevel0X 2 3 3" xfId="27274"/>
    <cellStyle name="SAPBEXHLevel0X 2 4" xfId="27275"/>
    <cellStyle name="SAPBEXHLevel0X 2 5" xfId="27276"/>
    <cellStyle name="SAPBEXHLevel0X 3" xfId="27277"/>
    <cellStyle name="SAPBEXHLevel0X 3 2" xfId="27278"/>
    <cellStyle name="SAPBEXHLevel0X 3 3" xfId="27279"/>
    <cellStyle name="SAPBEXHLevel0X 4" xfId="27280"/>
    <cellStyle name="SAPBEXHLevel1" xfId="27281"/>
    <cellStyle name="SAPBEXHLevel1 2" xfId="27282"/>
    <cellStyle name="SAPBEXHLevel1 2 2" xfId="27283"/>
    <cellStyle name="SAPBEXHLevel1 2 2 2" xfId="27284"/>
    <cellStyle name="SAPBEXHLevel1 2 2 3" xfId="27285"/>
    <cellStyle name="SAPBEXHLevel1 2 3" xfId="27286"/>
    <cellStyle name="SAPBEXHLevel1 2 3 2" xfId="27287"/>
    <cellStyle name="SAPBEXHLevel1 2 3 3" xfId="27288"/>
    <cellStyle name="SAPBEXHLevel1 2 4" xfId="27289"/>
    <cellStyle name="SAPBEXHLevel1 2 5" xfId="27290"/>
    <cellStyle name="SAPBEXHLevel1 3" xfId="27291"/>
    <cellStyle name="SAPBEXHLevel1 3 2" xfId="27292"/>
    <cellStyle name="SAPBEXHLevel1 3 3" xfId="27293"/>
    <cellStyle name="SAPBEXHLevel1 4" xfId="27294"/>
    <cellStyle name="SAPBEXHLevel1X" xfId="27295"/>
    <cellStyle name="SAPBEXHLevel1X 2" xfId="27296"/>
    <cellStyle name="SAPBEXHLevel1X 2 2" xfId="27297"/>
    <cellStyle name="SAPBEXHLevel1X 2 2 2" xfId="27298"/>
    <cellStyle name="SAPBEXHLevel1X 2 2 3" xfId="27299"/>
    <cellStyle name="SAPBEXHLevel1X 2 3" xfId="27300"/>
    <cellStyle name="SAPBEXHLevel1X 2 3 2" xfId="27301"/>
    <cellStyle name="SAPBEXHLevel1X 2 3 3" xfId="27302"/>
    <cellStyle name="SAPBEXHLevel1X 2 4" xfId="27303"/>
    <cellStyle name="SAPBEXHLevel1X 2 5" xfId="27304"/>
    <cellStyle name="SAPBEXHLevel1X 3" xfId="27305"/>
    <cellStyle name="SAPBEXHLevel1X 3 2" xfId="27306"/>
    <cellStyle name="SAPBEXHLevel1X 3 3" xfId="27307"/>
    <cellStyle name="SAPBEXHLevel1X 4" xfId="27308"/>
    <cellStyle name="SAPBEXHLevel2" xfId="27309"/>
    <cellStyle name="SAPBEXHLevel2 2" xfId="27310"/>
    <cellStyle name="SAPBEXHLevel2 2 2" xfId="27311"/>
    <cellStyle name="SAPBEXHLevel2 2 2 2" xfId="27312"/>
    <cellStyle name="SAPBEXHLevel2 2 2 3" xfId="27313"/>
    <cellStyle name="SAPBEXHLevel2 2 3" xfId="27314"/>
    <cellStyle name="SAPBEXHLevel2 2 3 2" xfId="27315"/>
    <cellStyle name="SAPBEXHLevel2 2 3 3" xfId="27316"/>
    <cellStyle name="SAPBEXHLevel2 2 4" xfId="27317"/>
    <cellStyle name="SAPBEXHLevel2 2 5" xfId="27318"/>
    <cellStyle name="SAPBEXHLevel2 3" xfId="27319"/>
    <cellStyle name="SAPBEXHLevel2 3 2" xfId="27320"/>
    <cellStyle name="SAPBEXHLevel2 3 3" xfId="27321"/>
    <cellStyle name="SAPBEXHLevel2 4" xfId="27322"/>
    <cellStyle name="SAPBEXHLevel2X" xfId="27323"/>
    <cellStyle name="SAPBEXHLevel2X 2" xfId="27324"/>
    <cellStyle name="SAPBEXHLevel2X 2 2" xfId="27325"/>
    <cellStyle name="SAPBEXHLevel2X 2 2 2" xfId="27326"/>
    <cellStyle name="SAPBEXHLevel2X 2 2 3" xfId="27327"/>
    <cellStyle name="SAPBEXHLevel2X 2 3" xfId="27328"/>
    <cellStyle name="SAPBEXHLevel2X 2 3 2" xfId="27329"/>
    <cellStyle name="SAPBEXHLevel2X 2 3 3" xfId="27330"/>
    <cellStyle name="SAPBEXHLevel2X 2 4" xfId="27331"/>
    <cellStyle name="SAPBEXHLevel2X 2 5" xfId="27332"/>
    <cellStyle name="SAPBEXHLevel2X 3" xfId="27333"/>
    <cellStyle name="SAPBEXHLevel2X 3 2" xfId="27334"/>
    <cellStyle name="SAPBEXHLevel2X 3 3" xfId="27335"/>
    <cellStyle name="SAPBEXHLevel2X 4" xfId="27336"/>
    <cellStyle name="SAPBEXHLevel3" xfId="27337"/>
    <cellStyle name="SAPBEXHLevel3 2" xfId="27338"/>
    <cellStyle name="SAPBEXHLevel3 2 2" xfId="27339"/>
    <cellStyle name="SAPBEXHLevel3 2 2 2" xfId="27340"/>
    <cellStyle name="SAPBEXHLevel3 2 2 3" xfId="27341"/>
    <cellStyle name="SAPBEXHLevel3 2 3" xfId="27342"/>
    <cellStyle name="SAPBEXHLevel3 2 3 2" xfId="27343"/>
    <cellStyle name="SAPBEXHLevel3 2 3 3" xfId="27344"/>
    <cellStyle name="SAPBEXHLevel3 2 4" xfId="27345"/>
    <cellStyle name="SAPBEXHLevel3 2 5" xfId="27346"/>
    <cellStyle name="SAPBEXHLevel3 3" xfId="27347"/>
    <cellStyle name="SAPBEXHLevel3 3 2" xfId="27348"/>
    <cellStyle name="SAPBEXHLevel3 3 3" xfId="27349"/>
    <cellStyle name="SAPBEXHLevel3 4" xfId="27350"/>
    <cellStyle name="SAPBEXHLevel3X" xfId="27351"/>
    <cellStyle name="SAPBEXHLevel3X 2" xfId="27352"/>
    <cellStyle name="SAPBEXHLevel3X 2 2" xfId="27353"/>
    <cellStyle name="SAPBEXHLevel3X 2 2 2" xfId="27354"/>
    <cellStyle name="SAPBEXHLevel3X 2 2 3" xfId="27355"/>
    <cellStyle name="SAPBEXHLevel3X 2 3" xfId="27356"/>
    <cellStyle name="SAPBEXHLevel3X 2 3 2" xfId="27357"/>
    <cellStyle name="SAPBEXHLevel3X 2 3 3" xfId="27358"/>
    <cellStyle name="SAPBEXHLevel3X 2 4" xfId="27359"/>
    <cellStyle name="SAPBEXHLevel3X 2 5" xfId="27360"/>
    <cellStyle name="SAPBEXHLevel3X 3" xfId="27361"/>
    <cellStyle name="SAPBEXHLevel3X 3 2" xfId="27362"/>
    <cellStyle name="SAPBEXHLevel3X 3 3" xfId="27363"/>
    <cellStyle name="SAPBEXHLevel3X 4" xfId="27364"/>
    <cellStyle name="SAPBEXresData" xfId="27365"/>
    <cellStyle name="SAPBEXresData 2" xfId="27366"/>
    <cellStyle name="SAPBEXresData 2 2" xfId="27367"/>
    <cellStyle name="SAPBEXresData 2 2 2" xfId="27368"/>
    <cellStyle name="SAPBEXresData 2 2 2 2" xfId="27369"/>
    <cellStyle name="SAPBEXresData 2 2 2 3" xfId="27370"/>
    <cellStyle name="SAPBEXresData 2 2 3" xfId="27371"/>
    <cellStyle name="SAPBEXresData 2 2 3 2" xfId="27372"/>
    <cellStyle name="SAPBEXresData 2 2 3 3" xfId="27373"/>
    <cellStyle name="SAPBEXresData 2 2 4" xfId="27374"/>
    <cellStyle name="SAPBEXresData 2 2 5" xfId="27375"/>
    <cellStyle name="SAPBEXresData 2 3" xfId="27376"/>
    <cellStyle name="SAPBEXresData 2 3 2" xfId="27377"/>
    <cellStyle name="SAPBEXresData 2 3 3" xfId="27378"/>
    <cellStyle name="SAPBEXresData 2 4" xfId="27379"/>
    <cellStyle name="SAPBEXresData 3" xfId="27380"/>
    <cellStyle name="SAPBEXresData 3 2" xfId="27381"/>
    <cellStyle name="SAPBEXresData 3 2 2" xfId="27382"/>
    <cellStyle name="SAPBEXresData 3 2 3" xfId="27383"/>
    <cellStyle name="SAPBEXresData 3 3" xfId="27384"/>
    <cellStyle name="SAPBEXresData 3 3 2" xfId="27385"/>
    <cellStyle name="SAPBEXresData 3 3 3" xfId="27386"/>
    <cellStyle name="SAPBEXresData 3 4" xfId="27387"/>
    <cellStyle name="SAPBEXresData 3 5" xfId="27388"/>
    <cellStyle name="SAPBEXresData 4" xfId="27389"/>
    <cellStyle name="SAPBEXresData 4 2" xfId="27390"/>
    <cellStyle name="SAPBEXresData 4 3" xfId="27391"/>
    <cellStyle name="SAPBEXresData 5" xfId="27392"/>
    <cellStyle name="SAPBEXresDataEmph" xfId="27393"/>
    <cellStyle name="SAPBEXresDataEmph 2" xfId="27394"/>
    <cellStyle name="SAPBEXresDataEmph 2 2" xfId="27395"/>
    <cellStyle name="SAPBEXresDataEmph 2 2 2" xfId="27396"/>
    <cellStyle name="SAPBEXresDataEmph 2 2 3" xfId="27397"/>
    <cellStyle name="SAPBEXresDataEmph 2 3" xfId="27398"/>
    <cellStyle name="SAPBEXresDataEmph 2 3 2" xfId="27399"/>
    <cellStyle name="SAPBEXresDataEmph 2 3 3" xfId="27400"/>
    <cellStyle name="SAPBEXresDataEmph 2 4" xfId="27401"/>
    <cellStyle name="SAPBEXresDataEmph 2 5" xfId="27402"/>
    <cellStyle name="SAPBEXresDataEmph 3" xfId="27403"/>
    <cellStyle name="SAPBEXresDataEmph 3 2" xfId="27404"/>
    <cellStyle name="SAPBEXresDataEmph 3 3" xfId="27405"/>
    <cellStyle name="SAPBEXresDataEmph 4" xfId="27406"/>
    <cellStyle name="SAPBEXresItem" xfId="27407"/>
    <cellStyle name="SAPBEXresItem 2" xfId="27408"/>
    <cellStyle name="SAPBEXresItem 2 2" xfId="27409"/>
    <cellStyle name="SAPBEXresItem 2 2 2" xfId="27410"/>
    <cellStyle name="SAPBEXresItem 2 2 2 2" xfId="27411"/>
    <cellStyle name="SAPBEXresItem 2 2 2 3" xfId="27412"/>
    <cellStyle name="SAPBEXresItem 2 2 3" xfId="27413"/>
    <cellStyle name="SAPBEXresItem 2 2 3 2" xfId="27414"/>
    <cellStyle name="SAPBEXresItem 2 2 3 3" xfId="27415"/>
    <cellStyle name="SAPBEXresItem 2 2 4" xfId="27416"/>
    <cellStyle name="SAPBEXresItem 2 2 5" xfId="27417"/>
    <cellStyle name="SAPBEXresItem 2 3" xfId="27418"/>
    <cellStyle name="SAPBEXresItem 2 3 2" xfId="27419"/>
    <cellStyle name="SAPBEXresItem 2 3 3" xfId="27420"/>
    <cellStyle name="SAPBEXresItem 2 4" xfId="27421"/>
    <cellStyle name="SAPBEXresItem 3" xfId="27422"/>
    <cellStyle name="SAPBEXresItem 3 2" xfId="27423"/>
    <cellStyle name="SAPBEXresItem 3 2 2" xfId="27424"/>
    <cellStyle name="SAPBEXresItem 3 2 3" xfId="27425"/>
    <cellStyle name="SAPBEXresItem 3 3" xfId="27426"/>
    <cellStyle name="SAPBEXresItem 3 3 2" xfId="27427"/>
    <cellStyle name="SAPBEXresItem 3 3 3" xfId="27428"/>
    <cellStyle name="SAPBEXresItem 3 4" xfId="27429"/>
    <cellStyle name="SAPBEXresItem 3 5" xfId="27430"/>
    <cellStyle name="SAPBEXresItem 4" xfId="27431"/>
    <cellStyle name="SAPBEXresItem 4 2" xfId="27432"/>
    <cellStyle name="SAPBEXresItem 4 3" xfId="27433"/>
    <cellStyle name="SAPBEXresItem 5" xfId="27434"/>
    <cellStyle name="SAPBEXresItemX" xfId="27435"/>
    <cellStyle name="SAPBEXresItemX 2" xfId="27436"/>
    <cellStyle name="SAPBEXresItemX 2 2" xfId="27437"/>
    <cellStyle name="SAPBEXresItemX 2 2 2" xfId="27438"/>
    <cellStyle name="SAPBEXresItemX 2 2 2 2" xfId="27439"/>
    <cellStyle name="SAPBEXresItemX 2 2 2 3" xfId="27440"/>
    <cellStyle name="SAPBEXresItemX 2 2 3" xfId="27441"/>
    <cellStyle name="SAPBEXresItemX 2 2 3 2" xfId="27442"/>
    <cellStyle name="SAPBEXresItemX 2 2 3 3" xfId="27443"/>
    <cellStyle name="SAPBEXresItemX 2 2 4" xfId="27444"/>
    <cellStyle name="SAPBEXresItemX 2 2 5" xfId="27445"/>
    <cellStyle name="SAPBEXresItemX 2 3" xfId="27446"/>
    <cellStyle name="SAPBEXresItemX 2 3 2" xfId="27447"/>
    <cellStyle name="SAPBEXresItemX 2 3 3" xfId="27448"/>
    <cellStyle name="SAPBEXresItemX 2 4" xfId="27449"/>
    <cellStyle name="SAPBEXresItemX 3" xfId="27450"/>
    <cellStyle name="SAPBEXresItemX 3 2" xfId="27451"/>
    <cellStyle name="SAPBEXresItemX 3 2 2" xfId="27452"/>
    <cellStyle name="SAPBEXresItemX 3 2 3" xfId="27453"/>
    <cellStyle name="SAPBEXresItemX 3 3" xfId="27454"/>
    <cellStyle name="SAPBEXresItemX 3 3 2" xfId="27455"/>
    <cellStyle name="SAPBEXresItemX 3 3 3" xfId="27456"/>
    <cellStyle name="SAPBEXresItemX 3 4" xfId="27457"/>
    <cellStyle name="SAPBEXresItemX 3 5" xfId="27458"/>
    <cellStyle name="SAPBEXresItemX 4" xfId="27459"/>
    <cellStyle name="SAPBEXresItemX 4 2" xfId="27460"/>
    <cellStyle name="SAPBEXresItemX 4 3" xfId="27461"/>
    <cellStyle name="SAPBEXresItemX 5" xfId="27462"/>
    <cellStyle name="SAPBEXstdData" xfId="27463"/>
    <cellStyle name="SAPBEXstdData 2" xfId="27464"/>
    <cellStyle name="SAPBEXstdData 2 2" xfId="27465"/>
    <cellStyle name="SAPBEXstdData 2 2 2" xfId="27466"/>
    <cellStyle name="SAPBEXstdData 2 2 2 2" xfId="27467"/>
    <cellStyle name="SAPBEXstdData 2 2 2 3" xfId="27468"/>
    <cellStyle name="SAPBEXstdData 2 2 3" xfId="27469"/>
    <cellStyle name="SAPBEXstdData 2 2 3 2" xfId="27470"/>
    <cellStyle name="SAPBEXstdData 2 2 3 3" xfId="27471"/>
    <cellStyle name="SAPBEXstdData 2 2 4" xfId="27472"/>
    <cellStyle name="SAPBEXstdData 2 2 5" xfId="27473"/>
    <cellStyle name="SAPBEXstdData 2 3" xfId="27474"/>
    <cellStyle name="SAPBEXstdData 2 3 2" xfId="27475"/>
    <cellStyle name="SAPBEXstdData 2 3 3" xfId="27476"/>
    <cellStyle name="SAPBEXstdData 2 4" xfId="27477"/>
    <cellStyle name="SAPBEXstdData 3" xfId="27478"/>
    <cellStyle name="SAPBEXstdData 3 2" xfId="27479"/>
    <cellStyle name="SAPBEXstdData 3 2 2" xfId="27480"/>
    <cellStyle name="SAPBEXstdData 3 2 3" xfId="27481"/>
    <cellStyle name="SAPBEXstdData 3 3" xfId="27482"/>
    <cellStyle name="SAPBEXstdData 3 3 2" xfId="27483"/>
    <cellStyle name="SAPBEXstdData 3 3 3" xfId="27484"/>
    <cellStyle name="SAPBEXstdData 3 4" xfId="27485"/>
    <cellStyle name="SAPBEXstdData 3 5" xfId="27486"/>
    <cellStyle name="SAPBEXstdData 4" xfId="27487"/>
    <cellStyle name="SAPBEXstdData 4 2" xfId="27488"/>
    <cellStyle name="SAPBEXstdData 4 3" xfId="27489"/>
    <cellStyle name="SAPBEXstdData 5" xfId="27490"/>
    <cellStyle name="SAPBEXstdDataEmph" xfId="27491"/>
    <cellStyle name="SAPBEXstdDataEmph 2" xfId="27492"/>
    <cellStyle name="SAPBEXstdDataEmph 2 2" xfId="27493"/>
    <cellStyle name="SAPBEXstdDataEmph 2 2 2" xfId="27494"/>
    <cellStyle name="SAPBEXstdDataEmph 2 2 3" xfId="27495"/>
    <cellStyle name="SAPBEXstdDataEmph 2 3" xfId="27496"/>
    <cellStyle name="SAPBEXstdDataEmph 2 3 2" xfId="27497"/>
    <cellStyle name="SAPBEXstdDataEmph 2 3 3" xfId="27498"/>
    <cellStyle name="SAPBEXstdDataEmph 2 4" xfId="27499"/>
    <cellStyle name="SAPBEXstdDataEmph 2 5" xfId="27500"/>
    <cellStyle name="SAPBEXstdDataEmph 3" xfId="27501"/>
    <cellStyle name="SAPBEXstdDataEmph 3 2" xfId="27502"/>
    <cellStyle name="SAPBEXstdDataEmph 3 3" xfId="27503"/>
    <cellStyle name="SAPBEXstdDataEmph 4" xfId="27504"/>
    <cellStyle name="SAPBEXstdItem" xfId="27505"/>
    <cellStyle name="SAPBEXstdItem 2" xfId="27506"/>
    <cellStyle name="SAPBEXstdItem 2 2" xfId="27507"/>
    <cellStyle name="SAPBEXstdItem 2 2 2" xfId="27508"/>
    <cellStyle name="SAPBEXstdItem 2 2 3" xfId="27509"/>
    <cellStyle name="SAPBEXstdItem 2 3" xfId="27510"/>
    <cellStyle name="SAPBEXstdItem 2 3 2" xfId="27511"/>
    <cellStyle name="SAPBEXstdItem 2 3 3" xfId="27512"/>
    <cellStyle name="SAPBEXstdItem 2 4" xfId="27513"/>
    <cellStyle name="SAPBEXstdItem 2 5" xfId="27514"/>
    <cellStyle name="SAPBEXstdItem 3" xfId="27515"/>
    <cellStyle name="SAPBEXstdItem 3 2" xfId="27516"/>
    <cellStyle name="SAPBEXstdItem 3 3" xfId="27517"/>
    <cellStyle name="SAPBEXstdItem 4" xfId="27518"/>
    <cellStyle name="SAPBEXstdItemX" xfId="27519"/>
    <cellStyle name="SAPBEXstdItemX 2" xfId="27520"/>
    <cellStyle name="SAPBEXstdItemX 2 2" xfId="27521"/>
    <cellStyle name="SAPBEXstdItemX 2 2 2" xfId="27522"/>
    <cellStyle name="SAPBEXstdItemX 2 2 3" xfId="27523"/>
    <cellStyle name="SAPBEXstdItemX 2 3" xfId="27524"/>
    <cellStyle name="SAPBEXstdItemX 2 3 2" xfId="27525"/>
    <cellStyle name="SAPBEXstdItemX 2 3 3" xfId="27526"/>
    <cellStyle name="SAPBEXstdItemX 2 4" xfId="27527"/>
    <cellStyle name="SAPBEXstdItemX 2 5" xfId="27528"/>
    <cellStyle name="SAPBEXstdItemX 3" xfId="27529"/>
    <cellStyle name="SAPBEXstdItemX 3 2" xfId="27530"/>
    <cellStyle name="SAPBEXstdItemX 3 3" xfId="27531"/>
    <cellStyle name="SAPBEXstdItemX 4" xfId="27532"/>
    <cellStyle name="SAPBEXtitle" xfId="27533"/>
    <cellStyle name="SAPBEXundefined" xfId="27534"/>
    <cellStyle name="SAPBEXundefined 2" xfId="27535"/>
    <cellStyle name="SAPBEXundefined 2 2" xfId="27536"/>
    <cellStyle name="SAPBEXundefined 2 2 2" xfId="27537"/>
    <cellStyle name="SAPBEXundefined 2 2 3" xfId="27538"/>
    <cellStyle name="SAPBEXundefined 2 3" xfId="27539"/>
    <cellStyle name="SAPBEXundefined 2 3 2" xfId="27540"/>
    <cellStyle name="SAPBEXundefined 2 3 3" xfId="27541"/>
    <cellStyle name="SAPBEXundefined 2 4" xfId="27542"/>
    <cellStyle name="SAPBEXundefined 2 5" xfId="27543"/>
    <cellStyle name="SAPBEXundefined 3" xfId="27544"/>
    <cellStyle name="SAPBEXundefined 3 2" xfId="27545"/>
    <cellStyle name="SAPBEXundefined 3 3" xfId="27546"/>
    <cellStyle name="SAPBEXundefined 4" xfId="27547"/>
    <cellStyle name="sbt2" xfId="27548"/>
    <cellStyle name="sbt2 2" xfId="27549"/>
    <cellStyle name="sbt2 2 2" xfId="27550"/>
    <cellStyle name="sbt2 2 2 2" xfId="27551"/>
    <cellStyle name="sbt2 2 2 3" xfId="27552"/>
    <cellStyle name="sbt2 2 3" xfId="27553"/>
    <cellStyle name="sbt2 2 3 2" xfId="27554"/>
    <cellStyle name="sbt2 2 3 3" xfId="27555"/>
    <cellStyle name="sbt2 2 4" xfId="27556"/>
    <cellStyle name="sbt2 2 5" xfId="27557"/>
    <cellStyle name="sbt2 3" xfId="27558"/>
    <cellStyle name="ScheduleHeading" xfId="27559"/>
    <cellStyle name="SEM-BPS-data" xfId="27560"/>
    <cellStyle name="SEM-BPS-head" xfId="27561"/>
    <cellStyle name="SEM-BPS-headdata" xfId="27562"/>
    <cellStyle name="SEM-BPS-headkey" xfId="27563"/>
    <cellStyle name="SEM-BPS-input-on" xfId="27564"/>
    <cellStyle name="SEM-BPS-key" xfId="27565"/>
    <cellStyle name="SEM-BPS-sub1" xfId="27566"/>
    <cellStyle name="SEM-BPS-sub2" xfId="27567"/>
    <cellStyle name="SEM-BPS-total" xfId="27568"/>
    <cellStyle name="Separador de milhares [0]_Person" xfId="27569"/>
    <cellStyle name="Separador de milhares_Person" xfId="27570"/>
    <cellStyle name="Shaded" xfId="27571"/>
    <cellStyle name="Shaded 2" xfId="27572"/>
    <cellStyle name="Standard 2" xfId="27573"/>
    <cellStyle name="Standard 3" xfId="27574"/>
    <cellStyle name="Standard_96" xfId="27575"/>
    <cellStyle name="Style 1" xfId="27576"/>
    <cellStyle name="Style 1 2" xfId="27577"/>
    <cellStyle name="Style 1 2 2" xfId="27578"/>
    <cellStyle name="Style 1 2 3" xfId="27579"/>
    <cellStyle name="Style 1 3" xfId="27580"/>
    <cellStyle name="Style 1_BS retrieve" xfId="27581"/>
    <cellStyle name="Style 24" xfId="27582"/>
    <cellStyle name="SubHeading" xfId="27583"/>
    <cellStyle name="subt1" xfId="27584"/>
    <cellStyle name="SubTitleHeads" xfId="27585"/>
    <cellStyle name="Subtotal" xfId="27586"/>
    <cellStyle name="SubTotal 2" xfId="27587"/>
    <cellStyle name="SubTotal 2 2" xfId="27588"/>
    <cellStyle name="SubTotal 2 2 2" xfId="27589"/>
    <cellStyle name="SubTotal 2 2 2 2" xfId="27590"/>
    <cellStyle name="SubTotal 2 2 2 3" xfId="27591"/>
    <cellStyle name="SubTotal 2 2 3" xfId="27592"/>
    <cellStyle name="SubTotal 2 2 3 2" xfId="27593"/>
    <cellStyle name="SubTotal 2 2 3 3" xfId="27594"/>
    <cellStyle name="SubTotal 2 2 4" xfId="27595"/>
    <cellStyle name="SubTotal 2 2 5" xfId="27596"/>
    <cellStyle name="SubTotal 2 3" xfId="27597"/>
    <cellStyle name="SubTotal 2 3 2" xfId="27598"/>
    <cellStyle name="SubTotal 2 3 3" xfId="27599"/>
    <cellStyle name="SubTotal 2 4" xfId="27600"/>
    <cellStyle name="SubTotal 2 4 2" xfId="27601"/>
    <cellStyle name="SubTotal 2 4 3" xfId="27602"/>
    <cellStyle name="SubTotal 2 5" xfId="27603"/>
    <cellStyle name="SubTotal 2 6" xfId="27604"/>
    <cellStyle name="SubTotal 2 7" xfId="27605"/>
    <cellStyle name="SubTotal 3" xfId="27606"/>
    <cellStyle name="SubTotal 3 2" xfId="27607"/>
    <cellStyle name="SubTotal 3 2 2" xfId="27608"/>
    <cellStyle name="SubTotal 3 2 2 2" xfId="27609"/>
    <cellStyle name="SubTotal 3 2 2 3" xfId="27610"/>
    <cellStyle name="SubTotal 3 2 3" xfId="27611"/>
    <cellStyle name="SubTotal 3 2 3 2" xfId="27612"/>
    <cellStyle name="SubTotal 3 2 3 3" xfId="27613"/>
    <cellStyle name="SubTotal 3 2 4" xfId="27614"/>
    <cellStyle name="SubTotal 3 2 5" xfId="27615"/>
    <cellStyle name="SubTotal 3 3" xfId="27616"/>
    <cellStyle name="SubTotal 3 3 2" xfId="27617"/>
    <cellStyle name="SubTotal 3 3 3" xfId="27618"/>
    <cellStyle name="SubTotal 3 4" xfId="27619"/>
    <cellStyle name="SubTotal 3 4 2" xfId="27620"/>
    <cellStyle name="SubTotal 3 4 3" xfId="27621"/>
    <cellStyle name="SubTotal 3 5" xfId="27622"/>
    <cellStyle name="SubTotal 3 6" xfId="27623"/>
    <cellStyle name="SubTotal 3 7" xfId="27624"/>
    <cellStyle name="SubTotal 4" xfId="27625"/>
    <cellStyle name="Sum" xfId="27626"/>
    <cellStyle name="Sum %of HV" xfId="27627"/>
    <cellStyle name="tabel" xfId="27628"/>
    <cellStyle name="TabHead" xfId="27629"/>
    <cellStyle name="Text" xfId="27630"/>
    <cellStyle name="Text Indent A" xfId="27631"/>
    <cellStyle name="Text Indent B" xfId="27632"/>
    <cellStyle name="Text Indent B 2" xfId="27633"/>
    <cellStyle name="Text Indent C" xfId="27634"/>
    <cellStyle name="Text Indent C 2" xfId="27635"/>
    <cellStyle name="Thousands" xfId="27636"/>
    <cellStyle name="Thousands (0)" xfId="27637"/>
    <cellStyle name="Thousands (1)" xfId="27638"/>
    <cellStyle name="Thousands 2" xfId="27639"/>
    <cellStyle name="Thousands 2 2" xfId="27640"/>
    <cellStyle name="Thousands_By Country Detail 1Q10 041410pm FIN 18 revised per disc w Mary" xfId="27641"/>
    <cellStyle name="time" xfId="27642"/>
    <cellStyle name="Titel" xfId="27643"/>
    <cellStyle name="Title 2" xfId="27644"/>
    <cellStyle name="Title 2 2" xfId="27645"/>
    <cellStyle name="Title 2 3" xfId="27646"/>
    <cellStyle name="Title 3" xfId="27647"/>
    <cellStyle name="Título 4" xfId="27648"/>
    <cellStyle name="Título 4 2" xfId="27649"/>
    <cellStyle name="Título 4 2 2" xfId="27650"/>
    <cellStyle name="Título 4 2 2 2" xfId="27651"/>
    <cellStyle name="Título 4 2 2 2 2" xfId="27652"/>
    <cellStyle name="Título 4 2 3" xfId="27653"/>
    <cellStyle name="Título 4 2 3 2" xfId="27654"/>
    <cellStyle name="Título 4 3" xfId="27655"/>
    <cellStyle name="Título 4 3 2" xfId="27656"/>
    <cellStyle name="Título 4 3 2 2" xfId="27657"/>
    <cellStyle name="Título 4 4" xfId="27658"/>
    <cellStyle name="Título 4 4 2" xfId="27659"/>
    <cellStyle name="Topline" xfId="27660"/>
    <cellStyle name="Topline 2" xfId="27661"/>
    <cellStyle name="Topline 2 2" xfId="27662"/>
    <cellStyle name="Topline 2 2 2" xfId="27663"/>
    <cellStyle name="Topline 2 2 3" xfId="27664"/>
    <cellStyle name="Topline 2 3" xfId="27665"/>
    <cellStyle name="Topline 2 3 2" xfId="27666"/>
    <cellStyle name="Topline 2 3 3" xfId="27667"/>
    <cellStyle name="Topline 2 4" xfId="27668"/>
    <cellStyle name="Topline 2 5" xfId="27669"/>
    <cellStyle name="Topline 3" xfId="27670"/>
    <cellStyle name="Topline 3 2" xfId="27671"/>
    <cellStyle name="Topline 3 3" xfId="27672"/>
    <cellStyle name="Topline 4" xfId="27673"/>
    <cellStyle name="Total 2" xfId="27674"/>
    <cellStyle name="Total 2 2" xfId="27675"/>
    <cellStyle name="Total 2 3" xfId="27676"/>
    <cellStyle name="Total 2 4" xfId="27677"/>
    <cellStyle name="Total 3" xfId="27678"/>
    <cellStyle name="Total 3 2" xfId="27679"/>
    <cellStyle name="Underline 2" xfId="27680"/>
    <cellStyle name="Unit" xfId="27681"/>
    <cellStyle name="Unit 2" xfId="27682"/>
    <cellStyle name="ùù?ï·ªê [0.00]_Revised MOR4" xfId="27683"/>
    <cellStyle name="Vertical" xfId="27684"/>
    <cellStyle name="Vertical 2" xfId="27685"/>
    <cellStyle name="W?hrung [0]_1994 - 1998" xfId="27686"/>
    <cellStyle name="W?hrung_1994 - 1998" xfId="27687"/>
    <cellStyle name="Währung [0]_1994 - 1998" xfId="27688"/>
    <cellStyle name="Währung_1994 - 1998" xfId="27689"/>
    <cellStyle name="Walutowy [0]_Zeszyt1" xfId="27690"/>
    <cellStyle name="Walutowy_Zeszyt1" xfId="27691"/>
    <cellStyle name="Warning Text 2" xfId="27692"/>
    <cellStyle name="Warning Text 2 2" xfId="27693"/>
    <cellStyle name="Warning Text 2 3" xfId="27694"/>
    <cellStyle name="Warning Text 3" xfId="27695"/>
    <cellStyle name="Wrap" xfId="27696"/>
    <cellStyle name="Wдhrung [0]_Perskurz 98" xfId="27697"/>
    <cellStyle name="Wдhrung_Perskurz 98" xfId="27698"/>
    <cellStyle name="Year" xfId="27699"/>
    <cellStyle name="Year 2" xfId="27700"/>
    <cellStyle name="Year 2 2" xfId="27701"/>
    <cellStyle name="Year 2 2 2" xfId="27702"/>
    <cellStyle name="Year 2 2 3" xfId="27703"/>
    <cellStyle name="Year 2 3" xfId="27704"/>
    <cellStyle name="Year 2 3 2" xfId="27705"/>
    <cellStyle name="Year 2 3 3" xfId="27706"/>
    <cellStyle name="Year 2 4" xfId="27707"/>
    <cellStyle name="Year 2 5" xfId="27708"/>
    <cellStyle name="Year 3" xfId="27709"/>
    <cellStyle name="Year 3 2" xfId="27710"/>
    <cellStyle name="Year 3 3" xfId="27711"/>
    <cellStyle name="Year 4" xfId="27712"/>
    <cellStyle name="Zero [---]" xfId="27713"/>
    <cellStyle name="Акцент1 2" xfId="27714"/>
    <cellStyle name="Акцент2 2" xfId="27715"/>
    <cellStyle name="Акцент3 2" xfId="27716"/>
    <cellStyle name="Акцент4 2" xfId="27717"/>
    <cellStyle name="Акцент5 2" xfId="27718"/>
    <cellStyle name="Акцент6 2" xfId="27719"/>
    <cellStyle name="Ввод  2" xfId="27720"/>
    <cellStyle name="Вывод 2" xfId="27721"/>
    <cellStyle name="Вычисление 2" xfId="27722"/>
    <cellStyle name="Гиперссылка" xfId="27723" builtinId="8"/>
    <cellStyle name="Гиперссылка 2" xfId="27724"/>
    <cellStyle name="Гиперссылка 3" xfId="27725"/>
    <cellStyle name="Гиперссылка 4" xfId="27726"/>
    <cellStyle name="Денежный 10" xfId="27727"/>
    <cellStyle name="Денежный 10 2" xfId="27728"/>
    <cellStyle name="Денежный 11" xfId="27729"/>
    <cellStyle name="Денежный 12" xfId="27730"/>
    <cellStyle name="Денежный 13" xfId="27731"/>
    <cellStyle name="Денежный 14" xfId="27732"/>
    <cellStyle name="Денежный 2" xfId="27733"/>
    <cellStyle name="Денежный 2 10" xfId="27734"/>
    <cellStyle name="Денежный 2 10 2" xfId="27735"/>
    <cellStyle name="Денежный 2 10 2 2" xfId="27736"/>
    <cellStyle name="Денежный 2 10 2 2 2" xfId="27737"/>
    <cellStyle name="Денежный 2 10 2 3" xfId="27738"/>
    <cellStyle name="Денежный 2 10 3" xfId="27739"/>
    <cellStyle name="Денежный 2 10 3 2" xfId="27740"/>
    <cellStyle name="Денежный 2 10 4" xfId="27741"/>
    <cellStyle name="Денежный 2 10 4 2" xfId="27742"/>
    <cellStyle name="Денежный 2 10 5" xfId="27743"/>
    <cellStyle name="Денежный 2 11" xfId="27744"/>
    <cellStyle name="Денежный 2 11 2" xfId="27745"/>
    <cellStyle name="Денежный 2 11 2 2" xfId="27746"/>
    <cellStyle name="Денежный 2 11 2 2 2" xfId="27747"/>
    <cellStyle name="Денежный 2 11 2 3" xfId="27748"/>
    <cellStyle name="Денежный 2 11 3" xfId="27749"/>
    <cellStyle name="Денежный 2 11 3 2" xfId="27750"/>
    <cellStyle name="Денежный 2 11 4" xfId="27751"/>
    <cellStyle name="Денежный 2 11 4 2" xfId="27752"/>
    <cellStyle name="Денежный 2 11 5" xfId="27753"/>
    <cellStyle name="Денежный 2 12" xfId="27754"/>
    <cellStyle name="Денежный 2 12 2" xfId="27755"/>
    <cellStyle name="Денежный 2 12 2 2" xfId="27756"/>
    <cellStyle name="Денежный 2 12 2 2 2" xfId="27757"/>
    <cellStyle name="Денежный 2 12 2 3" xfId="27758"/>
    <cellStyle name="Денежный 2 12 3" xfId="27759"/>
    <cellStyle name="Денежный 2 12 3 2" xfId="27760"/>
    <cellStyle name="Денежный 2 12 4" xfId="27761"/>
    <cellStyle name="Денежный 2 12 4 2" xfId="27762"/>
    <cellStyle name="Денежный 2 12 5" xfId="27763"/>
    <cellStyle name="Денежный 2 13" xfId="27764"/>
    <cellStyle name="Денежный 2 13 2" xfId="27765"/>
    <cellStyle name="Денежный 2 13 2 2" xfId="27766"/>
    <cellStyle name="Денежный 2 13 2 2 2" xfId="27767"/>
    <cellStyle name="Денежный 2 13 2 3" xfId="27768"/>
    <cellStyle name="Денежный 2 13 3" xfId="27769"/>
    <cellStyle name="Денежный 2 13 3 2" xfId="27770"/>
    <cellStyle name="Денежный 2 13 4" xfId="27771"/>
    <cellStyle name="Денежный 2 13 4 2" xfId="27772"/>
    <cellStyle name="Денежный 2 13 5" xfId="27773"/>
    <cellStyle name="Денежный 2 14" xfId="27774"/>
    <cellStyle name="Денежный 2 14 2" xfId="27775"/>
    <cellStyle name="Денежный 2 14 2 2" xfId="27776"/>
    <cellStyle name="Денежный 2 14 3" xfId="27777"/>
    <cellStyle name="Денежный 2 15" xfId="27778"/>
    <cellStyle name="Денежный 2 15 2" xfId="27779"/>
    <cellStyle name="Денежный 2 16" xfId="27780"/>
    <cellStyle name="Денежный 2 16 2" xfId="27781"/>
    <cellStyle name="Денежный 2 17" xfId="27782"/>
    <cellStyle name="Денежный 2 18" xfId="27783"/>
    <cellStyle name="Денежный 2 2" xfId="27784"/>
    <cellStyle name="Денежный 2 2 10" xfId="27785"/>
    <cellStyle name="Денежный 2 2 10 2" xfId="27786"/>
    <cellStyle name="Денежный 2 2 10 2 2" xfId="27787"/>
    <cellStyle name="Денежный 2 2 10 2 2 2" xfId="27788"/>
    <cellStyle name="Денежный 2 2 10 2 3" xfId="27789"/>
    <cellStyle name="Денежный 2 2 10 3" xfId="27790"/>
    <cellStyle name="Денежный 2 2 10 3 2" xfId="27791"/>
    <cellStyle name="Денежный 2 2 10 4" xfId="27792"/>
    <cellStyle name="Денежный 2 2 10 4 2" xfId="27793"/>
    <cellStyle name="Денежный 2 2 10 5" xfId="27794"/>
    <cellStyle name="Денежный 2 2 11" xfId="27795"/>
    <cellStyle name="Денежный 2 2 11 2" xfId="27796"/>
    <cellStyle name="Денежный 2 2 11 2 2" xfId="27797"/>
    <cellStyle name="Денежный 2 2 11 2 2 2" xfId="27798"/>
    <cellStyle name="Денежный 2 2 11 2 3" xfId="27799"/>
    <cellStyle name="Денежный 2 2 11 3" xfId="27800"/>
    <cellStyle name="Денежный 2 2 11 3 2" xfId="27801"/>
    <cellStyle name="Денежный 2 2 11 4" xfId="27802"/>
    <cellStyle name="Денежный 2 2 11 4 2" xfId="27803"/>
    <cellStyle name="Денежный 2 2 11 5" xfId="27804"/>
    <cellStyle name="Денежный 2 2 12" xfId="27805"/>
    <cellStyle name="Денежный 2 2 12 2" xfId="27806"/>
    <cellStyle name="Денежный 2 2 12 2 2" xfId="27807"/>
    <cellStyle name="Денежный 2 2 12 2 2 2" xfId="27808"/>
    <cellStyle name="Денежный 2 2 12 2 3" xfId="27809"/>
    <cellStyle name="Денежный 2 2 12 3" xfId="27810"/>
    <cellStyle name="Денежный 2 2 12 3 2" xfId="27811"/>
    <cellStyle name="Денежный 2 2 12 4" xfId="27812"/>
    <cellStyle name="Денежный 2 2 12 4 2" xfId="27813"/>
    <cellStyle name="Денежный 2 2 12 5" xfId="27814"/>
    <cellStyle name="Денежный 2 2 13" xfId="27815"/>
    <cellStyle name="Денежный 2 2 13 2" xfId="27816"/>
    <cellStyle name="Денежный 2 2 13 2 2" xfId="27817"/>
    <cellStyle name="Денежный 2 2 13 3" xfId="27818"/>
    <cellStyle name="Денежный 2 2 14" xfId="27819"/>
    <cellStyle name="Денежный 2 2 14 2" xfId="27820"/>
    <cellStyle name="Денежный 2 2 15" xfId="27821"/>
    <cellStyle name="Денежный 2 2 15 2" xfId="27822"/>
    <cellStyle name="Денежный 2 2 16" xfId="27823"/>
    <cellStyle name="Денежный 2 2 17" xfId="27824"/>
    <cellStyle name="Денежный 2 2 2" xfId="27825"/>
    <cellStyle name="Денежный 2 2 2 10" xfId="27826"/>
    <cellStyle name="Денежный 2 2 2 10 2" xfId="27827"/>
    <cellStyle name="Денежный 2 2 2 10 2 2" xfId="27828"/>
    <cellStyle name="Денежный 2 2 2 10 2 2 2" xfId="27829"/>
    <cellStyle name="Денежный 2 2 2 10 2 3" xfId="27830"/>
    <cellStyle name="Денежный 2 2 2 10 3" xfId="27831"/>
    <cellStyle name="Денежный 2 2 2 10 3 2" xfId="27832"/>
    <cellStyle name="Денежный 2 2 2 10 4" xfId="27833"/>
    <cellStyle name="Денежный 2 2 2 10 4 2" xfId="27834"/>
    <cellStyle name="Денежный 2 2 2 10 5" xfId="27835"/>
    <cellStyle name="Денежный 2 2 2 11" xfId="27836"/>
    <cellStyle name="Денежный 2 2 2 11 2" xfId="27837"/>
    <cellStyle name="Денежный 2 2 2 11 2 2" xfId="27838"/>
    <cellStyle name="Денежный 2 2 2 11 3" xfId="27839"/>
    <cellStyle name="Денежный 2 2 2 12" xfId="27840"/>
    <cellStyle name="Денежный 2 2 2 12 2" xfId="27841"/>
    <cellStyle name="Денежный 2 2 2 13" xfId="27842"/>
    <cellStyle name="Денежный 2 2 2 13 2" xfId="27843"/>
    <cellStyle name="Денежный 2 2 2 14" xfId="27844"/>
    <cellStyle name="Денежный 2 2 2 15" xfId="27845"/>
    <cellStyle name="Денежный 2 2 2 2" xfId="27846"/>
    <cellStyle name="Денежный 2 2 2 2 10" xfId="27847"/>
    <cellStyle name="Денежный 2 2 2 2 2" xfId="27848"/>
    <cellStyle name="Денежный 2 2 2 2 2 2" xfId="27849"/>
    <cellStyle name="Денежный 2 2 2 2 2 2 2" xfId="27850"/>
    <cellStyle name="Денежный 2 2 2 2 2 2 2 2" xfId="27851"/>
    <cellStyle name="Денежный 2 2 2 2 2 2 3" xfId="27852"/>
    <cellStyle name="Денежный 2 2 2 2 2 3" xfId="27853"/>
    <cellStyle name="Денежный 2 2 2 2 2 3 2" xfId="27854"/>
    <cellStyle name="Денежный 2 2 2 2 2 4" xfId="27855"/>
    <cellStyle name="Денежный 2 2 2 2 2 4 2" xfId="27856"/>
    <cellStyle name="Денежный 2 2 2 2 2 5" xfId="27857"/>
    <cellStyle name="Денежный 2 2 2 2 3" xfId="27858"/>
    <cellStyle name="Денежный 2 2 2 2 3 2" xfId="27859"/>
    <cellStyle name="Денежный 2 2 2 2 3 2 2" xfId="27860"/>
    <cellStyle name="Денежный 2 2 2 2 3 2 2 2" xfId="27861"/>
    <cellStyle name="Денежный 2 2 2 2 3 2 3" xfId="27862"/>
    <cellStyle name="Денежный 2 2 2 2 3 3" xfId="27863"/>
    <cellStyle name="Денежный 2 2 2 2 3 3 2" xfId="27864"/>
    <cellStyle name="Денежный 2 2 2 2 3 4" xfId="27865"/>
    <cellStyle name="Денежный 2 2 2 2 3 4 2" xfId="27866"/>
    <cellStyle name="Денежный 2 2 2 2 3 5" xfId="27867"/>
    <cellStyle name="Денежный 2 2 2 2 4" xfId="27868"/>
    <cellStyle name="Денежный 2 2 2 2 4 2" xfId="27869"/>
    <cellStyle name="Денежный 2 2 2 2 4 2 2" xfId="27870"/>
    <cellStyle name="Денежный 2 2 2 2 4 2 2 2" xfId="27871"/>
    <cellStyle name="Денежный 2 2 2 2 4 2 3" xfId="27872"/>
    <cellStyle name="Денежный 2 2 2 2 4 3" xfId="27873"/>
    <cellStyle name="Денежный 2 2 2 2 4 3 2" xfId="27874"/>
    <cellStyle name="Денежный 2 2 2 2 4 4" xfId="27875"/>
    <cellStyle name="Денежный 2 2 2 2 4 4 2" xfId="27876"/>
    <cellStyle name="Денежный 2 2 2 2 4 5" xfId="27877"/>
    <cellStyle name="Денежный 2 2 2 2 5" xfId="27878"/>
    <cellStyle name="Денежный 2 2 2 2 5 2" xfId="27879"/>
    <cellStyle name="Денежный 2 2 2 2 5 2 2" xfId="27880"/>
    <cellStyle name="Денежный 2 2 2 2 5 2 2 2" xfId="27881"/>
    <cellStyle name="Денежный 2 2 2 2 5 2 3" xfId="27882"/>
    <cellStyle name="Денежный 2 2 2 2 5 3" xfId="27883"/>
    <cellStyle name="Денежный 2 2 2 2 5 3 2" xfId="27884"/>
    <cellStyle name="Денежный 2 2 2 2 5 4" xfId="27885"/>
    <cellStyle name="Денежный 2 2 2 2 5 4 2" xfId="27886"/>
    <cellStyle name="Денежный 2 2 2 2 5 5" xfId="27887"/>
    <cellStyle name="Денежный 2 2 2 2 6" xfId="27888"/>
    <cellStyle name="Денежный 2 2 2 2 6 2" xfId="27889"/>
    <cellStyle name="Денежный 2 2 2 2 6 2 2" xfId="27890"/>
    <cellStyle name="Денежный 2 2 2 2 6 3" xfId="27891"/>
    <cellStyle name="Денежный 2 2 2 2 7" xfId="27892"/>
    <cellStyle name="Денежный 2 2 2 2 7 2" xfId="27893"/>
    <cellStyle name="Денежный 2 2 2 2 8" xfId="27894"/>
    <cellStyle name="Денежный 2 2 2 2 8 2" xfId="27895"/>
    <cellStyle name="Денежный 2 2 2 2 9" xfId="27896"/>
    <cellStyle name="Денежный 2 2 2 3" xfId="27897"/>
    <cellStyle name="Денежный 2 2 2 3 10" xfId="27898"/>
    <cellStyle name="Денежный 2 2 2 3 2" xfId="27899"/>
    <cellStyle name="Денежный 2 2 2 3 2 2" xfId="27900"/>
    <cellStyle name="Денежный 2 2 2 3 2 2 2" xfId="27901"/>
    <cellStyle name="Денежный 2 2 2 3 2 2 2 2" xfId="27902"/>
    <cellStyle name="Денежный 2 2 2 3 2 2 3" xfId="27903"/>
    <cellStyle name="Денежный 2 2 2 3 2 3" xfId="27904"/>
    <cellStyle name="Денежный 2 2 2 3 2 3 2" xfId="27905"/>
    <cellStyle name="Денежный 2 2 2 3 2 4" xfId="27906"/>
    <cellStyle name="Денежный 2 2 2 3 2 4 2" xfId="27907"/>
    <cellStyle name="Денежный 2 2 2 3 2 5" xfId="27908"/>
    <cellStyle name="Денежный 2 2 2 3 3" xfId="27909"/>
    <cellStyle name="Денежный 2 2 2 3 3 2" xfId="27910"/>
    <cellStyle name="Денежный 2 2 2 3 3 2 2" xfId="27911"/>
    <cellStyle name="Денежный 2 2 2 3 3 2 2 2" xfId="27912"/>
    <cellStyle name="Денежный 2 2 2 3 3 2 3" xfId="27913"/>
    <cellStyle name="Денежный 2 2 2 3 3 3" xfId="27914"/>
    <cellStyle name="Денежный 2 2 2 3 3 3 2" xfId="27915"/>
    <cellStyle name="Денежный 2 2 2 3 3 4" xfId="27916"/>
    <cellStyle name="Денежный 2 2 2 3 3 4 2" xfId="27917"/>
    <cellStyle name="Денежный 2 2 2 3 3 5" xfId="27918"/>
    <cellStyle name="Денежный 2 2 2 3 4" xfId="27919"/>
    <cellStyle name="Денежный 2 2 2 3 4 2" xfId="27920"/>
    <cellStyle name="Денежный 2 2 2 3 4 2 2" xfId="27921"/>
    <cellStyle name="Денежный 2 2 2 3 4 2 2 2" xfId="27922"/>
    <cellStyle name="Денежный 2 2 2 3 4 2 3" xfId="27923"/>
    <cellStyle name="Денежный 2 2 2 3 4 3" xfId="27924"/>
    <cellStyle name="Денежный 2 2 2 3 4 3 2" xfId="27925"/>
    <cellStyle name="Денежный 2 2 2 3 4 4" xfId="27926"/>
    <cellStyle name="Денежный 2 2 2 3 4 4 2" xfId="27927"/>
    <cellStyle name="Денежный 2 2 2 3 4 5" xfId="27928"/>
    <cellStyle name="Денежный 2 2 2 3 5" xfId="27929"/>
    <cellStyle name="Денежный 2 2 2 3 5 2" xfId="27930"/>
    <cellStyle name="Денежный 2 2 2 3 5 2 2" xfId="27931"/>
    <cellStyle name="Денежный 2 2 2 3 5 2 2 2" xfId="27932"/>
    <cellStyle name="Денежный 2 2 2 3 5 2 3" xfId="27933"/>
    <cellStyle name="Денежный 2 2 2 3 5 3" xfId="27934"/>
    <cellStyle name="Денежный 2 2 2 3 5 3 2" xfId="27935"/>
    <cellStyle name="Денежный 2 2 2 3 5 4" xfId="27936"/>
    <cellStyle name="Денежный 2 2 2 3 5 4 2" xfId="27937"/>
    <cellStyle name="Денежный 2 2 2 3 5 5" xfId="27938"/>
    <cellStyle name="Денежный 2 2 2 3 6" xfId="27939"/>
    <cellStyle name="Денежный 2 2 2 3 6 2" xfId="27940"/>
    <cellStyle name="Денежный 2 2 2 3 6 2 2" xfId="27941"/>
    <cellStyle name="Денежный 2 2 2 3 6 3" xfId="27942"/>
    <cellStyle name="Денежный 2 2 2 3 7" xfId="27943"/>
    <cellStyle name="Денежный 2 2 2 3 7 2" xfId="27944"/>
    <cellStyle name="Денежный 2 2 2 3 8" xfId="27945"/>
    <cellStyle name="Денежный 2 2 2 3 8 2" xfId="27946"/>
    <cellStyle name="Денежный 2 2 2 3 9" xfId="27947"/>
    <cellStyle name="Денежный 2 2 2 4" xfId="27948"/>
    <cellStyle name="Денежный 2 2 2 4 10" xfId="27949"/>
    <cellStyle name="Денежный 2 2 2 4 2" xfId="27950"/>
    <cellStyle name="Денежный 2 2 2 4 2 2" xfId="27951"/>
    <cellStyle name="Денежный 2 2 2 4 2 2 2" xfId="27952"/>
    <cellStyle name="Денежный 2 2 2 4 2 2 2 2" xfId="27953"/>
    <cellStyle name="Денежный 2 2 2 4 2 2 3" xfId="27954"/>
    <cellStyle name="Денежный 2 2 2 4 2 3" xfId="27955"/>
    <cellStyle name="Денежный 2 2 2 4 2 3 2" xfId="27956"/>
    <cellStyle name="Денежный 2 2 2 4 2 4" xfId="27957"/>
    <cellStyle name="Денежный 2 2 2 4 2 4 2" xfId="27958"/>
    <cellStyle name="Денежный 2 2 2 4 2 5" xfId="27959"/>
    <cellStyle name="Денежный 2 2 2 4 3" xfId="27960"/>
    <cellStyle name="Денежный 2 2 2 4 3 2" xfId="27961"/>
    <cellStyle name="Денежный 2 2 2 4 3 2 2" xfId="27962"/>
    <cellStyle name="Денежный 2 2 2 4 3 2 2 2" xfId="27963"/>
    <cellStyle name="Денежный 2 2 2 4 3 2 3" xfId="27964"/>
    <cellStyle name="Денежный 2 2 2 4 3 3" xfId="27965"/>
    <cellStyle name="Денежный 2 2 2 4 3 3 2" xfId="27966"/>
    <cellStyle name="Денежный 2 2 2 4 3 4" xfId="27967"/>
    <cellStyle name="Денежный 2 2 2 4 3 4 2" xfId="27968"/>
    <cellStyle name="Денежный 2 2 2 4 3 5" xfId="27969"/>
    <cellStyle name="Денежный 2 2 2 4 4" xfId="27970"/>
    <cellStyle name="Денежный 2 2 2 4 4 2" xfId="27971"/>
    <cellStyle name="Денежный 2 2 2 4 4 2 2" xfId="27972"/>
    <cellStyle name="Денежный 2 2 2 4 4 2 2 2" xfId="27973"/>
    <cellStyle name="Денежный 2 2 2 4 4 2 3" xfId="27974"/>
    <cellStyle name="Денежный 2 2 2 4 4 3" xfId="27975"/>
    <cellStyle name="Денежный 2 2 2 4 4 3 2" xfId="27976"/>
    <cellStyle name="Денежный 2 2 2 4 4 4" xfId="27977"/>
    <cellStyle name="Денежный 2 2 2 4 4 4 2" xfId="27978"/>
    <cellStyle name="Денежный 2 2 2 4 4 5" xfId="27979"/>
    <cellStyle name="Денежный 2 2 2 4 5" xfId="27980"/>
    <cellStyle name="Денежный 2 2 2 4 5 2" xfId="27981"/>
    <cellStyle name="Денежный 2 2 2 4 5 2 2" xfId="27982"/>
    <cellStyle name="Денежный 2 2 2 4 5 2 2 2" xfId="27983"/>
    <cellStyle name="Денежный 2 2 2 4 5 2 3" xfId="27984"/>
    <cellStyle name="Денежный 2 2 2 4 5 3" xfId="27985"/>
    <cellStyle name="Денежный 2 2 2 4 5 3 2" xfId="27986"/>
    <cellStyle name="Денежный 2 2 2 4 5 4" xfId="27987"/>
    <cellStyle name="Денежный 2 2 2 4 5 4 2" xfId="27988"/>
    <cellStyle name="Денежный 2 2 2 4 5 5" xfId="27989"/>
    <cellStyle name="Денежный 2 2 2 4 6" xfId="27990"/>
    <cellStyle name="Денежный 2 2 2 4 6 2" xfId="27991"/>
    <cellStyle name="Денежный 2 2 2 4 6 2 2" xfId="27992"/>
    <cellStyle name="Денежный 2 2 2 4 6 3" xfId="27993"/>
    <cellStyle name="Денежный 2 2 2 4 7" xfId="27994"/>
    <cellStyle name="Денежный 2 2 2 4 7 2" xfId="27995"/>
    <cellStyle name="Денежный 2 2 2 4 8" xfId="27996"/>
    <cellStyle name="Денежный 2 2 2 4 8 2" xfId="27997"/>
    <cellStyle name="Денежный 2 2 2 4 9" xfId="27998"/>
    <cellStyle name="Денежный 2 2 2 5" xfId="27999"/>
    <cellStyle name="Денежный 2 2 2 5 10" xfId="28000"/>
    <cellStyle name="Денежный 2 2 2 5 2" xfId="28001"/>
    <cellStyle name="Денежный 2 2 2 5 2 2" xfId="28002"/>
    <cellStyle name="Денежный 2 2 2 5 2 2 2" xfId="28003"/>
    <cellStyle name="Денежный 2 2 2 5 2 2 2 2" xfId="28004"/>
    <cellStyle name="Денежный 2 2 2 5 2 2 3" xfId="28005"/>
    <cellStyle name="Денежный 2 2 2 5 2 3" xfId="28006"/>
    <cellStyle name="Денежный 2 2 2 5 2 3 2" xfId="28007"/>
    <cellStyle name="Денежный 2 2 2 5 2 4" xfId="28008"/>
    <cellStyle name="Денежный 2 2 2 5 2 4 2" xfId="28009"/>
    <cellStyle name="Денежный 2 2 2 5 2 5" xfId="28010"/>
    <cellStyle name="Денежный 2 2 2 5 3" xfId="28011"/>
    <cellStyle name="Денежный 2 2 2 5 3 2" xfId="28012"/>
    <cellStyle name="Денежный 2 2 2 5 3 2 2" xfId="28013"/>
    <cellStyle name="Денежный 2 2 2 5 3 2 2 2" xfId="28014"/>
    <cellStyle name="Денежный 2 2 2 5 3 2 3" xfId="28015"/>
    <cellStyle name="Денежный 2 2 2 5 3 3" xfId="28016"/>
    <cellStyle name="Денежный 2 2 2 5 3 3 2" xfId="28017"/>
    <cellStyle name="Денежный 2 2 2 5 3 4" xfId="28018"/>
    <cellStyle name="Денежный 2 2 2 5 3 4 2" xfId="28019"/>
    <cellStyle name="Денежный 2 2 2 5 3 5" xfId="28020"/>
    <cellStyle name="Денежный 2 2 2 5 4" xfId="28021"/>
    <cellStyle name="Денежный 2 2 2 5 4 2" xfId="28022"/>
    <cellStyle name="Денежный 2 2 2 5 4 2 2" xfId="28023"/>
    <cellStyle name="Денежный 2 2 2 5 4 2 2 2" xfId="28024"/>
    <cellStyle name="Денежный 2 2 2 5 4 2 3" xfId="28025"/>
    <cellStyle name="Денежный 2 2 2 5 4 3" xfId="28026"/>
    <cellStyle name="Денежный 2 2 2 5 4 3 2" xfId="28027"/>
    <cellStyle name="Денежный 2 2 2 5 4 4" xfId="28028"/>
    <cellStyle name="Денежный 2 2 2 5 4 4 2" xfId="28029"/>
    <cellStyle name="Денежный 2 2 2 5 4 5" xfId="28030"/>
    <cellStyle name="Денежный 2 2 2 5 5" xfId="28031"/>
    <cellStyle name="Денежный 2 2 2 5 5 2" xfId="28032"/>
    <cellStyle name="Денежный 2 2 2 5 5 2 2" xfId="28033"/>
    <cellStyle name="Денежный 2 2 2 5 5 2 2 2" xfId="28034"/>
    <cellStyle name="Денежный 2 2 2 5 5 2 3" xfId="28035"/>
    <cellStyle name="Денежный 2 2 2 5 5 3" xfId="28036"/>
    <cellStyle name="Денежный 2 2 2 5 5 3 2" xfId="28037"/>
    <cellStyle name="Денежный 2 2 2 5 5 4" xfId="28038"/>
    <cellStyle name="Денежный 2 2 2 5 5 4 2" xfId="28039"/>
    <cellStyle name="Денежный 2 2 2 5 5 5" xfId="28040"/>
    <cellStyle name="Денежный 2 2 2 5 6" xfId="28041"/>
    <cellStyle name="Денежный 2 2 2 5 6 2" xfId="28042"/>
    <cellStyle name="Денежный 2 2 2 5 6 2 2" xfId="28043"/>
    <cellStyle name="Денежный 2 2 2 5 6 3" xfId="28044"/>
    <cellStyle name="Денежный 2 2 2 5 7" xfId="28045"/>
    <cellStyle name="Денежный 2 2 2 5 7 2" xfId="28046"/>
    <cellStyle name="Денежный 2 2 2 5 8" xfId="28047"/>
    <cellStyle name="Денежный 2 2 2 5 8 2" xfId="28048"/>
    <cellStyle name="Денежный 2 2 2 5 9" xfId="28049"/>
    <cellStyle name="Денежный 2 2 2 6" xfId="28050"/>
    <cellStyle name="Денежный 2 2 2 6 10" xfId="28051"/>
    <cellStyle name="Денежный 2 2 2 6 2" xfId="28052"/>
    <cellStyle name="Денежный 2 2 2 6 2 2" xfId="28053"/>
    <cellStyle name="Денежный 2 2 2 6 2 2 2" xfId="28054"/>
    <cellStyle name="Денежный 2 2 2 6 2 2 2 2" xfId="28055"/>
    <cellStyle name="Денежный 2 2 2 6 2 2 3" xfId="28056"/>
    <cellStyle name="Денежный 2 2 2 6 2 3" xfId="28057"/>
    <cellStyle name="Денежный 2 2 2 6 2 3 2" xfId="28058"/>
    <cellStyle name="Денежный 2 2 2 6 2 4" xfId="28059"/>
    <cellStyle name="Денежный 2 2 2 6 2 4 2" xfId="28060"/>
    <cellStyle name="Денежный 2 2 2 6 2 5" xfId="28061"/>
    <cellStyle name="Денежный 2 2 2 6 3" xfId="28062"/>
    <cellStyle name="Денежный 2 2 2 6 3 2" xfId="28063"/>
    <cellStyle name="Денежный 2 2 2 6 3 2 2" xfId="28064"/>
    <cellStyle name="Денежный 2 2 2 6 3 2 2 2" xfId="28065"/>
    <cellStyle name="Денежный 2 2 2 6 3 2 3" xfId="28066"/>
    <cellStyle name="Денежный 2 2 2 6 3 3" xfId="28067"/>
    <cellStyle name="Денежный 2 2 2 6 3 3 2" xfId="28068"/>
    <cellStyle name="Денежный 2 2 2 6 3 4" xfId="28069"/>
    <cellStyle name="Денежный 2 2 2 6 3 4 2" xfId="28070"/>
    <cellStyle name="Денежный 2 2 2 6 3 5" xfId="28071"/>
    <cellStyle name="Денежный 2 2 2 6 4" xfId="28072"/>
    <cellStyle name="Денежный 2 2 2 6 4 2" xfId="28073"/>
    <cellStyle name="Денежный 2 2 2 6 4 2 2" xfId="28074"/>
    <cellStyle name="Денежный 2 2 2 6 4 2 2 2" xfId="28075"/>
    <cellStyle name="Денежный 2 2 2 6 4 2 3" xfId="28076"/>
    <cellStyle name="Денежный 2 2 2 6 4 3" xfId="28077"/>
    <cellStyle name="Денежный 2 2 2 6 4 3 2" xfId="28078"/>
    <cellStyle name="Денежный 2 2 2 6 4 4" xfId="28079"/>
    <cellStyle name="Денежный 2 2 2 6 4 4 2" xfId="28080"/>
    <cellStyle name="Денежный 2 2 2 6 4 5" xfId="28081"/>
    <cellStyle name="Денежный 2 2 2 6 5" xfId="28082"/>
    <cellStyle name="Денежный 2 2 2 6 5 2" xfId="28083"/>
    <cellStyle name="Денежный 2 2 2 6 5 2 2" xfId="28084"/>
    <cellStyle name="Денежный 2 2 2 6 5 2 2 2" xfId="28085"/>
    <cellStyle name="Денежный 2 2 2 6 5 2 3" xfId="28086"/>
    <cellStyle name="Денежный 2 2 2 6 5 3" xfId="28087"/>
    <cellStyle name="Денежный 2 2 2 6 5 3 2" xfId="28088"/>
    <cellStyle name="Денежный 2 2 2 6 5 4" xfId="28089"/>
    <cellStyle name="Денежный 2 2 2 6 5 4 2" xfId="28090"/>
    <cellStyle name="Денежный 2 2 2 6 5 5" xfId="28091"/>
    <cellStyle name="Денежный 2 2 2 6 6" xfId="28092"/>
    <cellStyle name="Денежный 2 2 2 6 6 2" xfId="28093"/>
    <cellStyle name="Денежный 2 2 2 6 6 2 2" xfId="28094"/>
    <cellStyle name="Денежный 2 2 2 6 6 3" xfId="28095"/>
    <cellStyle name="Денежный 2 2 2 6 7" xfId="28096"/>
    <cellStyle name="Денежный 2 2 2 6 7 2" xfId="28097"/>
    <cellStyle name="Денежный 2 2 2 6 8" xfId="28098"/>
    <cellStyle name="Денежный 2 2 2 6 8 2" xfId="28099"/>
    <cellStyle name="Денежный 2 2 2 6 9" xfId="28100"/>
    <cellStyle name="Денежный 2 2 2 7" xfId="28101"/>
    <cellStyle name="Денежный 2 2 2 7 2" xfId="28102"/>
    <cellStyle name="Денежный 2 2 2 7 2 2" xfId="28103"/>
    <cellStyle name="Денежный 2 2 2 7 2 2 2" xfId="28104"/>
    <cellStyle name="Денежный 2 2 2 7 2 3" xfId="28105"/>
    <cellStyle name="Денежный 2 2 2 7 3" xfId="28106"/>
    <cellStyle name="Денежный 2 2 2 7 3 2" xfId="28107"/>
    <cellStyle name="Денежный 2 2 2 7 4" xfId="28108"/>
    <cellStyle name="Денежный 2 2 2 7 4 2" xfId="28109"/>
    <cellStyle name="Денежный 2 2 2 7 5" xfId="28110"/>
    <cellStyle name="Денежный 2 2 2 8" xfId="28111"/>
    <cellStyle name="Денежный 2 2 2 8 2" xfId="28112"/>
    <cellStyle name="Денежный 2 2 2 8 2 2" xfId="28113"/>
    <cellStyle name="Денежный 2 2 2 8 2 2 2" xfId="28114"/>
    <cellStyle name="Денежный 2 2 2 8 2 3" xfId="28115"/>
    <cellStyle name="Денежный 2 2 2 8 3" xfId="28116"/>
    <cellStyle name="Денежный 2 2 2 8 3 2" xfId="28117"/>
    <cellStyle name="Денежный 2 2 2 8 4" xfId="28118"/>
    <cellStyle name="Денежный 2 2 2 8 4 2" xfId="28119"/>
    <cellStyle name="Денежный 2 2 2 8 5" xfId="28120"/>
    <cellStyle name="Денежный 2 2 2 9" xfId="28121"/>
    <cellStyle name="Денежный 2 2 2 9 2" xfId="28122"/>
    <cellStyle name="Денежный 2 2 2 9 2 2" xfId="28123"/>
    <cellStyle name="Денежный 2 2 2 9 2 2 2" xfId="28124"/>
    <cellStyle name="Денежный 2 2 2 9 2 3" xfId="28125"/>
    <cellStyle name="Денежный 2 2 2 9 3" xfId="28126"/>
    <cellStyle name="Денежный 2 2 2 9 3 2" xfId="28127"/>
    <cellStyle name="Денежный 2 2 2 9 4" xfId="28128"/>
    <cellStyle name="Денежный 2 2 2 9 4 2" xfId="28129"/>
    <cellStyle name="Денежный 2 2 2 9 5" xfId="28130"/>
    <cellStyle name="Денежный 2 2 3" xfId="28131"/>
    <cellStyle name="Денежный 2 2 3 10" xfId="28132"/>
    <cellStyle name="Денежный 2 2 3 2" xfId="28133"/>
    <cellStyle name="Денежный 2 2 3 2 2" xfId="28134"/>
    <cellStyle name="Денежный 2 2 3 2 2 2" xfId="28135"/>
    <cellStyle name="Денежный 2 2 3 2 2 2 2" xfId="28136"/>
    <cellStyle name="Денежный 2 2 3 2 2 3" xfId="28137"/>
    <cellStyle name="Денежный 2 2 3 2 3" xfId="28138"/>
    <cellStyle name="Денежный 2 2 3 2 3 2" xfId="28139"/>
    <cellStyle name="Денежный 2 2 3 2 4" xfId="28140"/>
    <cellStyle name="Денежный 2 2 3 2 4 2" xfId="28141"/>
    <cellStyle name="Денежный 2 2 3 2 5" xfId="28142"/>
    <cellStyle name="Денежный 2 2 3 3" xfId="28143"/>
    <cellStyle name="Денежный 2 2 3 3 2" xfId="28144"/>
    <cellStyle name="Денежный 2 2 3 3 2 2" xfId="28145"/>
    <cellStyle name="Денежный 2 2 3 3 2 2 2" xfId="28146"/>
    <cellStyle name="Денежный 2 2 3 3 2 3" xfId="28147"/>
    <cellStyle name="Денежный 2 2 3 3 3" xfId="28148"/>
    <cellStyle name="Денежный 2 2 3 3 3 2" xfId="28149"/>
    <cellStyle name="Денежный 2 2 3 3 4" xfId="28150"/>
    <cellStyle name="Денежный 2 2 3 3 4 2" xfId="28151"/>
    <cellStyle name="Денежный 2 2 3 3 5" xfId="28152"/>
    <cellStyle name="Денежный 2 2 3 4" xfId="28153"/>
    <cellStyle name="Денежный 2 2 3 4 2" xfId="28154"/>
    <cellStyle name="Денежный 2 2 3 4 2 2" xfId="28155"/>
    <cellStyle name="Денежный 2 2 3 4 2 2 2" xfId="28156"/>
    <cellStyle name="Денежный 2 2 3 4 2 3" xfId="28157"/>
    <cellStyle name="Денежный 2 2 3 4 3" xfId="28158"/>
    <cellStyle name="Денежный 2 2 3 4 3 2" xfId="28159"/>
    <cellStyle name="Денежный 2 2 3 4 4" xfId="28160"/>
    <cellStyle name="Денежный 2 2 3 4 4 2" xfId="28161"/>
    <cellStyle name="Денежный 2 2 3 4 5" xfId="28162"/>
    <cellStyle name="Денежный 2 2 3 5" xfId="28163"/>
    <cellStyle name="Денежный 2 2 3 5 2" xfId="28164"/>
    <cellStyle name="Денежный 2 2 3 5 2 2" xfId="28165"/>
    <cellStyle name="Денежный 2 2 3 5 2 2 2" xfId="28166"/>
    <cellStyle name="Денежный 2 2 3 5 2 3" xfId="28167"/>
    <cellStyle name="Денежный 2 2 3 5 3" xfId="28168"/>
    <cellStyle name="Денежный 2 2 3 5 3 2" xfId="28169"/>
    <cellStyle name="Денежный 2 2 3 5 4" xfId="28170"/>
    <cellStyle name="Денежный 2 2 3 5 4 2" xfId="28171"/>
    <cellStyle name="Денежный 2 2 3 5 5" xfId="28172"/>
    <cellStyle name="Денежный 2 2 3 6" xfId="28173"/>
    <cellStyle name="Денежный 2 2 3 6 2" xfId="28174"/>
    <cellStyle name="Денежный 2 2 3 6 2 2" xfId="28175"/>
    <cellStyle name="Денежный 2 2 3 6 3" xfId="28176"/>
    <cellStyle name="Денежный 2 2 3 7" xfId="28177"/>
    <cellStyle name="Денежный 2 2 3 7 2" xfId="28178"/>
    <cellStyle name="Денежный 2 2 3 8" xfId="28179"/>
    <cellStyle name="Денежный 2 2 3 8 2" xfId="28180"/>
    <cellStyle name="Денежный 2 2 3 9" xfId="28181"/>
    <cellStyle name="Денежный 2 2 4" xfId="28182"/>
    <cellStyle name="Денежный 2 2 4 10" xfId="28183"/>
    <cellStyle name="Денежный 2 2 4 2" xfId="28184"/>
    <cellStyle name="Денежный 2 2 4 2 2" xfId="28185"/>
    <cellStyle name="Денежный 2 2 4 2 2 2" xfId="28186"/>
    <cellStyle name="Денежный 2 2 4 2 2 2 2" xfId="28187"/>
    <cellStyle name="Денежный 2 2 4 2 2 3" xfId="28188"/>
    <cellStyle name="Денежный 2 2 4 2 3" xfId="28189"/>
    <cellStyle name="Денежный 2 2 4 2 3 2" xfId="28190"/>
    <cellStyle name="Денежный 2 2 4 2 4" xfId="28191"/>
    <cellStyle name="Денежный 2 2 4 2 4 2" xfId="28192"/>
    <cellStyle name="Денежный 2 2 4 2 5" xfId="28193"/>
    <cellStyle name="Денежный 2 2 4 3" xfId="28194"/>
    <cellStyle name="Денежный 2 2 4 3 2" xfId="28195"/>
    <cellStyle name="Денежный 2 2 4 3 2 2" xfId="28196"/>
    <cellStyle name="Денежный 2 2 4 3 2 2 2" xfId="28197"/>
    <cellStyle name="Денежный 2 2 4 3 2 3" xfId="28198"/>
    <cellStyle name="Денежный 2 2 4 3 3" xfId="28199"/>
    <cellStyle name="Денежный 2 2 4 3 3 2" xfId="28200"/>
    <cellStyle name="Денежный 2 2 4 3 4" xfId="28201"/>
    <cellStyle name="Денежный 2 2 4 3 4 2" xfId="28202"/>
    <cellStyle name="Денежный 2 2 4 3 5" xfId="28203"/>
    <cellStyle name="Денежный 2 2 4 4" xfId="28204"/>
    <cellStyle name="Денежный 2 2 4 4 2" xfId="28205"/>
    <cellStyle name="Денежный 2 2 4 4 2 2" xfId="28206"/>
    <cellStyle name="Денежный 2 2 4 4 2 2 2" xfId="28207"/>
    <cellStyle name="Денежный 2 2 4 4 2 3" xfId="28208"/>
    <cellStyle name="Денежный 2 2 4 4 3" xfId="28209"/>
    <cellStyle name="Денежный 2 2 4 4 3 2" xfId="28210"/>
    <cellStyle name="Денежный 2 2 4 4 4" xfId="28211"/>
    <cellStyle name="Денежный 2 2 4 4 4 2" xfId="28212"/>
    <cellStyle name="Денежный 2 2 4 4 5" xfId="28213"/>
    <cellStyle name="Денежный 2 2 4 5" xfId="28214"/>
    <cellStyle name="Денежный 2 2 4 5 2" xfId="28215"/>
    <cellStyle name="Денежный 2 2 4 5 2 2" xfId="28216"/>
    <cellStyle name="Денежный 2 2 4 5 2 2 2" xfId="28217"/>
    <cellStyle name="Денежный 2 2 4 5 2 3" xfId="28218"/>
    <cellStyle name="Денежный 2 2 4 5 3" xfId="28219"/>
    <cellStyle name="Денежный 2 2 4 5 3 2" xfId="28220"/>
    <cellStyle name="Денежный 2 2 4 5 4" xfId="28221"/>
    <cellStyle name="Денежный 2 2 4 5 4 2" xfId="28222"/>
    <cellStyle name="Денежный 2 2 4 5 5" xfId="28223"/>
    <cellStyle name="Денежный 2 2 4 6" xfId="28224"/>
    <cellStyle name="Денежный 2 2 4 6 2" xfId="28225"/>
    <cellStyle name="Денежный 2 2 4 6 2 2" xfId="28226"/>
    <cellStyle name="Денежный 2 2 4 6 3" xfId="28227"/>
    <cellStyle name="Денежный 2 2 4 7" xfId="28228"/>
    <cellStyle name="Денежный 2 2 4 7 2" xfId="28229"/>
    <cellStyle name="Денежный 2 2 4 8" xfId="28230"/>
    <cellStyle name="Денежный 2 2 4 8 2" xfId="28231"/>
    <cellStyle name="Денежный 2 2 4 9" xfId="28232"/>
    <cellStyle name="Денежный 2 2 5" xfId="28233"/>
    <cellStyle name="Денежный 2 2 5 10" xfId="28234"/>
    <cellStyle name="Денежный 2 2 5 2" xfId="28235"/>
    <cellStyle name="Денежный 2 2 5 2 2" xfId="28236"/>
    <cellStyle name="Денежный 2 2 5 2 2 2" xfId="28237"/>
    <cellStyle name="Денежный 2 2 5 2 2 2 2" xfId="28238"/>
    <cellStyle name="Денежный 2 2 5 2 2 3" xfId="28239"/>
    <cellStyle name="Денежный 2 2 5 2 3" xfId="28240"/>
    <cellStyle name="Денежный 2 2 5 2 3 2" xfId="28241"/>
    <cellStyle name="Денежный 2 2 5 2 4" xfId="28242"/>
    <cellStyle name="Денежный 2 2 5 2 4 2" xfId="28243"/>
    <cellStyle name="Денежный 2 2 5 2 5" xfId="28244"/>
    <cellStyle name="Денежный 2 2 5 3" xfId="28245"/>
    <cellStyle name="Денежный 2 2 5 3 2" xfId="28246"/>
    <cellStyle name="Денежный 2 2 5 3 2 2" xfId="28247"/>
    <cellStyle name="Денежный 2 2 5 3 2 2 2" xfId="28248"/>
    <cellStyle name="Денежный 2 2 5 3 2 3" xfId="28249"/>
    <cellStyle name="Денежный 2 2 5 3 3" xfId="28250"/>
    <cellStyle name="Денежный 2 2 5 3 3 2" xfId="28251"/>
    <cellStyle name="Денежный 2 2 5 3 4" xfId="28252"/>
    <cellStyle name="Денежный 2 2 5 3 4 2" xfId="28253"/>
    <cellStyle name="Денежный 2 2 5 3 5" xfId="28254"/>
    <cellStyle name="Денежный 2 2 5 4" xfId="28255"/>
    <cellStyle name="Денежный 2 2 5 4 2" xfId="28256"/>
    <cellStyle name="Денежный 2 2 5 4 2 2" xfId="28257"/>
    <cellStyle name="Денежный 2 2 5 4 2 2 2" xfId="28258"/>
    <cellStyle name="Денежный 2 2 5 4 2 3" xfId="28259"/>
    <cellStyle name="Денежный 2 2 5 4 3" xfId="28260"/>
    <cellStyle name="Денежный 2 2 5 4 3 2" xfId="28261"/>
    <cellStyle name="Денежный 2 2 5 4 4" xfId="28262"/>
    <cellStyle name="Денежный 2 2 5 4 4 2" xfId="28263"/>
    <cellStyle name="Денежный 2 2 5 4 5" xfId="28264"/>
    <cellStyle name="Денежный 2 2 5 5" xfId="28265"/>
    <cellStyle name="Денежный 2 2 5 5 2" xfId="28266"/>
    <cellStyle name="Денежный 2 2 5 5 2 2" xfId="28267"/>
    <cellStyle name="Денежный 2 2 5 5 2 2 2" xfId="28268"/>
    <cellStyle name="Денежный 2 2 5 5 2 3" xfId="28269"/>
    <cellStyle name="Денежный 2 2 5 5 3" xfId="28270"/>
    <cellStyle name="Денежный 2 2 5 5 3 2" xfId="28271"/>
    <cellStyle name="Денежный 2 2 5 5 4" xfId="28272"/>
    <cellStyle name="Денежный 2 2 5 5 4 2" xfId="28273"/>
    <cellStyle name="Денежный 2 2 5 5 5" xfId="28274"/>
    <cellStyle name="Денежный 2 2 5 6" xfId="28275"/>
    <cellStyle name="Денежный 2 2 5 6 2" xfId="28276"/>
    <cellStyle name="Денежный 2 2 5 6 2 2" xfId="28277"/>
    <cellStyle name="Денежный 2 2 5 6 3" xfId="28278"/>
    <cellStyle name="Денежный 2 2 5 7" xfId="28279"/>
    <cellStyle name="Денежный 2 2 5 7 2" xfId="28280"/>
    <cellStyle name="Денежный 2 2 5 8" xfId="28281"/>
    <cellStyle name="Денежный 2 2 5 8 2" xfId="28282"/>
    <cellStyle name="Денежный 2 2 5 9" xfId="28283"/>
    <cellStyle name="Денежный 2 2 6" xfId="28284"/>
    <cellStyle name="Денежный 2 2 6 10" xfId="28285"/>
    <cellStyle name="Денежный 2 2 6 2" xfId="28286"/>
    <cellStyle name="Денежный 2 2 6 2 2" xfId="28287"/>
    <cellStyle name="Денежный 2 2 6 2 2 2" xfId="28288"/>
    <cellStyle name="Денежный 2 2 6 2 2 2 2" xfId="28289"/>
    <cellStyle name="Денежный 2 2 6 2 2 3" xfId="28290"/>
    <cellStyle name="Денежный 2 2 6 2 3" xfId="28291"/>
    <cellStyle name="Денежный 2 2 6 2 3 2" xfId="28292"/>
    <cellStyle name="Денежный 2 2 6 2 4" xfId="28293"/>
    <cellStyle name="Денежный 2 2 6 2 4 2" xfId="28294"/>
    <cellStyle name="Денежный 2 2 6 2 5" xfId="28295"/>
    <cellStyle name="Денежный 2 2 6 3" xfId="28296"/>
    <cellStyle name="Денежный 2 2 6 3 2" xfId="28297"/>
    <cellStyle name="Денежный 2 2 6 3 2 2" xfId="28298"/>
    <cellStyle name="Денежный 2 2 6 3 2 2 2" xfId="28299"/>
    <cellStyle name="Денежный 2 2 6 3 2 3" xfId="28300"/>
    <cellStyle name="Денежный 2 2 6 3 3" xfId="28301"/>
    <cellStyle name="Денежный 2 2 6 3 3 2" xfId="28302"/>
    <cellStyle name="Денежный 2 2 6 3 4" xfId="28303"/>
    <cellStyle name="Денежный 2 2 6 3 4 2" xfId="28304"/>
    <cellStyle name="Денежный 2 2 6 3 5" xfId="28305"/>
    <cellStyle name="Денежный 2 2 6 4" xfId="28306"/>
    <cellStyle name="Денежный 2 2 6 4 2" xfId="28307"/>
    <cellStyle name="Денежный 2 2 6 4 2 2" xfId="28308"/>
    <cellStyle name="Денежный 2 2 6 4 2 2 2" xfId="28309"/>
    <cellStyle name="Денежный 2 2 6 4 2 3" xfId="28310"/>
    <cellStyle name="Денежный 2 2 6 4 3" xfId="28311"/>
    <cellStyle name="Денежный 2 2 6 4 3 2" xfId="28312"/>
    <cellStyle name="Денежный 2 2 6 4 4" xfId="28313"/>
    <cellStyle name="Денежный 2 2 6 4 4 2" xfId="28314"/>
    <cellStyle name="Денежный 2 2 6 4 5" xfId="28315"/>
    <cellStyle name="Денежный 2 2 6 5" xfId="28316"/>
    <cellStyle name="Денежный 2 2 6 5 2" xfId="28317"/>
    <cellStyle name="Денежный 2 2 6 5 2 2" xfId="28318"/>
    <cellStyle name="Денежный 2 2 6 5 2 2 2" xfId="28319"/>
    <cellStyle name="Денежный 2 2 6 5 2 3" xfId="28320"/>
    <cellStyle name="Денежный 2 2 6 5 3" xfId="28321"/>
    <cellStyle name="Денежный 2 2 6 5 3 2" xfId="28322"/>
    <cellStyle name="Денежный 2 2 6 5 4" xfId="28323"/>
    <cellStyle name="Денежный 2 2 6 5 4 2" xfId="28324"/>
    <cellStyle name="Денежный 2 2 6 5 5" xfId="28325"/>
    <cellStyle name="Денежный 2 2 6 6" xfId="28326"/>
    <cellStyle name="Денежный 2 2 6 6 2" xfId="28327"/>
    <cellStyle name="Денежный 2 2 6 6 2 2" xfId="28328"/>
    <cellStyle name="Денежный 2 2 6 6 3" xfId="28329"/>
    <cellStyle name="Денежный 2 2 6 7" xfId="28330"/>
    <cellStyle name="Денежный 2 2 6 7 2" xfId="28331"/>
    <cellStyle name="Денежный 2 2 6 8" xfId="28332"/>
    <cellStyle name="Денежный 2 2 6 8 2" xfId="28333"/>
    <cellStyle name="Денежный 2 2 6 9" xfId="28334"/>
    <cellStyle name="Денежный 2 2 7" xfId="28335"/>
    <cellStyle name="Денежный 2 2 7 10" xfId="28336"/>
    <cellStyle name="Денежный 2 2 7 2" xfId="28337"/>
    <cellStyle name="Денежный 2 2 7 2 2" xfId="28338"/>
    <cellStyle name="Денежный 2 2 7 2 2 2" xfId="28339"/>
    <cellStyle name="Денежный 2 2 7 2 2 2 2" xfId="28340"/>
    <cellStyle name="Денежный 2 2 7 2 2 3" xfId="28341"/>
    <cellStyle name="Денежный 2 2 7 2 3" xfId="28342"/>
    <cellStyle name="Денежный 2 2 7 2 3 2" xfId="28343"/>
    <cellStyle name="Денежный 2 2 7 2 4" xfId="28344"/>
    <cellStyle name="Денежный 2 2 7 2 4 2" xfId="28345"/>
    <cellStyle name="Денежный 2 2 7 2 5" xfId="28346"/>
    <cellStyle name="Денежный 2 2 7 3" xfId="28347"/>
    <cellStyle name="Денежный 2 2 7 3 2" xfId="28348"/>
    <cellStyle name="Денежный 2 2 7 3 2 2" xfId="28349"/>
    <cellStyle name="Денежный 2 2 7 3 2 2 2" xfId="28350"/>
    <cellStyle name="Денежный 2 2 7 3 2 3" xfId="28351"/>
    <cellStyle name="Денежный 2 2 7 3 3" xfId="28352"/>
    <cellStyle name="Денежный 2 2 7 3 3 2" xfId="28353"/>
    <cellStyle name="Денежный 2 2 7 3 4" xfId="28354"/>
    <cellStyle name="Денежный 2 2 7 3 4 2" xfId="28355"/>
    <cellStyle name="Денежный 2 2 7 3 5" xfId="28356"/>
    <cellStyle name="Денежный 2 2 7 4" xfId="28357"/>
    <cellStyle name="Денежный 2 2 7 4 2" xfId="28358"/>
    <cellStyle name="Денежный 2 2 7 4 2 2" xfId="28359"/>
    <cellStyle name="Денежный 2 2 7 4 2 2 2" xfId="28360"/>
    <cellStyle name="Денежный 2 2 7 4 2 3" xfId="28361"/>
    <cellStyle name="Денежный 2 2 7 4 3" xfId="28362"/>
    <cellStyle name="Денежный 2 2 7 4 3 2" xfId="28363"/>
    <cellStyle name="Денежный 2 2 7 4 4" xfId="28364"/>
    <cellStyle name="Денежный 2 2 7 4 4 2" xfId="28365"/>
    <cellStyle name="Денежный 2 2 7 4 5" xfId="28366"/>
    <cellStyle name="Денежный 2 2 7 5" xfId="28367"/>
    <cellStyle name="Денежный 2 2 7 5 2" xfId="28368"/>
    <cellStyle name="Денежный 2 2 7 5 2 2" xfId="28369"/>
    <cellStyle name="Денежный 2 2 7 5 2 2 2" xfId="28370"/>
    <cellStyle name="Денежный 2 2 7 5 2 3" xfId="28371"/>
    <cellStyle name="Денежный 2 2 7 5 3" xfId="28372"/>
    <cellStyle name="Денежный 2 2 7 5 3 2" xfId="28373"/>
    <cellStyle name="Денежный 2 2 7 5 4" xfId="28374"/>
    <cellStyle name="Денежный 2 2 7 5 4 2" xfId="28375"/>
    <cellStyle name="Денежный 2 2 7 5 5" xfId="28376"/>
    <cellStyle name="Денежный 2 2 7 6" xfId="28377"/>
    <cellStyle name="Денежный 2 2 7 6 2" xfId="28378"/>
    <cellStyle name="Денежный 2 2 7 6 2 2" xfId="28379"/>
    <cellStyle name="Денежный 2 2 7 6 3" xfId="28380"/>
    <cellStyle name="Денежный 2 2 7 7" xfId="28381"/>
    <cellStyle name="Денежный 2 2 7 7 2" xfId="28382"/>
    <cellStyle name="Денежный 2 2 7 8" xfId="28383"/>
    <cellStyle name="Денежный 2 2 7 8 2" xfId="28384"/>
    <cellStyle name="Денежный 2 2 7 9" xfId="28385"/>
    <cellStyle name="Денежный 2 2 8" xfId="28386"/>
    <cellStyle name="Денежный 2 2 8 2" xfId="28387"/>
    <cellStyle name="Денежный 2 2 8 2 2" xfId="28388"/>
    <cellStyle name="Денежный 2 2 8 2 2 2" xfId="28389"/>
    <cellStyle name="Денежный 2 2 8 2 2 2 2" xfId="28390"/>
    <cellStyle name="Денежный 2 2 8 2 2 3" xfId="28391"/>
    <cellStyle name="Денежный 2 2 8 2 3" xfId="28392"/>
    <cellStyle name="Денежный 2 2 8 2 3 2" xfId="28393"/>
    <cellStyle name="Денежный 2 2 8 2 4" xfId="28394"/>
    <cellStyle name="Денежный 2 2 8 2 4 2" xfId="28395"/>
    <cellStyle name="Денежный 2 2 8 2 5" xfId="28396"/>
    <cellStyle name="Денежный 2 2 8 3" xfId="28397"/>
    <cellStyle name="Денежный 2 2 8 3 2" xfId="28398"/>
    <cellStyle name="Денежный 2 2 8 3 2 2" xfId="28399"/>
    <cellStyle name="Денежный 2 2 8 3 2 2 2" xfId="28400"/>
    <cellStyle name="Денежный 2 2 8 3 2 3" xfId="28401"/>
    <cellStyle name="Денежный 2 2 8 3 3" xfId="28402"/>
    <cellStyle name="Денежный 2 2 8 3 3 2" xfId="28403"/>
    <cellStyle name="Денежный 2 2 8 3 4" xfId="28404"/>
    <cellStyle name="Денежный 2 2 8 3 4 2" xfId="28405"/>
    <cellStyle name="Денежный 2 2 8 3 5" xfId="28406"/>
    <cellStyle name="Денежный 2 2 8 4" xfId="28407"/>
    <cellStyle name="Денежный 2 2 8 4 2" xfId="28408"/>
    <cellStyle name="Денежный 2 2 8 4 2 2" xfId="28409"/>
    <cellStyle name="Денежный 2 2 8 4 3" xfId="28410"/>
    <cellStyle name="Денежный 2 2 8 5" xfId="28411"/>
    <cellStyle name="Денежный 2 2 8 5 2" xfId="28412"/>
    <cellStyle name="Денежный 2 2 8 6" xfId="28413"/>
    <cellStyle name="Денежный 2 2 8 6 2" xfId="28414"/>
    <cellStyle name="Денежный 2 2 8 7" xfId="28415"/>
    <cellStyle name="Денежный 2 2 9" xfId="28416"/>
    <cellStyle name="Денежный 2 2 9 2" xfId="28417"/>
    <cellStyle name="Денежный 2 2 9 2 2" xfId="28418"/>
    <cellStyle name="Денежный 2 2 9 2 2 2" xfId="28419"/>
    <cellStyle name="Денежный 2 2 9 2 3" xfId="28420"/>
    <cellStyle name="Денежный 2 2 9 3" xfId="28421"/>
    <cellStyle name="Денежный 2 2 9 3 2" xfId="28422"/>
    <cellStyle name="Денежный 2 2 9 4" xfId="28423"/>
    <cellStyle name="Денежный 2 2 9 4 2" xfId="28424"/>
    <cellStyle name="Денежный 2 2 9 5" xfId="28425"/>
    <cellStyle name="Денежный 2 3" xfId="28426"/>
    <cellStyle name="Денежный 2 3 10" xfId="28427"/>
    <cellStyle name="Денежный 2 3 10 2" xfId="28428"/>
    <cellStyle name="Денежный 2 3 10 2 2" xfId="28429"/>
    <cellStyle name="Денежный 2 3 10 2 2 2" xfId="28430"/>
    <cellStyle name="Денежный 2 3 10 2 3" xfId="28431"/>
    <cellStyle name="Денежный 2 3 10 3" xfId="28432"/>
    <cellStyle name="Денежный 2 3 10 3 2" xfId="28433"/>
    <cellStyle name="Денежный 2 3 10 4" xfId="28434"/>
    <cellStyle name="Денежный 2 3 10 4 2" xfId="28435"/>
    <cellStyle name="Денежный 2 3 10 5" xfId="28436"/>
    <cellStyle name="Денежный 2 3 11" xfId="28437"/>
    <cellStyle name="Денежный 2 3 11 2" xfId="28438"/>
    <cellStyle name="Денежный 2 3 11 2 2" xfId="28439"/>
    <cellStyle name="Денежный 2 3 11 3" xfId="28440"/>
    <cellStyle name="Денежный 2 3 12" xfId="28441"/>
    <cellStyle name="Денежный 2 3 12 2" xfId="28442"/>
    <cellStyle name="Денежный 2 3 13" xfId="28443"/>
    <cellStyle name="Денежный 2 3 13 2" xfId="28444"/>
    <cellStyle name="Денежный 2 3 14" xfId="28445"/>
    <cellStyle name="Денежный 2 3 15" xfId="28446"/>
    <cellStyle name="Денежный 2 3 2" xfId="28447"/>
    <cellStyle name="Денежный 2 3 2 10" xfId="28448"/>
    <cellStyle name="Денежный 2 3 2 2" xfId="28449"/>
    <cellStyle name="Денежный 2 3 2 2 2" xfId="28450"/>
    <cellStyle name="Денежный 2 3 2 2 2 2" xfId="28451"/>
    <cellStyle name="Денежный 2 3 2 2 2 2 2" xfId="28452"/>
    <cellStyle name="Денежный 2 3 2 2 2 3" xfId="28453"/>
    <cellStyle name="Денежный 2 3 2 2 3" xfId="28454"/>
    <cellStyle name="Денежный 2 3 2 2 3 2" xfId="28455"/>
    <cellStyle name="Денежный 2 3 2 2 4" xfId="28456"/>
    <cellStyle name="Денежный 2 3 2 2 4 2" xfId="28457"/>
    <cellStyle name="Денежный 2 3 2 2 5" xfId="28458"/>
    <cellStyle name="Денежный 2 3 2 3" xfId="28459"/>
    <cellStyle name="Денежный 2 3 2 3 2" xfId="28460"/>
    <cellStyle name="Денежный 2 3 2 3 2 2" xfId="28461"/>
    <cellStyle name="Денежный 2 3 2 3 2 2 2" xfId="28462"/>
    <cellStyle name="Денежный 2 3 2 3 2 3" xfId="28463"/>
    <cellStyle name="Денежный 2 3 2 3 3" xfId="28464"/>
    <cellStyle name="Денежный 2 3 2 3 3 2" xfId="28465"/>
    <cellStyle name="Денежный 2 3 2 3 4" xfId="28466"/>
    <cellStyle name="Денежный 2 3 2 3 4 2" xfId="28467"/>
    <cellStyle name="Денежный 2 3 2 3 5" xfId="28468"/>
    <cellStyle name="Денежный 2 3 2 4" xfId="28469"/>
    <cellStyle name="Денежный 2 3 2 4 2" xfId="28470"/>
    <cellStyle name="Денежный 2 3 2 4 2 2" xfId="28471"/>
    <cellStyle name="Денежный 2 3 2 4 2 2 2" xfId="28472"/>
    <cellStyle name="Денежный 2 3 2 4 2 3" xfId="28473"/>
    <cellStyle name="Денежный 2 3 2 4 3" xfId="28474"/>
    <cellStyle name="Денежный 2 3 2 4 3 2" xfId="28475"/>
    <cellStyle name="Денежный 2 3 2 4 4" xfId="28476"/>
    <cellStyle name="Денежный 2 3 2 4 4 2" xfId="28477"/>
    <cellStyle name="Денежный 2 3 2 4 5" xfId="28478"/>
    <cellStyle name="Денежный 2 3 2 5" xfId="28479"/>
    <cellStyle name="Денежный 2 3 2 5 2" xfId="28480"/>
    <cellStyle name="Денежный 2 3 2 5 2 2" xfId="28481"/>
    <cellStyle name="Денежный 2 3 2 5 2 2 2" xfId="28482"/>
    <cellStyle name="Денежный 2 3 2 5 2 3" xfId="28483"/>
    <cellStyle name="Денежный 2 3 2 5 3" xfId="28484"/>
    <cellStyle name="Денежный 2 3 2 5 3 2" xfId="28485"/>
    <cellStyle name="Денежный 2 3 2 5 4" xfId="28486"/>
    <cellStyle name="Денежный 2 3 2 5 4 2" xfId="28487"/>
    <cellStyle name="Денежный 2 3 2 5 5" xfId="28488"/>
    <cellStyle name="Денежный 2 3 2 6" xfId="28489"/>
    <cellStyle name="Денежный 2 3 2 6 2" xfId="28490"/>
    <cellStyle name="Денежный 2 3 2 6 2 2" xfId="28491"/>
    <cellStyle name="Денежный 2 3 2 6 3" xfId="28492"/>
    <cellStyle name="Денежный 2 3 2 7" xfId="28493"/>
    <cellStyle name="Денежный 2 3 2 7 2" xfId="28494"/>
    <cellStyle name="Денежный 2 3 2 8" xfId="28495"/>
    <cellStyle name="Денежный 2 3 2 8 2" xfId="28496"/>
    <cellStyle name="Денежный 2 3 2 9" xfId="28497"/>
    <cellStyle name="Денежный 2 3 3" xfId="28498"/>
    <cellStyle name="Денежный 2 3 3 10" xfId="28499"/>
    <cellStyle name="Денежный 2 3 3 2" xfId="28500"/>
    <cellStyle name="Денежный 2 3 3 2 2" xfId="28501"/>
    <cellStyle name="Денежный 2 3 3 2 2 2" xfId="28502"/>
    <cellStyle name="Денежный 2 3 3 2 2 2 2" xfId="28503"/>
    <cellStyle name="Денежный 2 3 3 2 2 3" xfId="28504"/>
    <cellStyle name="Денежный 2 3 3 2 3" xfId="28505"/>
    <cellStyle name="Денежный 2 3 3 2 3 2" xfId="28506"/>
    <cellStyle name="Денежный 2 3 3 2 4" xfId="28507"/>
    <cellStyle name="Денежный 2 3 3 2 4 2" xfId="28508"/>
    <cellStyle name="Денежный 2 3 3 2 5" xfId="28509"/>
    <cellStyle name="Денежный 2 3 3 3" xfId="28510"/>
    <cellStyle name="Денежный 2 3 3 3 2" xfId="28511"/>
    <cellStyle name="Денежный 2 3 3 3 2 2" xfId="28512"/>
    <cellStyle name="Денежный 2 3 3 3 2 2 2" xfId="28513"/>
    <cellStyle name="Денежный 2 3 3 3 2 3" xfId="28514"/>
    <cellStyle name="Денежный 2 3 3 3 3" xfId="28515"/>
    <cellStyle name="Денежный 2 3 3 3 3 2" xfId="28516"/>
    <cellStyle name="Денежный 2 3 3 3 4" xfId="28517"/>
    <cellStyle name="Денежный 2 3 3 3 4 2" xfId="28518"/>
    <cellStyle name="Денежный 2 3 3 3 5" xfId="28519"/>
    <cellStyle name="Денежный 2 3 3 4" xfId="28520"/>
    <cellStyle name="Денежный 2 3 3 4 2" xfId="28521"/>
    <cellStyle name="Денежный 2 3 3 4 2 2" xfId="28522"/>
    <cellStyle name="Денежный 2 3 3 4 2 2 2" xfId="28523"/>
    <cellStyle name="Денежный 2 3 3 4 2 3" xfId="28524"/>
    <cellStyle name="Денежный 2 3 3 4 3" xfId="28525"/>
    <cellStyle name="Денежный 2 3 3 4 3 2" xfId="28526"/>
    <cellStyle name="Денежный 2 3 3 4 4" xfId="28527"/>
    <cellStyle name="Денежный 2 3 3 4 4 2" xfId="28528"/>
    <cellStyle name="Денежный 2 3 3 4 5" xfId="28529"/>
    <cellStyle name="Денежный 2 3 3 5" xfId="28530"/>
    <cellStyle name="Денежный 2 3 3 5 2" xfId="28531"/>
    <cellStyle name="Денежный 2 3 3 5 2 2" xfId="28532"/>
    <cellStyle name="Денежный 2 3 3 5 2 2 2" xfId="28533"/>
    <cellStyle name="Денежный 2 3 3 5 2 3" xfId="28534"/>
    <cellStyle name="Денежный 2 3 3 5 3" xfId="28535"/>
    <cellStyle name="Денежный 2 3 3 5 3 2" xfId="28536"/>
    <cellStyle name="Денежный 2 3 3 5 4" xfId="28537"/>
    <cellStyle name="Денежный 2 3 3 5 4 2" xfId="28538"/>
    <cellStyle name="Денежный 2 3 3 5 5" xfId="28539"/>
    <cellStyle name="Денежный 2 3 3 6" xfId="28540"/>
    <cellStyle name="Денежный 2 3 3 6 2" xfId="28541"/>
    <cellStyle name="Денежный 2 3 3 6 2 2" xfId="28542"/>
    <cellStyle name="Денежный 2 3 3 6 3" xfId="28543"/>
    <cellStyle name="Денежный 2 3 3 7" xfId="28544"/>
    <cellStyle name="Денежный 2 3 3 7 2" xfId="28545"/>
    <cellStyle name="Денежный 2 3 3 8" xfId="28546"/>
    <cellStyle name="Денежный 2 3 3 8 2" xfId="28547"/>
    <cellStyle name="Денежный 2 3 3 9" xfId="28548"/>
    <cellStyle name="Денежный 2 3 4" xfId="28549"/>
    <cellStyle name="Денежный 2 3 4 10" xfId="28550"/>
    <cellStyle name="Денежный 2 3 4 2" xfId="28551"/>
    <cellStyle name="Денежный 2 3 4 2 2" xfId="28552"/>
    <cellStyle name="Денежный 2 3 4 2 2 2" xfId="28553"/>
    <cellStyle name="Денежный 2 3 4 2 2 2 2" xfId="28554"/>
    <cellStyle name="Денежный 2 3 4 2 2 3" xfId="28555"/>
    <cellStyle name="Денежный 2 3 4 2 3" xfId="28556"/>
    <cellStyle name="Денежный 2 3 4 2 3 2" xfId="28557"/>
    <cellStyle name="Денежный 2 3 4 2 4" xfId="28558"/>
    <cellStyle name="Денежный 2 3 4 2 4 2" xfId="28559"/>
    <cellStyle name="Денежный 2 3 4 2 5" xfId="28560"/>
    <cellStyle name="Денежный 2 3 4 3" xfId="28561"/>
    <cellStyle name="Денежный 2 3 4 3 2" xfId="28562"/>
    <cellStyle name="Денежный 2 3 4 3 2 2" xfId="28563"/>
    <cellStyle name="Денежный 2 3 4 3 2 2 2" xfId="28564"/>
    <cellStyle name="Денежный 2 3 4 3 2 3" xfId="28565"/>
    <cellStyle name="Денежный 2 3 4 3 3" xfId="28566"/>
    <cellStyle name="Денежный 2 3 4 3 3 2" xfId="28567"/>
    <cellStyle name="Денежный 2 3 4 3 4" xfId="28568"/>
    <cellStyle name="Денежный 2 3 4 3 4 2" xfId="28569"/>
    <cellStyle name="Денежный 2 3 4 3 5" xfId="28570"/>
    <cellStyle name="Денежный 2 3 4 4" xfId="28571"/>
    <cellStyle name="Денежный 2 3 4 4 2" xfId="28572"/>
    <cellStyle name="Денежный 2 3 4 4 2 2" xfId="28573"/>
    <cellStyle name="Денежный 2 3 4 4 2 2 2" xfId="28574"/>
    <cellStyle name="Денежный 2 3 4 4 2 3" xfId="28575"/>
    <cellStyle name="Денежный 2 3 4 4 3" xfId="28576"/>
    <cellStyle name="Денежный 2 3 4 4 3 2" xfId="28577"/>
    <cellStyle name="Денежный 2 3 4 4 4" xfId="28578"/>
    <cellStyle name="Денежный 2 3 4 4 4 2" xfId="28579"/>
    <cellStyle name="Денежный 2 3 4 4 5" xfId="28580"/>
    <cellStyle name="Денежный 2 3 4 5" xfId="28581"/>
    <cellStyle name="Денежный 2 3 4 5 2" xfId="28582"/>
    <cellStyle name="Денежный 2 3 4 5 2 2" xfId="28583"/>
    <cellStyle name="Денежный 2 3 4 5 2 2 2" xfId="28584"/>
    <cellStyle name="Денежный 2 3 4 5 2 3" xfId="28585"/>
    <cellStyle name="Денежный 2 3 4 5 3" xfId="28586"/>
    <cellStyle name="Денежный 2 3 4 5 3 2" xfId="28587"/>
    <cellStyle name="Денежный 2 3 4 5 4" xfId="28588"/>
    <cellStyle name="Денежный 2 3 4 5 4 2" xfId="28589"/>
    <cellStyle name="Денежный 2 3 4 5 5" xfId="28590"/>
    <cellStyle name="Денежный 2 3 4 6" xfId="28591"/>
    <cellStyle name="Денежный 2 3 4 6 2" xfId="28592"/>
    <cellStyle name="Денежный 2 3 4 6 2 2" xfId="28593"/>
    <cellStyle name="Денежный 2 3 4 6 3" xfId="28594"/>
    <cellStyle name="Денежный 2 3 4 7" xfId="28595"/>
    <cellStyle name="Денежный 2 3 4 7 2" xfId="28596"/>
    <cellStyle name="Денежный 2 3 4 8" xfId="28597"/>
    <cellStyle name="Денежный 2 3 4 8 2" xfId="28598"/>
    <cellStyle name="Денежный 2 3 4 9" xfId="28599"/>
    <cellStyle name="Денежный 2 3 5" xfId="28600"/>
    <cellStyle name="Денежный 2 3 5 10" xfId="28601"/>
    <cellStyle name="Денежный 2 3 5 2" xfId="28602"/>
    <cellStyle name="Денежный 2 3 5 2 2" xfId="28603"/>
    <cellStyle name="Денежный 2 3 5 2 2 2" xfId="28604"/>
    <cellStyle name="Денежный 2 3 5 2 2 2 2" xfId="28605"/>
    <cellStyle name="Денежный 2 3 5 2 2 3" xfId="28606"/>
    <cellStyle name="Денежный 2 3 5 2 3" xfId="28607"/>
    <cellStyle name="Денежный 2 3 5 2 3 2" xfId="28608"/>
    <cellStyle name="Денежный 2 3 5 2 4" xfId="28609"/>
    <cellStyle name="Денежный 2 3 5 2 4 2" xfId="28610"/>
    <cellStyle name="Денежный 2 3 5 2 5" xfId="28611"/>
    <cellStyle name="Денежный 2 3 5 3" xfId="28612"/>
    <cellStyle name="Денежный 2 3 5 3 2" xfId="28613"/>
    <cellStyle name="Денежный 2 3 5 3 2 2" xfId="28614"/>
    <cellStyle name="Денежный 2 3 5 3 2 2 2" xfId="28615"/>
    <cellStyle name="Денежный 2 3 5 3 2 3" xfId="28616"/>
    <cellStyle name="Денежный 2 3 5 3 3" xfId="28617"/>
    <cellStyle name="Денежный 2 3 5 3 3 2" xfId="28618"/>
    <cellStyle name="Денежный 2 3 5 3 4" xfId="28619"/>
    <cellStyle name="Денежный 2 3 5 3 4 2" xfId="28620"/>
    <cellStyle name="Денежный 2 3 5 3 5" xfId="28621"/>
    <cellStyle name="Денежный 2 3 5 4" xfId="28622"/>
    <cellStyle name="Денежный 2 3 5 4 2" xfId="28623"/>
    <cellStyle name="Денежный 2 3 5 4 2 2" xfId="28624"/>
    <cellStyle name="Денежный 2 3 5 4 2 2 2" xfId="28625"/>
    <cellStyle name="Денежный 2 3 5 4 2 3" xfId="28626"/>
    <cellStyle name="Денежный 2 3 5 4 3" xfId="28627"/>
    <cellStyle name="Денежный 2 3 5 4 3 2" xfId="28628"/>
    <cellStyle name="Денежный 2 3 5 4 4" xfId="28629"/>
    <cellStyle name="Денежный 2 3 5 4 4 2" xfId="28630"/>
    <cellStyle name="Денежный 2 3 5 4 5" xfId="28631"/>
    <cellStyle name="Денежный 2 3 5 5" xfId="28632"/>
    <cellStyle name="Денежный 2 3 5 5 2" xfId="28633"/>
    <cellStyle name="Денежный 2 3 5 5 2 2" xfId="28634"/>
    <cellStyle name="Денежный 2 3 5 5 2 2 2" xfId="28635"/>
    <cellStyle name="Денежный 2 3 5 5 2 3" xfId="28636"/>
    <cellStyle name="Денежный 2 3 5 5 3" xfId="28637"/>
    <cellStyle name="Денежный 2 3 5 5 3 2" xfId="28638"/>
    <cellStyle name="Денежный 2 3 5 5 4" xfId="28639"/>
    <cellStyle name="Денежный 2 3 5 5 4 2" xfId="28640"/>
    <cellStyle name="Денежный 2 3 5 5 5" xfId="28641"/>
    <cellStyle name="Денежный 2 3 5 6" xfId="28642"/>
    <cellStyle name="Денежный 2 3 5 6 2" xfId="28643"/>
    <cellStyle name="Денежный 2 3 5 6 2 2" xfId="28644"/>
    <cellStyle name="Денежный 2 3 5 6 3" xfId="28645"/>
    <cellStyle name="Денежный 2 3 5 7" xfId="28646"/>
    <cellStyle name="Денежный 2 3 5 7 2" xfId="28647"/>
    <cellStyle name="Денежный 2 3 5 8" xfId="28648"/>
    <cellStyle name="Денежный 2 3 5 8 2" xfId="28649"/>
    <cellStyle name="Денежный 2 3 5 9" xfId="28650"/>
    <cellStyle name="Денежный 2 3 6" xfId="28651"/>
    <cellStyle name="Денежный 2 3 6 10" xfId="28652"/>
    <cellStyle name="Денежный 2 3 6 2" xfId="28653"/>
    <cellStyle name="Денежный 2 3 6 2 2" xfId="28654"/>
    <cellStyle name="Денежный 2 3 6 2 2 2" xfId="28655"/>
    <cellStyle name="Денежный 2 3 6 2 2 2 2" xfId="28656"/>
    <cellStyle name="Денежный 2 3 6 2 2 3" xfId="28657"/>
    <cellStyle name="Денежный 2 3 6 2 3" xfId="28658"/>
    <cellStyle name="Денежный 2 3 6 2 3 2" xfId="28659"/>
    <cellStyle name="Денежный 2 3 6 2 4" xfId="28660"/>
    <cellStyle name="Денежный 2 3 6 2 4 2" xfId="28661"/>
    <cellStyle name="Денежный 2 3 6 2 5" xfId="28662"/>
    <cellStyle name="Денежный 2 3 6 3" xfId="28663"/>
    <cellStyle name="Денежный 2 3 6 3 2" xfId="28664"/>
    <cellStyle name="Денежный 2 3 6 3 2 2" xfId="28665"/>
    <cellStyle name="Денежный 2 3 6 3 2 2 2" xfId="28666"/>
    <cellStyle name="Денежный 2 3 6 3 2 3" xfId="28667"/>
    <cellStyle name="Денежный 2 3 6 3 3" xfId="28668"/>
    <cellStyle name="Денежный 2 3 6 3 3 2" xfId="28669"/>
    <cellStyle name="Денежный 2 3 6 3 4" xfId="28670"/>
    <cellStyle name="Денежный 2 3 6 3 4 2" xfId="28671"/>
    <cellStyle name="Денежный 2 3 6 3 5" xfId="28672"/>
    <cellStyle name="Денежный 2 3 6 4" xfId="28673"/>
    <cellStyle name="Денежный 2 3 6 4 2" xfId="28674"/>
    <cellStyle name="Денежный 2 3 6 4 2 2" xfId="28675"/>
    <cellStyle name="Денежный 2 3 6 4 2 2 2" xfId="28676"/>
    <cellStyle name="Денежный 2 3 6 4 2 3" xfId="28677"/>
    <cellStyle name="Денежный 2 3 6 4 3" xfId="28678"/>
    <cellStyle name="Денежный 2 3 6 4 3 2" xfId="28679"/>
    <cellStyle name="Денежный 2 3 6 4 4" xfId="28680"/>
    <cellStyle name="Денежный 2 3 6 4 4 2" xfId="28681"/>
    <cellStyle name="Денежный 2 3 6 4 5" xfId="28682"/>
    <cellStyle name="Денежный 2 3 6 5" xfId="28683"/>
    <cellStyle name="Денежный 2 3 6 5 2" xfId="28684"/>
    <cellStyle name="Денежный 2 3 6 5 2 2" xfId="28685"/>
    <cellStyle name="Денежный 2 3 6 5 2 2 2" xfId="28686"/>
    <cellStyle name="Денежный 2 3 6 5 2 3" xfId="28687"/>
    <cellStyle name="Денежный 2 3 6 5 3" xfId="28688"/>
    <cellStyle name="Денежный 2 3 6 5 3 2" xfId="28689"/>
    <cellStyle name="Денежный 2 3 6 5 4" xfId="28690"/>
    <cellStyle name="Денежный 2 3 6 5 4 2" xfId="28691"/>
    <cellStyle name="Денежный 2 3 6 5 5" xfId="28692"/>
    <cellStyle name="Денежный 2 3 6 6" xfId="28693"/>
    <cellStyle name="Денежный 2 3 6 6 2" xfId="28694"/>
    <cellStyle name="Денежный 2 3 6 6 2 2" xfId="28695"/>
    <cellStyle name="Денежный 2 3 6 6 3" xfId="28696"/>
    <cellStyle name="Денежный 2 3 6 7" xfId="28697"/>
    <cellStyle name="Денежный 2 3 6 7 2" xfId="28698"/>
    <cellStyle name="Денежный 2 3 6 8" xfId="28699"/>
    <cellStyle name="Денежный 2 3 6 8 2" xfId="28700"/>
    <cellStyle name="Денежный 2 3 6 9" xfId="28701"/>
    <cellStyle name="Денежный 2 3 7" xfId="28702"/>
    <cellStyle name="Денежный 2 3 7 2" xfId="28703"/>
    <cellStyle name="Денежный 2 3 7 2 2" xfId="28704"/>
    <cellStyle name="Денежный 2 3 7 2 2 2" xfId="28705"/>
    <cellStyle name="Денежный 2 3 7 2 3" xfId="28706"/>
    <cellStyle name="Денежный 2 3 7 3" xfId="28707"/>
    <cellStyle name="Денежный 2 3 7 3 2" xfId="28708"/>
    <cellStyle name="Денежный 2 3 7 4" xfId="28709"/>
    <cellStyle name="Денежный 2 3 7 4 2" xfId="28710"/>
    <cellStyle name="Денежный 2 3 7 5" xfId="28711"/>
    <cellStyle name="Денежный 2 3 8" xfId="28712"/>
    <cellStyle name="Денежный 2 3 8 2" xfId="28713"/>
    <cellStyle name="Денежный 2 3 8 2 2" xfId="28714"/>
    <cellStyle name="Денежный 2 3 8 2 2 2" xfId="28715"/>
    <cellStyle name="Денежный 2 3 8 2 3" xfId="28716"/>
    <cellStyle name="Денежный 2 3 8 3" xfId="28717"/>
    <cellStyle name="Денежный 2 3 8 3 2" xfId="28718"/>
    <cellStyle name="Денежный 2 3 8 4" xfId="28719"/>
    <cellStyle name="Денежный 2 3 8 4 2" xfId="28720"/>
    <cellStyle name="Денежный 2 3 8 5" xfId="28721"/>
    <cellStyle name="Денежный 2 3 9" xfId="28722"/>
    <cellStyle name="Денежный 2 3 9 2" xfId="28723"/>
    <cellStyle name="Денежный 2 3 9 2 2" xfId="28724"/>
    <cellStyle name="Денежный 2 3 9 2 2 2" xfId="28725"/>
    <cellStyle name="Денежный 2 3 9 2 3" xfId="28726"/>
    <cellStyle name="Денежный 2 3 9 3" xfId="28727"/>
    <cellStyle name="Денежный 2 3 9 3 2" xfId="28728"/>
    <cellStyle name="Денежный 2 3 9 4" xfId="28729"/>
    <cellStyle name="Денежный 2 3 9 4 2" xfId="28730"/>
    <cellStyle name="Денежный 2 3 9 5" xfId="28731"/>
    <cellStyle name="Денежный 2 4" xfId="28732"/>
    <cellStyle name="Денежный 2 4 10" xfId="28733"/>
    <cellStyle name="Денежный 2 4 2" xfId="28734"/>
    <cellStyle name="Денежный 2 4 2 2" xfId="28735"/>
    <cellStyle name="Денежный 2 4 2 2 2" xfId="28736"/>
    <cellStyle name="Денежный 2 4 2 2 2 2" xfId="28737"/>
    <cellStyle name="Денежный 2 4 2 2 3" xfId="28738"/>
    <cellStyle name="Денежный 2 4 2 3" xfId="28739"/>
    <cellStyle name="Денежный 2 4 2 3 2" xfId="28740"/>
    <cellStyle name="Денежный 2 4 2 4" xfId="28741"/>
    <cellStyle name="Денежный 2 4 2 4 2" xfId="28742"/>
    <cellStyle name="Денежный 2 4 2 5" xfId="28743"/>
    <cellStyle name="Денежный 2 4 3" xfId="28744"/>
    <cellStyle name="Денежный 2 4 3 2" xfId="28745"/>
    <cellStyle name="Денежный 2 4 3 2 2" xfId="28746"/>
    <cellStyle name="Денежный 2 4 3 2 2 2" xfId="28747"/>
    <cellStyle name="Денежный 2 4 3 2 3" xfId="28748"/>
    <cellStyle name="Денежный 2 4 3 3" xfId="28749"/>
    <cellStyle name="Денежный 2 4 3 3 2" xfId="28750"/>
    <cellStyle name="Денежный 2 4 3 4" xfId="28751"/>
    <cellStyle name="Денежный 2 4 3 4 2" xfId="28752"/>
    <cellStyle name="Денежный 2 4 3 5" xfId="28753"/>
    <cellStyle name="Денежный 2 4 4" xfId="28754"/>
    <cellStyle name="Денежный 2 4 4 2" xfId="28755"/>
    <cellStyle name="Денежный 2 4 4 2 2" xfId="28756"/>
    <cellStyle name="Денежный 2 4 4 2 2 2" xfId="28757"/>
    <cellStyle name="Денежный 2 4 4 2 3" xfId="28758"/>
    <cellStyle name="Денежный 2 4 4 3" xfId="28759"/>
    <cellStyle name="Денежный 2 4 4 3 2" xfId="28760"/>
    <cellStyle name="Денежный 2 4 4 4" xfId="28761"/>
    <cellStyle name="Денежный 2 4 4 4 2" xfId="28762"/>
    <cellStyle name="Денежный 2 4 4 5" xfId="28763"/>
    <cellStyle name="Денежный 2 4 5" xfId="28764"/>
    <cellStyle name="Денежный 2 4 5 2" xfId="28765"/>
    <cellStyle name="Денежный 2 4 5 2 2" xfId="28766"/>
    <cellStyle name="Денежный 2 4 5 2 2 2" xfId="28767"/>
    <cellStyle name="Денежный 2 4 5 2 3" xfId="28768"/>
    <cellStyle name="Денежный 2 4 5 3" xfId="28769"/>
    <cellStyle name="Денежный 2 4 5 3 2" xfId="28770"/>
    <cellStyle name="Денежный 2 4 5 4" xfId="28771"/>
    <cellStyle name="Денежный 2 4 5 4 2" xfId="28772"/>
    <cellStyle name="Денежный 2 4 5 5" xfId="28773"/>
    <cellStyle name="Денежный 2 4 6" xfId="28774"/>
    <cellStyle name="Денежный 2 4 6 2" xfId="28775"/>
    <cellStyle name="Денежный 2 4 6 2 2" xfId="28776"/>
    <cellStyle name="Денежный 2 4 6 3" xfId="28777"/>
    <cellStyle name="Денежный 2 4 7" xfId="28778"/>
    <cellStyle name="Денежный 2 4 7 2" xfId="28779"/>
    <cellStyle name="Денежный 2 4 8" xfId="28780"/>
    <cellStyle name="Денежный 2 4 8 2" xfId="28781"/>
    <cellStyle name="Денежный 2 4 9" xfId="28782"/>
    <cellStyle name="Денежный 2 5" xfId="28783"/>
    <cellStyle name="Денежный 2 5 10" xfId="28784"/>
    <cellStyle name="Денежный 2 5 2" xfId="28785"/>
    <cellStyle name="Денежный 2 5 2 2" xfId="28786"/>
    <cellStyle name="Денежный 2 5 2 2 2" xfId="28787"/>
    <cellStyle name="Денежный 2 5 2 2 2 2" xfId="28788"/>
    <cellStyle name="Денежный 2 5 2 2 3" xfId="28789"/>
    <cellStyle name="Денежный 2 5 2 3" xfId="28790"/>
    <cellStyle name="Денежный 2 5 2 3 2" xfId="28791"/>
    <cellStyle name="Денежный 2 5 2 4" xfId="28792"/>
    <cellStyle name="Денежный 2 5 2 4 2" xfId="28793"/>
    <cellStyle name="Денежный 2 5 2 5" xfId="28794"/>
    <cellStyle name="Денежный 2 5 3" xfId="28795"/>
    <cellStyle name="Денежный 2 5 3 2" xfId="28796"/>
    <cellStyle name="Денежный 2 5 3 2 2" xfId="28797"/>
    <cellStyle name="Денежный 2 5 3 2 2 2" xfId="28798"/>
    <cellStyle name="Денежный 2 5 3 2 3" xfId="28799"/>
    <cellStyle name="Денежный 2 5 3 3" xfId="28800"/>
    <cellStyle name="Денежный 2 5 3 3 2" xfId="28801"/>
    <cellStyle name="Денежный 2 5 3 4" xfId="28802"/>
    <cellStyle name="Денежный 2 5 3 4 2" xfId="28803"/>
    <cellStyle name="Денежный 2 5 3 5" xfId="28804"/>
    <cellStyle name="Денежный 2 5 4" xfId="28805"/>
    <cellStyle name="Денежный 2 5 4 2" xfId="28806"/>
    <cellStyle name="Денежный 2 5 4 2 2" xfId="28807"/>
    <cellStyle name="Денежный 2 5 4 2 2 2" xfId="28808"/>
    <cellStyle name="Денежный 2 5 4 2 3" xfId="28809"/>
    <cellStyle name="Денежный 2 5 4 3" xfId="28810"/>
    <cellStyle name="Денежный 2 5 4 3 2" xfId="28811"/>
    <cellStyle name="Денежный 2 5 4 4" xfId="28812"/>
    <cellStyle name="Денежный 2 5 4 4 2" xfId="28813"/>
    <cellStyle name="Денежный 2 5 4 5" xfId="28814"/>
    <cellStyle name="Денежный 2 5 5" xfId="28815"/>
    <cellStyle name="Денежный 2 5 5 2" xfId="28816"/>
    <cellStyle name="Денежный 2 5 5 2 2" xfId="28817"/>
    <cellStyle name="Денежный 2 5 5 2 2 2" xfId="28818"/>
    <cellStyle name="Денежный 2 5 5 2 3" xfId="28819"/>
    <cellStyle name="Денежный 2 5 5 3" xfId="28820"/>
    <cellStyle name="Денежный 2 5 5 3 2" xfId="28821"/>
    <cellStyle name="Денежный 2 5 5 4" xfId="28822"/>
    <cellStyle name="Денежный 2 5 5 4 2" xfId="28823"/>
    <cellStyle name="Денежный 2 5 5 5" xfId="28824"/>
    <cellStyle name="Денежный 2 5 6" xfId="28825"/>
    <cellStyle name="Денежный 2 5 6 2" xfId="28826"/>
    <cellStyle name="Денежный 2 5 6 2 2" xfId="28827"/>
    <cellStyle name="Денежный 2 5 6 3" xfId="28828"/>
    <cellStyle name="Денежный 2 5 7" xfId="28829"/>
    <cellStyle name="Денежный 2 5 7 2" xfId="28830"/>
    <cellStyle name="Денежный 2 5 8" xfId="28831"/>
    <cellStyle name="Денежный 2 5 8 2" xfId="28832"/>
    <cellStyle name="Денежный 2 5 9" xfId="28833"/>
    <cellStyle name="Денежный 2 6" xfId="28834"/>
    <cellStyle name="Денежный 2 6 10" xfId="28835"/>
    <cellStyle name="Денежный 2 6 2" xfId="28836"/>
    <cellStyle name="Денежный 2 6 2 2" xfId="28837"/>
    <cellStyle name="Денежный 2 6 2 2 2" xfId="28838"/>
    <cellStyle name="Денежный 2 6 2 2 2 2" xfId="28839"/>
    <cellStyle name="Денежный 2 6 2 2 3" xfId="28840"/>
    <cellStyle name="Денежный 2 6 2 3" xfId="28841"/>
    <cellStyle name="Денежный 2 6 2 3 2" xfId="28842"/>
    <cellStyle name="Денежный 2 6 2 4" xfId="28843"/>
    <cellStyle name="Денежный 2 6 2 4 2" xfId="28844"/>
    <cellStyle name="Денежный 2 6 2 5" xfId="28845"/>
    <cellStyle name="Денежный 2 6 3" xfId="28846"/>
    <cellStyle name="Денежный 2 6 3 2" xfId="28847"/>
    <cellStyle name="Денежный 2 6 3 2 2" xfId="28848"/>
    <cellStyle name="Денежный 2 6 3 2 2 2" xfId="28849"/>
    <cellStyle name="Денежный 2 6 3 2 3" xfId="28850"/>
    <cellStyle name="Денежный 2 6 3 3" xfId="28851"/>
    <cellStyle name="Денежный 2 6 3 3 2" xfId="28852"/>
    <cellStyle name="Денежный 2 6 3 4" xfId="28853"/>
    <cellStyle name="Денежный 2 6 3 4 2" xfId="28854"/>
    <cellStyle name="Денежный 2 6 3 5" xfId="28855"/>
    <cellStyle name="Денежный 2 6 4" xfId="28856"/>
    <cellStyle name="Денежный 2 6 4 2" xfId="28857"/>
    <cellStyle name="Денежный 2 6 4 2 2" xfId="28858"/>
    <cellStyle name="Денежный 2 6 4 2 2 2" xfId="28859"/>
    <cellStyle name="Денежный 2 6 4 2 3" xfId="28860"/>
    <cellStyle name="Денежный 2 6 4 3" xfId="28861"/>
    <cellStyle name="Денежный 2 6 4 3 2" xfId="28862"/>
    <cellStyle name="Денежный 2 6 4 4" xfId="28863"/>
    <cellStyle name="Денежный 2 6 4 4 2" xfId="28864"/>
    <cellStyle name="Денежный 2 6 4 5" xfId="28865"/>
    <cellStyle name="Денежный 2 6 5" xfId="28866"/>
    <cellStyle name="Денежный 2 6 5 2" xfId="28867"/>
    <cellStyle name="Денежный 2 6 5 2 2" xfId="28868"/>
    <cellStyle name="Денежный 2 6 5 2 2 2" xfId="28869"/>
    <cellStyle name="Денежный 2 6 5 2 3" xfId="28870"/>
    <cellStyle name="Денежный 2 6 5 3" xfId="28871"/>
    <cellStyle name="Денежный 2 6 5 3 2" xfId="28872"/>
    <cellStyle name="Денежный 2 6 5 4" xfId="28873"/>
    <cellStyle name="Денежный 2 6 5 4 2" xfId="28874"/>
    <cellStyle name="Денежный 2 6 5 5" xfId="28875"/>
    <cellStyle name="Денежный 2 6 6" xfId="28876"/>
    <cellStyle name="Денежный 2 6 6 2" xfId="28877"/>
    <cellStyle name="Денежный 2 6 6 2 2" xfId="28878"/>
    <cellStyle name="Денежный 2 6 6 3" xfId="28879"/>
    <cellStyle name="Денежный 2 6 7" xfId="28880"/>
    <cellStyle name="Денежный 2 6 7 2" xfId="28881"/>
    <cellStyle name="Денежный 2 6 8" xfId="28882"/>
    <cellStyle name="Денежный 2 6 8 2" xfId="28883"/>
    <cellStyle name="Денежный 2 6 9" xfId="28884"/>
    <cellStyle name="Денежный 2 7" xfId="28885"/>
    <cellStyle name="Денежный 2 7 10" xfId="28886"/>
    <cellStyle name="Денежный 2 7 2" xfId="28887"/>
    <cellStyle name="Денежный 2 7 2 2" xfId="28888"/>
    <cellStyle name="Денежный 2 7 2 2 2" xfId="28889"/>
    <cellStyle name="Денежный 2 7 2 2 2 2" xfId="28890"/>
    <cellStyle name="Денежный 2 7 2 2 3" xfId="28891"/>
    <cellStyle name="Денежный 2 7 2 3" xfId="28892"/>
    <cellStyle name="Денежный 2 7 2 3 2" xfId="28893"/>
    <cellStyle name="Денежный 2 7 2 4" xfId="28894"/>
    <cellStyle name="Денежный 2 7 2 4 2" xfId="28895"/>
    <cellStyle name="Денежный 2 7 2 5" xfId="28896"/>
    <cellStyle name="Денежный 2 7 3" xfId="28897"/>
    <cellStyle name="Денежный 2 7 3 2" xfId="28898"/>
    <cellStyle name="Денежный 2 7 3 2 2" xfId="28899"/>
    <cellStyle name="Денежный 2 7 3 2 2 2" xfId="28900"/>
    <cellStyle name="Денежный 2 7 3 2 3" xfId="28901"/>
    <cellStyle name="Денежный 2 7 3 3" xfId="28902"/>
    <cellStyle name="Денежный 2 7 3 3 2" xfId="28903"/>
    <cellStyle name="Денежный 2 7 3 4" xfId="28904"/>
    <cellStyle name="Денежный 2 7 3 4 2" xfId="28905"/>
    <cellStyle name="Денежный 2 7 3 5" xfId="28906"/>
    <cellStyle name="Денежный 2 7 4" xfId="28907"/>
    <cellStyle name="Денежный 2 7 4 2" xfId="28908"/>
    <cellStyle name="Денежный 2 7 4 2 2" xfId="28909"/>
    <cellStyle name="Денежный 2 7 4 2 2 2" xfId="28910"/>
    <cellStyle name="Денежный 2 7 4 2 3" xfId="28911"/>
    <cellStyle name="Денежный 2 7 4 3" xfId="28912"/>
    <cellStyle name="Денежный 2 7 4 3 2" xfId="28913"/>
    <cellStyle name="Денежный 2 7 4 4" xfId="28914"/>
    <cellStyle name="Денежный 2 7 4 4 2" xfId="28915"/>
    <cellStyle name="Денежный 2 7 4 5" xfId="28916"/>
    <cellStyle name="Денежный 2 7 5" xfId="28917"/>
    <cellStyle name="Денежный 2 7 5 2" xfId="28918"/>
    <cellStyle name="Денежный 2 7 5 2 2" xfId="28919"/>
    <cellStyle name="Денежный 2 7 5 2 2 2" xfId="28920"/>
    <cellStyle name="Денежный 2 7 5 2 3" xfId="28921"/>
    <cellStyle name="Денежный 2 7 5 3" xfId="28922"/>
    <cellStyle name="Денежный 2 7 5 3 2" xfId="28923"/>
    <cellStyle name="Денежный 2 7 5 4" xfId="28924"/>
    <cellStyle name="Денежный 2 7 5 4 2" xfId="28925"/>
    <cellStyle name="Денежный 2 7 5 5" xfId="28926"/>
    <cellStyle name="Денежный 2 7 6" xfId="28927"/>
    <cellStyle name="Денежный 2 7 6 2" xfId="28928"/>
    <cellStyle name="Денежный 2 7 6 2 2" xfId="28929"/>
    <cellStyle name="Денежный 2 7 6 3" xfId="28930"/>
    <cellStyle name="Денежный 2 7 7" xfId="28931"/>
    <cellStyle name="Денежный 2 7 7 2" xfId="28932"/>
    <cellStyle name="Денежный 2 7 8" xfId="28933"/>
    <cellStyle name="Денежный 2 7 8 2" xfId="28934"/>
    <cellStyle name="Денежный 2 7 9" xfId="28935"/>
    <cellStyle name="Денежный 2 8" xfId="28936"/>
    <cellStyle name="Денежный 2 8 10" xfId="28937"/>
    <cellStyle name="Денежный 2 8 2" xfId="28938"/>
    <cellStyle name="Денежный 2 8 2 2" xfId="28939"/>
    <cellStyle name="Денежный 2 8 2 2 2" xfId="28940"/>
    <cellStyle name="Денежный 2 8 2 2 2 2" xfId="28941"/>
    <cellStyle name="Денежный 2 8 2 2 3" xfId="28942"/>
    <cellStyle name="Денежный 2 8 2 3" xfId="28943"/>
    <cellStyle name="Денежный 2 8 2 3 2" xfId="28944"/>
    <cellStyle name="Денежный 2 8 2 4" xfId="28945"/>
    <cellStyle name="Денежный 2 8 2 4 2" xfId="28946"/>
    <cellStyle name="Денежный 2 8 2 5" xfId="28947"/>
    <cellStyle name="Денежный 2 8 3" xfId="28948"/>
    <cellStyle name="Денежный 2 8 3 2" xfId="28949"/>
    <cellStyle name="Денежный 2 8 3 2 2" xfId="28950"/>
    <cellStyle name="Денежный 2 8 3 2 2 2" xfId="28951"/>
    <cellStyle name="Денежный 2 8 3 2 3" xfId="28952"/>
    <cellStyle name="Денежный 2 8 3 3" xfId="28953"/>
    <cellStyle name="Денежный 2 8 3 3 2" xfId="28954"/>
    <cellStyle name="Денежный 2 8 3 4" xfId="28955"/>
    <cellStyle name="Денежный 2 8 3 4 2" xfId="28956"/>
    <cellStyle name="Денежный 2 8 3 5" xfId="28957"/>
    <cellStyle name="Денежный 2 8 4" xfId="28958"/>
    <cellStyle name="Денежный 2 8 4 2" xfId="28959"/>
    <cellStyle name="Денежный 2 8 4 2 2" xfId="28960"/>
    <cellStyle name="Денежный 2 8 4 2 2 2" xfId="28961"/>
    <cellStyle name="Денежный 2 8 4 2 3" xfId="28962"/>
    <cellStyle name="Денежный 2 8 4 3" xfId="28963"/>
    <cellStyle name="Денежный 2 8 4 3 2" xfId="28964"/>
    <cellStyle name="Денежный 2 8 4 4" xfId="28965"/>
    <cellStyle name="Денежный 2 8 4 4 2" xfId="28966"/>
    <cellStyle name="Денежный 2 8 4 5" xfId="28967"/>
    <cellStyle name="Денежный 2 8 5" xfId="28968"/>
    <cellStyle name="Денежный 2 8 5 2" xfId="28969"/>
    <cellStyle name="Денежный 2 8 5 2 2" xfId="28970"/>
    <cellStyle name="Денежный 2 8 5 2 2 2" xfId="28971"/>
    <cellStyle name="Денежный 2 8 5 2 3" xfId="28972"/>
    <cellStyle name="Денежный 2 8 5 3" xfId="28973"/>
    <cellStyle name="Денежный 2 8 5 3 2" xfId="28974"/>
    <cellStyle name="Денежный 2 8 5 4" xfId="28975"/>
    <cellStyle name="Денежный 2 8 5 4 2" xfId="28976"/>
    <cellStyle name="Денежный 2 8 5 5" xfId="28977"/>
    <cellStyle name="Денежный 2 8 6" xfId="28978"/>
    <cellStyle name="Денежный 2 8 6 2" xfId="28979"/>
    <cellStyle name="Денежный 2 8 6 2 2" xfId="28980"/>
    <cellStyle name="Денежный 2 8 6 3" xfId="28981"/>
    <cellStyle name="Денежный 2 8 7" xfId="28982"/>
    <cellStyle name="Денежный 2 8 7 2" xfId="28983"/>
    <cellStyle name="Денежный 2 8 8" xfId="28984"/>
    <cellStyle name="Денежный 2 8 8 2" xfId="28985"/>
    <cellStyle name="Денежный 2 8 9" xfId="28986"/>
    <cellStyle name="Денежный 2 9" xfId="28987"/>
    <cellStyle name="Денежный 2 9 2" xfId="28988"/>
    <cellStyle name="Денежный 2 9 2 2" xfId="28989"/>
    <cellStyle name="Денежный 2 9 2 2 2" xfId="28990"/>
    <cellStyle name="Денежный 2 9 2 2 2 2" xfId="28991"/>
    <cellStyle name="Денежный 2 9 2 2 3" xfId="28992"/>
    <cellStyle name="Денежный 2 9 2 3" xfId="28993"/>
    <cellStyle name="Денежный 2 9 2 3 2" xfId="28994"/>
    <cellStyle name="Денежный 2 9 2 4" xfId="28995"/>
    <cellStyle name="Денежный 2 9 2 4 2" xfId="28996"/>
    <cellStyle name="Денежный 2 9 2 5" xfId="28997"/>
    <cellStyle name="Денежный 2 9 3" xfId="28998"/>
    <cellStyle name="Денежный 2 9 3 2" xfId="28999"/>
    <cellStyle name="Денежный 2 9 3 2 2" xfId="29000"/>
    <cellStyle name="Денежный 2 9 3 2 2 2" xfId="29001"/>
    <cellStyle name="Денежный 2 9 3 2 3" xfId="29002"/>
    <cellStyle name="Денежный 2 9 3 3" xfId="29003"/>
    <cellStyle name="Денежный 2 9 3 3 2" xfId="29004"/>
    <cellStyle name="Денежный 2 9 3 4" xfId="29005"/>
    <cellStyle name="Денежный 2 9 3 4 2" xfId="29006"/>
    <cellStyle name="Денежный 2 9 3 5" xfId="29007"/>
    <cellStyle name="Денежный 2 9 4" xfId="29008"/>
    <cellStyle name="Денежный 2 9 4 2" xfId="29009"/>
    <cellStyle name="Денежный 2 9 4 2 2" xfId="29010"/>
    <cellStyle name="Денежный 2 9 4 3" xfId="29011"/>
    <cellStyle name="Денежный 2 9 5" xfId="29012"/>
    <cellStyle name="Денежный 2 9 5 2" xfId="29013"/>
    <cellStyle name="Денежный 2 9 6" xfId="29014"/>
    <cellStyle name="Денежный 2 9 6 2" xfId="29015"/>
    <cellStyle name="Денежный 2 9 7" xfId="29016"/>
    <cellStyle name="Денежный 3" xfId="29017"/>
    <cellStyle name="Денежный 3 10" xfId="29018"/>
    <cellStyle name="Денежный 3 10 2" xfId="29019"/>
    <cellStyle name="Денежный 3 10 2 2" xfId="29020"/>
    <cellStyle name="Денежный 3 10 2 2 2" xfId="29021"/>
    <cellStyle name="Денежный 3 10 2 3" xfId="29022"/>
    <cellStyle name="Денежный 3 10 3" xfId="29023"/>
    <cellStyle name="Денежный 3 10 3 2" xfId="29024"/>
    <cellStyle name="Денежный 3 10 4" xfId="29025"/>
    <cellStyle name="Денежный 3 10 4 2" xfId="29026"/>
    <cellStyle name="Денежный 3 10 5" xfId="29027"/>
    <cellStyle name="Денежный 3 11" xfId="29028"/>
    <cellStyle name="Денежный 3 11 2" xfId="29029"/>
    <cellStyle name="Денежный 3 11 2 2" xfId="29030"/>
    <cellStyle name="Денежный 3 11 2 2 2" xfId="29031"/>
    <cellStyle name="Денежный 3 11 2 3" xfId="29032"/>
    <cellStyle name="Денежный 3 11 3" xfId="29033"/>
    <cellStyle name="Денежный 3 11 3 2" xfId="29034"/>
    <cellStyle name="Денежный 3 11 4" xfId="29035"/>
    <cellStyle name="Денежный 3 11 4 2" xfId="29036"/>
    <cellStyle name="Денежный 3 11 5" xfId="29037"/>
    <cellStyle name="Денежный 3 12" xfId="29038"/>
    <cellStyle name="Денежный 3 12 2" xfId="29039"/>
    <cellStyle name="Денежный 3 12 2 2" xfId="29040"/>
    <cellStyle name="Денежный 3 12 2 2 2" xfId="29041"/>
    <cellStyle name="Денежный 3 12 2 3" xfId="29042"/>
    <cellStyle name="Денежный 3 12 3" xfId="29043"/>
    <cellStyle name="Денежный 3 12 3 2" xfId="29044"/>
    <cellStyle name="Денежный 3 12 4" xfId="29045"/>
    <cellStyle name="Денежный 3 12 4 2" xfId="29046"/>
    <cellStyle name="Денежный 3 12 5" xfId="29047"/>
    <cellStyle name="Денежный 3 13" xfId="29048"/>
    <cellStyle name="Денежный 3 13 2" xfId="29049"/>
    <cellStyle name="Денежный 3 13 2 2" xfId="29050"/>
    <cellStyle name="Денежный 3 13 3" xfId="29051"/>
    <cellStyle name="Денежный 3 14" xfId="29052"/>
    <cellStyle name="Денежный 3 14 2" xfId="29053"/>
    <cellStyle name="Денежный 3 15" xfId="29054"/>
    <cellStyle name="Денежный 3 15 2" xfId="29055"/>
    <cellStyle name="Денежный 3 16" xfId="29056"/>
    <cellStyle name="Денежный 3 17" xfId="29057"/>
    <cellStyle name="Денежный 3 2" xfId="29058"/>
    <cellStyle name="Денежный 3 2 10" xfId="29059"/>
    <cellStyle name="Денежный 3 2 10 2" xfId="29060"/>
    <cellStyle name="Денежный 3 2 10 2 2" xfId="29061"/>
    <cellStyle name="Денежный 3 2 10 2 2 2" xfId="29062"/>
    <cellStyle name="Денежный 3 2 10 2 3" xfId="29063"/>
    <cellStyle name="Денежный 3 2 10 3" xfId="29064"/>
    <cellStyle name="Денежный 3 2 10 3 2" xfId="29065"/>
    <cellStyle name="Денежный 3 2 10 4" xfId="29066"/>
    <cellStyle name="Денежный 3 2 10 4 2" xfId="29067"/>
    <cellStyle name="Денежный 3 2 10 5" xfId="29068"/>
    <cellStyle name="Денежный 3 2 11" xfId="29069"/>
    <cellStyle name="Денежный 3 2 11 2" xfId="29070"/>
    <cellStyle name="Денежный 3 2 11 2 2" xfId="29071"/>
    <cellStyle name="Денежный 3 2 11 3" xfId="29072"/>
    <cellStyle name="Денежный 3 2 12" xfId="29073"/>
    <cellStyle name="Денежный 3 2 12 2" xfId="29074"/>
    <cellStyle name="Денежный 3 2 13" xfId="29075"/>
    <cellStyle name="Денежный 3 2 13 2" xfId="29076"/>
    <cellStyle name="Денежный 3 2 14" xfId="29077"/>
    <cellStyle name="Денежный 3 2 15" xfId="29078"/>
    <cellStyle name="Денежный 3 2 2" xfId="29079"/>
    <cellStyle name="Денежный 3 2 2 10" xfId="29080"/>
    <cellStyle name="Денежный 3 2 2 2" xfId="29081"/>
    <cellStyle name="Денежный 3 2 2 2 2" xfId="29082"/>
    <cellStyle name="Денежный 3 2 2 2 2 2" xfId="29083"/>
    <cellStyle name="Денежный 3 2 2 2 2 2 2" xfId="29084"/>
    <cellStyle name="Денежный 3 2 2 2 2 3" xfId="29085"/>
    <cellStyle name="Денежный 3 2 2 2 3" xfId="29086"/>
    <cellStyle name="Денежный 3 2 2 2 3 2" xfId="29087"/>
    <cellStyle name="Денежный 3 2 2 2 4" xfId="29088"/>
    <cellStyle name="Денежный 3 2 2 2 4 2" xfId="29089"/>
    <cellStyle name="Денежный 3 2 2 2 5" xfId="29090"/>
    <cellStyle name="Денежный 3 2 2 3" xfId="29091"/>
    <cellStyle name="Денежный 3 2 2 3 2" xfId="29092"/>
    <cellStyle name="Денежный 3 2 2 3 2 2" xfId="29093"/>
    <cellStyle name="Денежный 3 2 2 3 2 2 2" xfId="29094"/>
    <cellStyle name="Денежный 3 2 2 3 2 3" xfId="29095"/>
    <cellStyle name="Денежный 3 2 2 3 3" xfId="29096"/>
    <cellStyle name="Денежный 3 2 2 3 3 2" xfId="29097"/>
    <cellStyle name="Денежный 3 2 2 3 4" xfId="29098"/>
    <cellStyle name="Денежный 3 2 2 3 4 2" xfId="29099"/>
    <cellStyle name="Денежный 3 2 2 3 5" xfId="29100"/>
    <cellStyle name="Денежный 3 2 2 4" xfId="29101"/>
    <cellStyle name="Денежный 3 2 2 4 2" xfId="29102"/>
    <cellStyle name="Денежный 3 2 2 4 2 2" xfId="29103"/>
    <cellStyle name="Денежный 3 2 2 4 2 2 2" xfId="29104"/>
    <cellStyle name="Денежный 3 2 2 4 2 3" xfId="29105"/>
    <cellStyle name="Денежный 3 2 2 4 3" xfId="29106"/>
    <cellStyle name="Денежный 3 2 2 4 3 2" xfId="29107"/>
    <cellStyle name="Денежный 3 2 2 4 4" xfId="29108"/>
    <cellStyle name="Денежный 3 2 2 4 4 2" xfId="29109"/>
    <cellStyle name="Денежный 3 2 2 4 5" xfId="29110"/>
    <cellStyle name="Денежный 3 2 2 5" xfId="29111"/>
    <cellStyle name="Денежный 3 2 2 5 2" xfId="29112"/>
    <cellStyle name="Денежный 3 2 2 5 2 2" xfId="29113"/>
    <cellStyle name="Денежный 3 2 2 5 2 2 2" xfId="29114"/>
    <cellStyle name="Денежный 3 2 2 5 2 3" xfId="29115"/>
    <cellStyle name="Денежный 3 2 2 5 3" xfId="29116"/>
    <cellStyle name="Денежный 3 2 2 5 3 2" xfId="29117"/>
    <cellStyle name="Денежный 3 2 2 5 4" xfId="29118"/>
    <cellStyle name="Денежный 3 2 2 5 4 2" xfId="29119"/>
    <cellStyle name="Денежный 3 2 2 5 5" xfId="29120"/>
    <cellStyle name="Денежный 3 2 2 6" xfId="29121"/>
    <cellStyle name="Денежный 3 2 2 6 2" xfId="29122"/>
    <cellStyle name="Денежный 3 2 2 6 2 2" xfId="29123"/>
    <cellStyle name="Денежный 3 2 2 6 3" xfId="29124"/>
    <cellStyle name="Денежный 3 2 2 7" xfId="29125"/>
    <cellStyle name="Денежный 3 2 2 7 2" xfId="29126"/>
    <cellStyle name="Денежный 3 2 2 8" xfId="29127"/>
    <cellStyle name="Денежный 3 2 2 8 2" xfId="29128"/>
    <cellStyle name="Денежный 3 2 2 9" xfId="29129"/>
    <cellStyle name="Денежный 3 2 3" xfId="29130"/>
    <cellStyle name="Денежный 3 2 3 10" xfId="29131"/>
    <cellStyle name="Денежный 3 2 3 2" xfId="29132"/>
    <cellStyle name="Денежный 3 2 3 2 2" xfId="29133"/>
    <cellStyle name="Денежный 3 2 3 2 2 2" xfId="29134"/>
    <cellStyle name="Денежный 3 2 3 2 2 2 2" xfId="29135"/>
    <cellStyle name="Денежный 3 2 3 2 2 3" xfId="29136"/>
    <cellStyle name="Денежный 3 2 3 2 3" xfId="29137"/>
    <cellStyle name="Денежный 3 2 3 2 3 2" xfId="29138"/>
    <cellStyle name="Денежный 3 2 3 2 4" xfId="29139"/>
    <cellStyle name="Денежный 3 2 3 2 4 2" xfId="29140"/>
    <cellStyle name="Денежный 3 2 3 2 5" xfId="29141"/>
    <cellStyle name="Денежный 3 2 3 3" xfId="29142"/>
    <cellStyle name="Денежный 3 2 3 3 2" xfId="29143"/>
    <cellStyle name="Денежный 3 2 3 3 2 2" xfId="29144"/>
    <cellStyle name="Денежный 3 2 3 3 2 2 2" xfId="29145"/>
    <cellStyle name="Денежный 3 2 3 3 2 3" xfId="29146"/>
    <cellStyle name="Денежный 3 2 3 3 3" xfId="29147"/>
    <cellStyle name="Денежный 3 2 3 3 3 2" xfId="29148"/>
    <cellStyle name="Денежный 3 2 3 3 4" xfId="29149"/>
    <cellStyle name="Денежный 3 2 3 3 4 2" xfId="29150"/>
    <cellStyle name="Денежный 3 2 3 3 5" xfId="29151"/>
    <cellStyle name="Денежный 3 2 3 4" xfId="29152"/>
    <cellStyle name="Денежный 3 2 3 4 2" xfId="29153"/>
    <cellStyle name="Денежный 3 2 3 4 2 2" xfId="29154"/>
    <cellStyle name="Денежный 3 2 3 4 2 2 2" xfId="29155"/>
    <cellStyle name="Денежный 3 2 3 4 2 3" xfId="29156"/>
    <cellStyle name="Денежный 3 2 3 4 3" xfId="29157"/>
    <cellStyle name="Денежный 3 2 3 4 3 2" xfId="29158"/>
    <cellStyle name="Денежный 3 2 3 4 4" xfId="29159"/>
    <cellStyle name="Денежный 3 2 3 4 4 2" xfId="29160"/>
    <cellStyle name="Денежный 3 2 3 4 5" xfId="29161"/>
    <cellStyle name="Денежный 3 2 3 5" xfId="29162"/>
    <cellStyle name="Денежный 3 2 3 5 2" xfId="29163"/>
    <cellStyle name="Денежный 3 2 3 5 2 2" xfId="29164"/>
    <cellStyle name="Денежный 3 2 3 5 2 2 2" xfId="29165"/>
    <cellStyle name="Денежный 3 2 3 5 2 3" xfId="29166"/>
    <cellStyle name="Денежный 3 2 3 5 3" xfId="29167"/>
    <cellStyle name="Денежный 3 2 3 5 3 2" xfId="29168"/>
    <cellStyle name="Денежный 3 2 3 5 4" xfId="29169"/>
    <cellStyle name="Денежный 3 2 3 5 4 2" xfId="29170"/>
    <cellStyle name="Денежный 3 2 3 5 5" xfId="29171"/>
    <cellStyle name="Денежный 3 2 3 6" xfId="29172"/>
    <cellStyle name="Денежный 3 2 3 6 2" xfId="29173"/>
    <cellStyle name="Денежный 3 2 3 6 2 2" xfId="29174"/>
    <cellStyle name="Денежный 3 2 3 6 3" xfId="29175"/>
    <cellStyle name="Денежный 3 2 3 7" xfId="29176"/>
    <cellStyle name="Денежный 3 2 3 7 2" xfId="29177"/>
    <cellStyle name="Денежный 3 2 3 8" xfId="29178"/>
    <cellStyle name="Денежный 3 2 3 8 2" xfId="29179"/>
    <cellStyle name="Денежный 3 2 3 9" xfId="29180"/>
    <cellStyle name="Денежный 3 2 4" xfId="29181"/>
    <cellStyle name="Денежный 3 2 4 10" xfId="29182"/>
    <cellStyle name="Денежный 3 2 4 2" xfId="29183"/>
    <cellStyle name="Денежный 3 2 4 2 2" xfId="29184"/>
    <cellStyle name="Денежный 3 2 4 2 2 2" xfId="29185"/>
    <cellStyle name="Денежный 3 2 4 2 2 2 2" xfId="29186"/>
    <cellStyle name="Денежный 3 2 4 2 2 3" xfId="29187"/>
    <cellStyle name="Денежный 3 2 4 2 3" xfId="29188"/>
    <cellStyle name="Денежный 3 2 4 2 3 2" xfId="29189"/>
    <cellStyle name="Денежный 3 2 4 2 4" xfId="29190"/>
    <cellStyle name="Денежный 3 2 4 2 4 2" xfId="29191"/>
    <cellStyle name="Денежный 3 2 4 2 5" xfId="29192"/>
    <cellStyle name="Денежный 3 2 4 3" xfId="29193"/>
    <cellStyle name="Денежный 3 2 4 3 2" xfId="29194"/>
    <cellStyle name="Денежный 3 2 4 3 2 2" xfId="29195"/>
    <cellStyle name="Денежный 3 2 4 3 2 2 2" xfId="29196"/>
    <cellStyle name="Денежный 3 2 4 3 2 3" xfId="29197"/>
    <cellStyle name="Денежный 3 2 4 3 3" xfId="29198"/>
    <cellStyle name="Денежный 3 2 4 3 3 2" xfId="29199"/>
    <cellStyle name="Денежный 3 2 4 3 4" xfId="29200"/>
    <cellStyle name="Денежный 3 2 4 3 4 2" xfId="29201"/>
    <cellStyle name="Денежный 3 2 4 3 5" xfId="29202"/>
    <cellStyle name="Денежный 3 2 4 4" xfId="29203"/>
    <cellStyle name="Денежный 3 2 4 4 2" xfId="29204"/>
    <cellStyle name="Денежный 3 2 4 4 2 2" xfId="29205"/>
    <cellStyle name="Денежный 3 2 4 4 2 2 2" xfId="29206"/>
    <cellStyle name="Денежный 3 2 4 4 2 3" xfId="29207"/>
    <cellStyle name="Денежный 3 2 4 4 3" xfId="29208"/>
    <cellStyle name="Денежный 3 2 4 4 3 2" xfId="29209"/>
    <cellStyle name="Денежный 3 2 4 4 4" xfId="29210"/>
    <cellStyle name="Денежный 3 2 4 4 4 2" xfId="29211"/>
    <cellStyle name="Денежный 3 2 4 4 5" xfId="29212"/>
    <cellStyle name="Денежный 3 2 4 5" xfId="29213"/>
    <cellStyle name="Денежный 3 2 4 5 2" xfId="29214"/>
    <cellStyle name="Денежный 3 2 4 5 2 2" xfId="29215"/>
    <cellStyle name="Денежный 3 2 4 5 2 2 2" xfId="29216"/>
    <cellStyle name="Денежный 3 2 4 5 2 3" xfId="29217"/>
    <cellStyle name="Денежный 3 2 4 5 3" xfId="29218"/>
    <cellStyle name="Денежный 3 2 4 5 3 2" xfId="29219"/>
    <cellStyle name="Денежный 3 2 4 5 4" xfId="29220"/>
    <cellStyle name="Денежный 3 2 4 5 4 2" xfId="29221"/>
    <cellStyle name="Денежный 3 2 4 5 5" xfId="29222"/>
    <cellStyle name="Денежный 3 2 4 6" xfId="29223"/>
    <cellStyle name="Денежный 3 2 4 6 2" xfId="29224"/>
    <cellStyle name="Денежный 3 2 4 6 2 2" xfId="29225"/>
    <cellStyle name="Денежный 3 2 4 6 3" xfId="29226"/>
    <cellStyle name="Денежный 3 2 4 7" xfId="29227"/>
    <cellStyle name="Денежный 3 2 4 7 2" xfId="29228"/>
    <cellStyle name="Денежный 3 2 4 8" xfId="29229"/>
    <cellStyle name="Денежный 3 2 4 8 2" xfId="29230"/>
    <cellStyle name="Денежный 3 2 4 9" xfId="29231"/>
    <cellStyle name="Денежный 3 2 5" xfId="29232"/>
    <cellStyle name="Денежный 3 2 5 10" xfId="29233"/>
    <cellStyle name="Денежный 3 2 5 2" xfId="29234"/>
    <cellStyle name="Денежный 3 2 5 2 2" xfId="29235"/>
    <cellStyle name="Денежный 3 2 5 2 2 2" xfId="29236"/>
    <cellStyle name="Денежный 3 2 5 2 2 2 2" xfId="29237"/>
    <cellStyle name="Денежный 3 2 5 2 2 3" xfId="29238"/>
    <cellStyle name="Денежный 3 2 5 2 3" xfId="29239"/>
    <cellStyle name="Денежный 3 2 5 2 3 2" xfId="29240"/>
    <cellStyle name="Денежный 3 2 5 2 4" xfId="29241"/>
    <cellStyle name="Денежный 3 2 5 2 4 2" xfId="29242"/>
    <cellStyle name="Денежный 3 2 5 2 5" xfId="29243"/>
    <cellStyle name="Денежный 3 2 5 3" xfId="29244"/>
    <cellStyle name="Денежный 3 2 5 3 2" xfId="29245"/>
    <cellStyle name="Денежный 3 2 5 3 2 2" xfId="29246"/>
    <cellStyle name="Денежный 3 2 5 3 2 2 2" xfId="29247"/>
    <cellStyle name="Денежный 3 2 5 3 2 3" xfId="29248"/>
    <cellStyle name="Денежный 3 2 5 3 3" xfId="29249"/>
    <cellStyle name="Денежный 3 2 5 3 3 2" xfId="29250"/>
    <cellStyle name="Денежный 3 2 5 3 4" xfId="29251"/>
    <cellStyle name="Денежный 3 2 5 3 4 2" xfId="29252"/>
    <cellStyle name="Денежный 3 2 5 3 5" xfId="29253"/>
    <cellStyle name="Денежный 3 2 5 4" xfId="29254"/>
    <cellStyle name="Денежный 3 2 5 4 2" xfId="29255"/>
    <cellStyle name="Денежный 3 2 5 4 2 2" xfId="29256"/>
    <cellStyle name="Денежный 3 2 5 4 2 2 2" xfId="29257"/>
    <cellStyle name="Денежный 3 2 5 4 2 3" xfId="29258"/>
    <cellStyle name="Денежный 3 2 5 4 3" xfId="29259"/>
    <cellStyle name="Денежный 3 2 5 4 3 2" xfId="29260"/>
    <cellStyle name="Денежный 3 2 5 4 4" xfId="29261"/>
    <cellStyle name="Денежный 3 2 5 4 4 2" xfId="29262"/>
    <cellStyle name="Денежный 3 2 5 4 5" xfId="29263"/>
    <cellStyle name="Денежный 3 2 5 5" xfId="29264"/>
    <cellStyle name="Денежный 3 2 5 5 2" xfId="29265"/>
    <cellStyle name="Денежный 3 2 5 5 2 2" xfId="29266"/>
    <cellStyle name="Денежный 3 2 5 5 2 2 2" xfId="29267"/>
    <cellStyle name="Денежный 3 2 5 5 2 3" xfId="29268"/>
    <cellStyle name="Денежный 3 2 5 5 3" xfId="29269"/>
    <cellStyle name="Денежный 3 2 5 5 3 2" xfId="29270"/>
    <cellStyle name="Денежный 3 2 5 5 4" xfId="29271"/>
    <cellStyle name="Денежный 3 2 5 5 4 2" xfId="29272"/>
    <cellStyle name="Денежный 3 2 5 5 5" xfId="29273"/>
    <cellStyle name="Денежный 3 2 5 6" xfId="29274"/>
    <cellStyle name="Денежный 3 2 5 6 2" xfId="29275"/>
    <cellStyle name="Денежный 3 2 5 6 2 2" xfId="29276"/>
    <cellStyle name="Денежный 3 2 5 6 3" xfId="29277"/>
    <cellStyle name="Денежный 3 2 5 7" xfId="29278"/>
    <cellStyle name="Денежный 3 2 5 7 2" xfId="29279"/>
    <cellStyle name="Денежный 3 2 5 8" xfId="29280"/>
    <cellStyle name="Денежный 3 2 5 8 2" xfId="29281"/>
    <cellStyle name="Денежный 3 2 5 9" xfId="29282"/>
    <cellStyle name="Денежный 3 2 6" xfId="29283"/>
    <cellStyle name="Денежный 3 2 6 10" xfId="29284"/>
    <cellStyle name="Денежный 3 2 6 2" xfId="29285"/>
    <cellStyle name="Денежный 3 2 6 2 2" xfId="29286"/>
    <cellStyle name="Денежный 3 2 6 2 2 2" xfId="29287"/>
    <cellStyle name="Денежный 3 2 6 2 2 2 2" xfId="29288"/>
    <cellStyle name="Денежный 3 2 6 2 2 3" xfId="29289"/>
    <cellStyle name="Денежный 3 2 6 2 3" xfId="29290"/>
    <cellStyle name="Денежный 3 2 6 2 3 2" xfId="29291"/>
    <cellStyle name="Денежный 3 2 6 2 4" xfId="29292"/>
    <cellStyle name="Денежный 3 2 6 2 4 2" xfId="29293"/>
    <cellStyle name="Денежный 3 2 6 2 5" xfId="29294"/>
    <cellStyle name="Денежный 3 2 6 3" xfId="29295"/>
    <cellStyle name="Денежный 3 2 6 3 2" xfId="29296"/>
    <cellStyle name="Денежный 3 2 6 3 2 2" xfId="29297"/>
    <cellStyle name="Денежный 3 2 6 3 2 2 2" xfId="29298"/>
    <cellStyle name="Денежный 3 2 6 3 2 3" xfId="29299"/>
    <cellStyle name="Денежный 3 2 6 3 3" xfId="29300"/>
    <cellStyle name="Денежный 3 2 6 3 3 2" xfId="29301"/>
    <cellStyle name="Денежный 3 2 6 3 4" xfId="29302"/>
    <cellStyle name="Денежный 3 2 6 3 4 2" xfId="29303"/>
    <cellStyle name="Денежный 3 2 6 3 5" xfId="29304"/>
    <cellStyle name="Денежный 3 2 6 4" xfId="29305"/>
    <cellStyle name="Денежный 3 2 6 4 2" xfId="29306"/>
    <cellStyle name="Денежный 3 2 6 4 2 2" xfId="29307"/>
    <cellStyle name="Денежный 3 2 6 4 2 2 2" xfId="29308"/>
    <cellStyle name="Денежный 3 2 6 4 2 3" xfId="29309"/>
    <cellStyle name="Денежный 3 2 6 4 3" xfId="29310"/>
    <cellStyle name="Денежный 3 2 6 4 3 2" xfId="29311"/>
    <cellStyle name="Денежный 3 2 6 4 4" xfId="29312"/>
    <cellStyle name="Денежный 3 2 6 4 4 2" xfId="29313"/>
    <cellStyle name="Денежный 3 2 6 4 5" xfId="29314"/>
    <cellStyle name="Денежный 3 2 6 5" xfId="29315"/>
    <cellStyle name="Денежный 3 2 6 5 2" xfId="29316"/>
    <cellStyle name="Денежный 3 2 6 5 2 2" xfId="29317"/>
    <cellStyle name="Денежный 3 2 6 5 2 2 2" xfId="29318"/>
    <cellStyle name="Денежный 3 2 6 5 2 3" xfId="29319"/>
    <cellStyle name="Денежный 3 2 6 5 3" xfId="29320"/>
    <cellStyle name="Денежный 3 2 6 5 3 2" xfId="29321"/>
    <cellStyle name="Денежный 3 2 6 5 4" xfId="29322"/>
    <cellStyle name="Денежный 3 2 6 5 4 2" xfId="29323"/>
    <cellStyle name="Денежный 3 2 6 5 5" xfId="29324"/>
    <cellStyle name="Денежный 3 2 6 6" xfId="29325"/>
    <cellStyle name="Денежный 3 2 6 6 2" xfId="29326"/>
    <cellStyle name="Денежный 3 2 6 6 2 2" xfId="29327"/>
    <cellStyle name="Денежный 3 2 6 6 3" xfId="29328"/>
    <cellStyle name="Денежный 3 2 6 7" xfId="29329"/>
    <cellStyle name="Денежный 3 2 6 7 2" xfId="29330"/>
    <cellStyle name="Денежный 3 2 6 8" xfId="29331"/>
    <cellStyle name="Денежный 3 2 6 8 2" xfId="29332"/>
    <cellStyle name="Денежный 3 2 6 9" xfId="29333"/>
    <cellStyle name="Денежный 3 2 7" xfId="29334"/>
    <cellStyle name="Денежный 3 2 7 2" xfId="29335"/>
    <cellStyle name="Денежный 3 2 7 2 2" xfId="29336"/>
    <cellStyle name="Денежный 3 2 7 2 2 2" xfId="29337"/>
    <cellStyle name="Денежный 3 2 7 2 3" xfId="29338"/>
    <cellStyle name="Денежный 3 2 7 3" xfId="29339"/>
    <cellStyle name="Денежный 3 2 7 3 2" xfId="29340"/>
    <cellStyle name="Денежный 3 2 7 4" xfId="29341"/>
    <cellStyle name="Денежный 3 2 7 4 2" xfId="29342"/>
    <cellStyle name="Денежный 3 2 7 5" xfId="29343"/>
    <cellStyle name="Денежный 3 2 8" xfId="29344"/>
    <cellStyle name="Денежный 3 2 8 2" xfId="29345"/>
    <cellStyle name="Денежный 3 2 8 2 2" xfId="29346"/>
    <cellStyle name="Денежный 3 2 8 2 2 2" xfId="29347"/>
    <cellStyle name="Денежный 3 2 8 2 3" xfId="29348"/>
    <cellStyle name="Денежный 3 2 8 3" xfId="29349"/>
    <cellStyle name="Денежный 3 2 8 3 2" xfId="29350"/>
    <cellStyle name="Денежный 3 2 8 4" xfId="29351"/>
    <cellStyle name="Денежный 3 2 8 4 2" xfId="29352"/>
    <cellStyle name="Денежный 3 2 8 5" xfId="29353"/>
    <cellStyle name="Денежный 3 2 9" xfId="29354"/>
    <cellStyle name="Денежный 3 2 9 2" xfId="29355"/>
    <cellStyle name="Денежный 3 2 9 2 2" xfId="29356"/>
    <cellStyle name="Денежный 3 2 9 2 2 2" xfId="29357"/>
    <cellStyle name="Денежный 3 2 9 2 3" xfId="29358"/>
    <cellStyle name="Денежный 3 2 9 3" xfId="29359"/>
    <cellStyle name="Денежный 3 2 9 3 2" xfId="29360"/>
    <cellStyle name="Денежный 3 2 9 4" xfId="29361"/>
    <cellStyle name="Денежный 3 2 9 4 2" xfId="29362"/>
    <cellStyle name="Денежный 3 2 9 5" xfId="29363"/>
    <cellStyle name="Денежный 3 3" xfId="29364"/>
    <cellStyle name="Денежный 3 3 10" xfId="29365"/>
    <cellStyle name="Денежный 3 3 2" xfId="29366"/>
    <cellStyle name="Денежный 3 3 2 2" xfId="29367"/>
    <cellStyle name="Денежный 3 3 2 2 2" xfId="29368"/>
    <cellStyle name="Денежный 3 3 2 2 2 2" xfId="29369"/>
    <cellStyle name="Денежный 3 3 2 2 3" xfId="29370"/>
    <cellStyle name="Денежный 3 3 2 3" xfId="29371"/>
    <cellStyle name="Денежный 3 3 2 3 2" xfId="29372"/>
    <cellStyle name="Денежный 3 3 2 4" xfId="29373"/>
    <cellStyle name="Денежный 3 3 2 4 2" xfId="29374"/>
    <cellStyle name="Денежный 3 3 2 5" xfId="29375"/>
    <cellStyle name="Денежный 3 3 3" xfId="29376"/>
    <cellStyle name="Денежный 3 3 3 2" xfId="29377"/>
    <cellStyle name="Денежный 3 3 3 2 2" xfId="29378"/>
    <cellStyle name="Денежный 3 3 3 2 2 2" xfId="29379"/>
    <cellStyle name="Денежный 3 3 3 2 3" xfId="29380"/>
    <cellStyle name="Денежный 3 3 3 3" xfId="29381"/>
    <cellStyle name="Денежный 3 3 3 3 2" xfId="29382"/>
    <cellStyle name="Денежный 3 3 3 4" xfId="29383"/>
    <cellStyle name="Денежный 3 3 3 4 2" xfId="29384"/>
    <cellStyle name="Денежный 3 3 3 5" xfId="29385"/>
    <cellStyle name="Денежный 3 3 4" xfId="29386"/>
    <cellStyle name="Денежный 3 3 4 2" xfId="29387"/>
    <cellStyle name="Денежный 3 3 4 2 2" xfId="29388"/>
    <cellStyle name="Денежный 3 3 4 2 2 2" xfId="29389"/>
    <cellStyle name="Денежный 3 3 4 2 3" xfId="29390"/>
    <cellStyle name="Денежный 3 3 4 3" xfId="29391"/>
    <cellStyle name="Денежный 3 3 4 3 2" xfId="29392"/>
    <cellStyle name="Денежный 3 3 4 4" xfId="29393"/>
    <cellStyle name="Денежный 3 3 4 4 2" xfId="29394"/>
    <cellStyle name="Денежный 3 3 4 5" xfId="29395"/>
    <cellStyle name="Денежный 3 3 5" xfId="29396"/>
    <cellStyle name="Денежный 3 3 5 2" xfId="29397"/>
    <cellStyle name="Денежный 3 3 5 2 2" xfId="29398"/>
    <cellStyle name="Денежный 3 3 5 2 2 2" xfId="29399"/>
    <cellStyle name="Денежный 3 3 5 2 3" xfId="29400"/>
    <cellStyle name="Денежный 3 3 5 3" xfId="29401"/>
    <cellStyle name="Денежный 3 3 5 3 2" xfId="29402"/>
    <cellStyle name="Денежный 3 3 5 4" xfId="29403"/>
    <cellStyle name="Денежный 3 3 5 4 2" xfId="29404"/>
    <cellStyle name="Денежный 3 3 5 5" xfId="29405"/>
    <cellStyle name="Денежный 3 3 6" xfId="29406"/>
    <cellStyle name="Денежный 3 3 6 2" xfId="29407"/>
    <cellStyle name="Денежный 3 3 6 2 2" xfId="29408"/>
    <cellStyle name="Денежный 3 3 6 3" xfId="29409"/>
    <cellStyle name="Денежный 3 3 7" xfId="29410"/>
    <cellStyle name="Денежный 3 3 7 2" xfId="29411"/>
    <cellStyle name="Денежный 3 3 8" xfId="29412"/>
    <cellStyle name="Денежный 3 3 8 2" xfId="29413"/>
    <cellStyle name="Денежный 3 3 9" xfId="29414"/>
    <cellStyle name="Денежный 3 4" xfId="29415"/>
    <cellStyle name="Денежный 3 4 10" xfId="29416"/>
    <cellStyle name="Денежный 3 4 2" xfId="29417"/>
    <cellStyle name="Денежный 3 4 2 2" xfId="29418"/>
    <cellStyle name="Денежный 3 4 2 2 2" xfId="29419"/>
    <cellStyle name="Денежный 3 4 2 2 2 2" xfId="29420"/>
    <cellStyle name="Денежный 3 4 2 2 3" xfId="29421"/>
    <cellStyle name="Денежный 3 4 2 3" xfId="29422"/>
    <cellStyle name="Денежный 3 4 2 3 2" xfId="29423"/>
    <cellStyle name="Денежный 3 4 2 4" xfId="29424"/>
    <cellStyle name="Денежный 3 4 2 4 2" xfId="29425"/>
    <cellStyle name="Денежный 3 4 2 5" xfId="29426"/>
    <cellStyle name="Денежный 3 4 3" xfId="29427"/>
    <cellStyle name="Денежный 3 4 3 2" xfId="29428"/>
    <cellStyle name="Денежный 3 4 3 2 2" xfId="29429"/>
    <cellStyle name="Денежный 3 4 3 2 2 2" xfId="29430"/>
    <cellStyle name="Денежный 3 4 3 2 3" xfId="29431"/>
    <cellStyle name="Денежный 3 4 3 3" xfId="29432"/>
    <cellStyle name="Денежный 3 4 3 3 2" xfId="29433"/>
    <cellStyle name="Денежный 3 4 3 4" xfId="29434"/>
    <cellStyle name="Денежный 3 4 3 4 2" xfId="29435"/>
    <cellStyle name="Денежный 3 4 3 5" xfId="29436"/>
    <cellStyle name="Денежный 3 4 4" xfId="29437"/>
    <cellStyle name="Денежный 3 4 4 2" xfId="29438"/>
    <cellStyle name="Денежный 3 4 4 2 2" xfId="29439"/>
    <cellStyle name="Денежный 3 4 4 2 2 2" xfId="29440"/>
    <cellStyle name="Денежный 3 4 4 2 3" xfId="29441"/>
    <cellStyle name="Денежный 3 4 4 3" xfId="29442"/>
    <cellStyle name="Денежный 3 4 4 3 2" xfId="29443"/>
    <cellStyle name="Денежный 3 4 4 4" xfId="29444"/>
    <cellStyle name="Денежный 3 4 4 4 2" xfId="29445"/>
    <cellStyle name="Денежный 3 4 4 5" xfId="29446"/>
    <cellStyle name="Денежный 3 4 5" xfId="29447"/>
    <cellStyle name="Денежный 3 4 5 2" xfId="29448"/>
    <cellStyle name="Денежный 3 4 5 2 2" xfId="29449"/>
    <cellStyle name="Денежный 3 4 5 2 2 2" xfId="29450"/>
    <cellStyle name="Денежный 3 4 5 2 3" xfId="29451"/>
    <cellStyle name="Денежный 3 4 5 3" xfId="29452"/>
    <cellStyle name="Денежный 3 4 5 3 2" xfId="29453"/>
    <cellStyle name="Денежный 3 4 5 4" xfId="29454"/>
    <cellStyle name="Денежный 3 4 5 4 2" xfId="29455"/>
    <cellStyle name="Денежный 3 4 5 5" xfId="29456"/>
    <cellStyle name="Денежный 3 4 6" xfId="29457"/>
    <cellStyle name="Денежный 3 4 6 2" xfId="29458"/>
    <cellStyle name="Денежный 3 4 6 2 2" xfId="29459"/>
    <cellStyle name="Денежный 3 4 6 3" xfId="29460"/>
    <cellStyle name="Денежный 3 4 7" xfId="29461"/>
    <cellStyle name="Денежный 3 4 7 2" xfId="29462"/>
    <cellStyle name="Денежный 3 4 8" xfId="29463"/>
    <cellStyle name="Денежный 3 4 8 2" xfId="29464"/>
    <cellStyle name="Денежный 3 4 9" xfId="29465"/>
    <cellStyle name="Денежный 3 5" xfId="29466"/>
    <cellStyle name="Денежный 3 5 10" xfId="29467"/>
    <cellStyle name="Денежный 3 5 2" xfId="29468"/>
    <cellStyle name="Денежный 3 5 2 2" xfId="29469"/>
    <cellStyle name="Денежный 3 5 2 2 2" xfId="29470"/>
    <cellStyle name="Денежный 3 5 2 2 2 2" xfId="29471"/>
    <cellStyle name="Денежный 3 5 2 2 3" xfId="29472"/>
    <cellStyle name="Денежный 3 5 2 3" xfId="29473"/>
    <cellStyle name="Денежный 3 5 2 3 2" xfId="29474"/>
    <cellStyle name="Денежный 3 5 2 4" xfId="29475"/>
    <cellStyle name="Денежный 3 5 2 4 2" xfId="29476"/>
    <cellStyle name="Денежный 3 5 2 5" xfId="29477"/>
    <cellStyle name="Денежный 3 5 3" xfId="29478"/>
    <cellStyle name="Денежный 3 5 3 2" xfId="29479"/>
    <cellStyle name="Денежный 3 5 3 2 2" xfId="29480"/>
    <cellStyle name="Денежный 3 5 3 2 2 2" xfId="29481"/>
    <cellStyle name="Денежный 3 5 3 2 3" xfId="29482"/>
    <cellStyle name="Денежный 3 5 3 3" xfId="29483"/>
    <cellStyle name="Денежный 3 5 3 3 2" xfId="29484"/>
    <cellStyle name="Денежный 3 5 3 4" xfId="29485"/>
    <cellStyle name="Денежный 3 5 3 4 2" xfId="29486"/>
    <cellStyle name="Денежный 3 5 3 5" xfId="29487"/>
    <cellStyle name="Денежный 3 5 4" xfId="29488"/>
    <cellStyle name="Денежный 3 5 4 2" xfId="29489"/>
    <cellStyle name="Денежный 3 5 4 2 2" xfId="29490"/>
    <cellStyle name="Денежный 3 5 4 2 2 2" xfId="29491"/>
    <cellStyle name="Денежный 3 5 4 2 3" xfId="29492"/>
    <cellStyle name="Денежный 3 5 4 3" xfId="29493"/>
    <cellStyle name="Денежный 3 5 4 3 2" xfId="29494"/>
    <cellStyle name="Денежный 3 5 4 4" xfId="29495"/>
    <cellStyle name="Денежный 3 5 4 4 2" xfId="29496"/>
    <cellStyle name="Денежный 3 5 4 5" xfId="29497"/>
    <cellStyle name="Денежный 3 5 5" xfId="29498"/>
    <cellStyle name="Денежный 3 5 5 2" xfId="29499"/>
    <cellStyle name="Денежный 3 5 5 2 2" xfId="29500"/>
    <cellStyle name="Денежный 3 5 5 2 2 2" xfId="29501"/>
    <cellStyle name="Денежный 3 5 5 2 3" xfId="29502"/>
    <cellStyle name="Денежный 3 5 5 3" xfId="29503"/>
    <cellStyle name="Денежный 3 5 5 3 2" xfId="29504"/>
    <cellStyle name="Денежный 3 5 5 4" xfId="29505"/>
    <cellStyle name="Денежный 3 5 5 4 2" xfId="29506"/>
    <cellStyle name="Денежный 3 5 5 5" xfId="29507"/>
    <cellStyle name="Денежный 3 5 6" xfId="29508"/>
    <cellStyle name="Денежный 3 5 6 2" xfId="29509"/>
    <cellStyle name="Денежный 3 5 6 2 2" xfId="29510"/>
    <cellStyle name="Денежный 3 5 6 3" xfId="29511"/>
    <cellStyle name="Денежный 3 5 7" xfId="29512"/>
    <cellStyle name="Денежный 3 5 7 2" xfId="29513"/>
    <cellStyle name="Денежный 3 5 8" xfId="29514"/>
    <cellStyle name="Денежный 3 5 8 2" xfId="29515"/>
    <cellStyle name="Денежный 3 5 9" xfId="29516"/>
    <cellStyle name="Денежный 3 6" xfId="29517"/>
    <cellStyle name="Денежный 3 6 10" xfId="29518"/>
    <cellStyle name="Денежный 3 6 2" xfId="29519"/>
    <cellStyle name="Денежный 3 6 2 2" xfId="29520"/>
    <cellStyle name="Денежный 3 6 2 2 2" xfId="29521"/>
    <cellStyle name="Денежный 3 6 2 2 2 2" xfId="29522"/>
    <cellStyle name="Денежный 3 6 2 2 3" xfId="29523"/>
    <cellStyle name="Денежный 3 6 2 3" xfId="29524"/>
    <cellStyle name="Денежный 3 6 2 3 2" xfId="29525"/>
    <cellStyle name="Денежный 3 6 2 4" xfId="29526"/>
    <cellStyle name="Денежный 3 6 2 4 2" xfId="29527"/>
    <cellStyle name="Денежный 3 6 2 5" xfId="29528"/>
    <cellStyle name="Денежный 3 6 3" xfId="29529"/>
    <cellStyle name="Денежный 3 6 3 2" xfId="29530"/>
    <cellStyle name="Денежный 3 6 3 2 2" xfId="29531"/>
    <cellStyle name="Денежный 3 6 3 2 2 2" xfId="29532"/>
    <cellStyle name="Денежный 3 6 3 2 3" xfId="29533"/>
    <cellStyle name="Денежный 3 6 3 3" xfId="29534"/>
    <cellStyle name="Денежный 3 6 3 3 2" xfId="29535"/>
    <cellStyle name="Денежный 3 6 3 4" xfId="29536"/>
    <cellStyle name="Денежный 3 6 3 4 2" xfId="29537"/>
    <cellStyle name="Денежный 3 6 3 5" xfId="29538"/>
    <cellStyle name="Денежный 3 6 4" xfId="29539"/>
    <cellStyle name="Денежный 3 6 4 2" xfId="29540"/>
    <cellStyle name="Денежный 3 6 4 2 2" xfId="29541"/>
    <cellStyle name="Денежный 3 6 4 2 2 2" xfId="29542"/>
    <cellStyle name="Денежный 3 6 4 2 3" xfId="29543"/>
    <cellStyle name="Денежный 3 6 4 3" xfId="29544"/>
    <cellStyle name="Денежный 3 6 4 3 2" xfId="29545"/>
    <cellStyle name="Денежный 3 6 4 4" xfId="29546"/>
    <cellStyle name="Денежный 3 6 4 4 2" xfId="29547"/>
    <cellStyle name="Денежный 3 6 4 5" xfId="29548"/>
    <cellStyle name="Денежный 3 6 5" xfId="29549"/>
    <cellStyle name="Денежный 3 6 5 2" xfId="29550"/>
    <cellStyle name="Денежный 3 6 5 2 2" xfId="29551"/>
    <cellStyle name="Денежный 3 6 5 2 2 2" xfId="29552"/>
    <cellStyle name="Денежный 3 6 5 2 3" xfId="29553"/>
    <cellStyle name="Денежный 3 6 5 3" xfId="29554"/>
    <cellStyle name="Денежный 3 6 5 3 2" xfId="29555"/>
    <cellStyle name="Денежный 3 6 5 4" xfId="29556"/>
    <cellStyle name="Денежный 3 6 5 4 2" xfId="29557"/>
    <cellStyle name="Денежный 3 6 5 5" xfId="29558"/>
    <cellStyle name="Денежный 3 6 6" xfId="29559"/>
    <cellStyle name="Денежный 3 6 6 2" xfId="29560"/>
    <cellStyle name="Денежный 3 6 6 2 2" xfId="29561"/>
    <cellStyle name="Денежный 3 6 6 3" xfId="29562"/>
    <cellStyle name="Денежный 3 6 7" xfId="29563"/>
    <cellStyle name="Денежный 3 6 7 2" xfId="29564"/>
    <cellStyle name="Денежный 3 6 8" xfId="29565"/>
    <cellStyle name="Денежный 3 6 8 2" xfId="29566"/>
    <cellStyle name="Денежный 3 6 9" xfId="29567"/>
    <cellStyle name="Денежный 3 7" xfId="29568"/>
    <cellStyle name="Денежный 3 7 10" xfId="29569"/>
    <cellStyle name="Денежный 3 7 2" xfId="29570"/>
    <cellStyle name="Денежный 3 7 2 2" xfId="29571"/>
    <cellStyle name="Денежный 3 7 2 2 2" xfId="29572"/>
    <cellStyle name="Денежный 3 7 2 2 2 2" xfId="29573"/>
    <cellStyle name="Денежный 3 7 2 2 3" xfId="29574"/>
    <cellStyle name="Денежный 3 7 2 3" xfId="29575"/>
    <cellStyle name="Денежный 3 7 2 3 2" xfId="29576"/>
    <cellStyle name="Денежный 3 7 2 4" xfId="29577"/>
    <cellStyle name="Денежный 3 7 2 4 2" xfId="29578"/>
    <cellStyle name="Денежный 3 7 2 5" xfId="29579"/>
    <cellStyle name="Денежный 3 7 3" xfId="29580"/>
    <cellStyle name="Денежный 3 7 3 2" xfId="29581"/>
    <cellStyle name="Денежный 3 7 3 2 2" xfId="29582"/>
    <cellStyle name="Денежный 3 7 3 2 2 2" xfId="29583"/>
    <cellStyle name="Денежный 3 7 3 2 3" xfId="29584"/>
    <cellStyle name="Денежный 3 7 3 3" xfId="29585"/>
    <cellStyle name="Денежный 3 7 3 3 2" xfId="29586"/>
    <cellStyle name="Денежный 3 7 3 4" xfId="29587"/>
    <cellStyle name="Денежный 3 7 3 4 2" xfId="29588"/>
    <cellStyle name="Денежный 3 7 3 5" xfId="29589"/>
    <cellStyle name="Денежный 3 7 4" xfId="29590"/>
    <cellStyle name="Денежный 3 7 4 2" xfId="29591"/>
    <cellStyle name="Денежный 3 7 4 2 2" xfId="29592"/>
    <cellStyle name="Денежный 3 7 4 2 2 2" xfId="29593"/>
    <cellStyle name="Денежный 3 7 4 2 3" xfId="29594"/>
    <cellStyle name="Денежный 3 7 4 3" xfId="29595"/>
    <cellStyle name="Денежный 3 7 4 3 2" xfId="29596"/>
    <cellStyle name="Денежный 3 7 4 4" xfId="29597"/>
    <cellStyle name="Денежный 3 7 4 4 2" xfId="29598"/>
    <cellStyle name="Денежный 3 7 4 5" xfId="29599"/>
    <cellStyle name="Денежный 3 7 5" xfId="29600"/>
    <cellStyle name="Денежный 3 7 5 2" xfId="29601"/>
    <cellStyle name="Денежный 3 7 5 2 2" xfId="29602"/>
    <cellStyle name="Денежный 3 7 5 2 2 2" xfId="29603"/>
    <cellStyle name="Денежный 3 7 5 2 3" xfId="29604"/>
    <cellStyle name="Денежный 3 7 5 3" xfId="29605"/>
    <cellStyle name="Денежный 3 7 5 3 2" xfId="29606"/>
    <cellStyle name="Денежный 3 7 5 4" xfId="29607"/>
    <cellStyle name="Денежный 3 7 5 4 2" xfId="29608"/>
    <cellStyle name="Денежный 3 7 5 5" xfId="29609"/>
    <cellStyle name="Денежный 3 7 6" xfId="29610"/>
    <cellStyle name="Денежный 3 7 6 2" xfId="29611"/>
    <cellStyle name="Денежный 3 7 6 2 2" xfId="29612"/>
    <cellStyle name="Денежный 3 7 6 3" xfId="29613"/>
    <cellStyle name="Денежный 3 7 7" xfId="29614"/>
    <cellStyle name="Денежный 3 7 7 2" xfId="29615"/>
    <cellStyle name="Денежный 3 7 8" xfId="29616"/>
    <cellStyle name="Денежный 3 7 8 2" xfId="29617"/>
    <cellStyle name="Денежный 3 7 9" xfId="29618"/>
    <cellStyle name="Денежный 3 8" xfId="29619"/>
    <cellStyle name="Денежный 3 8 2" xfId="29620"/>
    <cellStyle name="Денежный 3 8 2 2" xfId="29621"/>
    <cellStyle name="Денежный 3 8 2 2 2" xfId="29622"/>
    <cellStyle name="Денежный 3 8 2 2 2 2" xfId="29623"/>
    <cellStyle name="Денежный 3 8 2 2 3" xfId="29624"/>
    <cellStyle name="Денежный 3 8 2 3" xfId="29625"/>
    <cellStyle name="Денежный 3 8 2 3 2" xfId="29626"/>
    <cellStyle name="Денежный 3 8 2 4" xfId="29627"/>
    <cellStyle name="Денежный 3 8 2 4 2" xfId="29628"/>
    <cellStyle name="Денежный 3 8 2 5" xfId="29629"/>
    <cellStyle name="Денежный 3 8 3" xfId="29630"/>
    <cellStyle name="Денежный 3 8 3 2" xfId="29631"/>
    <cellStyle name="Денежный 3 8 3 2 2" xfId="29632"/>
    <cellStyle name="Денежный 3 8 3 2 2 2" xfId="29633"/>
    <cellStyle name="Денежный 3 8 3 2 3" xfId="29634"/>
    <cellStyle name="Денежный 3 8 3 3" xfId="29635"/>
    <cellStyle name="Денежный 3 8 3 3 2" xfId="29636"/>
    <cellStyle name="Денежный 3 8 3 4" xfId="29637"/>
    <cellStyle name="Денежный 3 8 3 4 2" xfId="29638"/>
    <cellStyle name="Денежный 3 8 3 5" xfId="29639"/>
    <cellStyle name="Денежный 3 8 4" xfId="29640"/>
    <cellStyle name="Денежный 3 8 4 2" xfId="29641"/>
    <cellStyle name="Денежный 3 8 4 2 2" xfId="29642"/>
    <cellStyle name="Денежный 3 8 4 3" xfId="29643"/>
    <cellStyle name="Денежный 3 8 5" xfId="29644"/>
    <cellStyle name="Денежный 3 8 5 2" xfId="29645"/>
    <cellStyle name="Денежный 3 8 6" xfId="29646"/>
    <cellStyle name="Денежный 3 8 6 2" xfId="29647"/>
    <cellStyle name="Денежный 3 8 7" xfId="29648"/>
    <cellStyle name="Денежный 3 9" xfId="29649"/>
    <cellStyle name="Денежный 3 9 2" xfId="29650"/>
    <cellStyle name="Денежный 3 9 2 2" xfId="29651"/>
    <cellStyle name="Денежный 3 9 2 2 2" xfId="29652"/>
    <cellStyle name="Денежный 3 9 2 3" xfId="29653"/>
    <cellStyle name="Денежный 3 9 3" xfId="29654"/>
    <cellStyle name="Денежный 3 9 3 2" xfId="29655"/>
    <cellStyle name="Денежный 3 9 4" xfId="29656"/>
    <cellStyle name="Денежный 3 9 4 2" xfId="29657"/>
    <cellStyle name="Денежный 3 9 5" xfId="29658"/>
    <cellStyle name="Денежный 4" xfId="29659"/>
    <cellStyle name="Денежный 4 10" xfId="29660"/>
    <cellStyle name="Денежный 4 10 2" xfId="29661"/>
    <cellStyle name="Денежный 4 10 2 2" xfId="29662"/>
    <cellStyle name="Денежный 4 10 2 2 2" xfId="29663"/>
    <cellStyle name="Денежный 4 10 2 3" xfId="29664"/>
    <cellStyle name="Денежный 4 10 3" xfId="29665"/>
    <cellStyle name="Денежный 4 10 3 2" xfId="29666"/>
    <cellStyle name="Денежный 4 10 4" xfId="29667"/>
    <cellStyle name="Денежный 4 10 4 2" xfId="29668"/>
    <cellStyle name="Денежный 4 10 5" xfId="29669"/>
    <cellStyle name="Денежный 4 11" xfId="29670"/>
    <cellStyle name="Денежный 4 11 2" xfId="29671"/>
    <cellStyle name="Денежный 4 11 2 2" xfId="29672"/>
    <cellStyle name="Денежный 4 11 3" xfId="29673"/>
    <cellStyle name="Денежный 4 12" xfId="29674"/>
    <cellStyle name="Денежный 4 12 2" xfId="29675"/>
    <cellStyle name="Денежный 4 13" xfId="29676"/>
    <cellStyle name="Денежный 4 13 2" xfId="29677"/>
    <cellStyle name="Денежный 4 14" xfId="29678"/>
    <cellStyle name="Денежный 4 15" xfId="29679"/>
    <cellStyle name="Денежный 4 2" xfId="29680"/>
    <cellStyle name="Денежный 4 2 10" xfId="29681"/>
    <cellStyle name="Денежный 4 2 2" xfId="29682"/>
    <cellStyle name="Денежный 4 2 2 2" xfId="29683"/>
    <cellStyle name="Денежный 4 2 2 2 2" xfId="29684"/>
    <cellStyle name="Денежный 4 2 2 2 2 2" xfId="29685"/>
    <cellStyle name="Денежный 4 2 2 2 3" xfId="29686"/>
    <cellStyle name="Денежный 4 2 2 3" xfId="29687"/>
    <cellStyle name="Денежный 4 2 2 3 2" xfId="29688"/>
    <cellStyle name="Денежный 4 2 2 4" xfId="29689"/>
    <cellStyle name="Денежный 4 2 2 4 2" xfId="29690"/>
    <cellStyle name="Денежный 4 2 2 5" xfId="29691"/>
    <cellStyle name="Денежный 4 2 3" xfId="29692"/>
    <cellStyle name="Денежный 4 2 3 2" xfId="29693"/>
    <cellStyle name="Денежный 4 2 3 2 2" xfId="29694"/>
    <cellStyle name="Денежный 4 2 3 2 2 2" xfId="29695"/>
    <cellStyle name="Денежный 4 2 3 2 3" xfId="29696"/>
    <cellStyle name="Денежный 4 2 3 3" xfId="29697"/>
    <cellStyle name="Денежный 4 2 3 3 2" xfId="29698"/>
    <cellStyle name="Денежный 4 2 3 4" xfId="29699"/>
    <cellStyle name="Денежный 4 2 3 4 2" xfId="29700"/>
    <cellStyle name="Денежный 4 2 3 5" xfId="29701"/>
    <cellStyle name="Денежный 4 2 4" xfId="29702"/>
    <cellStyle name="Денежный 4 2 4 2" xfId="29703"/>
    <cellStyle name="Денежный 4 2 4 2 2" xfId="29704"/>
    <cellStyle name="Денежный 4 2 4 2 2 2" xfId="29705"/>
    <cellStyle name="Денежный 4 2 4 2 3" xfId="29706"/>
    <cellStyle name="Денежный 4 2 4 3" xfId="29707"/>
    <cellStyle name="Денежный 4 2 4 3 2" xfId="29708"/>
    <cellStyle name="Денежный 4 2 4 4" xfId="29709"/>
    <cellStyle name="Денежный 4 2 4 4 2" xfId="29710"/>
    <cellStyle name="Денежный 4 2 4 5" xfId="29711"/>
    <cellStyle name="Денежный 4 2 5" xfId="29712"/>
    <cellStyle name="Денежный 4 2 5 2" xfId="29713"/>
    <cellStyle name="Денежный 4 2 5 2 2" xfId="29714"/>
    <cellStyle name="Денежный 4 2 5 2 2 2" xfId="29715"/>
    <cellStyle name="Денежный 4 2 5 2 3" xfId="29716"/>
    <cellStyle name="Денежный 4 2 5 3" xfId="29717"/>
    <cellStyle name="Денежный 4 2 5 3 2" xfId="29718"/>
    <cellStyle name="Денежный 4 2 5 4" xfId="29719"/>
    <cellStyle name="Денежный 4 2 5 4 2" xfId="29720"/>
    <cellStyle name="Денежный 4 2 5 5" xfId="29721"/>
    <cellStyle name="Денежный 4 2 6" xfId="29722"/>
    <cellStyle name="Денежный 4 2 6 2" xfId="29723"/>
    <cellStyle name="Денежный 4 2 6 2 2" xfId="29724"/>
    <cellStyle name="Денежный 4 2 6 3" xfId="29725"/>
    <cellStyle name="Денежный 4 2 7" xfId="29726"/>
    <cellStyle name="Денежный 4 2 7 2" xfId="29727"/>
    <cellStyle name="Денежный 4 2 8" xfId="29728"/>
    <cellStyle name="Денежный 4 2 8 2" xfId="29729"/>
    <cellStyle name="Денежный 4 2 9" xfId="29730"/>
    <cellStyle name="Денежный 4 3" xfId="29731"/>
    <cellStyle name="Денежный 4 3 10" xfId="29732"/>
    <cellStyle name="Денежный 4 3 2" xfId="29733"/>
    <cellStyle name="Денежный 4 3 2 2" xfId="29734"/>
    <cellStyle name="Денежный 4 3 2 2 2" xfId="29735"/>
    <cellStyle name="Денежный 4 3 2 2 2 2" xfId="29736"/>
    <cellStyle name="Денежный 4 3 2 2 3" xfId="29737"/>
    <cellStyle name="Денежный 4 3 2 3" xfId="29738"/>
    <cellStyle name="Денежный 4 3 2 3 2" xfId="29739"/>
    <cellStyle name="Денежный 4 3 2 4" xfId="29740"/>
    <cellStyle name="Денежный 4 3 2 4 2" xfId="29741"/>
    <cellStyle name="Денежный 4 3 2 5" xfId="29742"/>
    <cellStyle name="Денежный 4 3 3" xfId="29743"/>
    <cellStyle name="Денежный 4 3 3 2" xfId="29744"/>
    <cellStyle name="Денежный 4 3 3 2 2" xfId="29745"/>
    <cellStyle name="Денежный 4 3 3 2 2 2" xfId="29746"/>
    <cellStyle name="Денежный 4 3 3 2 3" xfId="29747"/>
    <cellStyle name="Денежный 4 3 3 3" xfId="29748"/>
    <cellStyle name="Денежный 4 3 3 3 2" xfId="29749"/>
    <cellStyle name="Денежный 4 3 3 4" xfId="29750"/>
    <cellStyle name="Денежный 4 3 3 4 2" xfId="29751"/>
    <cellStyle name="Денежный 4 3 3 5" xfId="29752"/>
    <cellStyle name="Денежный 4 3 4" xfId="29753"/>
    <cellStyle name="Денежный 4 3 4 2" xfId="29754"/>
    <cellStyle name="Денежный 4 3 4 2 2" xfId="29755"/>
    <cellStyle name="Денежный 4 3 4 2 2 2" xfId="29756"/>
    <cellStyle name="Денежный 4 3 4 2 3" xfId="29757"/>
    <cellStyle name="Денежный 4 3 4 3" xfId="29758"/>
    <cellStyle name="Денежный 4 3 4 3 2" xfId="29759"/>
    <cellStyle name="Денежный 4 3 4 4" xfId="29760"/>
    <cellStyle name="Денежный 4 3 4 4 2" xfId="29761"/>
    <cellStyle name="Денежный 4 3 4 5" xfId="29762"/>
    <cellStyle name="Денежный 4 3 5" xfId="29763"/>
    <cellStyle name="Денежный 4 3 5 2" xfId="29764"/>
    <cellStyle name="Денежный 4 3 5 2 2" xfId="29765"/>
    <cellStyle name="Денежный 4 3 5 2 2 2" xfId="29766"/>
    <cellStyle name="Денежный 4 3 5 2 3" xfId="29767"/>
    <cellStyle name="Денежный 4 3 5 3" xfId="29768"/>
    <cellStyle name="Денежный 4 3 5 3 2" xfId="29769"/>
    <cellStyle name="Денежный 4 3 5 4" xfId="29770"/>
    <cellStyle name="Денежный 4 3 5 4 2" xfId="29771"/>
    <cellStyle name="Денежный 4 3 5 5" xfId="29772"/>
    <cellStyle name="Денежный 4 3 6" xfId="29773"/>
    <cellStyle name="Денежный 4 3 6 2" xfId="29774"/>
    <cellStyle name="Денежный 4 3 6 2 2" xfId="29775"/>
    <cellStyle name="Денежный 4 3 6 3" xfId="29776"/>
    <cellStyle name="Денежный 4 3 7" xfId="29777"/>
    <cellStyle name="Денежный 4 3 7 2" xfId="29778"/>
    <cellStyle name="Денежный 4 3 8" xfId="29779"/>
    <cellStyle name="Денежный 4 3 8 2" xfId="29780"/>
    <cellStyle name="Денежный 4 3 9" xfId="29781"/>
    <cellStyle name="Денежный 4 4" xfId="29782"/>
    <cellStyle name="Денежный 4 4 10" xfId="29783"/>
    <cellStyle name="Денежный 4 4 2" xfId="29784"/>
    <cellStyle name="Денежный 4 4 2 2" xfId="29785"/>
    <cellStyle name="Денежный 4 4 2 2 2" xfId="29786"/>
    <cellStyle name="Денежный 4 4 2 2 2 2" xfId="29787"/>
    <cellStyle name="Денежный 4 4 2 2 3" xfId="29788"/>
    <cellStyle name="Денежный 4 4 2 3" xfId="29789"/>
    <cellStyle name="Денежный 4 4 2 3 2" xfId="29790"/>
    <cellStyle name="Денежный 4 4 2 4" xfId="29791"/>
    <cellStyle name="Денежный 4 4 2 4 2" xfId="29792"/>
    <cellStyle name="Денежный 4 4 2 5" xfId="29793"/>
    <cellStyle name="Денежный 4 4 3" xfId="29794"/>
    <cellStyle name="Денежный 4 4 3 2" xfId="29795"/>
    <cellStyle name="Денежный 4 4 3 2 2" xfId="29796"/>
    <cellStyle name="Денежный 4 4 3 2 2 2" xfId="29797"/>
    <cellStyle name="Денежный 4 4 3 2 3" xfId="29798"/>
    <cellStyle name="Денежный 4 4 3 3" xfId="29799"/>
    <cellStyle name="Денежный 4 4 3 3 2" xfId="29800"/>
    <cellStyle name="Денежный 4 4 3 4" xfId="29801"/>
    <cellStyle name="Денежный 4 4 3 4 2" xfId="29802"/>
    <cellStyle name="Денежный 4 4 3 5" xfId="29803"/>
    <cellStyle name="Денежный 4 4 4" xfId="29804"/>
    <cellStyle name="Денежный 4 4 4 2" xfId="29805"/>
    <cellStyle name="Денежный 4 4 4 2 2" xfId="29806"/>
    <cellStyle name="Денежный 4 4 4 2 2 2" xfId="29807"/>
    <cellStyle name="Денежный 4 4 4 2 3" xfId="29808"/>
    <cellStyle name="Денежный 4 4 4 3" xfId="29809"/>
    <cellStyle name="Денежный 4 4 4 3 2" xfId="29810"/>
    <cellStyle name="Денежный 4 4 4 4" xfId="29811"/>
    <cellStyle name="Денежный 4 4 4 4 2" xfId="29812"/>
    <cellStyle name="Денежный 4 4 4 5" xfId="29813"/>
    <cellStyle name="Денежный 4 4 5" xfId="29814"/>
    <cellStyle name="Денежный 4 4 5 2" xfId="29815"/>
    <cellStyle name="Денежный 4 4 5 2 2" xfId="29816"/>
    <cellStyle name="Денежный 4 4 5 2 2 2" xfId="29817"/>
    <cellStyle name="Денежный 4 4 5 2 3" xfId="29818"/>
    <cellStyle name="Денежный 4 4 5 3" xfId="29819"/>
    <cellStyle name="Денежный 4 4 5 3 2" xfId="29820"/>
    <cellStyle name="Денежный 4 4 5 4" xfId="29821"/>
    <cellStyle name="Денежный 4 4 5 4 2" xfId="29822"/>
    <cellStyle name="Денежный 4 4 5 5" xfId="29823"/>
    <cellStyle name="Денежный 4 4 6" xfId="29824"/>
    <cellStyle name="Денежный 4 4 6 2" xfId="29825"/>
    <cellStyle name="Денежный 4 4 6 2 2" xfId="29826"/>
    <cellStyle name="Денежный 4 4 6 3" xfId="29827"/>
    <cellStyle name="Денежный 4 4 7" xfId="29828"/>
    <cellStyle name="Денежный 4 4 7 2" xfId="29829"/>
    <cellStyle name="Денежный 4 4 8" xfId="29830"/>
    <cellStyle name="Денежный 4 4 8 2" xfId="29831"/>
    <cellStyle name="Денежный 4 4 9" xfId="29832"/>
    <cellStyle name="Денежный 4 5" xfId="29833"/>
    <cellStyle name="Денежный 4 5 10" xfId="29834"/>
    <cellStyle name="Денежный 4 5 2" xfId="29835"/>
    <cellStyle name="Денежный 4 5 2 2" xfId="29836"/>
    <cellStyle name="Денежный 4 5 2 2 2" xfId="29837"/>
    <cellStyle name="Денежный 4 5 2 2 2 2" xfId="29838"/>
    <cellStyle name="Денежный 4 5 2 2 3" xfId="29839"/>
    <cellStyle name="Денежный 4 5 2 3" xfId="29840"/>
    <cellStyle name="Денежный 4 5 2 3 2" xfId="29841"/>
    <cellStyle name="Денежный 4 5 2 4" xfId="29842"/>
    <cellStyle name="Денежный 4 5 2 4 2" xfId="29843"/>
    <cellStyle name="Денежный 4 5 2 5" xfId="29844"/>
    <cellStyle name="Денежный 4 5 3" xfId="29845"/>
    <cellStyle name="Денежный 4 5 3 2" xfId="29846"/>
    <cellStyle name="Денежный 4 5 3 2 2" xfId="29847"/>
    <cellStyle name="Денежный 4 5 3 2 2 2" xfId="29848"/>
    <cellStyle name="Денежный 4 5 3 2 3" xfId="29849"/>
    <cellStyle name="Денежный 4 5 3 3" xfId="29850"/>
    <cellStyle name="Денежный 4 5 3 3 2" xfId="29851"/>
    <cellStyle name="Денежный 4 5 3 4" xfId="29852"/>
    <cellStyle name="Денежный 4 5 3 4 2" xfId="29853"/>
    <cellStyle name="Денежный 4 5 3 5" xfId="29854"/>
    <cellStyle name="Денежный 4 5 4" xfId="29855"/>
    <cellStyle name="Денежный 4 5 4 2" xfId="29856"/>
    <cellStyle name="Денежный 4 5 4 2 2" xfId="29857"/>
    <cellStyle name="Денежный 4 5 4 2 2 2" xfId="29858"/>
    <cellStyle name="Денежный 4 5 4 2 3" xfId="29859"/>
    <cellStyle name="Денежный 4 5 4 3" xfId="29860"/>
    <cellStyle name="Денежный 4 5 4 3 2" xfId="29861"/>
    <cellStyle name="Денежный 4 5 4 4" xfId="29862"/>
    <cellStyle name="Денежный 4 5 4 4 2" xfId="29863"/>
    <cellStyle name="Денежный 4 5 4 5" xfId="29864"/>
    <cellStyle name="Денежный 4 5 5" xfId="29865"/>
    <cellStyle name="Денежный 4 5 5 2" xfId="29866"/>
    <cellStyle name="Денежный 4 5 5 2 2" xfId="29867"/>
    <cellStyle name="Денежный 4 5 5 2 2 2" xfId="29868"/>
    <cellStyle name="Денежный 4 5 5 2 3" xfId="29869"/>
    <cellStyle name="Денежный 4 5 5 3" xfId="29870"/>
    <cellStyle name="Денежный 4 5 5 3 2" xfId="29871"/>
    <cellStyle name="Денежный 4 5 5 4" xfId="29872"/>
    <cellStyle name="Денежный 4 5 5 4 2" xfId="29873"/>
    <cellStyle name="Денежный 4 5 5 5" xfId="29874"/>
    <cellStyle name="Денежный 4 5 6" xfId="29875"/>
    <cellStyle name="Денежный 4 5 6 2" xfId="29876"/>
    <cellStyle name="Денежный 4 5 6 2 2" xfId="29877"/>
    <cellStyle name="Денежный 4 5 6 3" xfId="29878"/>
    <cellStyle name="Денежный 4 5 7" xfId="29879"/>
    <cellStyle name="Денежный 4 5 7 2" xfId="29880"/>
    <cellStyle name="Денежный 4 5 8" xfId="29881"/>
    <cellStyle name="Денежный 4 5 8 2" xfId="29882"/>
    <cellStyle name="Денежный 4 5 9" xfId="29883"/>
    <cellStyle name="Денежный 4 6" xfId="29884"/>
    <cellStyle name="Денежный 4 6 10" xfId="29885"/>
    <cellStyle name="Денежный 4 6 2" xfId="29886"/>
    <cellStyle name="Денежный 4 6 2 2" xfId="29887"/>
    <cellStyle name="Денежный 4 6 2 2 2" xfId="29888"/>
    <cellStyle name="Денежный 4 6 2 2 2 2" xfId="29889"/>
    <cellStyle name="Денежный 4 6 2 2 3" xfId="29890"/>
    <cellStyle name="Денежный 4 6 2 3" xfId="29891"/>
    <cellStyle name="Денежный 4 6 2 3 2" xfId="29892"/>
    <cellStyle name="Денежный 4 6 2 4" xfId="29893"/>
    <cellStyle name="Денежный 4 6 2 4 2" xfId="29894"/>
    <cellStyle name="Денежный 4 6 2 5" xfId="29895"/>
    <cellStyle name="Денежный 4 6 3" xfId="29896"/>
    <cellStyle name="Денежный 4 6 3 2" xfId="29897"/>
    <cellStyle name="Денежный 4 6 3 2 2" xfId="29898"/>
    <cellStyle name="Денежный 4 6 3 2 2 2" xfId="29899"/>
    <cellStyle name="Денежный 4 6 3 2 3" xfId="29900"/>
    <cellStyle name="Денежный 4 6 3 3" xfId="29901"/>
    <cellStyle name="Денежный 4 6 3 3 2" xfId="29902"/>
    <cellStyle name="Денежный 4 6 3 4" xfId="29903"/>
    <cellStyle name="Денежный 4 6 3 4 2" xfId="29904"/>
    <cellStyle name="Денежный 4 6 3 5" xfId="29905"/>
    <cellStyle name="Денежный 4 6 4" xfId="29906"/>
    <cellStyle name="Денежный 4 6 4 2" xfId="29907"/>
    <cellStyle name="Денежный 4 6 4 2 2" xfId="29908"/>
    <cellStyle name="Денежный 4 6 4 2 2 2" xfId="29909"/>
    <cellStyle name="Денежный 4 6 4 2 3" xfId="29910"/>
    <cellStyle name="Денежный 4 6 4 3" xfId="29911"/>
    <cellStyle name="Денежный 4 6 4 3 2" xfId="29912"/>
    <cellStyle name="Денежный 4 6 4 4" xfId="29913"/>
    <cellStyle name="Денежный 4 6 4 4 2" xfId="29914"/>
    <cellStyle name="Денежный 4 6 4 5" xfId="29915"/>
    <cellStyle name="Денежный 4 6 5" xfId="29916"/>
    <cellStyle name="Денежный 4 6 5 2" xfId="29917"/>
    <cellStyle name="Денежный 4 6 5 2 2" xfId="29918"/>
    <cellStyle name="Денежный 4 6 5 2 2 2" xfId="29919"/>
    <cellStyle name="Денежный 4 6 5 2 3" xfId="29920"/>
    <cellStyle name="Денежный 4 6 5 3" xfId="29921"/>
    <cellStyle name="Денежный 4 6 5 3 2" xfId="29922"/>
    <cellStyle name="Денежный 4 6 5 4" xfId="29923"/>
    <cellStyle name="Денежный 4 6 5 4 2" xfId="29924"/>
    <cellStyle name="Денежный 4 6 5 5" xfId="29925"/>
    <cellStyle name="Денежный 4 6 6" xfId="29926"/>
    <cellStyle name="Денежный 4 6 6 2" xfId="29927"/>
    <cellStyle name="Денежный 4 6 6 2 2" xfId="29928"/>
    <cellStyle name="Денежный 4 6 6 3" xfId="29929"/>
    <cellStyle name="Денежный 4 6 7" xfId="29930"/>
    <cellStyle name="Денежный 4 6 7 2" xfId="29931"/>
    <cellStyle name="Денежный 4 6 8" xfId="29932"/>
    <cellStyle name="Денежный 4 6 8 2" xfId="29933"/>
    <cellStyle name="Денежный 4 6 9" xfId="29934"/>
    <cellStyle name="Денежный 4 7" xfId="29935"/>
    <cellStyle name="Денежный 4 7 2" xfId="29936"/>
    <cellStyle name="Денежный 4 7 2 2" xfId="29937"/>
    <cellStyle name="Денежный 4 7 2 2 2" xfId="29938"/>
    <cellStyle name="Денежный 4 7 2 3" xfId="29939"/>
    <cellStyle name="Денежный 4 7 3" xfId="29940"/>
    <cellStyle name="Денежный 4 7 3 2" xfId="29941"/>
    <cellStyle name="Денежный 4 7 4" xfId="29942"/>
    <cellStyle name="Денежный 4 7 4 2" xfId="29943"/>
    <cellStyle name="Денежный 4 7 5" xfId="29944"/>
    <cellStyle name="Денежный 4 8" xfId="29945"/>
    <cellStyle name="Денежный 4 8 2" xfId="29946"/>
    <cellStyle name="Денежный 4 8 2 2" xfId="29947"/>
    <cellStyle name="Денежный 4 8 2 2 2" xfId="29948"/>
    <cellStyle name="Денежный 4 8 2 3" xfId="29949"/>
    <cellStyle name="Денежный 4 8 3" xfId="29950"/>
    <cellStyle name="Денежный 4 8 3 2" xfId="29951"/>
    <cellStyle name="Денежный 4 8 4" xfId="29952"/>
    <cellStyle name="Денежный 4 8 4 2" xfId="29953"/>
    <cellStyle name="Денежный 4 8 5" xfId="29954"/>
    <cellStyle name="Денежный 4 9" xfId="29955"/>
    <cellStyle name="Денежный 4 9 2" xfId="29956"/>
    <cellStyle name="Денежный 4 9 2 2" xfId="29957"/>
    <cellStyle name="Денежный 4 9 2 2 2" xfId="29958"/>
    <cellStyle name="Денежный 4 9 2 3" xfId="29959"/>
    <cellStyle name="Денежный 4 9 3" xfId="29960"/>
    <cellStyle name="Денежный 4 9 3 2" xfId="29961"/>
    <cellStyle name="Денежный 4 9 4" xfId="29962"/>
    <cellStyle name="Денежный 4 9 4 2" xfId="29963"/>
    <cellStyle name="Денежный 4 9 5" xfId="29964"/>
    <cellStyle name="Денежный 5" xfId="29965"/>
    <cellStyle name="Денежный 5 10" xfId="29966"/>
    <cellStyle name="Денежный 5 2" xfId="29967"/>
    <cellStyle name="Денежный 5 2 2" xfId="29968"/>
    <cellStyle name="Денежный 5 2 2 2" xfId="29969"/>
    <cellStyle name="Денежный 5 2 2 2 2" xfId="29970"/>
    <cellStyle name="Денежный 5 2 2 3" xfId="29971"/>
    <cellStyle name="Денежный 5 2 3" xfId="29972"/>
    <cellStyle name="Денежный 5 2 3 2" xfId="29973"/>
    <cellStyle name="Денежный 5 2 4" xfId="29974"/>
    <cellStyle name="Денежный 5 2 4 2" xfId="29975"/>
    <cellStyle name="Денежный 5 2 5" xfId="29976"/>
    <cellStyle name="Денежный 5 3" xfId="29977"/>
    <cellStyle name="Денежный 5 3 2" xfId="29978"/>
    <cellStyle name="Денежный 5 3 2 2" xfId="29979"/>
    <cellStyle name="Денежный 5 3 2 2 2" xfId="29980"/>
    <cellStyle name="Денежный 5 3 2 3" xfId="29981"/>
    <cellStyle name="Денежный 5 3 3" xfId="29982"/>
    <cellStyle name="Денежный 5 3 3 2" xfId="29983"/>
    <cellStyle name="Денежный 5 3 4" xfId="29984"/>
    <cellStyle name="Денежный 5 3 4 2" xfId="29985"/>
    <cellStyle name="Денежный 5 3 5" xfId="29986"/>
    <cellStyle name="Денежный 5 4" xfId="29987"/>
    <cellStyle name="Денежный 5 4 2" xfId="29988"/>
    <cellStyle name="Денежный 5 4 2 2" xfId="29989"/>
    <cellStyle name="Денежный 5 4 2 2 2" xfId="29990"/>
    <cellStyle name="Денежный 5 4 2 3" xfId="29991"/>
    <cellStyle name="Денежный 5 4 3" xfId="29992"/>
    <cellStyle name="Денежный 5 4 3 2" xfId="29993"/>
    <cellStyle name="Денежный 5 4 4" xfId="29994"/>
    <cellStyle name="Денежный 5 4 4 2" xfId="29995"/>
    <cellStyle name="Денежный 5 4 5" xfId="29996"/>
    <cellStyle name="Денежный 5 5" xfId="29997"/>
    <cellStyle name="Денежный 5 5 2" xfId="29998"/>
    <cellStyle name="Денежный 5 5 2 2" xfId="29999"/>
    <cellStyle name="Денежный 5 5 2 2 2" xfId="30000"/>
    <cellStyle name="Денежный 5 5 2 3" xfId="30001"/>
    <cellStyle name="Денежный 5 5 3" xfId="30002"/>
    <cellStyle name="Денежный 5 5 3 2" xfId="30003"/>
    <cellStyle name="Денежный 5 5 4" xfId="30004"/>
    <cellStyle name="Денежный 5 5 4 2" xfId="30005"/>
    <cellStyle name="Денежный 5 5 5" xfId="30006"/>
    <cellStyle name="Денежный 5 6" xfId="30007"/>
    <cellStyle name="Денежный 5 6 2" xfId="30008"/>
    <cellStyle name="Денежный 5 6 2 2" xfId="30009"/>
    <cellStyle name="Денежный 5 6 3" xfId="30010"/>
    <cellStyle name="Денежный 5 7" xfId="30011"/>
    <cellStyle name="Денежный 5 7 2" xfId="30012"/>
    <cellStyle name="Денежный 5 8" xfId="30013"/>
    <cellStyle name="Денежный 5 8 2" xfId="30014"/>
    <cellStyle name="Денежный 5 9" xfId="30015"/>
    <cellStyle name="Денежный 6" xfId="30016"/>
    <cellStyle name="Денежный 6 10" xfId="30017"/>
    <cellStyle name="Денежный 6 2" xfId="30018"/>
    <cellStyle name="Денежный 6 2 2" xfId="30019"/>
    <cellStyle name="Денежный 6 2 2 2" xfId="30020"/>
    <cellStyle name="Денежный 6 2 2 2 2" xfId="30021"/>
    <cellStyle name="Денежный 6 2 2 3" xfId="30022"/>
    <cellStyle name="Денежный 6 2 3" xfId="30023"/>
    <cellStyle name="Денежный 6 2 3 2" xfId="30024"/>
    <cellStyle name="Денежный 6 2 4" xfId="30025"/>
    <cellStyle name="Денежный 6 2 4 2" xfId="30026"/>
    <cellStyle name="Денежный 6 2 5" xfId="30027"/>
    <cellStyle name="Денежный 6 3" xfId="30028"/>
    <cellStyle name="Денежный 6 3 2" xfId="30029"/>
    <cellStyle name="Денежный 6 3 2 2" xfId="30030"/>
    <cellStyle name="Денежный 6 3 2 2 2" xfId="30031"/>
    <cellStyle name="Денежный 6 3 2 3" xfId="30032"/>
    <cellStyle name="Денежный 6 3 3" xfId="30033"/>
    <cellStyle name="Денежный 6 3 3 2" xfId="30034"/>
    <cellStyle name="Денежный 6 3 4" xfId="30035"/>
    <cellStyle name="Денежный 6 3 4 2" xfId="30036"/>
    <cellStyle name="Денежный 6 3 5" xfId="30037"/>
    <cellStyle name="Денежный 6 4" xfId="30038"/>
    <cellStyle name="Денежный 6 4 2" xfId="30039"/>
    <cellStyle name="Денежный 6 4 2 2" xfId="30040"/>
    <cellStyle name="Денежный 6 4 2 2 2" xfId="30041"/>
    <cellStyle name="Денежный 6 4 2 3" xfId="30042"/>
    <cellStyle name="Денежный 6 4 3" xfId="30043"/>
    <cellStyle name="Денежный 6 4 3 2" xfId="30044"/>
    <cellStyle name="Денежный 6 4 4" xfId="30045"/>
    <cellStyle name="Денежный 6 4 4 2" xfId="30046"/>
    <cellStyle name="Денежный 6 4 5" xfId="30047"/>
    <cellStyle name="Денежный 6 5" xfId="30048"/>
    <cellStyle name="Денежный 6 5 2" xfId="30049"/>
    <cellStyle name="Денежный 6 5 2 2" xfId="30050"/>
    <cellStyle name="Денежный 6 5 2 2 2" xfId="30051"/>
    <cellStyle name="Денежный 6 5 2 3" xfId="30052"/>
    <cellStyle name="Денежный 6 5 3" xfId="30053"/>
    <cellStyle name="Денежный 6 5 3 2" xfId="30054"/>
    <cellStyle name="Денежный 6 5 4" xfId="30055"/>
    <cellStyle name="Денежный 6 5 4 2" xfId="30056"/>
    <cellStyle name="Денежный 6 5 5" xfId="30057"/>
    <cellStyle name="Денежный 6 6" xfId="30058"/>
    <cellStyle name="Денежный 6 6 2" xfId="30059"/>
    <cellStyle name="Денежный 6 6 2 2" xfId="30060"/>
    <cellStyle name="Денежный 6 6 3" xfId="30061"/>
    <cellStyle name="Денежный 6 7" xfId="30062"/>
    <cellStyle name="Денежный 6 7 2" xfId="30063"/>
    <cellStyle name="Денежный 6 8" xfId="30064"/>
    <cellStyle name="Денежный 6 8 2" xfId="30065"/>
    <cellStyle name="Денежный 6 9" xfId="30066"/>
    <cellStyle name="Денежный 7" xfId="30067"/>
    <cellStyle name="Денежный 7 2" xfId="30068"/>
    <cellStyle name="Денежный 7 2 2" xfId="30069"/>
    <cellStyle name="Денежный 7 2 2 2" xfId="30070"/>
    <cellStyle name="Денежный 7 2 3" xfId="30071"/>
    <cellStyle name="Денежный 7 3" xfId="30072"/>
    <cellStyle name="Денежный 7 3 2" xfId="30073"/>
    <cellStyle name="Денежный 7 4" xfId="30074"/>
    <cellStyle name="Денежный 7 4 2" xfId="30075"/>
    <cellStyle name="Денежный 7 5" xfId="30076"/>
    <cellStyle name="Денежный 8" xfId="30077"/>
    <cellStyle name="Денежный 8 2" xfId="30078"/>
    <cellStyle name="Денежный 8 2 2" xfId="30079"/>
    <cellStyle name="Денежный 8 3" xfId="30080"/>
    <cellStyle name="Денежный 9" xfId="30081"/>
    <cellStyle name="Денежный 9 2" xfId="30082"/>
    <cellStyle name="Заголовок 1 2" xfId="30083"/>
    <cellStyle name="Заголовок 2 2" xfId="30084"/>
    <cellStyle name="Заголовок 2 2 2" xfId="30085"/>
    <cellStyle name="Заголовок 3 2" xfId="30086"/>
    <cellStyle name="Заголовок 4 2" xfId="30087"/>
    <cellStyle name="Итог 2" xfId="30088"/>
    <cellStyle name="Контрольная ячейка 2" xfId="30089"/>
    <cellStyle name="Название 2" xfId="30090"/>
    <cellStyle name="Название 3" xfId="30091"/>
    <cellStyle name="Нейтральный 2" xfId="30092"/>
    <cellStyle name="Нейтральный 3" xfId="30093"/>
    <cellStyle name="Обычный 10" xfId="30094"/>
    <cellStyle name="Обычный 10 2" xfId="30095"/>
    <cellStyle name="Обычный 10 2 2" xfId="30096"/>
    <cellStyle name="Обычный 10 2 2 2" xfId="30097"/>
    <cellStyle name="Обычный 10 2 3" xfId="30098"/>
    <cellStyle name="Обычный 10 2 3 2" xfId="30099"/>
    <cellStyle name="Обычный 10 2 4" xfId="30100"/>
    <cellStyle name="Обычный 10 2 4 2" xfId="30101"/>
    <cellStyle name="Обычный 10 3" xfId="30102"/>
    <cellStyle name="Обычный 10 3 2" xfId="30103"/>
    <cellStyle name="Обычный 10 3 2 2" xfId="30104"/>
    <cellStyle name="Обычный 10 3 3" xfId="30105"/>
    <cellStyle name="Обычный 10 4" xfId="30106"/>
    <cellStyle name="Обычный 10 4 2" xfId="30107"/>
    <cellStyle name="Обычный 10 5" xfId="30108"/>
    <cellStyle name="Обычный 10 5 2" xfId="30109"/>
    <cellStyle name="Обычный 10 6" xfId="30110"/>
    <cellStyle name="Обычный 10 6 2" xfId="30111"/>
    <cellStyle name="Обычный 11" xfId="30112"/>
    <cellStyle name="Обычный 11 2" xfId="30113"/>
    <cellStyle name="Обычный 11 2 2" xfId="30114"/>
    <cellStyle name="Обычный 11 2 2 2" xfId="30115"/>
    <cellStyle name="Обычный 11 2 3" xfId="30116"/>
    <cellStyle name="Обычный 11 2 3 2" xfId="30117"/>
    <cellStyle name="Обычный 11 2 4" xfId="30118"/>
    <cellStyle name="Обычный 11 2 4 2" xfId="30119"/>
    <cellStyle name="Обычный 11 3" xfId="30120"/>
    <cellStyle name="Обычный 11 3 2" xfId="30121"/>
    <cellStyle name="Обычный 11 3 2 2" xfId="30122"/>
    <cellStyle name="Обычный 11 3 3" xfId="30123"/>
    <cellStyle name="Обычный 11 4" xfId="30124"/>
    <cellStyle name="Обычный 11 4 2" xfId="30125"/>
    <cellStyle name="Обычный 11 5" xfId="30126"/>
    <cellStyle name="Обычный 11 5 2" xfId="30127"/>
    <cellStyle name="Обычный 11 6" xfId="30128"/>
    <cellStyle name="Обычный 11 6 2" xfId="30129"/>
    <cellStyle name="Обычный 12" xfId="30130"/>
    <cellStyle name="Обычный 12 2" xfId="30131"/>
    <cellStyle name="Обычный 12 2 2" xfId="30132"/>
    <cellStyle name="Обычный 12 2 2 2" xfId="30133"/>
    <cellStyle name="Обычный 12 2 3" xfId="30134"/>
    <cellStyle name="Обычный 12 2 3 2" xfId="30135"/>
    <cellStyle name="Обычный 12 2 4" xfId="30136"/>
    <cellStyle name="Обычный 12 2 4 2" xfId="30137"/>
    <cellStyle name="Обычный 12 3" xfId="30138"/>
    <cellStyle name="Обычный 12 3 2" xfId="30139"/>
    <cellStyle name="Обычный 12 3 2 2" xfId="30140"/>
    <cellStyle name="Обычный 12 3 3" xfId="30141"/>
    <cellStyle name="Обычный 12 4" xfId="30142"/>
    <cellStyle name="Обычный 12 4 2" xfId="30143"/>
    <cellStyle name="Обычный 12 5" xfId="30144"/>
    <cellStyle name="Обычный 12 5 2" xfId="30145"/>
    <cellStyle name="Обычный 12 6" xfId="30146"/>
    <cellStyle name="Обычный 12 6 2" xfId="30147"/>
    <cellStyle name="Обычный 13" xfId="30148"/>
    <cellStyle name="Обычный 13 2" xfId="30149"/>
    <cellStyle name="Обычный 13 2 2" xfId="30150"/>
    <cellStyle name="Обычный 13 2 2 2" xfId="30151"/>
    <cellStyle name="Обычный 13 2 3" xfId="30152"/>
    <cellStyle name="Обычный 13 2 3 2" xfId="30153"/>
    <cellStyle name="Обычный 13 2 4" xfId="30154"/>
    <cellStyle name="Обычный 13 2 4 2" xfId="30155"/>
    <cellStyle name="Обычный 13 3" xfId="30156"/>
    <cellStyle name="Обычный 13 3 2" xfId="30157"/>
    <cellStyle name="Обычный 13 3 2 2" xfId="30158"/>
    <cellStyle name="Обычный 13 3 3" xfId="30159"/>
    <cellStyle name="Обычный 13 4" xfId="30160"/>
    <cellStyle name="Обычный 13 4 2" xfId="30161"/>
    <cellStyle name="Обычный 13 5" xfId="30162"/>
    <cellStyle name="Обычный 13 5 2" xfId="30163"/>
    <cellStyle name="Обычный 13 6" xfId="30164"/>
    <cellStyle name="Обычный 13 6 2" xfId="30165"/>
    <cellStyle name="Обычный 14" xfId="30166"/>
    <cellStyle name="Обычный 14 2" xfId="30167"/>
    <cellStyle name="Обычный 14 2 2" xfId="30168"/>
    <cellStyle name="Обычный 14 2 2 2" xfId="30169"/>
    <cellStyle name="Обычный 14 2 3" xfId="30170"/>
    <cellStyle name="Обычный 14 2 3 2" xfId="30171"/>
    <cellStyle name="Обычный 14 2 4" xfId="30172"/>
    <cellStyle name="Обычный 14 2 4 2" xfId="30173"/>
    <cellStyle name="Обычный 14 3" xfId="30174"/>
    <cellStyle name="Обычный 14 3 2" xfId="30175"/>
    <cellStyle name="Обычный 14 3 2 2" xfId="30176"/>
    <cellStyle name="Обычный 14 3 3" xfId="30177"/>
    <cellStyle name="Обычный 14 4" xfId="30178"/>
    <cellStyle name="Обычный 14 4 2" xfId="30179"/>
    <cellStyle name="Обычный 14 5" xfId="30180"/>
    <cellStyle name="Обычный 14 5 2" xfId="30181"/>
    <cellStyle name="Обычный 14 6" xfId="30182"/>
    <cellStyle name="Обычный 14 6 2" xfId="30183"/>
    <cellStyle name="Обычный 15" xfId="30184"/>
    <cellStyle name="Обычный 15 2" xfId="30185"/>
    <cellStyle name="Обычный 15 2 2" xfId="30186"/>
    <cellStyle name="Обычный 15 2 2 2" xfId="30187"/>
    <cellStyle name="Обычный 15 2 3" xfId="30188"/>
    <cellStyle name="Обычный 15 2 3 2" xfId="30189"/>
    <cellStyle name="Обычный 15 2 4" xfId="30190"/>
    <cellStyle name="Обычный 15 2 4 2" xfId="30191"/>
    <cellStyle name="Обычный 15 3" xfId="30192"/>
    <cellStyle name="Обычный 15 3 2" xfId="30193"/>
    <cellStyle name="Обычный 15 3 2 2" xfId="30194"/>
    <cellStyle name="Обычный 15 3 3" xfId="30195"/>
    <cellStyle name="Обычный 15 4" xfId="30196"/>
    <cellStyle name="Обычный 15 4 2" xfId="30197"/>
    <cellStyle name="Обычный 15 5" xfId="30198"/>
    <cellStyle name="Обычный 15 5 2" xfId="30199"/>
    <cellStyle name="Обычный 15 6" xfId="30200"/>
    <cellStyle name="Обычный 15 6 2" xfId="30201"/>
    <cellStyle name="Обычный 16" xfId="30202"/>
    <cellStyle name="Обычный 16 2" xfId="30203"/>
    <cellStyle name="Обычный 16 2 2" xfId="30204"/>
    <cellStyle name="Обычный 16 2 2 2" xfId="30205"/>
    <cellStyle name="Обычный 16 2 3" xfId="30206"/>
    <cellStyle name="Обычный 16 2 3 2" xfId="30207"/>
    <cellStyle name="Обычный 16 2 4" xfId="30208"/>
    <cellStyle name="Обычный 16 2 4 2" xfId="30209"/>
    <cellStyle name="Обычный 16 3" xfId="30210"/>
    <cellStyle name="Обычный 16 3 2" xfId="30211"/>
    <cellStyle name="Обычный 16 3 2 2" xfId="30212"/>
    <cellStyle name="Обычный 16 3 3" xfId="30213"/>
    <cellStyle name="Обычный 16 4" xfId="30214"/>
    <cellStyle name="Обычный 16 4 2" xfId="30215"/>
    <cellStyle name="Обычный 16 5" xfId="30216"/>
    <cellStyle name="Обычный 16 5 2" xfId="30217"/>
    <cellStyle name="Обычный 16 6" xfId="30218"/>
    <cellStyle name="Обычный 16 6 2" xfId="30219"/>
    <cellStyle name="Обычный 17" xfId="30220"/>
    <cellStyle name="Обычный 17 2" xfId="30221"/>
    <cellStyle name="Обычный 17 2 2" xfId="30222"/>
    <cellStyle name="Обычный 17 2 2 2" xfId="30223"/>
    <cellStyle name="Обычный 17 2 3" xfId="30224"/>
    <cellStyle name="Обычный 17 2 3 2" xfId="30225"/>
    <cellStyle name="Обычный 17 2 4" xfId="30226"/>
    <cellStyle name="Обычный 17 2 4 2" xfId="30227"/>
    <cellStyle name="Обычный 17 3" xfId="30228"/>
    <cellStyle name="Обычный 17 3 2" xfId="30229"/>
    <cellStyle name="Обычный 17 3 2 2" xfId="30230"/>
    <cellStyle name="Обычный 17 3 3" xfId="30231"/>
    <cellStyle name="Обычный 17 4" xfId="30232"/>
    <cellStyle name="Обычный 17 4 2" xfId="30233"/>
    <cellStyle name="Обычный 17 5" xfId="30234"/>
    <cellStyle name="Обычный 17 5 2" xfId="30235"/>
    <cellStyle name="Обычный 17 6" xfId="30236"/>
    <cellStyle name="Обычный 17 6 2" xfId="30237"/>
    <cellStyle name="Обычный 18" xfId="30238"/>
    <cellStyle name="Обычный 18 2" xfId="30239"/>
    <cellStyle name="Обычный 18 2 2" xfId="30240"/>
    <cellStyle name="Обычный 18 2 2 2" xfId="30241"/>
    <cellStyle name="Обычный 18 2 3" xfId="30242"/>
    <cellStyle name="Обычный 18 2 3 2" xfId="30243"/>
    <cellStyle name="Обычный 18 2 4" xfId="30244"/>
    <cellStyle name="Обычный 18 2 4 2" xfId="30245"/>
    <cellStyle name="Обычный 18 3" xfId="30246"/>
    <cellStyle name="Обычный 18 3 2" xfId="30247"/>
    <cellStyle name="Обычный 18 3 2 2" xfId="30248"/>
    <cellStyle name="Обычный 18 3 3" xfId="30249"/>
    <cellStyle name="Обычный 18 4" xfId="30250"/>
    <cellStyle name="Обычный 18 4 2" xfId="30251"/>
    <cellStyle name="Обычный 18 5" xfId="30252"/>
    <cellStyle name="Обычный 18 5 2" xfId="30253"/>
    <cellStyle name="Обычный 18 6" xfId="30254"/>
    <cellStyle name="Обычный 18 6 2" xfId="30255"/>
    <cellStyle name="Обычный 19" xfId="30256"/>
    <cellStyle name="Обычный 19 2" xfId="30257"/>
    <cellStyle name="Обычный 19 2 2" xfId="30258"/>
    <cellStyle name="Обычный 19 2 2 2" xfId="30259"/>
    <cellStyle name="Обычный 19 2 3" xfId="30260"/>
    <cellStyle name="Обычный 19 2 3 2" xfId="30261"/>
    <cellStyle name="Обычный 19 2 4" xfId="30262"/>
    <cellStyle name="Обычный 19 2 4 2" xfId="30263"/>
    <cellStyle name="Обычный 19 3" xfId="30264"/>
    <cellStyle name="Обычный 19 3 2" xfId="30265"/>
    <cellStyle name="Обычный 19 3 2 2" xfId="30266"/>
    <cellStyle name="Обычный 19 3 3" xfId="30267"/>
    <cellStyle name="Обычный 19 4" xfId="30268"/>
    <cellStyle name="Обычный 19 4 2" xfId="30269"/>
    <cellStyle name="Обычный 19 5" xfId="30270"/>
    <cellStyle name="Обычный 19 5 2" xfId="30271"/>
    <cellStyle name="Обычный 19 6" xfId="30272"/>
    <cellStyle name="Обычный 19 6 2" xfId="30273"/>
    <cellStyle name="Обычный 2" xfId="30274"/>
    <cellStyle name="Обычный 2 2" xfId="30275"/>
    <cellStyle name="Обычный 2 2 2" xfId="30276"/>
    <cellStyle name="Обычный 2 2 2 2" xfId="30277"/>
    <cellStyle name="Обычный 2 2 2 3" xfId="30278"/>
    <cellStyle name="Обычный 2 2 3" xfId="30279"/>
    <cellStyle name="Обычный 2 2 3 2" xfId="30280"/>
    <cellStyle name="Обычный 2 2 4" xfId="30281"/>
    <cellStyle name="Обычный 2 2 4 2" xfId="30282"/>
    <cellStyle name="Обычный 2 2 5" xfId="30283"/>
    <cellStyle name="Обычный 2 3" xfId="30284"/>
    <cellStyle name="Обычный 2 3 2" xfId="30285"/>
    <cellStyle name="Обычный 2 3 2 2" xfId="30286"/>
    <cellStyle name="Обычный 2 3 3" xfId="30287"/>
    <cellStyle name="Обычный 2 3 4" xfId="30288"/>
    <cellStyle name="Обычный 2 4" xfId="30289"/>
    <cellStyle name="Обычный 2 4 2" xfId="30290"/>
    <cellStyle name="Обычный 2 4 3" xfId="30291"/>
    <cellStyle name="Обычный 2 5" xfId="30292"/>
    <cellStyle name="Обычный 2 5 2" xfId="30293"/>
    <cellStyle name="Обычный 2 6" xfId="30294"/>
    <cellStyle name="Обычный 2 6 2" xfId="30295"/>
    <cellStyle name="Обычный 2 7" xfId="30296"/>
    <cellStyle name="Обычный 20" xfId="30297"/>
    <cellStyle name="Обычный 20 2" xfId="30298"/>
    <cellStyle name="Обычный 20 2 2" xfId="30299"/>
    <cellStyle name="Обычный 20 2 2 2" xfId="30300"/>
    <cellStyle name="Обычный 20 2 3" xfId="30301"/>
    <cellStyle name="Обычный 20 2 3 2" xfId="30302"/>
    <cellStyle name="Обычный 20 2 4" xfId="30303"/>
    <cellStyle name="Обычный 20 2 4 2" xfId="30304"/>
    <cellStyle name="Обычный 20 3" xfId="30305"/>
    <cellStyle name="Обычный 20 3 2" xfId="30306"/>
    <cellStyle name="Обычный 20 3 2 2" xfId="30307"/>
    <cellStyle name="Обычный 20 3 3" xfId="30308"/>
    <cellStyle name="Обычный 20 4" xfId="30309"/>
    <cellStyle name="Обычный 20 4 2" xfId="30310"/>
    <cellStyle name="Обычный 20 5" xfId="30311"/>
    <cellStyle name="Обычный 20 5 2" xfId="30312"/>
    <cellStyle name="Обычный 20 6" xfId="30313"/>
    <cellStyle name="Обычный 20 6 2" xfId="30314"/>
    <cellStyle name="Обычный 21" xfId="30315"/>
    <cellStyle name="Обычный 21 2" xfId="30316"/>
    <cellStyle name="Обычный 21 2 2" xfId="30317"/>
    <cellStyle name="Обычный 21 2 2 2" xfId="30318"/>
    <cellStyle name="Обычный 21 2 2 3" xfId="30319"/>
    <cellStyle name="Обычный 21 2 3" xfId="30320"/>
    <cellStyle name="Обычный 21 2 3 2" xfId="30321"/>
    <cellStyle name="Обычный 21 2 3 3" xfId="30322"/>
    <cellStyle name="Обычный 21 2 4" xfId="30323"/>
    <cellStyle name="Обычный 21 2 4 2" xfId="30324"/>
    <cellStyle name="Обычный 21 2 5" xfId="30325"/>
    <cellStyle name="Обычный 21 2 5 2" xfId="30326"/>
    <cellStyle name="Обычный 21 2 6" xfId="30327"/>
    <cellStyle name="Обычный 21 2 7" xfId="30328"/>
    <cellStyle name="Обычный 21 3" xfId="30329"/>
    <cellStyle name="Обычный 21 3 2" xfId="30330"/>
    <cellStyle name="Обычный 21 3 2 2" xfId="30331"/>
    <cellStyle name="Обычный 21 3 2 3" xfId="30332"/>
    <cellStyle name="Обычный 21 3 3" xfId="30333"/>
    <cellStyle name="Обычный 21 3 4" xfId="30334"/>
    <cellStyle name="Обычный 21 4" xfId="30335"/>
    <cellStyle name="Обычный 21 4 2" xfId="30336"/>
    <cellStyle name="Обычный 21 4 3" xfId="30337"/>
    <cellStyle name="Обычный 21 5" xfId="30338"/>
    <cellStyle name="Обычный 21 5 2" xfId="30339"/>
    <cellStyle name="Обычный 21 5 3" xfId="30340"/>
    <cellStyle name="Обычный 21 6" xfId="30341"/>
    <cellStyle name="Обычный 21 6 2" xfId="30342"/>
    <cellStyle name="Обычный 21 7" xfId="30343"/>
    <cellStyle name="Обычный 21 7 2" xfId="30344"/>
    <cellStyle name="Обычный 21 8" xfId="30345"/>
    <cellStyle name="Обычный 21 9" xfId="30346"/>
    <cellStyle name="Обычный 22" xfId="30347"/>
    <cellStyle name="Обычный 22 2" xfId="30348"/>
    <cellStyle name="Обычный 22 2 2" xfId="30349"/>
    <cellStyle name="Обычный 22 3" xfId="30350"/>
    <cellStyle name="Обычный 22 4" xfId="30351"/>
    <cellStyle name="Обычный 23" xfId="30352"/>
    <cellStyle name="Обычный 23 2" xfId="30353"/>
    <cellStyle name="Обычный 23 2 2" xfId="30354"/>
    <cellStyle name="Обычный 23 2 2 2" xfId="30355"/>
    <cellStyle name="Обычный 23 2 2 3" xfId="30356"/>
    <cellStyle name="Обычный 23 2 3" xfId="30357"/>
    <cellStyle name="Обычный 23 3" xfId="30358"/>
    <cellStyle name="Обычный 23 3 2" xfId="30359"/>
    <cellStyle name="Обычный 23 4" xfId="30360"/>
    <cellStyle name="Обычный 24" xfId="30361"/>
    <cellStyle name="Обычный 24 2" xfId="30362"/>
    <cellStyle name="Обычный 25" xfId="30363"/>
    <cellStyle name="Обычный 25 2" xfId="30364"/>
    <cellStyle name="Обычный 25 3" xfId="30365"/>
    <cellStyle name="Обычный 26" xfId="30366"/>
    <cellStyle name="Обычный 26 2" xfId="30367"/>
    <cellStyle name="Обычный 26 3" xfId="30368"/>
    <cellStyle name="Обычный 27" xfId="30369"/>
    <cellStyle name="Обычный 27 2" xfId="30370"/>
    <cellStyle name="Обычный 27 3" xfId="30371"/>
    <cellStyle name="Обычный 28" xfId="30372"/>
    <cellStyle name="Обычный 28 2" xfId="30373"/>
    <cellStyle name="Обычный 29" xfId="30374"/>
    <cellStyle name="Обычный 3" xfId="30375"/>
    <cellStyle name="Обычный 3 2" xfId="30376"/>
    <cellStyle name="Обычный 3 2 2" xfId="30377"/>
    <cellStyle name="Обычный 3 2 3" xfId="30378"/>
    <cellStyle name="Обычный 3 2 4" xfId="30379"/>
    <cellStyle name="Обычный 3 3" xfId="30380"/>
    <cellStyle name="Обычный 3 3 2" xfId="30381"/>
    <cellStyle name="Обычный 3 3 3" xfId="30382"/>
    <cellStyle name="Обычный 3 3 4" xfId="30383"/>
    <cellStyle name="Обычный 3 4" xfId="30384"/>
    <cellStyle name="Обычный 3 4 2" xfId="30385"/>
    <cellStyle name="Обычный 3 4 3" xfId="30386"/>
    <cellStyle name="Обычный 3 4 4" xfId="30387"/>
    <cellStyle name="Обычный 3 5" xfId="30388"/>
    <cellStyle name="Обычный 3 5 2" xfId="30389"/>
    <cellStyle name="Обычный 3 6" xfId="30390"/>
    <cellStyle name="Обычный 3 7" xfId="30391"/>
    <cellStyle name="Обычный 30" xfId="30392"/>
    <cellStyle name="Обычный 31" xfId="30393"/>
    <cellStyle name="Обычный 32" xfId="30394"/>
    <cellStyle name="Обычный 33" xfId="30395"/>
    <cellStyle name="Обычный 4" xfId="30396"/>
    <cellStyle name="Обычный 4 2" xfId="30397"/>
    <cellStyle name="Обычный 4 2 2" xfId="30398"/>
    <cellStyle name="Обычный 4 2 3" xfId="30399"/>
    <cellStyle name="Обычный 4 3" xfId="30400"/>
    <cellStyle name="Обычный 4 3 2" xfId="30401"/>
    <cellStyle name="Обычный 4 4" xfId="30402"/>
    <cellStyle name="Обычный 4 4 2" xfId="30403"/>
    <cellStyle name="Обычный 5" xfId="30404"/>
    <cellStyle name="Обычный 5 2" xfId="30405"/>
    <cellStyle name="Обычный 5 2 2" xfId="30406"/>
    <cellStyle name="Обычный 5 2 2 2" xfId="30407"/>
    <cellStyle name="Обычный 5 2 3" xfId="30408"/>
    <cellStyle name="Обычный 5 2 3 2" xfId="30409"/>
    <cellStyle name="Обычный 5 2 4" xfId="30410"/>
    <cellStyle name="Обычный 5 2 4 2" xfId="30411"/>
    <cellStyle name="Обычный 5 3" xfId="30412"/>
    <cellStyle name="Обычный 5 3 2" xfId="30413"/>
    <cellStyle name="Обычный 5 3 2 2" xfId="30414"/>
    <cellStyle name="Обычный 5 3 3" xfId="30415"/>
    <cellStyle name="Обычный 5 4" xfId="30416"/>
    <cellStyle name="Обычный 5 4 2" xfId="30417"/>
    <cellStyle name="Обычный 5 5" xfId="30418"/>
    <cellStyle name="Обычный 5 5 2" xfId="30419"/>
    <cellStyle name="Обычный 5 6" xfId="30420"/>
    <cellStyle name="Обычный 5 6 2" xfId="30421"/>
    <cellStyle name="Обычный 6" xfId="30422"/>
    <cellStyle name="Обычный 6 2" xfId="30423"/>
    <cellStyle name="Обычный 6 2 2" xfId="30424"/>
    <cellStyle name="Обычный 6 2 2 2" xfId="30425"/>
    <cellStyle name="Обычный 6 2 3" xfId="30426"/>
    <cellStyle name="Обычный 6 2 3 2" xfId="30427"/>
    <cellStyle name="Обычный 6 2 4" xfId="30428"/>
    <cellStyle name="Обычный 6 2 4 2" xfId="30429"/>
    <cellStyle name="Обычный 6 3" xfId="30430"/>
    <cellStyle name="Обычный 6 3 2" xfId="30431"/>
    <cellStyle name="Обычный 6 3 2 2" xfId="30432"/>
    <cellStyle name="Обычный 6 3 3" xfId="30433"/>
    <cellStyle name="Обычный 6 4" xfId="30434"/>
    <cellStyle name="Обычный 6 4 2" xfId="30435"/>
    <cellStyle name="Обычный 6 5" xfId="30436"/>
    <cellStyle name="Обычный 6 5 2" xfId="30437"/>
    <cellStyle name="Обычный 6 6" xfId="30438"/>
    <cellStyle name="Обычный 6 6 2" xfId="30439"/>
    <cellStyle name="Обычный 7" xfId="30440"/>
    <cellStyle name="Обычный 7 2" xfId="30441"/>
    <cellStyle name="Обычный 7 2 2" xfId="30442"/>
    <cellStyle name="Обычный 7 2 2 2" xfId="30443"/>
    <cellStyle name="Обычный 7 2 3" xfId="30444"/>
    <cellStyle name="Обычный 7 2 3 2" xfId="30445"/>
    <cellStyle name="Обычный 7 2 4" xfId="30446"/>
    <cellStyle name="Обычный 7 2 4 2" xfId="30447"/>
    <cellStyle name="Обычный 7 3" xfId="30448"/>
    <cellStyle name="Обычный 7 3 2" xfId="30449"/>
    <cellStyle name="Обычный 7 3 2 2" xfId="30450"/>
    <cellStyle name="Обычный 7 3 3" xfId="30451"/>
    <cellStyle name="Обычный 7 4" xfId="30452"/>
    <cellStyle name="Обычный 7 4 2" xfId="30453"/>
    <cellStyle name="Обычный 7 5" xfId="30454"/>
    <cellStyle name="Обычный 7 5 2" xfId="30455"/>
    <cellStyle name="Обычный 7 6" xfId="30456"/>
    <cellStyle name="Обычный 7 6 2" xfId="30457"/>
    <cellStyle name="Обычный 8" xfId="30458"/>
    <cellStyle name="Обычный 8 2" xfId="30459"/>
    <cellStyle name="Обычный 8 2 2" xfId="30460"/>
    <cellStyle name="Обычный 8 2 2 2" xfId="30461"/>
    <cellStyle name="Обычный 8 2 3" xfId="30462"/>
    <cellStyle name="Обычный 8 2 3 2" xfId="30463"/>
    <cellStyle name="Обычный 8 2 4" xfId="30464"/>
    <cellStyle name="Обычный 8 2 4 2" xfId="30465"/>
    <cellStyle name="Обычный 8 3" xfId="30466"/>
    <cellStyle name="Обычный 8 3 2" xfId="30467"/>
    <cellStyle name="Обычный 8 3 2 2" xfId="30468"/>
    <cellStyle name="Обычный 8 3 3" xfId="30469"/>
    <cellStyle name="Обычный 8 4" xfId="30470"/>
    <cellStyle name="Обычный 8 4 2" xfId="30471"/>
    <cellStyle name="Обычный 8 5" xfId="30472"/>
    <cellStyle name="Обычный 8 5 2" xfId="30473"/>
    <cellStyle name="Обычный 8 6" xfId="30474"/>
    <cellStyle name="Обычный 8 6 2" xfId="30475"/>
    <cellStyle name="Обычный 9" xfId="30476"/>
    <cellStyle name="Обычный 9 2" xfId="30477"/>
    <cellStyle name="Обычный 9 2 2" xfId="30478"/>
    <cellStyle name="Обычный 9 2 2 2" xfId="30479"/>
    <cellStyle name="Обычный 9 2 3" xfId="30480"/>
    <cellStyle name="Обычный 9 2 3 2" xfId="30481"/>
    <cellStyle name="Обычный 9 2 4" xfId="30482"/>
    <cellStyle name="Обычный 9 2 4 2" xfId="30483"/>
    <cellStyle name="Обычный 9 3" xfId="30484"/>
    <cellStyle name="Обычный 9 3 2" xfId="30485"/>
    <cellStyle name="Обычный 9 3 2 2" xfId="30486"/>
    <cellStyle name="Обычный 9 3 3" xfId="30487"/>
    <cellStyle name="Обычный 9 4" xfId="30488"/>
    <cellStyle name="Обычный 9 4 2" xfId="30489"/>
    <cellStyle name="Обычный 9 5" xfId="30490"/>
    <cellStyle name="Обычный 9 5 2" xfId="30491"/>
    <cellStyle name="Обычный 9 6" xfId="30492"/>
    <cellStyle name="Обычный 9 6 2" xfId="30493"/>
    <cellStyle name="Обычный_КАМАЗ" xfId="30494"/>
    <cellStyle name="Плохой 2" xfId="30495"/>
    <cellStyle name="Пояснение 2" xfId="30496"/>
    <cellStyle name="Примечание 2" xfId="30497"/>
    <cellStyle name="Примечание 2 2" xfId="30498"/>
    <cellStyle name="Примечание 2 2 2" xfId="30499"/>
    <cellStyle name="Примечание 2 2 2 2" xfId="30500"/>
    <cellStyle name="Примечание 2 2 2 3" xfId="30501"/>
    <cellStyle name="Примечание 2 2 2 4" xfId="30502"/>
    <cellStyle name="Примечание 2 2 2 5" xfId="30503"/>
    <cellStyle name="Примечание 2 2 2 6" xfId="30504"/>
    <cellStyle name="Примечание 2 2 3" xfId="30505"/>
    <cellStyle name="Примечание 2 2 4" xfId="30506"/>
    <cellStyle name="Примечание 2 2 5" xfId="30507"/>
    <cellStyle name="Примечание 2 2 6" xfId="30508"/>
    <cellStyle name="Примечание 2 2 7" xfId="30509"/>
    <cellStyle name="Примечание 2 2 8" xfId="30510"/>
    <cellStyle name="Примечание 2 3" xfId="30511"/>
    <cellStyle name="Примечание 2 3 2" xfId="30512"/>
    <cellStyle name="Примечание 2 3 3" xfId="30513"/>
    <cellStyle name="Примечание 2 3 4" xfId="30514"/>
    <cellStyle name="Примечание 2 3 5" xfId="30515"/>
    <cellStyle name="Примечание 2 3 6" xfId="30516"/>
    <cellStyle name="Примечание 2 4" xfId="30517"/>
    <cellStyle name="Примечание 2 5" xfId="30518"/>
    <cellStyle name="Примечание 2 6" xfId="30519"/>
    <cellStyle name="Примечание 2 7" xfId="30520"/>
    <cellStyle name="Примечание 2 8" xfId="30521"/>
    <cellStyle name="Примечание 2 9" xfId="30522"/>
    <cellStyle name="Примечание 3" xfId="30523"/>
    <cellStyle name="Процентный 2" xfId="30524"/>
    <cellStyle name="Процентный 2 2" xfId="30525"/>
    <cellStyle name="Процентный 3" xfId="30526"/>
    <cellStyle name="Процентный 3 2" xfId="30527"/>
    <cellStyle name="Процентный 4" xfId="30528"/>
    <cellStyle name="Процентный 5" xfId="30529"/>
    <cellStyle name="Процентный 6" xfId="30530"/>
    <cellStyle name="Связанная ячейка 2" xfId="30531"/>
    <cellStyle name="Стиль 1" xfId="30532"/>
    <cellStyle name="Стиль 1 2" xfId="30533"/>
    <cellStyle name="Стиль 1 3" xfId="30534"/>
    <cellStyle name="Стиль 1 4" xfId="30535"/>
    <cellStyle name="Текст предупреждения 2" xfId="30536"/>
    <cellStyle name="Тысячи [0]_ UPL-98 Cherk" xfId="30537"/>
    <cellStyle name="Тысячи_ UPL-98 Cherk" xfId="30538"/>
    <cellStyle name="Финансовый 10" xfId="30539"/>
    <cellStyle name="Финансовый 10 2" xfId="30540"/>
    <cellStyle name="Финансовый 11" xfId="30541"/>
    <cellStyle name="Финансовый 11 2" xfId="30542"/>
    <cellStyle name="Финансовый 12" xfId="30543"/>
    <cellStyle name="Финансовый 12 2" xfId="30544"/>
    <cellStyle name="Финансовый 13" xfId="30545"/>
    <cellStyle name="Финансовый 2" xfId="30546"/>
    <cellStyle name="Финансовый 2 2" xfId="30547"/>
    <cellStyle name="Финансовый 2 2 2" xfId="30548"/>
    <cellStyle name="Финансовый 2 2 3" xfId="30549"/>
    <cellStyle name="Финансовый 2 3" xfId="30550"/>
    <cellStyle name="Финансовый 2 3 2" xfId="30551"/>
    <cellStyle name="Финансовый 2 4" xfId="30552"/>
    <cellStyle name="Финансовый 2 4 2" xfId="30553"/>
    <cellStyle name="Финансовый 3" xfId="30554"/>
    <cellStyle name="Финансовый 3 2" xfId="30555"/>
    <cellStyle name="Финансовый 3 2 2" xfId="30556"/>
    <cellStyle name="Финансовый 3 2 2 2" xfId="30557"/>
    <cellStyle name="Финансовый 3 2 3" xfId="30558"/>
    <cellStyle name="Финансовый 3 2 3 2" xfId="30559"/>
    <cellStyle name="Финансовый 3 2 4" xfId="30560"/>
    <cellStyle name="Финансовый 3 2 4 2" xfId="30561"/>
    <cellStyle name="Финансовый 3 3" xfId="30562"/>
    <cellStyle name="Финансовый 3 3 2" xfId="30563"/>
    <cellStyle name="Финансовый 3 3 2 2" xfId="30564"/>
    <cellStyle name="Финансовый 3 3 3" xfId="30565"/>
    <cellStyle name="Финансовый 3 4" xfId="30566"/>
    <cellStyle name="Финансовый 3 4 2" xfId="30567"/>
    <cellStyle name="Финансовый 3 5" xfId="30568"/>
    <cellStyle name="Финансовый 3 5 2" xfId="30569"/>
    <cellStyle name="Финансовый 3 6" xfId="30570"/>
    <cellStyle name="Финансовый 3 6 2" xfId="30571"/>
    <cellStyle name="Финансовый 4" xfId="30572"/>
    <cellStyle name="Финансовый 4 2" xfId="30573"/>
    <cellStyle name="Финансовый 4 2 2" xfId="30574"/>
    <cellStyle name="Финансовый 4 2 2 2" xfId="30575"/>
    <cellStyle name="Финансовый 4 2 2 2 2" xfId="30576"/>
    <cellStyle name="Финансовый 4 2 2 3" xfId="30577"/>
    <cellStyle name="Финансовый 4 2 2 4" xfId="30578"/>
    <cellStyle name="Финансовый 4 2 2 5" xfId="30579"/>
    <cellStyle name="Финансовый 4 2 2 6" xfId="30580"/>
    <cellStyle name="Финансовый 4 2 3" xfId="30581"/>
    <cellStyle name="Финансовый 4 2 3 2" xfId="30582"/>
    <cellStyle name="Финансовый 4 2 4" xfId="30583"/>
    <cellStyle name="Финансовый 4 2 5" xfId="30584"/>
    <cellStyle name="Финансовый 4 2 6" xfId="30585"/>
    <cellStyle name="Финансовый 4 2 7" xfId="30586"/>
    <cellStyle name="Финансовый 4 3" xfId="30587"/>
    <cellStyle name="Финансовый 4 3 2" xfId="30588"/>
    <cellStyle name="Финансовый 4 3 2 2" xfId="30589"/>
    <cellStyle name="Финансовый 4 3 3" xfId="30590"/>
    <cellStyle name="Финансовый 4 3 4" xfId="30591"/>
    <cellStyle name="Финансовый 4 3 5" xfId="30592"/>
    <cellStyle name="Финансовый 4 3 6" xfId="30593"/>
    <cellStyle name="Финансовый 4 4" xfId="30594"/>
    <cellStyle name="Финансовый 4 4 2" xfId="30595"/>
    <cellStyle name="Финансовый 4 4 3" xfId="30596"/>
    <cellStyle name="Финансовый 4 4 4" xfId="30597"/>
    <cellStyle name="Финансовый 4 4 5" xfId="30598"/>
    <cellStyle name="Финансовый 4 5" xfId="30599"/>
    <cellStyle name="Финансовый 4 5 2" xfId="30600"/>
    <cellStyle name="Финансовый 4 5 3" xfId="30601"/>
    <cellStyle name="Финансовый 4 6" xfId="30602"/>
    <cellStyle name="Финансовый 4 6 2" xfId="30603"/>
    <cellStyle name="Финансовый 4 6 3" xfId="30604"/>
    <cellStyle name="Финансовый 4 7" xfId="30605"/>
    <cellStyle name="Финансовый 4 7 2" xfId="30606"/>
    <cellStyle name="Финансовый 4 8" xfId="30607"/>
    <cellStyle name="Финансовый 4 9" xfId="30608"/>
    <cellStyle name="Финансовый 5" xfId="30609"/>
    <cellStyle name="Финансовый 5 2" xfId="30610"/>
    <cellStyle name="Финансовый 5 2 2" xfId="30611"/>
    <cellStyle name="Финансовый 5 2 2 2" xfId="30612"/>
    <cellStyle name="Финансовый 5 2 2 2 2" xfId="30613"/>
    <cellStyle name="Финансовый 5 2 2 3" xfId="30614"/>
    <cellStyle name="Финансовый 5 2 3" xfId="30615"/>
    <cellStyle name="Финансовый 5 2 3 2" xfId="30616"/>
    <cellStyle name="Финансовый 5 2 4" xfId="30617"/>
    <cellStyle name="Финансовый 5 2 5" xfId="30618"/>
    <cellStyle name="Финансовый 5 2 6" xfId="30619"/>
    <cellStyle name="Финансовый 5 2 7" xfId="30620"/>
    <cellStyle name="Финансовый 5 3" xfId="30621"/>
    <cellStyle name="Финансовый 5 3 2" xfId="30622"/>
    <cellStyle name="Финансовый 5 3 2 2" xfId="30623"/>
    <cellStyle name="Финансовый 5 3 3" xfId="30624"/>
    <cellStyle name="Финансовый 5 3 4" xfId="30625"/>
    <cellStyle name="Финансовый 5 3 5" xfId="30626"/>
    <cellStyle name="Финансовый 5 3 6" xfId="30627"/>
    <cellStyle name="Финансовый 5 4" xfId="30628"/>
    <cellStyle name="Финансовый 5 4 2" xfId="30629"/>
    <cellStyle name="Финансовый 5 5" xfId="30630"/>
    <cellStyle name="Финансовый 5 6" xfId="30631"/>
    <cellStyle name="Финансовый 5 7" xfId="30632"/>
    <cellStyle name="Финансовый 5 8" xfId="30633"/>
    <cellStyle name="Финансовый 6" xfId="30634"/>
    <cellStyle name="Финансовый 6 2" xfId="30635"/>
    <cellStyle name="Финансовый 6 2 2" xfId="30636"/>
    <cellStyle name="Финансовый 6 2 2 2" xfId="30637"/>
    <cellStyle name="Финансовый 6 2 3" xfId="30638"/>
    <cellStyle name="Финансовый 6 2 4" xfId="30639"/>
    <cellStyle name="Финансовый 6 2 5" xfId="30640"/>
    <cellStyle name="Финансовый 6 3" xfId="30641"/>
    <cellStyle name="Финансовый 6 3 2" xfId="30642"/>
    <cellStyle name="Финансовый 6 4" xfId="30643"/>
    <cellStyle name="Финансовый 6 5" xfId="30644"/>
    <cellStyle name="Финансовый 6 6" xfId="30645"/>
    <cellStyle name="Финансовый 6 7" xfId="30646"/>
    <cellStyle name="Финансовый 7" xfId="30647"/>
    <cellStyle name="Финансовый 7 2" xfId="30648"/>
    <cellStyle name="Финансовый 7 2 2" xfId="30649"/>
    <cellStyle name="Финансовый 7 2 2 2" xfId="30650"/>
    <cellStyle name="Финансовый 7 2 3" xfId="30651"/>
    <cellStyle name="Финансовый 7 3" xfId="30652"/>
    <cellStyle name="Финансовый 7 3 2" xfId="30653"/>
    <cellStyle name="Финансовый 7 4" xfId="30654"/>
    <cellStyle name="Финансовый 7 5" xfId="30655"/>
    <cellStyle name="Финансовый 7 6" xfId="30656"/>
    <cellStyle name="Финансовый 7 7" xfId="30657"/>
    <cellStyle name="Финансовый 8" xfId="30658"/>
    <cellStyle name="Финансовый 8 2" xfId="30659"/>
    <cellStyle name="Финансовый 8 3" xfId="30660"/>
    <cellStyle name="Финансовый 8 4" xfId="30661"/>
    <cellStyle name="Финансовый 9" xfId="30662"/>
    <cellStyle name="Финансовый 9 2" xfId="30663"/>
    <cellStyle name="Хороший 2" xfId="30664"/>
    <cellStyle name=" [0.00]_ Att. 1- Cover" xfId="30665"/>
    <cellStyle name="_ Att. 1- Cover" xfId="30666"/>
    <cellStyle name="?_ Att. 1- Cover" xfId="30667"/>
    <cellStyle name="똿뗦먛귟 [0.00]_PRODUCT DETAIL Q1" xfId="30668"/>
    <cellStyle name="똿뗦먛귟_PRODUCT DETAIL Q1" xfId="30669"/>
    <cellStyle name="믅됞 [0.00]_PRODUCT DETAIL Q1" xfId="30670"/>
    <cellStyle name="믅됞_PRODUCT DETAIL Q1" xfId="30671"/>
    <cellStyle name="백분율_95" xfId="30672"/>
    <cellStyle name="뷭?_BOOKSHIP" xfId="30673"/>
    <cellStyle name="쉼표 [0]_Apr AcFc_WKI" xfId="30674"/>
    <cellStyle name="콤마 [0]_1202" xfId="30675"/>
    <cellStyle name="콤마_1202" xfId="30676"/>
    <cellStyle name="통화 [0]_1202" xfId="30677"/>
    <cellStyle name="통화_1202" xfId="30678"/>
    <cellStyle name="표준_(정보부문)월별인원계획" xfId="30679"/>
    <cellStyle name="一般_060421-1(MONON)" xfId="30680"/>
    <cellStyle name="作业量为吨" xfId="30681"/>
    <cellStyle name="千位分隔 2" xfId="30682"/>
    <cellStyle name="千位分隔 2 10" xfId="30683"/>
    <cellStyle name="千位分隔 2 10 2" xfId="30684"/>
    <cellStyle name="千位分隔 2 11" xfId="30685"/>
    <cellStyle name="千位分隔 2 12" xfId="30686"/>
    <cellStyle name="千位分隔 2 2" xfId="30687"/>
    <cellStyle name="千位分隔 2 2 10" xfId="30688"/>
    <cellStyle name="千位分隔 2 2 2" xfId="30689"/>
    <cellStyle name="千位分隔 2 2 2 2" xfId="30690"/>
    <cellStyle name="千位分隔 2 2 2 2 2" xfId="30691"/>
    <cellStyle name="千位分隔 2 2 2 2 3" xfId="30692"/>
    <cellStyle name="千位分隔 2 2 2 2 4" xfId="30693"/>
    <cellStyle name="千位分隔 2 2 2 2 4 2" xfId="30694"/>
    <cellStyle name="千位分隔 2 2 2 3" xfId="30695"/>
    <cellStyle name="千位分隔 2 2 2 3 2" xfId="30696"/>
    <cellStyle name="千位分隔 2 2 2 3 2 2" xfId="30697"/>
    <cellStyle name="千位分隔 2 2 2 4" xfId="30698"/>
    <cellStyle name="千位分隔 2 2 2 5" xfId="30699"/>
    <cellStyle name="千位分隔 2 2 2 6" xfId="30700"/>
    <cellStyle name="千位分隔 2 2 2 7" xfId="30701"/>
    <cellStyle name="千位分隔 2 2 2 7 2" xfId="30702"/>
    <cellStyle name="千位分隔 2 2 3" xfId="30703"/>
    <cellStyle name="千位分隔 2 2 3 2" xfId="30704"/>
    <cellStyle name="千位分隔 2 2 3 3" xfId="30705"/>
    <cellStyle name="千位分隔 2 2 3 4" xfId="30706"/>
    <cellStyle name="千位分隔 2 2 3 4 2" xfId="30707"/>
    <cellStyle name="千位分隔 2 2 4" xfId="30708"/>
    <cellStyle name="千位分隔 2 2 4 2" xfId="30709"/>
    <cellStyle name="千位分隔 2 2 4 2 2" xfId="30710"/>
    <cellStyle name="千位分隔 2 2 5" xfId="30711"/>
    <cellStyle name="千位分隔 2 2 5 2" xfId="30712"/>
    <cellStyle name="千位分隔 2 2 5 2 2" xfId="30713"/>
    <cellStyle name="千位分隔 2 2 6" xfId="30714"/>
    <cellStyle name="千位分隔 2 2 6 2" xfId="30715"/>
    <cellStyle name="千位分隔 2 2 6 2 2" xfId="30716"/>
    <cellStyle name="千位分隔 2 2 7" xfId="30717"/>
    <cellStyle name="千位分隔 2 2 7 2" xfId="30718"/>
    <cellStyle name="千位分隔 2 2 7 3" xfId="30719"/>
    <cellStyle name="千位分隔 2 2 8" xfId="30720"/>
    <cellStyle name="千位分隔 2 2 8 2" xfId="30721"/>
    <cellStyle name="千位分隔 2 2 8 3" xfId="30722"/>
    <cellStyle name="千位分隔 2 2 9" xfId="30723"/>
    <cellStyle name="千位分隔 2 3" xfId="30724"/>
    <cellStyle name="千位分隔 2 3 2" xfId="30725"/>
    <cellStyle name="千位分隔 2 3 2 2" xfId="30726"/>
    <cellStyle name="千位分隔 2 3 2 2 2" xfId="30727"/>
    <cellStyle name="千位分隔 2 3 2 2 3" xfId="30728"/>
    <cellStyle name="千位分隔 2 3 2 3" xfId="30729"/>
    <cellStyle name="千位分隔 2 3 2 4" xfId="30730"/>
    <cellStyle name="千位分隔 2 3 2 5" xfId="30731"/>
    <cellStyle name="千位分隔 2 3 2 6" xfId="30732"/>
    <cellStyle name="千位分隔 2 3 2 7" xfId="30733"/>
    <cellStyle name="千位分隔 2 3 2 7 2" xfId="30734"/>
    <cellStyle name="千位分隔 2 3 3" xfId="30735"/>
    <cellStyle name="千位分隔 2 3 3 2" xfId="30736"/>
    <cellStyle name="千位分隔 2 3 3 3" xfId="30737"/>
    <cellStyle name="千位分隔 2 3 3 4" xfId="30738"/>
    <cellStyle name="千位分隔 2 3 3 4 2" xfId="30739"/>
    <cellStyle name="千位分隔 2 3 4" xfId="30740"/>
    <cellStyle name="千位分隔 2 3 4 2" xfId="30741"/>
    <cellStyle name="千位分隔 2 3 4 2 2" xfId="30742"/>
    <cellStyle name="千位分隔 2 3 5" xfId="30743"/>
    <cellStyle name="千位分隔 2 3 5 2" xfId="30744"/>
    <cellStyle name="千位分隔 2 3 5 2 2" xfId="30745"/>
    <cellStyle name="千位分隔 2 3 5 2 3" xfId="30746"/>
    <cellStyle name="千位分隔 2 3 5 3" xfId="30747"/>
    <cellStyle name="千位分隔 2 3 5 3 2" xfId="30748"/>
    <cellStyle name="千位分隔 2 3 6" xfId="30749"/>
    <cellStyle name="千位分隔 2 3 6 2" xfId="30750"/>
    <cellStyle name="千位分隔 2 3 6 2 2" xfId="30751"/>
    <cellStyle name="千位分隔 2 3 7" xfId="30752"/>
    <cellStyle name="千位分隔 2 3 7 2" xfId="30753"/>
    <cellStyle name="千位分隔 2 3 7 3" xfId="30754"/>
    <cellStyle name="千位分隔 2 3 8" xfId="30755"/>
    <cellStyle name="千位分隔 2 3 8 2" xfId="30756"/>
    <cellStyle name="千位分隔 2 3 8 3" xfId="30757"/>
    <cellStyle name="千位分隔 2 3 9" xfId="30758"/>
    <cellStyle name="千位分隔 2 4" xfId="30759"/>
    <cellStyle name="千位分隔 2 4 2" xfId="30760"/>
    <cellStyle name="千位分隔 2 4 2 2" xfId="30761"/>
    <cellStyle name="千位分隔 2 4 2 3" xfId="30762"/>
    <cellStyle name="千位分隔 2 4 3" xfId="30763"/>
    <cellStyle name="千位分隔 2 4 4" xfId="30764"/>
    <cellStyle name="千位分隔 2 4 5" xfId="30765"/>
    <cellStyle name="千位分隔 2 4 6" xfId="30766"/>
    <cellStyle name="千位分隔 2 4 7" xfId="30767"/>
    <cellStyle name="千位分隔 2 4 7 2" xfId="30768"/>
    <cellStyle name="千位分隔 2 5" xfId="30769"/>
    <cellStyle name="千位分隔 2 5 2" xfId="30770"/>
    <cellStyle name="千位分隔 2 5 3" xfId="30771"/>
    <cellStyle name="千位分隔 2 5 4" xfId="30772"/>
    <cellStyle name="千位分隔 2 5 4 2" xfId="30773"/>
    <cellStyle name="千位分隔 2 6" xfId="30774"/>
    <cellStyle name="千位分隔 2 6 2" xfId="30775"/>
    <cellStyle name="千位分隔 2 6 2 2" xfId="30776"/>
    <cellStyle name="千位分隔 2 7" xfId="30777"/>
    <cellStyle name="千位分隔 2 7 2" xfId="30778"/>
    <cellStyle name="千位分隔 2 7 2 2" xfId="30779"/>
    <cellStyle name="千位分隔 2 8" xfId="30780"/>
    <cellStyle name="千位分隔 2 8 2" xfId="30781"/>
    <cellStyle name="千位分隔 2 8 3" xfId="30782"/>
    <cellStyle name="千位分隔 2 9" xfId="30783"/>
    <cellStyle name="千位分隔 2 9 2" xfId="30784"/>
    <cellStyle name="千位分隔 3" xfId="30785"/>
    <cellStyle name="千位分隔 3 2" xfId="30786"/>
    <cellStyle name="千位分隔 3 2 2" xfId="30787"/>
    <cellStyle name="千位分隔 3 2 2 2" xfId="30788"/>
    <cellStyle name="千位分隔 3 2 2 3" xfId="30789"/>
    <cellStyle name="千位分隔 3 2 3" xfId="30790"/>
    <cellStyle name="千位分隔 3 2 4" xfId="30791"/>
    <cellStyle name="千位分隔 3 2 5" xfId="30792"/>
    <cellStyle name="千位分隔 3 2 6" xfId="30793"/>
    <cellStyle name="千位分隔 3 3" xfId="30794"/>
    <cellStyle name="千位分隔 3 3 2" xfId="30795"/>
    <cellStyle name="千位分隔 3 3 3" xfId="30796"/>
    <cellStyle name="千位分隔 3 4" xfId="30797"/>
    <cellStyle name="千位分隔 3 5" xfId="30798"/>
    <cellStyle name="千位分隔 3 6" xfId="30799"/>
    <cellStyle name="千位分隔 3 7" xfId="30800"/>
    <cellStyle name="千位分隔[0]_061 explanation" xfId="30801"/>
    <cellStyle name="千位分隔_061 explanation" xfId="30802"/>
    <cellStyle name="千分位[0]_DrayageRevenueWorking" xfId="30803"/>
    <cellStyle name="千分位_6sigma" xfId="30804"/>
    <cellStyle name="后继超级链接_Ji Fa - SOICT Pd 023 Mgmt Report" xfId="30805"/>
    <cellStyle name="好 2" xfId="30806"/>
    <cellStyle name="好 2 10" xfId="30807"/>
    <cellStyle name="好 2 11" xfId="30808"/>
    <cellStyle name="好 2 2" xfId="30809"/>
    <cellStyle name="好 2 2 10" xfId="30810"/>
    <cellStyle name="好 2 2 11" xfId="30811"/>
    <cellStyle name="好 2 2 2" xfId="30812"/>
    <cellStyle name="好 2 2 2 2" xfId="30813"/>
    <cellStyle name="好 2 2 2 2 2" xfId="30814"/>
    <cellStyle name="好 2 2 2 2 2 2" xfId="30815"/>
    <cellStyle name="好 2 2 2 2 2 3" xfId="30816"/>
    <cellStyle name="好 2 2 2 2 2 3 2" xfId="30817"/>
    <cellStyle name="好 2 2 2 2 2 3 2 2" xfId="30818"/>
    <cellStyle name="好 2 2 2 2 2 4" xfId="30819"/>
    <cellStyle name="好 2 2 2 2 2 4 2" xfId="30820"/>
    <cellStyle name="好 2 2 2 2 3" xfId="30821"/>
    <cellStyle name="好 2 2 2 2 3 2" xfId="30822"/>
    <cellStyle name="好 2 2 2 2 3 2 2" xfId="30823"/>
    <cellStyle name="好 2 2 2 2 3 2 2 2" xfId="30824"/>
    <cellStyle name="好 2 2 2 2 3 3" xfId="30825"/>
    <cellStyle name="好 2 2 2 2 3 3 2" xfId="30826"/>
    <cellStyle name="好 2 2 2 2 4" xfId="30827"/>
    <cellStyle name="好 2 2 2 2 5" xfId="30828"/>
    <cellStyle name="好 2 2 2 2 6" xfId="30829"/>
    <cellStyle name="好 2 2 2 3" xfId="30830"/>
    <cellStyle name="好 2 2 2 3 2" xfId="30831"/>
    <cellStyle name="好 2 2 2 3 3" xfId="30832"/>
    <cellStyle name="好 2 2 2 3 3 2" xfId="30833"/>
    <cellStyle name="好 2 2 2 3 3 2 2" xfId="30834"/>
    <cellStyle name="好 2 2 2 3 4" xfId="30835"/>
    <cellStyle name="好 2 2 2 3 4 2" xfId="30836"/>
    <cellStyle name="好 2 2 2 4" xfId="30837"/>
    <cellStyle name="好 2 2 2 4 2" xfId="30838"/>
    <cellStyle name="好 2 2 2 4 2 2" xfId="30839"/>
    <cellStyle name="好 2 2 2 4 2 2 2" xfId="30840"/>
    <cellStyle name="好 2 2 2 4 3" xfId="30841"/>
    <cellStyle name="好 2 2 2 4 3 2" xfId="30842"/>
    <cellStyle name="好 2 2 2 5" xfId="30843"/>
    <cellStyle name="好 2 2 2 6" xfId="30844"/>
    <cellStyle name="好 2 2 2 7" xfId="30845"/>
    <cellStyle name="好 2 2 3" xfId="30846"/>
    <cellStyle name="好 2 2 3 2" xfId="30847"/>
    <cellStyle name="好 2 2 3 2 2" xfId="30848"/>
    <cellStyle name="好 2 2 3 2 3" xfId="30849"/>
    <cellStyle name="好 2 2 3 2 3 2" xfId="30850"/>
    <cellStyle name="好 2 2 3 2 3 2 2" xfId="30851"/>
    <cellStyle name="好 2 2 3 2 4" xfId="30852"/>
    <cellStyle name="好 2 2 3 2 4 2" xfId="30853"/>
    <cellStyle name="好 2 2 3 3" xfId="30854"/>
    <cellStyle name="好 2 2 3 3 2" xfId="30855"/>
    <cellStyle name="好 2 2 3 3 2 2" xfId="30856"/>
    <cellStyle name="好 2 2 3 3 2 2 2" xfId="30857"/>
    <cellStyle name="好 2 2 3 3 3" xfId="30858"/>
    <cellStyle name="好 2 2 3 3 3 2" xfId="30859"/>
    <cellStyle name="好 2 2 3 4" xfId="30860"/>
    <cellStyle name="好 2 2 3 5" xfId="30861"/>
    <cellStyle name="好 2 2 3 6" xfId="30862"/>
    <cellStyle name="好 2 2 4" xfId="30863"/>
    <cellStyle name="好 2 2 4 2" xfId="30864"/>
    <cellStyle name="好 2 2 4 2 2" xfId="30865"/>
    <cellStyle name="好 2 2 4 2 3" xfId="30866"/>
    <cellStyle name="好 2 2 4 2 3 2" xfId="30867"/>
    <cellStyle name="好 2 2 4 2 3 2 2" xfId="30868"/>
    <cellStyle name="好 2 2 4 2 4" xfId="30869"/>
    <cellStyle name="好 2 2 4 2 4 2" xfId="30870"/>
    <cellStyle name="好 2 2 4 3" xfId="30871"/>
    <cellStyle name="好 2 2 4 4" xfId="30872"/>
    <cellStyle name="好 2 2 4 5" xfId="30873"/>
    <cellStyle name="好 2 2 4 6" xfId="30874"/>
    <cellStyle name="好 2 2 5" xfId="30875"/>
    <cellStyle name="好 2 2 5 2" xfId="30876"/>
    <cellStyle name="好 2 2 5 2 2" xfId="30877"/>
    <cellStyle name="好 2 2 5 2 2 2" xfId="30878"/>
    <cellStyle name="好 2 2 5 2 2 2 2" xfId="30879"/>
    <cellStyle name="好 2 2 5 2 3" xfId="30880"/>
    <cellStyle name="好 2 2 5 2 3 2" xfId="30881"/>
    <cellStyle name="好 2 2 5 3" xfId="30882"/>
    <cellStyle name="好 2 2 5 3 2" xfId="30883"/>
    <cellStyle name="好 2 2 5 3 2 2" xfId="30884"/>
    <cellStyle name="好 2 2 5 4" xfId="30885"/>
    <cellStyle name="好 2 2 5 4 2" xfId="30886"/>
    <cellStyle name="好 2 2 6" xfId="30887"/>
    <cellStyle name="好 2 2 6 2" xfId="30888"/>
    <cellStyle name="好 2 2 6 2 2" xfId="30889"/>
    <cellStyle name="好 2 2 6 2 2 2" xfId="30890"/>
    <cellStyle name="好 2 2 6 2 2 2 2" xfId="30891"/>
    <cellStyle name="好 2 2 6 2 3" xfId="30892"/>
    <cellStyle name="好 2 2 6 2 3 2" xfId="30893"/>
    <cellStyle name="好 2 2 6 3" xfId="30894"/>
    <cellStyle name="好 2 2 6 3 2" xfId="30895"/>
    <cellStyle name="好 2 2 6 3 2 2" xfId="30896"/>
    <cellStyle name="好 2 2 6 4" xfId="30897"/>
    <cellStyle name="好 2 2 6 4 2" xfId="30898"/>
    <cellStyle name="好 2 2 7" xfId="30899"/>
    <cellStyle name="好 2 2 7 2" xfId="30900"/>
    <cellStyle name="好 2 2 7 2 2" xfId="30901"/>
    <cellStyle name="好 2 2 7 2 2 2" xfId="30902"/>
    <cellStyle name="好 2 2 7 2 2 2 2" xfId="30903"/>
    <cellStyle name="好 2 2 7 2 3" xfId="30904"/>
    <cellStyle name="好 2 2 7 2 3 2" xfId="30905"/>
    <cellStyle name="好 2 2 7 3" xfId="30906"/>
    <cellStyle name="好 2 2 7 3 2" xfId="30907"/>
    <cellStyle name="好 2 2 7 3 2 2" xfId="30908"/>
    <cellStyle name="好 2 2 7 4" xfId="30909"/>
    <cellStyle name="好 2 2 7 4 2" xfId="30910"/>
    <cellStyle name="好 2 2 8" xfId="30911"/>
    <cellStyle name="好 2 2 8 2" xfId="30912"/>
    <cellStyle name="好 2 2 8 2 2" xfId="30913"/>
    <cellStyle name="好 2 2 8 2 2 2" xfId="30914"/>
    <cellStyle name="好 2 2 8 3" xfId="30915"/>
    <cellStyle name="好 2 2 8 3 2" xfId="30916"/>
    <cellStyle name="好 2 2 9" xfId="30917"/>
    <cellStyle name="好 2 2 9 2" xfId="30918"/>
    <cellStyle name="好 2 2 9 2 2" xfId="30919"/>
    <cellStyle name="好 2 2 9 2 2 2" xfId="30920"/>
    <cellStyle name="好 2 2 9 3" xfId="30921"/>
    <cellStyle name="好 2 2 9 3 2" xfId="30922"/>
    <cellStyle name="好 2 3" xfId="30923"/>
    <cellStyle name="好 2 3 2" xfId="30924"/>
    <cellStyle name="好 2 3 2 2" xfId="30925"/>
    <cellStyle name="好 2 3 2 2 2" xfId="30926"/>
    <cellStyle name="好 2 3 2 2 2 2" xfId="30927"/>
    <cellStyle name="好 2 3 2 2 2 3" xfId="30928"/>
    <cellStyle name="好 2 3 2 2 2 3 2" xfId="30929"/>
    <cellStyle name="好 2 3 2 2 2 3 2 2" xfId="30930"/>
    <cellStyle name="好 2 3 2 2 2 4" xfId="30931"/>
    <cellStyle name="好 2 3 2 2 2 4 2" xfId="30932"/>
    <cellStyle name="好 2 3 2 2 3" xfId="30933"/>
    <cellStyle name="好 2 3 2 2 3 2" xfId="30934"/>
    <cellStyle name="好 2 3 2 2 3 2 2" xfId="30935"/>
    <cellStyle name="好 2 3 2 2 3 2 2 2" xfId="30936"/>
    <cellStyle name="好 2 3 2 2 3 3" xfId="30937"/>
    <cellStyle name="好 2 3 2 2 3 3 2" xfId="30938"/>
    <cellStyle name="好 2 3 2 2 4" xfId="30939"/>
    <cellStyle name="好 2 3 2 2 5" xfId="30940"/>
    <cellStyle name="好 2 3 2 2 6" xfId="30941"/>
    <cellStyle name="好 2 3 2 3" xfId="30942"/>
    <cellStyle name="好 2 3 2 3 2" xfId="30943"/>
    <cellStyle name="好 2 3 2 3 3" xfId="30944"/>
    <cellStyle name="好 2 3 2 3 3 2" xfId="30945"/>
    <cellStyle name="好 2 3 2 3 3 2 2" xfId="30946"/>
    <cellStyle name="好 2 3 2 3 4" xfId="30947"/>
    <cellStyle name="好 2 3 2 3 4 2" xfId="30948"/>
    <cellStyle name="好 2 3 2 4" xfId="30949"/>
    <cellStyle name="好 2 3 2 4 2" xfId="30950"/>
    <cellStyle name="好 2 3 2 4 2 2" xfId="30951"/>
    <cellStyle name="好 2 3 2 4 2 2 2" xfId="30952"/>
    <cellStyle name="好 2 3 2 4 3" xfId="30953"/>
    <cellStyle name="好 2 3 2 4 3 2" xfId="30954"/>
    <cellStyle name="好 2 3 2 5" xfId="30955"/>
    <cellStyle name="好 2 3 2 6" xfId="30956"/>
    <cellStyle name="好 2 3 2 7" xfId="30957"/>
    <cellStyle name="好 2 3 3" xfId="30958"/>
    <cellStyle name="好 2 3 3 2" xfId="30959"/>
    <cellStyle name="好 2 3 3 2 2" xfId="30960"/>
    <cellStyle name="好 2 3 3 2 3" xfId="30961"/>
    <cellStyle name="好 2 3 3 2 3 2" xfId="30962"/>
    <cellStyle name="好 2 3 3 2 3 2 2" xfId="30963"/>
    <cellStyle name="好 2 3 3 2 4" xfId="30964"/>
    <cellStyle name="好 2 3 3 2 4 2" xfId="30965"/>
    <cellStyle name="好 2 3 3 3" xfId="30966"/>
    <cellStyle name="好 2 3 3 3 2" xfId="30967"/>
    <cellStyle name="好 2 3 3 3 2 2" xfId="30968"/>
    <cellStyle name="好 2 3 3 3 2 2 2" xfId="30969"/>
    <cellStyle name="好 2 3 3 3 3" xfId="30970"/>
    <cellStyle name="好 2 3 3 3 3 2" xfId="30971"/>
    <cellStyle name="好 2 3 3 4" xfId="30972"/>
    <cellStyle name="好 2 3 3 5" xfId="30973"/>
    <cellStyle name="好 2 3 3 6" xfId="30974"/>
    <cellStyle name="好 2 3 4" xfId="30975"/>
    <cellStyle name="好 2 3 4 2" xfId="30976"/>
    <cellStyle name="好 2 3 4 2 2" xfId="30977"/>
    <cellStyle name="好 2 3 4 2 3" xfId="30978"/>
    <cellStyle name="好 2 3 4 2 3 2" xfId="30979"/>
    <cellStyle name="好 2 3 4 2 3 2 2" xfId="30980"/>
    <cellStyle name="好 2 3 4 2 4" xfId="30981"/>
    <cellStyle name="好 2 3 4 2 4 2" xfId="30982"/>
    <cellStyle name="好 2 3 4 3" xfId="30983"/>
    <cellStyle name="好 2 3 4 4" xfId="30984"/>
    <cellStyle name="好 2 3 4 5" xfId="30985"/>
    <cellStyle name="好 2 3 4 6" xfId="30986"/>
    <cellStyle name="好 2 3 5" xfId="30987"/>
    <cellStyle name="好 2 3 5 2" xfId="30988"/>
    <cellStyle name="好 2 3 5 2 2" xfId="30989"/>
    <cellStyle name="好 2 3 5 2 2 2" xfId="30990"/>
    <cellStyle name="好 2 3 5 2 2 2 2" xfId="30991"/>
    <cellStyle name="好 2 3 5 2 3" xfId="30992"/>
    <cellStyle name="好 2 3 5 2 3 2" xfId="30993"/>
    <cellStyle name="好 2 3 5 3" xfId="30994"/>
    <cellStyle name="好 2 3 5 3 2" xfId="30995"/>
    <cellStyle name="好 2 3 5 3 2 2" xfId="30996"/>
    <cellStyle name="好 2 3 5 4" xfId="30997"/>
    <cellStyle name="好 2 3 5 4 2" xfId="30998"/>
    <cellStyle name="好 2 3 6" xfId="30999"/>
    <cellStyle name="好 2 3 6 2" xfId="31000"/>
    <cellStyle name="好 2 3 6 2 2" xfId="31001"/>
    <cellStyle name="好 2 3 6 2 2 2" xfId="31002"/>
    <cellStyle name="好 2 3 6 3" xfId="31003"/>
    <cellStyle name="好 2 3 6 3 2" xfId="31004"/>
    <cellStyle name="好 2 3 7" xfId="31005"/>
    <cellStyle name="好 2 3 7 2" xfId="31006"/>
    <cellStyle name="好 2 3 7 2 2" xfId="31007"/>
    <cellStyle name="好 2 3 7 2 2 2" xfId="31008"/>
    <cellStyle name="好 2 3 7 3" xfId="31009"/>
    <cellStyle name="好 2 3 7 3 2" xfId="31010"/>
    <cellStyle name="好 2 3 8" xfId="31011"/>
    <cellStyle name="好 2 3 9" xfId="31012"/>
    <cellStyle name="好 2 4" xfId="31013"/>
    <cellStyle name="好 2 4 2" xfId="31014"/>
    <cellStyle name="好 2 4 2 2" xfId="31015"/>
    <cellStyle name="好 2 4 2 3" xfId="31016"/>
    <cellStyle name="好 2 4 2 3 2" xfId="31017"/>
    <cellStyle name="好 2 4 2 3 2 2" xfId="31018"/>
    <cellStyle name="好 2 4 2 4" xfId="31019"/>
    <cellStyle name="好 2 4 2 4 2" xfId="31020"/>
    <cellStyle name="好 2 4 3" xfId="31021"/>
    <cellStyle name="好 2 4 3 2" xfId="31022"/>
    <cellStyle name="好 2 4 3 2 2" xfId="31023"/>
    <cellStyle name="好 2 4 3 2 2 2" xfId="31024"/>
    <cellStyle name="好 2 4 3 3" xfId="31025"/>
    <cellStyle name="好 2 4 3 3 2" xfId="31026"/>
    <cellStyle name="好 2 4 4" xfId="31027"/>
    <cellStyle name="好 2 4 5" xfId="31028"/>
    <cellStyle name="好 2 4 6" xfId="31029"/>
    <cellStyle name="好 2 5" xfId="31030"/>
    <cellStyle name="好 2 5 2" xfId="31031"/>
    <cellStyle name="好 2 5 2 2" xfId="31032"/>
    <cellStyle name="好 2 5 2 3" xfId="31033"/>
    <cellStyle name="好 2 5 2 3 2" xfId="31034"/>
    <cellStyle name="好 2 5 2 3 2 2" xfId="31035"/>
    <cellStyle name="好 2 5 2 4" xfId="31036"/>
    <cellStyle name="好 2 5 2 4 2" xfId="31037"/>
    <cellStyle name="好 2 5 3" xfId="31038"/>
    <cellStyle name="好 2 5 4" xfId="31039"/>
    <cellStyle name="好 2 5 5" xfId="31040"/>
    <cellStyle name="好 2 5 6" xfId="31041"/>
    <cellStyle name="好 2 6" xfId="31042"/>
    <cellStyle name="好 2 6 2" xfId="31043"/>
    <cellStyle name="好 2 6 2 2" xfId="31044"/>
    <cellStyle name="好 2 6 2 2 2" xfId="31045"/>
    <cellStyle name="好 2 6 2 2 2 2" xfId="31046"/>
    <cellStyle name="好 2 6 2 3" xfId="31047"/>
    <cellStyle name="好 2 6 2 3 2" xfId="31048"/>
    <cellStyle name="好 2 6 3" xfId="31049"/>
    <cellStyle name="好 2 6 3 2" xfId="31050"/>
    <cellStyle name="好 2 6 3 2 2" xfId="31051"/>
    <cellStyle name="好 2 6 4" xfId="31052"/>
    <cellStyle name="好 2 6 4 2" xfId="31053"/>
    <cellStyle name="好 2 7" xfId="31054"/>
    <cellStyle name="好 2 7 2" xfId="31055"/>
    <cellStyle name="好 2 7 2 2" xfId="31056"/>
    <cellStyle name="好 2 7 2 2 2" xfId="31057"/>
    <cellStyle name="好 2 7 2 2 2 2" xfId="31058"/>
    <cellStyle name="好 2 7 2 3" xfId="31059"/>
    <cellStyle name="好 2 7 2 3 2" xfId="31060"/>
    <cellStyle name="好 2 7 3" xfId="31061"/>
    <cellStyle name="好 2 7 3 2" xfId="31062"/>
    <cellStyle name="好 2 7 3 2 2" xfId="31063"/>
    <cellStyle name="好 2 7 4" xfId="31064"/>
    <cellStyle name="好 2 7 4 2" xfId="31065"/>
    <cellStyle name="好 2 8" xfId="31066"/>
    <cellStyle name="好 2 8 2" xfId="31067"/>
    <cellStyle name="好 2 8 2 2" xfId="31068"/>
    <cellStyle name="好 2 8 2 2 2" xfId="31069"/>
    <cellStyle name="好 2 8 2 2 2 2" xfId="31070"/>
    <cellStyle name="好 2 8 2 3" xfId="31071"/>
    <cellStyle name="好 2 8 2 3 2" xfId="31072"/>
    <cellStyle name="好 2 8 3" xfId="31073"/>
    <cellStyle name="好 2 8 3 2" xfId="31074"/>
    <cellStyle name="好 2 8 3 2 2" xfId="31075"/>
    <cellStyle name="好 2 8 4" xfId="31076"/>
    <cellStyle name="好 2 8 4 2" xfId="31077"/>
    <cellStyle name="好 2 9" xfId="31078"/>
    <cellStyle name="好 2 9 2" xfId="31079"/>
    <cellStyle name="好 2 9 2 2" xfId="31080"/>
    <cellStyle name="好 2 9 2 2 2" xfId="31081"/>
    <cellStyle name="好 2 9 3" xfId="31082"/>
    <cellStyle name="好 2 9 3 2" xfId="31083"/>
    <cellStyle name="好 3" xfId="31084"/>
    <cellStyle name="好 3 2" xfId="31085"/>
    <cellStyle name="好 3 2 2" xfId="31086"/>
    <cellStyle name="好 3 2 2 2" xfId="31087"/>
    <cellStyle name="好 3 2 2 2 2" xfId="31088"/>
    <cellStyle name="好 3 2 2 2 3" xfId="31089"/>
    <cellStyle name="好 3 2 2 2 3 2" xfId="31090"/>
    <cellStyle name="好 3 2 2 2 3 2 2" xfId="31091"/>
    <cellStyle name="好 3 2 2 2 4" xfId="31092"/>
    <cellStyle name="好 3 2 2 2 4 2" xfId="31093"/>
    <cellStyle name="好 3 2 2 3" xfId="31094"/>
    <cellStyle name="好 3 2 2 3 2" xfId="31095"/>
    <cellStyle name="好 3 2 2 3 2 2" xfId="31096"/>
    <cellStyle name="好 3 2 2 3 2 2 2" xfId="31097"/>
    <cellStyle name="好 3 2 2 3 3" xfId="31098"/>
    <cellStyle name="好 3 2 2 3 3 2" xfId="31099"/>
    <cellStyle name="好 3 2 2 4" xfId="31100"/>
    <cellStyle name="好 3 2 2 5" xfId="31101"/>
    <cellStyle name="好 3 2 2 6" xfId="31102"/>
    <cellStyle name="好 3 2 3" xfId="31103"/>
    <cellStyle name="好 3 2 3 2" xfId="31104"/>
    <cellStyle name="好 3 2 3 3" xfId="31105"/>
    <cellStyle name="好 3 2 3 3 2" xfId="31106"/>
    <cellStyle name="好 3 2 3 3 2 2" xfId="31107"/>
    <cellStyle name="好 3 2 3 4" xfId="31108"/>
    <cellStyle name="好 3 2 3 4 2" xfId="31109"/>
    <cellStyle name="好 3 2 4" xfId="31110"/>
    <cellStyle name="好 3 2 4 2" xfId="31111"/>
    <cellStyle name="好 3 2 4 2 2" xfId="31112"/>
    <cellStyle name="好 3 2 4 2 2 2" xfId="31113"/>
    <cellStyle name="好 3 2 4 3" xfId="31114"/>
    <cellStyle name="好 3 2 4 3 2" xfId="31115"/>
    <cellStyle name="好 3 2 5" xfId="31116"/>
    <cellStyle name="好 3 2 6" xfId="31117"/>
    <cellStyle name="好 3 2 7" xfId="31118"/>
    <cellStyle name="好 3 3" xfId="31119"/>
    <cellStyle name="好 3 3 2" xfId="31120"/>
    <cellStyle name="好 3 3 2 2" xfId="31121"/>
    <cellStyle name="好 3 3 2 3" xfId="31122"/>
    <cellStyle name="好 3 3 2 3 2" xfId="31123"/>
    <cellStyle name="好 3 3 2 3 2 2" xfId="31124"/>
    <cellStyle name="好 3 3 2 4" xfId="31125"/>
    <cellStyle name="好 3 3 2 4 2" xfId="31126"/>
    <cellStyle name="好 3 3 3" xfId="31127"/>
    <cellStyle name="好 3 3 3 2" xfId="31128"/>
    <cellStyle name="好 3 3 3 2 2" xfId="31129"/>
    <cellStyle name="好 3 3 3 2 2 2" xfId="31130"/>
    <cellStyle name="好 3 3 3 3" xfId="31131"/>
    <cellStyle name="好 3 3 3 3 2" xfId="31132"/>
    <cellStyle name="好 3 3 4" xfId="31133"/>
    <cellStyle name="好 3 3 5" xfId="31134"/>
    <cellStyle name="好 3 3 6" xfId="31135"/>
    <cellStyle name="好 3 4" xfId="31136"/>
    <cellStyle name="好 3 4 2" xfId="31137"/>
    <cellStyle name="好 3 4 2 2" xfId="31138"/>
    <cellStyle name="好 3 4 2 3" xfId="31139"/>
    <cellStyle name="好 3 4 2 3 2" xfId="31140"/>
    <cellStyle name="好 3 4 2 3 2 2" xfId="31141"/>
    <cellStyle name="好 3 4 2 4" xfId="31142"/>
    <cellStyle name="好 3 4 2 4 2" xfId="31143"/>
    <cellStyle name="好 3 4 3" xfId="31144"/>
    <cellStyle name="好 3 4 4" xfId="31145"/>
    <cellStyle name="好 3 4 5" xfId="31146"/>
    <cellStyle name="好 3 4 6" xfId="31147"/>
    <cellStyle name="好 3 5" xfId="31148"/>
    <cellStyle name="好 3 5 2" xfId="31149"/>
    <cellStyle name="好 3 5 2 2" xfId="31150"/>
    <cellStyle name="好 3 5 2 2 2" xfId="31151"/>
    <cellStyle name="好 3 5 2 2 2 2" xfId="31152"/>
    <cellStyle name="好 3 5 2 3" xfId="31153"/>
    <cellStyle name="好 3 5 2 3 2" xfId="31154"/>
    <cellStyle name="好 3 5 3" xfId="31155"/>
    <cellStyle name="好 3 5 3 2" xfId="31156"/>
    <cellStyle name="好 3 5 3 2 2" xfId="31157"/>
    <cellStyle name="好 3 5 4" xfId="31158"/>
    <cellStyle name="好 3 5 4 2" xfId="31159"/>
    <cellStyle name="好 3 6" xfId="31160"/>
    <cellStyle name="好 3 6 2" xfId="31161"/>
    <cellStyle name="好 3 6 2 2" xfId="31162"/>
    <cellStyle name="好 3 6 2 2 2" xfId="31163"/>
    <cellStyle name="好 3 6 3" xfId="31164"/>
    <cellStyle name="好 3 6 3 2" xfId="31165"/>
    <cellStyle name="好 3 7" xfId="31166"/>
    <cellStyle name="好 3 8" xfId="31167"/>
    <cellStyle name="好_报关单" xfId="31168"/>
    <cellStyle name="好_报关单 2" xfId="31169"/>
    <cellStyle name="好_报关单 3" xfId="31170"/>
    <cellStyle name="差 2" xfId="31171"/>
    <cellStyle name="差 2 10" xfId="31172"/>
    <cellStyle name="差 2 11" xfId="31173"/>
    <cellStyle name="差 2 2" xfId="31174"/>
    <cellStyle name="差 2 2 10" xfId="31175"/>
    <cellStyle name="差 2 2 11" xfId="31176"/>
    <cellStyle name="差 2 2 2" xfId="31177"/>
    <cellStyle name="差 2 2 2 2" xfId="31178"/>
    <cellStyle name="差 2 2 2 2 2" xfId="31179"/>
    <cellStyle name="差 2 2 2 2 2 2" xfId="31180"/>
    <cellStyle name="差 2 2 2 2 2 3" xfId="31181"/>
    <cellStyle name="差 2 2 2 2 2 3 2" xfId="31182"/>
    <cellStyle name="差 2 2 2 2 2 3 2 2" xfId="31183"/>
    <cellStyle name="差 2 2 2 2 2 4" xfId="31184"/>
    <cellStyle name="差 2 2 2 2 2 4 2" xfId="31185"/>
    <cellStyle name="差 2 2 2 2 3" xfId="31186"/>
    <cellStyle name="差 2 2 2 2 3 2" xfId="31187"/>
    <cellStyle name="差 2 2 2 2 3 2 2" xfId="31188"/>
    <cellStyle name="差 2 2 2 2 3 2 2 2" xfId="31189"/>
    <cellStyle name="差 2 2 2 2 3 3" xfId="31190"/>
    <cellStyle name="差 2 2 2 2 3 3 2" xfId="31191"/>
    <cellStyle name="差 2 2 2 2 4" xfId="31192"/>
    <cellStyle name="差 2 2 2 2 5" xfId="31193"/>
    <cellStyle name="差 2 2 2 2 6" xfId="31194"/>
    <cellStyle name="差 2 2 2 3" xfId="31195"/>
    <cellStyle name="差 2 2 2 3 2" xfId="31196"/>
    <cellStyle name="差 2 2 2 3 3" xfId="31197"/>
    <cellStyle name="差 2 2 2 3 3 2" xfId="31198"/>
    <cellStyle name="差 2 2 2 3 3 2 2" xfId="31199"/>
    <cellStyle name="差 2 2 2 3 4" xfId="31200"/>
    <cellStyle name="差 2 2 2 3 4 2" xfId="31201"/>
    <cellStyle name="差 2 2 2 4" xfId="31202"/>
    <cellStyle name="差 2 2 2 4 2" xfId="31203"/>
    <cellStyle name="差 2 2 2 4 2 2" xfId="31204"/>
    <cellStyle name="差 2 2 2 4 2 2 2" xfId="31205"/>
    <cellStyle name="差 2 2 2 4 3" xfId="31206"/>
    <cellStyle name="差 2 2 2 4 3 2" xfId="31207"/>
    <cellStyle name="差 2 2 2 5" xfId="31208"/>
    <cellStyle name="差 2 2 2 6" xfId="31209"/>
    <cellStyle name="差 2 2 2 7" xfId="31210"/>
    <cellStyle name="差 2 2 3" xfId="31211"/>
    <cellStyle name="差 2 2 3 2" xfId="31212"/>
    <cellStyle name="差 2 2 3 2 2" xfId="31213"/>
    <cellStyle name="差 2 2 3 2 3" xfId="31214"/>
    <cellStyle name="差 2 2 3 2 3 2" xfId="31215"/>
    <cellStyle name="差 2 2 3 2 3 2 2" xfId="31216"/>
    <cellStyle name="差 2 2 3 2 4" xfId="31217"/>
    <cellStyle name="差 2 2 3 2 4 2" xfId="31218"/>
    <cellStyle name="差 2 2 3 3" xfId="31219"/>
    <cellStyle name="差 2 2 3 3 2" xfId="31220"/>
    <cellStyle name="差 2 2 3 3 2 2" xfId="31221"/>
    <cellStyle name="差 2 2 3 3 2 2 2" xfId="31222"/>
    <cellStyle name="差 2 2 3 3 3" xfId="31223"/>
    <cellStyle name="差 2 2 3 3 3 2" xfId="31224"/>
    <cellStyle name="差 2 2 3 4" xfId="31225"/>
    <cellStyle name="差 2 2 3 5" xfId="31226"/>
    <cellStyle name="差 2 2 3 6" xfId="31227"/>
    <cellStyle name="差 2 2 4" xfId="31228"/>
    <cellStyle name="差 2 2 4 2" xfId="31229"/>
    <cellStyle name="差 2 2 4 2 2" xfId="31230"/>
    <cellStyle name="差 2 2 4 2 3" xfId="31231"/>
    <cellStyle name="差 2 2 4 2 3 2" xfId="31232"/>
    <cellStyle name="差 2 2 4 2 3 2 2" xfId="31233"/>
    <cellStyle name="差 2 2 4 2 4" xfId="31234"/>
    <cellStyle name="差 2 2 4 2 4 2" xfId="31235"/>
    <cellStyle name="差 2 2 4 3" xfId="31236"/>
    <cellStyle name="差 2 2 4 4" xfId="31237"/>
    <cellStyle name="差 2 2 4 5" xfId="31238"/>
    <cellStyle name="差 2 2 4 6" xfId="31239"/>
    <cellStyle name="差 2 2 5" xfId="31240"/>
    <cellStyle name="差 2 2 5 2" xfId="31241"/>
    <cellStyle name="差 2 2 5 2 2" xfId="31242"/>
    <cellStyle name="差 2 2 5 2 2 2" xfId="31243"/>
    <cellStyle name="差 2 2 5 2 2 2 2" xfId="31244"/>
    <cellStyle name="差 2 2 5 2 3" xfId="31245"/>
    <cellStyle name="差 2 2 5 2 3 2" xfId="31246"/>
    <cellStyle name="差 2 2 5 3" xfId="31247"/>
    <cellStyle name="差 2 2 5 3 2" xfId="31248"/>
    <cellStyle name="差 2 2 5 3 2 2" xfId="31249"/>
    <cellStyle name="差 2 2 5 4" xfId="31250"/>
    <cellStyle name="差 2 2 5 4 2" xfId="31251"/>
    <cellStyle name="差 2 2 6" xfId="31252"/>
    <cellStyle name="差 2 2 6 2" xfId="31253"/>
    <cellStyle name="差 2 2 6 2 2" xfId="31254"/>
    <cellStyle name="差 2 2 6 2 2 2" xfId="31255"/>
    <cellStyle name="差 2 2 6 2 2 2 2" xfId="31256"/>
    <cellStyle name="差 2 2 6 2 3" xfId="31257"/>
    <cellStyle name="差 2 2 6 2 3 2" xfId="31258"/>
    <cellStyle name="差 2 2 6 3" xfId="31259"/>
    <cellStyle name="差 2 2 6 3 2" xfId="31260"/>
    <cellStyle name="差 2 2 6 3 2 2" xfId="31261"/>
    <cellStyle name="差 2 2 6 4" xfId="31262"/>
    <cellStyle name="差 2 2 6 4 2" xfId="31263"/>
    <cellStyle name="差 2 2 7" xfId="31264"/>
    <cellStyle name="差 2 2 7 2" xfId="31265"/>
    <cellStyle name="差 2 2 7 2 2" xfId="31266"/>
    <cellStyle name="差 2 2 7 2 2 2" xfId="31267"/>
    <cellStyle name="差 2 2 7 2 2 2 2" xfId="31268"/>
    <cellStyle name="差 2 2 7 2 3" xfId="31269"/>
    <cellStyle name="差 2 2 7 2 3 2" xfId="31270"/>
    <cellStyle name="差 2 2 7 3" xfId="31271"/>
    <cellStyle name="差 2 2 7 3 2" xfId="31272"/>
    <cellStyle name="差 2 2 7 3 2 2" xfId="31273"/>
    <cellStyle name="差 2 2 7 4" xfId="31274"/>
    <cellStyle name="差 2 2 7 4 2" xfId="31275"/>
    <cellStyle name="差 2 2 8" xfId="31276"/>
    <cellStyle name="差 2 2 8 2" xfId="31277"/>
    <cellStyle name="差 2 2 8 2 2" xfId="31278"/>
    <cellStyle name="差 2 2 8 2 2 2" xfId="31279"/>
    <cellStyle name="差 2 2 8 3" xfId="31280"/>
    <cellStyle name="差 2 2 8 3 2" xfId="31281"/>
    <cellStyle name="差 2 2 9" xfId="31282"/>
    <cellStyle name="差 2 2 9 2" xfId="31283"/>
    <cellStyle name="差 2 2 9 2 2" xfId="31284"/>
    <cellStyle name="差 2 2 9 2 2 2" xfId="31285"/>
    <cellStyle name="差 2 2 9 3" xfId="31286"/>
    <cellStyle name="差 2 2 9 3 2" xfId="31287"/>
    <cellStyle name="差 2 3" xfId="31288"/>
    <cellStyle name="差 2 3 2" xfId="31289"/>
    <cellStyle name="差 2 3 2 2" xfId="31290"/>
    <cellStyle name="差 2 3 2 2 2" xfId="31291"/>
    <cellStyle name="差 2 3 2 2 2 2" xfId="31292"/>
    <cellStyle name="差 2 3 2 2 2 3" xfId="31293"/>
    <cellStyle name="差 2 3 2 2 2 3 2" xfId="31294"/>
    <cellStyle name="差 2 3 2 2 2 3 2 2" xfId="31295"/>
    <cellStyle name="差 2 3 2 2 2 4" xfId="31296"/>
    <cellStyle name="差 2 3 2 2 2 4 2" xfId="31297"/>
    <cellStyle name="差 2 3 2 2 3" xfId="31298"/>
    <cellStyle name="差 2 3 2 2 3 2" xfId="31299"/>
    <cellStyle name="差 2 3 2 2 3 2 2" xfId="31300"/>
    <cellStyle name="差 2 3 2 2 3 2 2 2" xfId="31301"/>
    <cellStyle name="差 2 3 2 2 3 3" xfId="31302"/>
    <cellStyle name="差 2 3 2 2 3 3 2" xfId="31303"/>
    <cellStyle name="差 2 3 2 2 4" xfId="31304"/>
    <cellStyle name="差 2 3 2 2 5" xfId="31305"/>
    <cellStyle name="差 2 3 2 2 6" xfId="31306"/>
    <cellStyle name="差 2 3 2 3" xfId="31307"/>
    <cellStyle name="差 2 3 2 3 2" xfId="31308"/>
    <cellStyle name="差 2 3 2 3 3" xfId="31309"/>
    <cellStyle name="差 2 3 2 3 3 2" xfId="31310"/>
    <cellStyle name="差 2 3 2 3 3 2 2" xfId="31311"/>
    <cellStyle name="差 2 3 2 3 4" xfId="31312"/>
    <cellStyle name="差 2 3 2 3 4 2" xfId="31313"/>
    <cellStyle name="差 2 3 2 4" xfId="31314"/>
    <cellStyle name="差 2 3 2 4 2" xfId="31315"/>
    <cellStyle name="差 2 3 2 4 2 2" xfId="31316"/>
    <cellStyle name="差 2 3 2 4 2 2 2" xfId="31317"/>
    <cellStyle name="差 2 3 2 4 3" xfId="31318"/>
    <cellStyle name="差 2 3 2 4 3 2" xfId="31319"/>
    <cellStyle name="差 2 3 2 5" xfId="31320"/>
    <cellStyle name="差 2 3 2 6" xfId="31321"/>
    <cellStyle name="差 2 3 2 7" xfId="31322"/>
    <cellStyle name="差 2 3 3" xfId="31323"/>
    <cellStyle name="差 2 3 3 2" xfId="31324"/>
    <cellStyle name="差 2 3 3 2 2" xfId="31325"/>
    <cellStyle name="差 2 3 3 2 3" xfId="31326"/>
    <cellStyle name="差 2 3 3 2 3 2" xfId="31327"/>
    <cellStyle name="差 2 3 3 2 3 2 2" xfId="31328"/>
    <cellStyle name="差 2 3 3 2 4" xfId="31329"/>
    <cellStyle name="差 2 3 3 2 4 2" xfId="31330"/>
    <cellStyle name="差 2 3 3 3" xfId="31331"/>
    <cellStyle name="差 2 3 3 3 2" xfId="31332"/>
    <cellStyle name="差 2 3 3 3 2 2" xfId="31333"/>
    <cellStyle name="差 2 3 3 3 2 2 2" xfId="31334"/>
    <cellStyle name="差 2 3 3 3 3" xfId="31335"/>
    <cellStyle name="差 2 3 3 3 3 2" xfId="31336"/>
    <cellStyle name="差 2 3 3 4" xfId="31337"/>
    <cellStyle name="差 2 3 3 5" xfId="31338"/>
    <cellStyle name="差 2 3 3 6" xfId="31339"/>
    <cellStyle name="差 2 3 4" xfId="31340"/>
    <cellStyle name="差 2 3 4 2" xfId="31341"/>
    <cellStyle name="差 2 3 4 2 2" xfId="31342"/>
    <cellStyle name="差 2 3 4 2 3" xfId="31343"/>
    <cellStyle name="差 2 3 4 2 3 2" xfId="31344"/>
    <cellStyle name="差 2 3 4 2 3 2 2" xfId="31345"/>
    <cellStyle name="差 2 3 4 2 4" xfId="31346"/>
    <cellStyle name="差 2 3 4 2 4 2" xfId="31347"/>
    <cellStyle name="差 2 3 4 3" xfId="31348"/>
    <cellStyle name="差 2 3 4 4" xfId="31349"/>
    <cellStyle name="差 2 3 4 5" xfId="31350"/>
    <cellStyle name="差 2 3 4 6" xfId="31351"/>
    <cellStyle name="差 2 3 5" xfId="31352"/>
    <cellStyle name="差 2 3 5 2" xfId="31353"/>
    <cellStyle name="差 2 3 5 2 2" xfId="31354"/>
    <cellStyle name="差 2 3 5 2 2 2" xfId="31355"/>
    <cellStyle name="差 2 3 5 2 2 2 2" xfId="31356"/>
    <cellStyle name="差 2 3 5 2 3" xfId="31357"/>
    <cellStyle name="差 2 3 5 2 3 2" xfId="31358"/>
    <cellStyle name="差 2 3 5 3" xfId="31359"/>
    <cellStyle name="差 2 3 5 3 2" xfId="31360"/>
    <cellStyle name="差 2 3 5 3 2 2" xfId="31361"/>
    <cellStyle name="差 2 3 5 4" xfId="31362"/>
    <cellStyle name="差 2 3 5 4 2" xfId="31363"/>
    <cellStyle name="差 2 3 6" xfId="31364"/>
    <cellStyle name="差 2 3 6 2" xfId="31365"/>
    <cellStyle name="差 2 3 6 2 2" xfId="31366"/>
    <cellStyle name="差 2 3 6 2 2 2" xfId="31367"/>
    <cellStyle name="差 2 3 6 3" xfId="31368"/>
    <cellStyle name="差 2 3 6 3 2" xfId="31369"/>
    <cellStyle name="差 2 3 7" xfId="31370"/>
    <cellStyle name="差 2 3 7 2" xfId="31371"/>
    <cellStyle name="差 2 3 7 2 2" xfId="31372"/>
    <cellStyle name="差 2 3 7 2 2 2" xfId="31373"/>
    <cellStyle name="差 2 3 7 3" xfId="31374"/>
    <cellStyle name="差 2 3 7 3 2" xfId="31375"/>
    <cellStyle name="差 2 3 8" xfId="31376"/>
    <cellStyle name="差 2 3 9" xfId="31377"/>
    <cellStyle name="差 2 4" xfId="31378"/>
    <cellStyle name="差 2 4 2" xfId="31379"/>
    <cellStyle name="差 2 4 2 2" xfId="31380"/>
    <cellStyle name="差 2 4 2 3" xfId="31381"/>
    <cellStyle name="差 2 4 2 3 2" xfId="31382"/>
    <cellStyle name="差 2 4 2 3 2 2" xfId="31383"/>
    <cellStyle name="差 2 4 2 4" xfId="31384"/>
    <cellStyle name="差 2 4 2 4 2" xfId="31385"/>
    <cellStyle name="差 2 4 3" xfId="31386"/>
    <cellStyle name="差 2 4 3 2" xfId="31387"/>
    <cellStyle name="差 2 4 3 2 2" xfId="31388"/>
    <cellStyle name="差 2 4 3 2 2 2" xfId="31389"/>
    <cellStyle name="差 2 4 3 3" xfId="31390"/>
    <cellStyle name="差 2 4 3 3 2" xfId="31391"/>
    <cellStyle name="差 2 4 4" xfId="31392"/>
    <cellStyle name="差 2 4 5" xfId="31393"/>
    <cellStyle name="差 2 4 6" xfId="31394"/>
    <cellStyle name="差 2 5" xfId="31395"/>
    <cellStyle name="差 2 5 2" xfId="31396"/>
    <cellStyle name="差 2 5 2 2" xfId="31397"/>
    <cellStyle name="差 2 5 2 3" xfId="31398"/>
    <cellStyle name="差 2 5 2 3 2" xfId="31399"/>
    <cellStyle name="差 2 5 2 3 2 2" xfId="31400"/>
    <cellStyle name="差 2 5 2 4" xfId="31401"/>
    <cellStyle name="差 2 5 2 4 2" xfId="31402"/>
    <cellStyle name="差 2 5 3" xfId="31403"/>
    <cellStyle name="差 2 5 4" xfId="31404"/>
    <cellStyle name="差 2 5 5" xfId="31405"/>
    <cellStyle name="差 2 5 6" xfId="31406"/>
    <cellStyle name="差 2 6" xfId="31407"/>
    <cellStyle name="差 2 6 2" xfId="31408"/>
    <cellStyle name="差 2 6 2 2" xfId="31409"/>
    <cellStyle name="差 2 6 2 2 2" xfId="31410"/>
    <cellStyle name="差 2 6 2 2 2 2" xfId="31411"/>
    <cellStyle name="差 2 6 2 3" xfId="31412"/>
    <cellStyle name="差 2 6 2 3 2" xfId="31413"/>
    <cellStyle name="差 2 6 3" xfId="31414"/>
    <cellStyle name="差 2 6 3 2" xfId="31415"/>
    <cellStyle name="差 2 6 3 2 2" xfId="31416"/>
    <cellStyle name="差 2 6 4" xfId="31417"/>
    <cellStyle name="差 2 6 4 2" xfId="31418"/>
    <cellStyle name="差 2 7" xfId="31419"/>
    <cellStyle name="差 2 7 2" xfId="31420"/>
    <cellStyle name="差 2 7 2 2" xfId="31421"/>
    <cellStyle name="差 2 7 2 2 2" xfId="31422"/>
    <cellStyle name="差 2 7 2 2 2 2" xfId="31423"/>
    <cellStyle name="差 2 7 2 3" xfId="31424"/>
    <cellStyle name="差 2 7 2 3 2" xfId="31425"/>
    <cellStyle name="差 2 7 3" xfId="31426"/>
    <cellStyle name="差 2 7 3 2" xfId="31427"/>
    <cellStyle name="差 2 7 3 2 2" xfId="31428"/>
    <cellStyle name="差 2 7 4" xfId="31429"/>
    <cellStyle name="差 2 7 4 2" xfId="31430"/>
    <cellStyle name="差 2 8" xfId="31431"/>
    <cellStyle name="差 2 8 2" xfId="31432"/>
    <cellStyle name="差 2 8 2 2" xfId="31433"/>
    <cellStyle name="差 2 8 2 2 2" xfId="31434"/>
    <cellStyle name="差 2 8 2 2 2 2" xfId="31435"/>
    <cellStyle name="差 2 8 2 3" xfId="31436"/>
    <cellStyle name="差 2 8 2 3 2" xfId="31437"/>
    <cellStyle name="差 2 8 3" xfId="31438"/>
    <cellStyle name="差 2 8 3 2" xfId="31439"/>
    <cellStyle name="差 2 8 3 2 2" xfId="31440"/>
    <cellStyle name="差 2 8 4" xfId="31441"/>
    <cellStyle name="差 2 8 4 2" xfId="31442"/>
    <cellStyle name="差 2 9" xfId="31443"/>
    <cellStyle name="差 2 9 2" xfId="31444"/>
    <cellStyle name="差 2 9 2 2" xfId="31445"/>
    <cellStyle name="差 2 9 2 2 2" xfId="31446"/>
    <cellStyle name="差 2 9 3" xfId="31447"/>
    <cellStyle name="差 2 9 3 2" xfId="31448"/>
    <cellStyle name="差 3" xfId="31449"/>
    <cellStyle name="差 3 2" xfId="31450"/>
    <cellStyle name="差 3 2 2" xfId="31451"/>
    <cellStyle name="差 3 2 2 2" xfId="31452"/>
    <cellStyle name="差 3 2 2 2 2" xfId="31453"/>
    <cellStyle name="差 3 2 2 2 3" xfId="31454"/>
    <cellStyle name="差 3 2 2 2 3 2" xfId="31455"/>
    <cellStyle name="差 3 2 2 2 3 2 2" xfId="31456"/>
    <cellStyle name="差 3 2 2 2 4" xfId="31457"/>
    <cellStyle name="差 3 2 2 2 4 2" xfId="31458"/>
    <cellStyle name="差 3 2 2 3" xfId="31459"/>
    <cellStyle name="差 3 2 2 3 2" xfId="31460"/>
    <cellStyle name="差 3 2 2 3 2 2" xfId="31461"/>
    <cellStyle name="差 3 2 2 3 2 2 2" xfId="31462"/>
    <cellStyle name="差 3 2 2 3 3" xfId="31463"/>
    <cellStyle name="差 3 2 2 3 3 2" xfId="31464"/>
    <cellStyle name="差 3 2 2 4" xfId="31465"/>
    <cellStyle name="差 3 2 2 5" xfId="31466"/>
    <cellStyle name="差 3 2 2 6" xfId="31467"/>
    <cellStyle name="差 3 2 3" xfId="31468"/>
    <cellStyle name="差 3 2 3 2" xfId="31469"/>
    <cellStyle name="差 3 2 3 3" xfId="31470"/>
    <cellStyle name="差 3 2 3 3 2" xfId="31471"/>
    <cellStyle name="差 3 2 3 3 2 2" xfId="31472"/>
    <cellStyle name="差 3 2 3 4" xfId="31473"/>
    <cellStyle name="差 3 2 3 4 2" xfId="31474"/>
    <cellStyle name="差 3 2 4" xfId="31475"/>
    <cellStyle name="差 3 2 4 2" xfId="31476"/>
    <cellStyle name="差 3 2 4 2 2" xfId="31477"/>
    <cellStyle name="差 3 2 4 2 2 2" xfId="31478"/>
    <cellStyle name="差 3 2 4 3" xfId="31479"/>
    <cellStyle name="差 3 2 4 3 2" xfId="31480"/>
    <cellStyle name="差 3 2 5" xfId="31481"/>
    <cellStyle name="差 3 2 6" xfId="31482"/>
    <cellStyle name="差 3 2 7" xfId="31483"/>
    <cellStyle name="差 3 3" xfId="31484"/>
    <cellStyle name="差 3 3 2" xfId="31485"/>
    <cellStyle name="差 3 3 2 2" xfId="31486"/>
    <cellStyle name="差 3 3 2 3" xfId="31487"/>
    <cellStyle name="差 3 3 2 3 2" xfId="31488"/>
    <cellStyle name="差 3 3 2 3 2 2" xfId="31489"/>
    <cellStyle name="差 3 3 2 4" xfId="31490"/>
    <cellStyle name="差 3 3 2 4 2" xfId="31491"/>
    <cellStyle name="差 3 3 3" xfId="31492"/>
    <cellStyle name="差 3 3 3 2" xfId="31493"/>
    <cellStyle name="差 3 3 3 2 2" xfId="31494"/>
    <cellStyle name="差 3 3 3 2 2 2" xfId="31495"/>
    <cellStyle name="差 3 3 3 3" xfId="31496"/>
    <cellStyle name="差 3 3 3 3 2" xfId="31497"/>
    <cellStyle name="差 3 3 4" xfId="31498"/>
    <cellStyle name="差 3 3 5" xfId="31499"/>
    <cellStyle name="差 3 3 6" xfId="31500"/>
    <cellStyle name="差 3 4" xfId="31501"/>
    <cellStyle name="差 3 4 2" xfId="31502"/>
    <cellStyle name="差 3 4 2 2" xfId="31503"/>
    <cellStyle name="差 3 4 2 3" xfId="31504"/>
    <cellStyle name="差 3 4 2 3 2" xfId="31505"/>
    <cellStyle name="差 3 4 2 3 2 2" xfId="31506"/>
    <cellStyle name="差 3 4 2 4" xfId="31507"/>
    <cellStyle name="差 3 4 2 4 2" xfId="31508"/>
    <cellStyle name="差 3 4 3" xfId="31509"/>
    <cellStyle name="差 3 4 4" xfId="31510"/>
    <cellStyle name="差 3 4 5" xfId="31511"/>
    <cellStyle name="差 3 4 6" xfId="31512"/>
    <cellStyle name="差 3 5" xfId="31513"/>
    <cellStyle name="差 3 5 2" xfId="31514"/>
    <cellStyle name="差 3 5 2 2" xfId="31515"/>
    <cellStyle name="差 3 5 2 2 2" xfId="31516"/>
    <cellStyle name="差 3 5 2 2 2 2" xfId="31517"/>
    <cellStyle name="差 3 5 2 3" xfId="31518"/>
    <cellStyle name="差 3 5 2 3 2" xfId="31519"/>
    <cellStyle name="差 3 5 3" xfId="31520"/>
    <cellStyle name="差 3 5 3 2" xfId="31521"/>
    <cellStyle name="差 3 5 3 2 2" xfId="31522"/>
    <cellStyle name="差 3 5 4" xfId="31523"/>
    <cellStyle name="差 3 5 4 2" xfId="31524"/>
    <cellStyle name="差 3 6" xfId="31525"/>
    <cellStyle name="差 3 6 2" xfId="31526"/>
    <cellStyle name="差 3 6 2 2" xfId="31527"/>
    <cellStyle name="差 3 6 2 2 2" xfId="31528"/>
    <cellStyle name="差 3 6 3" xfId="31529"/>
    <cellStyle name="差 3 6 3 2" xfId="31530"/>
    <cellStyle name="差 3 7" xfId="31531"/>
    <cellStyle name="差 3 8" xfId="31532"/>
    <cellStyle name="差_报关单" xfId="31533"/>
    <cellStyle name="常规 10" xfId="31534"/>
    <cellStyle name="常规 10 10" xfId="31535"/>
    <cellStyle name="常规 10 10 2" xfId="31536"/>
    <cellStyle name="常规 10 10 3" xfId="31537"/>
    <cellStyle name="常规 10 13" xfId="31538"/>
    <cellStyle name="常规 10 2" xfId="31539"/>
    <cellStyle name="常规 10 2 2" xfId="31540"/>
    <cellStyle name="常规 10 2 2 2" xfId="31541"/>
    <cellStyle name="常规 10 2 2 2 2" xfId="31542"/>
    <cellStyle name="常规 10 2 2 2 3" xfId="31543"/>
    <cellStyle name="常规 10 2 2 2 4" xfId="31544"/>
    <cellStyle name="常规 10 2 2 2 5" xfId="31545"/>
    <cellStyle name="常规 10 2 2 2 5 2" xfId="31546"/>
    <cellStyle name="常规 10 2 2 3" xfId="31547"/>
    <cellStyle name="常规 10 2 2 3 2" xfId="31548"/>
    <cellStyle name="常规 10 2 2 3 2 2" xfId="31549"/>
    <cellStyle name="常规 10 2 2 4" xfId="31550"/>
    <cellStyle name="常规 10 2 2 4 2" xfId="31551"/>
    <cellStyle name="常规 10 2 2 4 2 2" xfId="31552"/>
    <cellStyle name="常规 10 2 2 5" xfId="31553"/>
    <cellStyle name="常规 10 2 2 5 2" xfId="31554"/>
    <cellStyle name="常规 10 2 2 5 3" xfId="31555"/>
    <cellStyle name="常规 10 2 2 6" xfId="31556"/>
    <cellStyle name="常规 10 2 2 6 2" xfId="31557"/>
    <cellStyle name="常规 10 2 2 7" xfId="31558"/>
    <cellStyle name="常规 10 2 3" xfId="31559"/>
    <cellStyle name="常规 10 2 3 2" xfId="31560"/>
    <cellStyle name="常规 10 2 3 2 2" xfId="31561"/>
    <cellStyle name="常规 10 2 3 2 3" xfId="31562"/>
    <cellStyle name="常规 10 2 3 2 4" xfId="31563"/>
    <cellStyle name="常规 10 2 3 3" xfId="31564"/>
    <cellStyle name="常规 10 2 3 4" xfId="31565"/>
    <cellStyle name="常规 10 2 3 5" xfId="31566"/>
    <cellStyle name="常规 10 2 3 6" xfId="31567"/>
    <cellStyle name="常规 10 2 3 6 2" xfId="31568"/>
    <cellStyle name="常规 10 2 4" xfId="31569"/>
    <cellStyle name="常规 10 2 4 2" xfId="31570"/>
    <cellStyle name="常规 10 2 4 3" xfId="31571"/>
    <cellStyle name="常规 10 2 4 4" xfId="31572"/>
    <cellStyle name="常规 10 2 4 5" xfId="31573"/>
    <cellStyle name="常规 10 2 4 5 2" xfId="31574"/>
    <cellStyle name="常规 10 2 5" xfId="31575"/>
    <cellStyle name="常规 10 2 5 2" xfId="31576"/>
    <cellStyle name="常规 10 2 5 2 2" xfId="31577"/>
    <cellStyle name="常规 10 2 6" xfId="31578"/>
    <cellStyle name="常规 10 2 6 2" xfId="31579"/>
    <cellStyle name="常规 10 2 6 2 2" xfId="31580"/>
    <cellStyle name="常规 10 2 7" xfId="31581"/>
    <cellStyle name="常规 10 2 7 2" xfId="31582"/>
    <cellStyle name="常规 10 2 7 2 2" xfId="31583"/>
    <cellStyle name="常规 10 2 8" xfId="31584"/>
    <cellStyle name="常规 10 2 8 2" xfId="31585"/>
    <cellStyle name="常规 10 2 8 3" xfId="31586"/>
    <cellStyle name="常规 10 2 9" xfId="31587"/>
    <cellStyle name="常规 10 3" xfId="31588"/>
    <cellStyle name="常规 10 3 2" xfId="31589"/>
    <cellStyle name="常规 10 3 2 2" xfId="31590"/>
    <cellStyle name="常规 10 3 2 2 2" xfId="31591"/>
    <cellStyle name="常规 10 3 2 2 2 2" xfId="31592"/>
    <cellStyle name="常规 10 3 2 3" xfId="31593"/>
    <cellStyle name="常规 10 3 2 3 2" xfId="31594"/>
    <cellStyle name="常规 10 3 2 3 2 2" xfId="31595"/>
    <cellStyle name="常规 10 3 2 4" xfId="31596"/>
    <cellStyle name="常规 10 3 2 4 2" xfId="31597"/>
    <cellStyle name="常规 10 3 2 4 2 2" xfId="31598"/>
    <cellStyle name="常规 10 3 2 5" xfId="31599"/>
    <cellStyle name="常规 10 3 2 5 2" xfId="31600"/>
    <cellStyle name="常规 10 3 2 5 3" xfId="31601"/>
    <cellStyle name="常规 10 3 2 6" xfId="31602"/>
    <cellStyle name="常规 10 3 3" xfId="31603"/>
    <cellStyle name="常规 10 3 3 2" xfId="31604"/>
    <cellStyle name="常规 10 3 3 2 2" xfId="31605"/>
    <cellStyle name="常规 10 3 3 2 2 2" xfId="31606"/>
    <cellStyle name="常规 10 3 3 3" xfId="31607"/>
    <cellStyle name="常规 10 3 3 3 2" xfId="31608"/>
    <cellStyle name="常规 10 3 3 3 2 2" xfId="31609"/>
    <cellStyle name="常规 10 3 3 4" xfId="31610"/>
    <cellStyle name="常规 10 3 3 4 2" xfId="31611"/>
    <cellStyle name="常规 10 3 3 5" xfId="31612"/>
    <cellStyle name="常规 10 3 4" xfId="31613"/>
    <cellStyle name="常规 10 3 4 2" xfId="31614"/>
    <cellStyle name="常规 10 3 4 2 2" xfId="31615"/>
    <cellStyle name="常规 10 3 5" xfId="31616"/>
    <cellStyle name="常规 10 3 5 2" xfId="31617"/>
    <cellStyle name="常规 10 3 5 2 2" xfId="31618"/>
    <cellStyle name="常规 10 3 6" xfId="31619"/>
    <cellStyle name="常规 10 3 7" xfId="31620"/>
    <cellStyle name="常规 10 3 7 2" xfId="31621"/>
    <cellStyle name="常规 10 3 7 3" xfId="31622"/>
    <cellStyle name="常规 10 3 8" xfId="31623"/>
    <cellStyle name="常规 10 3 8 2" xfId="31624"/>
    <cellStyle name="常规 10 4" xfId="31625"/>
    <cellStyle name="常规 10 4 2" xfId="31626"/>
    <cellStyle name="常规 10 4 2 2" xfId="31627"/>
    <cellStyle name="常规 10 4 2 3" xfId="31628"/>
    <cellStyle name="常规 10 4 2 4" xfId="31629"/>
    <cellStyle name="常规 10 4 2 5" xfId="31630"/>
    <cellStyle name="常规 10 4 2 5 2" xfId="31631"/>
    <cellStyle name="常规 10 4 3" xfId="31632"/>
    <cellStyle name="常规 10 4 3 2" xfId="31633"/>
    <cellStyle name="常规 10 4 3 2 2" xfId="31634"/>
    <cellStyle name="常规 10 4 4" xfId="31635"/>
    <cellStyle name="常规 10 4 4 2" xfId="31636"/>
    <cellStyle name="常规 10 4 4 2 2" xfId="31637"/>
    <cellStyle name="常规 10 4 5" xfId="31638"/>
    <cellStyle name="常规 10 4 5 2" xfId="31639"/>
    <cellStyle name="常规 10 4 5 3" xfId="31640"/>
    <cellStyle name="常规 10 4 6" xfId="31641"/>
    <cellStyle name="常规 10 4 6 2" xfId="31642"/>
    <cellStyle name="常规 10 4 7" xfId="31643"/>
    <cellStyle name="常规 10 5" xfId="31644"/>
    <cellStyle name="常规 10 5 2" xfId="31645"/>
    <cellStyle name="常规 10 5 3" xfId="31646"/>
    <cellStyle name="常规 10 5 4" xfId="31647"/>
    <cellStyle name="常规 10 5 5" xfId="31648"/>
    <cellStyle name="常规 10 5 5 2" xfId="31649"/>
    <cellStyle name="常规 10 6" xfId="31650"/>
    <cellStyle name="常规 10 6 2" xfId="31651"/>
    <cellStyle name="常规 10 6 2 2" xfId="31652"/>
    <cellStyle name="常规 10 7" xfId="31653"/>
    <cellStyle name="常规 10 7 2" xfId="31654"/>
    <cellStyle name="常规 10 7 2 2" xfId="31655"/>
    <cellStyle name="常规 10 8" xfId="31656"/>
    <cellStyle name="常规 10 8 2" xfId="31657"/>
    <cellStyle name="常规 10 8 2 2" xfId="31658"/>
    <cellStyle name="常规 10 9" xfId="31659"/>
    <cellStyle name="常规 10 9 2" xfId="31660"/>
    <cellStyle name="常规 10 9 3" xfId="31661"/>
    <cellStyle name="常规 11" xfId="31662"/>
    <cellStyle name="常规 11 10" xfId="31663"/>
    <cellStyle name="常规 11 2" xfId="31664"/>
    <cellStyle name="常规 11 2 2" xfId="31665"/>
    <cellStyle name="常规 11 2 2 2" xfId="31666"/>
    <cellStyle name="常规 11 2 2 2 2" xfId="31667"/>
    <cellStyle name="常规 11 2 2 2 3" xfId="31668"/>
    <cellStyle name="常规 11 2 2 2 4" xfId="31669"/>
    <cellStyle name="常规 11 2 2 2 5" xfId="31670"/>
    <cellStyle name="常规 11 2 2 2 5 2" xfId="31671"/>
    <cellStyle name="常规 11 2 2 3" xfId="31672"/>
    <cellStyle name="常规 11 2 2 3 2" xfId="31673"/>
    <cellStyle name="常规 11 2 2 3 2 2" xfId="31674"/>
    <cellStyle name="常规 11 2 2 4" xfId="31675"/>
    <cellStyle name="常规 11 2 2 4 2" xfId="31676"/>
    <cellStyle name="常规 11 2 2 4 2 2" xfId="31677"/>
    <cellStyle name="常规 11 2 2 5" xfId="31678"/>
    <cellStyle name="常规 11 2 2 5 2" xfId="31679"/>
    <cellStyle name="常规 11 2 2 5 3" xfId="31680"/>
    <cellStyle name="常规 11 2 2 6" xfId="31681"/>
    <cellStyle name="常规 11 2 2 6 2" xfId="31682"/>
    <cellStyle name="常规 11 2 2 7" xfId="31683"/>
    <cellStyle name="常规 11 2 3" xfId="31684"/>
    <cellStyle name="常规 11 2 3 2" xfId="31685"/>
    <cellStyle name="常规 11 2 3 2 2" xfId="31686"/>
    <cellStyle name="常规 11 2 3 2 3" xfId="31687"/>
    <cellStyle name="常规 11 2 3 2 4" xfId="31688"/>
    <cellStyle name="常规 11 2 3 3" xfId="31689"/>
    <cellStyle name="常规 11 2 3 4" xfId="31690"/>
    <cellStyle name="常规 11 2 3 5" xfId="31691"/>
    <cellStyle name="常规 11 2 3 6" xfId="31692"/>
    <cellStyle name="常规 11 2 3 6 2" xfId="31693"/>
    <cellStyle name="常规 11 2 4" xfId="31694"/>
    <cellStyle name="常规 11 2 4 2" xfId="31695"/>
    <cellStyle name="常规 11 2 4 3" xfId="31696"/>
    <cellStyle name="常规 11 2 4 4" xfId="31697"/>
    <cellStyle name="常规 11 2 4 5" xfId="31698"/>
    <cellStyle name="常规 11 2 4 5 2" xfId="31699"/>
    <cellStyle name="常规 11 2 5" xfId="31700"/>
    <cellStyle name="常规 11 2 5 2" xfId="31701"/>
    <cellStyle name="常规 11 2 5 2 2" xfId="31702"/>
    <cellStyle name="常规 11 2 6" xfId="31703"/>
    <cellStyle name="常规 11 2 6 2" xfId="31704"/>
    <cellStyle name="常规 11 2 6 2 2" xfId="31705"/>
    <cellStyle name="常规 11 2 7" xfId="31706"/>
    <cellStyle name="常规 11 2 7 2" xfId="31707"/>
    <cellStyle name="常规 11 2 7 2 2" xfId="31708"/>
    <cellStyle name="常规 11 2 8" xfId="31709"/>
    <cellStyle name="常规 11 2 8 2" xfId="31710"/>
    <cellStyle name="常规 11 2 8 3" xfId="31711"/>
    <cellStyle name="常规 11 2 9" xfId="31712"/>
    <cellStyle name="常规 11 3" xfId="31713"/>
    <cellStyle name="常规 11 3 2" xfId="31714"/>
    <cellStyle name="常规 11 3 2 2" xfId="31715"/>
    <cellStyle name="常规 11 3 2 2 2" xfId="31716"/>
    <cellStyle name="常规 11 3 2 2 2 2" xfId="31717"/>
    <cellStyle name="常规 11 3 2 3" xfId="31718"/>
    <cellStyle name="常规 11 3 2 3 2" xfId="31719"/>
    <cellStyle name="常规 11 3 2 3 2 2" xfId="31720"/>
    <cellStyle name="常规 11 3 2 4" xfId="31721"/>
    <cellStyle name="常规 11 3 2 4 2" xfId="31722"/>
    <cellStyle name="常规 11 3 2 4 2 2" xfId="31723"/>
    <cellStyle name="常规 11 3 2 5" xfId="31724"/>
    <cellStyle name="常规 11 3 2 5 2" xfId="31725"/>
    <cellStyle name="常规 11 3 2 5 3" xfId="31726"/>
    <cellStyle name="常规 11 3 2 6" xfId="31727"/>
    <cellStyle name="常规 11 3 3" xfId="31728"/>
    <cellStyle name="常规 11 3 3 2" xfId="31729"/>
    <cellStyle name="常规 11 3 3 2 2" xfId="31730"/>
    <cellStyle name="常规 11 3 3 2 2 2" xfId="31731"/>
    <cellStyle name="常规 11 3 3 3" xfId="31732"/>
    <cellStyle name="常规 11 3 3 3 2" xfId="31733"/>
    <cellStyle name="常规 11 3 3 3 2 2" xfId="31734"/>
    <cellStyle name="常规 11 3 3 4" xfId="31735"/>
    <cellStyle name="常规 11 3 3 4 2" xfId="31736"/>
    <cellStyle name="常规 11 3 3 5" xfId="31737"/>
    <cellStyle name="常规 11 3 4" xfId="31738"/>
    <cellStyle name="常规 11 3 4 2" xfId="31739"/>
    <cellStyle name="常规 11 3 4 2 2" xfId="31740"/>
    <cellStyle name="常规 11 3 5" xfId="31741"/>
    <cellStyle name="常规 11 3 5 2" xfId="31742"/>
    <cellStyle name="常规 11 3 5 2 2" xfId="31743"/>
    <cellStyle name="常规 11 3 6" xfId="31744"/>
    <cellStyle name="常规 11 3 7" xfId="31745"/>
    <cellStyle name="常规 11 3 7 2" xfId="31746"/>
    <cellStyle name="常规 11 3 7 3" xfId="31747"/>
    <cellStyle name="常规 11 3 8" xfId="31748"/>
    <cellStyle name="常规 11 3 8 2" xfId="31749"/>
    <cellStyle name="常规 11 4" xfId="31750"/>
    <cellStyle name="常规 11 4 2" xfId="31751"/>
    <cellStyle name="常规 11 4 2 2" xfId="31752"/>
    <cellStyle name="常规 11 4 2 2 2" xfId="31753"/>
    <cellStyle name="常规 11 4 2 2 2 2" xfId="31754"/>
    <cellStyle name="常规 11 4 2 2 3" xfId="31755"/>
    <cellStyle name="常规 11 4 2 3" xfId="31756"/>
    <cellStyle name="常规 11 4 2 3 2" xfId="31757"/>
    <cellStyle name="常规 11 4 2 3 2 2" xfId="31758"/>
    <cellStyle name="常规 11 4 2 4" xfId="31759"/>
    <cellStyle name="常规 11 4 2 4 2" xfId="31760"/>
    <cellStyle name="常规 11 4 2 4 3" xfId="31761"/>
    <cellStyle name="常规 11 4 2 5" xfId="31762"/>
    <cellStyle name="常规 11 4 2 5 2" xfId="31763"/>
    <cellStyle name="常规 11 4 2 6" xfId="31764"/>
    <cellStyle name="常规 11 4 3" xfId="31765"/>
    <cellStyle name="常规 11 4 3 2" xfId="31766"/>
    <cellStyle name="常规 11 4 3 2 2" xfId="31767"/>
    <cellStyle name="常规 11 4 4" xfId="31768"/>
    <cellStyle name="常规 11 4 4 2" xfId="31769"/>
    <cellStyle name="常规 11 4 4 2 2" xfId="31770"/>
    <cellStyle name="常规 11 4 5" xfId="31771"/>
    <cellStyle name="常规 11 4 5 2" xfId="31772"/>
    <cellStyle name="常规 11 4 5 2 2" xfId="31773"/>
    <cellStyle name="常规 11 4 6" xfId="31774"/>
    <cellStyle name="常规 11 4 6 2" xfId="31775"/>
    <cellStyle name="常规 11 4 6 3" xfId="31776"/>
    <cellStyle name="常规 11 4 7" xfId="31777"/>
    <cellStyle name="常规 11 5" xfId="31778"/>
    <cellStyle name="常规 11 5 2" xfId="31779"/>
    <cellStyle name="常规 11 5 2 2" xfId="31780"/>
    <cellStyle name="常规 11 5 2 2 2" xfId="31781"/>
    <cellStyle name="常规 11 5 2 3" xfId="31782"/>
    <cellStyle name="常规 11 5 3" xfId="31783"/>
    <cellStyle name="常规 11 5 3 2" xfId="31784"/>
    <cellStyle name="常规 11 5 3 2 2" xfId="31785"/>
    <cellStyle name="常规 11 5 4" xfId="31786"/>
    <cellStyle name="常规 11 5 4 2" xfId="31787"/>
    <cellStyle name="常规 11 5 4 3" xfId="31788"/>
    <cellStyle name="常规 11 5 5" xfId="31789"/>
    <cellStyle name="常规 11 5 5 2" xfId="31790"/>
    <cellStyle name="常规 11 5 6" xfId="31791"/>
    <cellStyle name="常规 11 6" xfId="31792"/>
    <cellStyle name="常规 11 6 2" xfId="31793"/>
    <cellStyle name="常规 11 6 2 2" xfId="31794"/>
    <cellStyle name="常规 11 7" xfId="31795"/>
    <cellStyle name="常规 11 7 2" xfId="31796"/>
    <cellStyle name="常规 11 7 2 2" xfId="31797"/>
    <cellStyle name="常规 11 8" xfId="31798"/>
    <cellStyle name="常规 11 8 2" xfId="31799"/>
    <cellStyle name="常规 11 8 2 2" xfId="31800"/>
    <cellStyle name="常规 11 9" xfId="31801"/>
    <cellStyle name="常规 11 9 2" xfId="31802"/>
    <cellStyle name="常规 11 9 3" xfId="31803"/>
    <cellStyle name="常规 12" xfId="31804"/>
    <cellStyle name="常规 12 10" xfId="31805"/>
    <cellStyle name="常规 12 10 2" xfId="31806"/>
    <cellStyle name="常规 12 11" xfId="31807"/>
    <cellStyle name="常规 12 2" xfId="31808"/>
    <cellStyle name="常规 12 2 10" xfId="31809"/>
    <cellStyle name="常规 12 2 2" xfId="31810"/>
    <cellStyle name="常规 12 2 2 2" xfId="31811"/>
    <cellStyle name="常规 12 2 2 2 2" xfId="31812"/>
    <cellStyle name="常规 12 2 2 2 2 2" xfId="31813"/>
    <cellStyle name="常规 12 2 2 2 2 3" xfId="31814"/>
    <cellStyle name="常规 12 2 2 2 2 4" xfId="31815"/>
    <cellStyle name="常规 12 2 2 2 3" xfId="31816"/>
    <cellStyle name="常规 12 2 2 2 4" xfId="31817"/>
    <cellStyle name="常规 12 2 2 2 5" xfId="31818"/>
    <cellStyle name="常规 12 2 2 3" xfId="31819"/>
    <cellStyle name="常规 12 2 2 3 2" xfId="31820"/>
    <cellStyle name="常规 12 2 2 3 2 2" xfId="31821"/>
    <cellStyle name="常规 12 2 2 3 2 3" xfId="31822"/>
    <cellStyle name="常规 12 2 2 3 2 4" xfId="31823"/>
    <cellStyle name="常规 12 2 2 3 3" xfId="31824"/>
    <cellStyle name="常规 12 2 2 3 4" xfId="31825"/>
    <cellStyle name="常规 12 2 2 3 5" xfId="31826"/>
    <cellStyle name="常规 12 2 2 4" xfId="31827"/>
    <cellStyle name="常规 12 2 2 4 2" xfId="31828"/>
    <cellStyle name="常规 12 2 2 4 3" xfId="31829"/>
    <cellStyle name="常规 12 2 2 4 4" xfId="31830"/>
    <cellStyle name="常规 12 2 2 5" xfId="31831"/>
    <cellStyle name="常规 12 2 2 6" xfId="31832"/>
    <cellStyle name="常规 12 2 2 7" xfId="31833"/>
    <cellStyle name="常规 12 2 2 8" xfId="31834"/>
    <cellStyle name="常规 12 2 2 8 2" xfId="31835"/>
    <cellStyle name="常规 12 2 3" xfId="31836"/>
    <cellStyle name="常规 12 2 3 2" xfId="31837"/>
    <cellStyle name="常规 12 2 3 2 2" xfId="31838"/>
    <cellStyle name="常规 12 2 3 2 3" xfId="31839"/>
    <cellStyle name="常规 12 2 3 2 4" xfId="31840"/>
    <cellStyle name="常规 12 2 3 3" xfId="31841"/>
    <cellStyle name="常规 12 2 3 4" xfId="31842"/>
    <cellStyle name="常规 12 2 3 5" xfId="31843"/>
    <cellStyle name="常规 12 2 3 6" xfId="31844"/>
    <cellStyle name="常规 12 2 3 6 2" xfId="31845"/>
    <cellStyle name="常规 12 2 4" xfId="31846"/>
    <cellStyle name="常规 12 2 4 2" xfId="31847"/>
    <cellStyle name="常规 12 2 4 2 2" xfId="31848"/>
    <cellStyle name="常规 12 2 4 2 3" xfId="31849"/>
    <cellStyle name="常规 12 2 4 2 4" xfId="31850"/>
    <cellStyle name="常规 12 2 4 2 5" xfId="31851"/>
    <cellStyle name="常规 12 2 4 3" xfId="31852"/>
    <cellStyle name="常规 12 2 4 4" xfId="31853"/>
    <cellStyle name="常规 12 2 4 5" xfId="31854"/>
    <cellStyle name="常规 12 2 4 6" xfId="31855"/>
    <cellStyle name="常规 12 2 5" xfId="31856"/>
    <cellStyle name="常规 12 2 5 2" xfId="31857"/>
    <cellStyle name="常规 12 2 5 2 2" xfId="31858"/>
    <cellStyle name="常规 12 2 5 3" xfId="31859"/>
    <cellStyle name="常规 12 2 5 4" xfId="31860"/>
    <cellStyle name="常规 12 2 5 5" xfId="31861"/>
    <cellStyle name="常规 12 2 6" xfId="31862"/>
    <cellStyle name="常规 12 2 7" xfId="31863"/>
    <cellStyle name="常规 12 2 8" xfId="31864"/>
    <cellStyle name="常规 12 2 9" xfId="31865"/>
    <cellStyle name="常规 12 2 9 2" xfId="31866"/>
    <cellStyle name="常规 12 3" xfId="31867"/>
    <cellStyle name="常规 12 3 2" xfId="31868"/>
    <cellStyle name="常规 12 3 2 2" xfId="31869"/>
    <cellStyle name="常规 12 3 2 2 2" xfId="31870"/>
    <cellStyle name="常规 12 3 2 2 3" xfId="31871"/>
    <cellStyle name="常规 12 3 2 2 4" xfId="31872"/>
    <cellStyle name="常规 12 3 2 2 5" xfId="31873"/>
    <cellStyle name="常规 12 3 2 3" xfId="31874"/>
    <cellStyle name="常规 12 3 2 4" xfId="31875"/>
    <cellStyle name="常规 12 3 2 5" xfId="31876"/>
    <cellStyle name="常规 12 3 2 6" xfId="31877"/>
    <cellStyle name="常规 12 3 2 6 2" xfId="31878"/>
    <cellStyle name="常规 12 3 2 7" xfId="31879"/>
    <cellStyle name="常规 12 3 3" xfId="31880"/>
    <cellStyle name="常规 12 3 3 2" xfId="31881"/>
    <cellStyle name="常规 12 3 3 2 2" xfId="31882"/>
    <cellStyle name="常规 12 3 3 2 3" xfId="31883"/>
    <cellStyle name="常规 12 3 3 2 4" xfId="31884"/>
    <cellStyle name="常规 12 3 3 2 5" xfId="31885"/>
    <cellStyle name="常规 12 3 3 3" xfId="31886"/>
    <cellStyle name="常规 12 3 3 4" xfId="31887"/>
    <cellStyle name="常规 12 3 3 5" xfId="31888"/>
    <cellStyle name="常规 12 3 3 6" xfId="31889"/>
    <cellStyle name="常规 12 3 4" xfId="31890"/>
    <cellStyle name="常规 12 3 4 2" xfId="31891"/>
    <cellStyle name="常规 12 3 4 2 2" xfId="31892"/>
    <cellStyle name="常规 12 3 4 3" xfId="31893"/>
    <cellStyle name="常规 12 3 4 4" xfId="31894"/>
    <cellStyle name="常规 12 3 4 5" xfId="31895"/>
    <cellStyle name="常规 12 3 5" xfId="31896"/>
    <cellStyle name="常规 12 3 5 2" xfId="31897"/>
    <cellStyle name="常规 12 3 6" xfId="31898"/>
    <cellStyle name="常规 12 3 7" xfId="31899"/>
    <cellStyle name="常规 12 3 8" xfId="31900"/>
    <cellStyle name="常规 12 3 8 2" xfId="31901"/>
    <cellStyle name="常规 12 3 9" xfId="31902"/>
    <cellStyle name="常规 12 4" xfId="31903"/>
    <cellStyle name="常规 12 4 2" xfId="31904"/>
    <cellStyle name="常规 12 4 2 2" xfId="31905"/>
    <cellStyle name="常规 12 4 2 3" xfId="31906"/>
    <cellStyle name="常规 12 4 2 4" xfId="31907"/>
    <cellStyle name="常规 12 4 3" xfId="31908"/>
    <cellStyle name="常规 12 4 4" xfId="31909"/>
    <cellStyle name="常规 12 4 5" xfId="31910"/>
    <cellStyle name="常规 12 4 6" xfId="31911"/>
    <cellStyle name="常规 12 4 6 2" xfId="31912"/>
    <cellStyle name="常规 12 5" xfId="31913"/>
    <cellStyle name="常规 12 5 2" xfId="31914"/>
    <cellStyle name="常规 12 5 2 2" xfId="31915"/>
    <cellStyle name="常规 12 5 2 3" xfId="31916"/>
    <cellStyle name="常规 12 5 2 4" xfId="31917"/>
    <cellStyle name="常规 12 5 3" xfId="31918"/>
    <cellStyle name="常规 12 5 4" xfId="31919"/>
    <cellStyle name="常规 12 5 5" xfId="31920"/>
    <cellStyle name="常规 12 5 6" xfId="31921"/>
    <cellStyle name="常规 12 5 6 2" xfId="31922"/>
    <cellStyle name="常规 12 6" xfId="31923"/>
    <cellStyle name="常规 12 6 2" xfId="31924"/>
    <cellStyle name="常规 12 6 3" xfId="31925"/>
    <cellStyle name="常规 12 6 4" xfId="31926"/>
    <cellStyle name="常规 12 6 5" xfId="31927"/>
    <cellStyle name="常规 12 6 5 2" xfId="31928"/>
    <cellStyle name="常规 12 7" xfId="31929"/>
    <cellStyle name="常规 12 7 2" xfId="31930"/>
    <cellStyle name="常规 12 7 2 2" xfId="31931"/>
    <cellStyle name="常规 12 8" xfId="31932"/>
    <cellStyle name="常规 12 8 2" xfId="31933"/>
    <cellStyle name="常规 12 8 3" xfId="31934"/>
    <cellStyle name="常规 12 9" xfId="31935"/>
    <cellStyle name="常规 13" xfId="31936"/>
    <cellStyle name="常规 13 2" xfId="31937"/>
    <cellStyle name="常规 13 2 2" xfId="31938"/>
    <cellStyle name="常规 13 2 2 2" xfId="31939"/>
    <cellStyle name="常规 13 2 2 3" xfId="31940"/>
    <cellStyle name="常规 13 2 2 4" xfId="31941"/>
    <cellStyle name="常规 13 2 2 5" xfId="31942"/>
    <cellStyle name="常规 13 2 2 5 2" xfId="31943"/>
    <cellStyle name="常规 13 2 3" xfId="31944"/>
    <cellStyle name="常规 13 2 3 2" xfId="31945"/>
    <cellStyle name="常规 13 2 3 2 2" xfId="31946"/>
    <cellStyle name="常规 13 2 4" xfId="31947"/>
    <cellStyle name="常规 13 2 4 2" xfId="31948"/>
    <cellStyle name="常规 13 2 4 2 2" xfId="31949"/>
    <cellStyle name="常规 13 2 5" xfId="31950"/>
    <cellStyle name="常规 13 2 5 2" xfId="31951"/>
    <cellStyle name="常规 13 2 5 3" xfId="31952"/>
    <cellStyle name="常规 13 2 6" xfId="31953"/>
    <cellStyle name="常规 13 2 6 2" xfId="31954"/>
    <cellStyle name="常规 13 2 7" xfId="31955"/>
    <cellStyle name="常规 13 3" xfId="31956"/>
    <cellStyle name="常规 13 3 2" xfId="31957"/>
    <cellStyle name="常规 13 3 2 2" xfId="31958"/>
    <cellStyle name="常规 13 3 2 3" xfId="31959"/>
    <cellStyle name="常规 13 3 2 4" xfId="31960"/>
    <cellStyle name="常规 13 3 3" xfId="31961"/>
    <cellStyle name="常规 13 3 4" xfId="31962"/>
    <cellStyle name="常规 13 3 5" xfId="31963"/>
    <cellStyle name="常规 13 3 6" xfId="31964"/>
    <cellStyle name="常规 13 3 6 2" xfId="31965"/>
    <cellStyle name="常规 13 4" xfId="31966"/>
    <cellStyle name="常规 13 4 2" xfId="31967"/>
    <cellStyle name="常规 13 4 3" xfId="31968"/>
    <cellStyle name="常规 13 4 4" xfId="31969"/>
    <cellStyle name="常规 13 4 5" xfId="31970"/>
    <cellStyle name="常规 13 4 5 2" xfId="31971"/>
    <cellStyle name="常规 13 5" xfId="31972"/>
    <cellStyle name="常规 13 5 2" xfId="31973"/>
    <cellStyle name="常规 13 5 2 2" xfId="31974"/>
    <cellStyle name="常规 13 6" xfId="31975"/>
    <cellStyle name="常规 13 6 2" xfId="31976"/>
    <cellStyle name="常规 13 6 2 2" xfId="31977"/>
    <cellStyle name="常规 13 7" xfId="31978"/>
    <cellStyle name="常规 13 7 2" xfId="31979"/>
    <cellStyle name="常规 13 7 2 2" xfId="31980"/>
    <cellStyle name="常规 13 8" xfId="31981"/>
    <cellStyle name="常规 13 8 2" xfId="31982"/>
    <cellStyle name="常规 13 8 3" xfId="31983"/>
    <cellStyle name="常规 13 9" xfId="31984"/>
    <cellStyle name="常规 14" xfId="31985"/>
    <cellStyle name="常规 14 2" xfId="31986"/>
    <cellStyle name="常规 14 2 2" xfId="31987"/>
    <cellStyle name="常规 14 2 2 2" xfId="31988"/>
    <cellStyle name="常规 14 2 2 3" xfId="31989"/>
    <cellStyle name="常规 14 2 2 4" xfId="31990"/>
    <cellStyle name="常规 14 2 2 5" xfId="31991"/>
    <cellStyle name="常规 14 2 2 5 2" xfId="31992"/>
    <cellStyle name="常规 14 2 3" xfId="31993"/>
    <cellStyle name="常规 14 2 3 2" xfId="31994"/>
    <cellStyle name="常规 14 2 3 2 2" xfId="31995"/>
    <cellStyle name="常规 14 2 4" xfId="31996"/>
    <cellStyle name="常规 14 2 4 2" xfId="31997"/>
    <cellStyle name="常规 14 2 4 2 2" xfId="31998"/>
    <cellStyle name="常规 14 2 5" xfId="31999"/>
    <cellStyle name="常规 14 2 5 2" xfId="32000"/>
    <cellStyle name="常规 14 2 5 3" xfId="32001"/>
    <cellStyle name="常规 14 2 6" xfId="32002"/>
    <cellStyle name="常规 14 2 6 2" xfId="32003"/>
    <cellStyle name="常规 14 2 7" xfId="32004"/>
    <cellStyle name="常规 14 3" xfId="32005"/>
    <cellStyle name="常规 14 3 2" xfId="32006"/>
    <cellStyle name="常规 14 3 2 2" xfId="32007"/>
    <cellStyle name="常规 14 3 2 3" xfId="32008"/>
    <cellStyle name="常规 14 3 2 4" xfId="32009"/>
    <cellStyle name="常规 14 3 3" xfId="32010"/>
    <cellStyle name="常规 14 3 4" xfId="32011"/>
    <cellStyle name="常规 14 3 5" xfId="32012"/>
    <cellStyle name="常规 14 3 6" xfId="32013"/>
    <cellStyle name="常规 14 3 6 2" xfId="32014"/>
    <cellStyle name="常规 14 4" xfId="32015"/>
    <cellStyle name="常规 14 4 2" xfId="32016"/>
    <cellStyle name="常规 14 4 3" xfId="32017"/>
    <cellStyle name="常规 14 4 4" xfId="32018"/>
    <cellStyle name="常规 14 4 5" xfId="32019"/>
    <cellStyle name="常规 14 4 5 2" xfId="32020"/>
    <cellStyle name="常规 14 5" xfId="32021"/>
    <cellStyle name="常规 14 5 2" xfId="32022"/>
    <cellStyle name="常规 14 5 2 2" xfId="32023"/>
    <cellStyle name="常规 14 6" xfId="32024"/>
    <cellStyle name="常规 14 6 2" xfId="32025"/>
    <cellStyle name="常规 14 6 2 2" xfId="32026"/>
    <cellStyle name="常规 14 7" xfId="32027"/>
    <cellStyle name="常规 14 7 2" xfId="32028"/>
    <cellStyle name="常规 14 7 2 2" xfId="32029"/>
    <cellStyle name="常规 14 8" xfId="32030"/>
    <cellStyle name="常规 14 8 2" xfId="32031"/>
    <cellStyle name="常规 14 8 3" xfId="32032"/>
    <cellStyle name="常规 14 9" xfId="32033"/>
    <cellStyle name="常规 15" xfId="32034"/>
    <cellStyle name="常规 15 2" xfId="32035"/>
    <cellStyle name="常规 15 2 2" xfId="32036"/>
    <cellStyle name="常规 15 2 2 2" xfId="32037"/>
    <cellStyle name="常规 15 2 2 3" xfId="32038"/>
    <cellStyle name="常规 15 2 2 4" xfId="32039"/>
    <cellStyle name="常规 15 2 2 5" xfId="32040"/>
    <cellStyle name="常规 15 2 2 5 2" xfId="32041"/>
    <cellStyle name="常规 15 2 3" xfId="32042"/>
    <cellStyle name="常规 15 2 3 2" xfId="32043"/>
    <cellStyle name="常规 15 2 3 2 2" xfId="32044"/>
    <cellStyle name="常规 15 2 4" xfId="32045"/>
    <cellStyle name="常规 15 2 4 2" xfId="32046"/>
    <cellStyle name="常规 15 2 4 2 2" xfId="32047"/>
    <cellStyle name="常规 15 2 5" xfId="32048"/>
    <cellStyle name="常规 15 2 5 2" xfId="32049"/>
    <cellStyle name="常规 15 2 5 3" xfId="32050"/>
    <cellStyle name="常规 15 2 6" xfId="32051"/>
    <cellStyle name="常规 15 2 6 2" xfId="32052"/>
    <cellStyle name="常规 15 2 7" xfId="32053"/>
    <cellStyle name="常规 15 3" xfId="32054"/>
    <cellStyle name="常规 15 3 2" xfId="32055"/>
    <cellStyle name="常规 15 3 2 2" xfId="32056"/>
    <cellStyle name="常规 15 3 2 3" xfId="32057"/>
    <cellStyle name="常规 15 3 2 4" xfId="32058"/>
    <cellStyle name="常规 15 3 3" xfId="32059"/>
    <cellStyle name="常规 15 3 4" xfId="32060"/>
    <cellStyle name="常规 15 3 5" xfId="32061"/>
    <cellStyle name="常规 15 3 6" xfId="32062"/>
    <cellStyle name="常规 15 3 6 2" xfId="32063"/>
    <cellStyle name="常规 15 4" xfId="32064"/>
    <cellStyle name="常规 15 4 2" xfId="32065"/>
    <cellStyle name="常规 15 4 3" xfId="32066"/>
    <cellStyle name="常规 15 4 4" xfId="32067"/>
    <cellStyle name="常规 15 4 5" xfId="32068"/>
    <cellStyle name="常规 15 4 5 2" xfId="32069"/>
    <cellStyle name="常规 15 5" xfId="32070"/>
    <cellStyle name="常规 15 5 2" xfId="32071"/>
    <cellStyle name="常规 15 5 2 2" xfId="32072"/>
    <cellStyle name="常规 15 6" xfId="32073"/>
    <cellStyle name="常规 15 6 2" xfId="32074"/>
    <cellStyle name="常规 15 6 2 2" xfId="32075"/>
    <cellStyle name="常规 15 7" xfId="32076"/>
    <cellStyle name="常规 15 7 2" xfId="32077"/>
    <cellStyle name="常规 15 7 2 2" xfId="32078"/>
    <cellStyle name="常规 15 8" xfId="32079"/>
    <cellStyle name="常规 15 8 2" xfId="32080"/>
    <cellStyle name="常规 15 8 3" xfId="32081"/>
    <cellStyle name="常规 15 9" xfId="32082"/>
    <cellStyle name="常规 16" xfId="32083"/>
    <cellStyle name="常规 16 2" xfId="32084"/>
    <cellStyle name="常规 16 2 2" xfId="32085"/>
    <cellStyle name="常规 16 2 2 2" xfId="32086"/>
    <cellStyle name="常规 16 2 2 2 2" xfId="32087"/>
    <cellStyle name="常规 16 2 3" xfId="32088"/>
    <cellStyle name="常规 16 2 3 2" xfId="32089"/>
    <cellStyle name="常规 16 2 3 2 2" xfId="32090"/>
    <cellStyle name="常规 16 2 4" xfId="32091"/>
    <cellStyle name="常规 16 2 4 2" xfId="32092"/>
    <cellStyle name="常规 16 2 4 2 2" xfId="32093"/>
    <cellStyle name="常规 16 2 5" xfId="32094"/>
    <cellStyle name="常规 16 2 5 2" xfId="32095"/>
    <cellStyle name="常规 16 2 5 3" xfId="32096"/>
    <cellStyle name="常规 16 2 6" xfId="32097"/>
    <cellStyle name="常规 16 3" xfId="32098"/>
    <cellStyle name="常规 16 3 2" xfId="32099"/>
    <cellStyle name="常规 16 3 2 2" xfId="32100"/>
    <cellStyle name="常规 16 4" xfId="32101"/>
    <cellStyle name="常规 16 4 2" xfId="32102"/>
    <cellStyle name="常规 16 4 2 2" xfId="32103"/>
    <cellStyle name="常规 16 5" xfId="32104"/>
    <cellStyle name="常规 16 5 2" xfId="32105"/>
    <cellStyle name="常规 16 5 2 2" xfId="32106"/>
    <cellStyle name="常规 16 6" xfId="32107"/>
    <cellStyle name="常规 16 6 2" xfId="32108"/>
    <cellStyle name="常规 16 6 3" xfId="32109"/>
    <cellStyle name="常规 16 7" xfId="32110"/>
    <cellStyle name="常规 16 7 2" xfId="32111"/>
    <cellStyle name="常规 17" xfId="32112"/>
    <cellStyle name="常规 17 2" xfId="32113"/>
    <cellStyle name="常规 17 2 2" xfId="32114"/>
    <cellStyle name="常规 17 2 3" xfId="32115"/>
    <cellStyle name="常规 17 2 3 2" xfId="32116"/>
    <cellStyle name="常规 17 2 3 2 2" xfId="32117"/>
    <cellStyle name="常规 17 2 3 3" xfId="32118"/>
    <cellStyle name="常规 17 2 4" xfId="32119"/>
    <cellStyle name="常规 17 2 4 2" xfId="32120"/>
    <cellStyle name="常规 17 2 4 2 2" xfId="32121"/>
    <cellStyle name="常规 17 2 5" xfId="32122"/>
    <cellStyle name="常规 17 2 5 2" xfId="32123"/>
    <cellStyle name="常规 17 2 6" xfId="32124"/>
    <cellStyle name="常规 17 3" xfId="32125"/>
    <cellStyle name="常规 17 3 2" xfId="32126"/>
    <cellStyle name="常规 17 3 2 2" xfId="32127"/>
    <cellStyle name="常规 17 4" xfId="32128"/>
    <cellStyle name="常规 17 4 2" xfId="32129"/>
    <cellStyle name="常规 17 4 2 2" xfId="32130"/>
    <cellStyle name="常规 17 5" xfId="32131"/>
    <cellStyle name="常规 17 5 2" xfId="32132"/>
    <cellStyle name="常规 17 5 2 2" xfId="32133"/>
    <cellStyle name="常规 17 6" xfId="32134"/>
    <cellStyle name="常规 17 6 2" xfId="32135"/>
    <cellStyle name="常规 17 6 2 2" xfId="32136"/>
    <cellStyle name="常规 17 6 3" xfId="32137"/>
    <cellStyle name="常规 17 7" xfId="32138"/>
    <cellStyle name="常规 17 7 2" xfId="32139"/>
    <cellStyle name="常规 17 8" xfId="32140"/>
    <cellStyle name="常规 18" xfId="32141"/>
    <cellStyle name="常规 18 2" xfId="32142"/>
    <cellStyle name="常规 18 2 2" xfId="32143"/>
    <cellStyle name="常规 18 2 2 2" xfId="32144"/>
    <cellStyle name="常规 18 3" xfId="32145"/>
    <cellStyle name="常规 18 3 2" xfId="32146"/>
    <cellStyle name="常规 18 3 2 2" xfId="32147"/>
    <cellStyle name="常规 18 4" xfId="32148"/>
    <cellStyle name="常规 18 5" xfId="32149"/>
    <cellStyle name="常规 18 5 2" xfId="32150"/>
    <cellStyle name="常规 18 5 2 2" xfId="32151"/>
    <cellStyle name="常规 18 5 3" xfId="32152"/>
    <cellStyle name="常规 18 6" xfId="32153"/>
    <cellStyle name="常规 18 6 2" xfId="32154"/>
    <cellStyle name="常规 18 7" xfId="32155"/>
    <cellStyle name="常规 18 7 2" xfId="32156"/>
    <cellStyle name="常规 19" xfId="32157"/>
    <cellStyle name="常规 19 2" xfId="32158"/>
    <cellStyle name="常规 19 2 2" xfId="32159"/>
    <cellStyle name="常规 19 2 2 2" xfId="32160"/>
    <cellStyle name="常规 19 2 2 3" xfId="32161"/>
    <cellStyle name="常规 19 2 3" xfId="32162"/>
    <cellStyle name="常规 19 2 3 2" xfId="32163"/>
    <cellStyle name="常规 19 2 4" xfId="32164"/>
    <cellStyle name="常规 19 2 5" xfId="32165"/>
    <cellStyle name="常规 19 3" xfId="32166"/>
    <cellStyle name="常规 19 3 2" xfId="32167"/>
    <cellStyle name="常规 19 3 2 2" xfId="32168"/>
    <cellStyle name="常规 19 4" xfId="32169"/>
    <cellStyle name="常规 19 4 2" xfId="32170"/>
    <cellStyle name="常规 19 4 2 2" xfId="32171"/>
    <cellStyle name="常规 19 4 3" xfId="32172"/>
    <cellStyle name="常规 19 5" xfId="32173"/>
    <cellStyle name="常规 19 5 2" xfId="32174"/>
    <cellStyle name="常规 19 5 3" xfId="32175"/>
    <cellStyle name="常规 19 6" xfId="32176"/>
    <cellStyle name="常规 19 7" xfId="32177"/>
    <cellStyle name="常规 2" xfId="32178"/>
    <cellStyle name="常规 2 10" xfId="32179"/>
    <cellStyle name="常规 2 10 10" xfId="32180"/>
    <cellStyle name="常规 2 10 2" xfId="32181"/>
    <cellStyle name="常规 2 10 2 2" xfId="32182"/>
    <cellStyle name="常规 2 10 2 2 2" xfId="32183"/>
    <cellStyle name="常规 2 10 2 2 2 2" xfId="32184"/>
    <cellStyle name="常规 2 10 2 2 2 3" xfId="32185"/>
    <cellStyle name="常规 2 10 2 2 2 4" xfId="32186"/>
    <cellStyle name="常规 2 10 2 2 2 5" xfId="32187"/>
    <cellStyle name="常规 2 10 2 2 2 5 2" xfId="32188"/>
    <cellStyle name="常规 2 10 2 2 3" xfId="32189"/>
    <cellStyle name="常规 2 10 2 2 3 2" xfId="32190"/>
    <cellStyle name="常规 2 10 2 2 3 2 2" xfId="32191"/>
    <cellStyle name="常规 2 10 2 2 4" xfId="32192"/>
    <cellStyle name="常规 2 10 2 2 4 2" xfId="32193"/>
    <cellStyle name="常规 2 10 2 2 4 2 2" xfId="32194"/>
    <cellStyle name="常规 2 10 2 2 5" xfId="32195"/>
    <cellStyle name="常规 2 10 2 2 5 2" xfId="32196"/>
    <cellStyle name="常规 2 10 2 2 5 3" xfId="32197"/>
    <cellStyle name="常规 2 10 2 2 6" xfId="32198"/>
    <cellStyle name="常规 2 10 2 2 6 2" xfId="32199"/>
    <cellStyle name="常规 2 10 2 2 7" xfId="32200"/>
    <cellStyle name="常规 2 10 2 3" xfId="32201"/>
    <cellStyle name="常规 2 10 2 3 2" xfId="32202"/>
    <cellStyle name="常规 2 10 2 3 2 2" xfId="32203"/>
    <cellStyle name="常规 2 10 2 3 2 2 2" xfId="32204"/>
    <cellStyle name="常规 2 10 2 3 2 3" xfId="32205"/>
    <cellStyle name="常规 2 10 2 3 2 4" xfId="32206"/>
    <cellStyle name="常规 2 10 2 3 2 5" xfId="32207"/>
    <cellStyle name="常规 2 10 2 3 2 5 2" xfId="32208"/>
    <cellStyle name="常规 2 10 2 3 2 6" xfId="32209"/>
    <cellStyle name="常规 2 10 2 3 3" xfId="32210"/>
    <cellStyle name="常规 2 10 2 3 3 2" xfId="32211"/>
    <cellStyle name="常规 2 10 2 3 3 2 2" xfId="32212"/>
    <cellStyle name="常规 2 10 2 3 4" xfId="32213"/>
    <cellStyle name="常规 2 10 2 3 4 2" xfId="32214"/>
    <cellStyle name="常规 2 10 2 3 4 3" xfId="32215"/>
    <cellStyle name="常规 2 10 2 3 5" xfId="32216"/>
    <cellStyle name="常规 2 10 2 3 5 2" xfId="32217"/>
    <cellStyle name="常规 2 10 2 3 6" xfId="32218"/>
    <cellStyle name="常规 2 10 2 3 6 2" xfId="32219"/>
    <cellStyle name="常规 2 10 2 3 7" xfId="32220"/>
    <cellStyle name="常规 2 10 2 4" xfId="32221"/>
    <cellStyle name="常规 2 10 2 4 2" xfId="32222"/>
    <cellStyle name="常规 2 10 2 4 3" xfId="32223"/>
    <cellStyle name="常规 2 10 2 4 4" xfId="32224"/>
    <cellStyle name="常规 2 10 2 4 5" xfId="32225"/>
    <cellStyle name="常规 2 10 2 4 5 2" xfId="32226"/>
    <cellStyle name="常规 2 10 2 5" xfId="32227"/>
    <cellStyle name="常规 2 10 2 5 2" xfId="32228"/>
    <cellStyle name="常规 2 10 2 5 2 2" xfId="32229"/>
    <cellStyle name="常规 2 10 2 6" xfId="32230"/>
    <cellStyle name="常规 2 10 2 6 2" xfId="32231"/>
    <cellStyle name="常规 2 10 2 6 2 2" xfId="32232"/>
    <cellStyle name="常规 2 10 2 7" xfId="32233"/>
    <cellStyle name="常规 2 10 2 7 2" xfId="32234"/>
    <cellStyle name="常规 2 10 2 7 2 2" xfId="32235"/>
    <cellStyle name="常规 2 10 2 8" xfId="32236"/>
    <cellStyle name="常规 2 10 2 8 2" xfId="32237"/>
    <cellStyle name="常规 2 10 2 8 3" xfId="32238"/>
    <cellStyle name="常规 2 10 2 9" xfId="32239"/>
    <cellStyle name="常规 2 10 3" xfId="32240"/>
    <cellStyle name="常规 2 10 3 2" xfId="32241"/>
    <cellStyle name="常规 2 10 3 2 2" xfId="32242"/>
    <cellStyle name="常规 2 10 3 2 3" xfId="32243"/>
    <cellStyle name="常规 2 10 3 2 4" xfId="32244"/>
    <cellStyle name="常规 2 10 3 2 5" xfId="32245"/>
    <cellStyle name="常规 2 10 3 2 5 2" xfId="32246"/>
    <cellStyle name="常规 2 10 3 3" xfId="32247"/>
    <cellStyle name="常规 2 10 3 3 2" xfId="32248"/>
    <cellStyle name="常规 2 10 3 3 2 2" xfId="32249"/>
    <cellStyle name="常规 2 10 3 4" xfId="32250"/>
    <cellStyle name="常规 2 10 3 4 2" xfId="32251"/>
    <cellStyle name="常规 2 10 3 4 2 2" xfId="32252"/>
    <cellStyle name="常规 2 10 3 5" xfId="32253"/>
    <cellStyle name="常规 2 10 3 5 2" xfId="32254"/>
    <cellStyle name="常规 2 10 3 5 3" xfId="32255"/>
    <cellStyle name="常规 2 10 3 6" xfId="32256"/>
    <cellStyle name="常规 2 10 3 6 2" xfId="32257"/>
    <cellStyle name="常规 2 10 3 7" xfId="32258"/>
    <cellStyle name="常规 2 10 4" xfId="32259"/>
    <cellStyle name="常规 2 10 4 2" xfId="32260"/>
    <cellStyle name="常规 2 10 4 2 2" xfId="32261"/>
    <cellStyle name="常规 2 10 4 2 3" xfId="32262"/>
    <cellStyle name="常规 2 10 4 2 4" xfId="32263"/>
    <cellStyle name="常规 2 10 4 3" xfId="32264"/>
    <cellStyle name="常规 2 10 4 4" xfId="32265"/>
    <cellStyle name="常规 2 10 4 5" xfId="32266"/>
    <cellStyle name="常规 2 10 4 6" xfId="32267"/>
    <cellStyle name="常规 2 10 4 6 2" xfId="32268"/>
    <cellStyle name="常规 2 10 5" xfId="32269"/>
    <cellStyle name="常规 2 10 5 2" xfId="32270"/>
    <cellStyle name="常规 2 10 5 3" xfId="32271"/>
    <cellStyle name="常规 2 10 5 4" xfId="32272"/>
    <cellStyle name="常规 2 10 5 5" xfId="32273"/>
    <cellStyle name="常规 2 10 5 5 2" xfId="32274"/>
    <cellStyle name="常规 2 10 6" xfId="32275"/>
    <cellStyle name="常规 2 10 6 2" xfId="32276"/>
    <cellStyle name="常规 2 10 6 2 2" xfId="32277"/>
    <cellStyle name="常规 2 10 7" xfId="32278"/>
    <cellStyle name="常规 2 10 7 2" xfId="32279"/>
    <cellStyle name="常规 2 10 7 2 2" xfId="32280"/>
    <cellStyle name="常规 2 10 8" xfId="32281"/>
    <cellStyle name="常规 2 10 8 2" xfId="32282"/>
    <cellStyle name="常规 2 10 8 2 2" xfId="32283"/>
    <cellStyle name="常规 2 10 9" xfId="32284"/>
    <cellStyle name="常规 2 10 9 2" xfId="32285"/>
    <cellStyle name="常规 2 10 9 3" xfId="32286"/>
    <cellStyle name="常规 2 11" xfId="32287"/>
    <cellStyle name="常规 2 11 10" xfId="32288"/>
    <cellStyle name="常规 2 11 2" xfId="32289"/>
    <cellStyle name="常规 2 11 2 2" xfId="32290"/>
    <cellStyle name="常规 2 11 2 2 2" xfId="32291"/>
    <cellStyle name="常规 2 11 2 2 2 2" xfId="32292"/>
    <cellStyle name="常规 2 11 2 2 2 3" xfId="32293"/>
    <cellStyle name="常规 2 11 2 2 2 4" xfId="32294"/>
    <cellStyle name="常规 2 11 2 2 3" xfId="32295"/>
    <cellStyle name="常规 2 11 2 2 4" xfId="32296"/>
    <cellStyle name="常规 2 11 2 2 5" xfId="32297"/>
    <cellStyle name="常规 2 11 2 2 6" xfId="32298"/>
    <cellStyle name="常规 2 11 2 2 6 2" xfId="32299"/>
    <cellStyle name="常规 2 11 2 3" xfId="32300"/>
    <cellStyle name="常规 2 11 2 3 2" xfId="32301"/>
    <cellStyle name="常规 2 11 2 3 2 2" xfId="32302"/>
    <cellStyle name="常规 2 11 2 3 2 3" xfId="32303"/>
    <cellStyle name="常规 2 11 2 3 2 4" xfId="32304"/>
    <cellStyle name="常规 2 11 2 3 3" xfId="32305"/>
    <cellStyle name="常规 2 11 2 3 4" xfId="32306"/>
    <cellStyle name="常规 2 11 2 3 5" xfId="32307"/>
    <cellStyle name="常规 2 11 2 3 6" xfId="32308"/>
    <cellStyle name="常规 2 11 2 3 6 2" xfId="32309"/>
    <cellStyle name="常规 2 11 2 4" xfId="32310"/>
    <cellStyle name="常规 2 11 2 4 2" xfId="32311"/>
    <cellStyle name="常规 2 11 2 4 2 2" xfId="32312"/>
    <cellStyle name="常规 2 11 2 4 3" xfId="32313"/>
    <cellStyle name="常规 2 11 2 4 4" xfId="32314"/>
    <cellStyle name="常规 2 11 2 4 5" xfId="32315"/>
    <cellStyle name="常规 2 11 2 5" xfId="32316"/>
    <cellStyle name="常规 2 11 2 5 2" xfId="32317"/>
    <cellStyle name="常规 2 11 2 5 3" xfId="32318"/>
    <cellStyle name="常规 2 11 2 6" xfId="32319"/>
    <cellStyle name="常规 2 11 2 7" xfId="32320"/>
    <cellStyle name="常规 2 11 2 8" xfId="32321"/>
    <cellStyle name="常规 2 11 2 8 2" xfId="32322"/>
    <cellStyle name="常规 2 11 2 9" xfId="32323"/>
    <cellStyle name="常规 2 11 3" xfId="32324"/>
    <cellStyle name="常规 2 11 3 2" xfId="32325"/>
    <cellStyle name="常规 2 11 3 2 2" xfId="32326"/>
    <cellStyle name="常规 2 11 3 2 2 2" xfId="32327"/>
    <cellStyle name="常规 2 11 3 2 3" xfId="32328"/>
    <cellStyle name="常规 2 11 3 2 4" xfId="32329"/>
    <cellStyle name="常规 2 11 3 2 5" xfId="32330"/>
    <cellStyle name="常规 2 11 3 2 5 2" xfId="32331"/>
    <cellStyle name="常规 2 11 3 2 6" xfId="32332"/>
    <cellStyle name="常规 2 11 3 3" xfId="32333"/>
    <cellStyle name="常规 2 11 3 3 2" xfId="32334"/>
    <cellStyle name="常规 2 11 3 3 2 2" xfId="32335"/>
    <cellStyle name="常规 2 11 3 4" xfId="32336"/>
    <cellStyle name="常规 2 11 3 4 2" xfId="32337"/>
    <cellStyle name="常规 2 11 3 4 3" xfId="32338"/>
    <cellStyle name="常规 2 11 3 5" xfId="32339"/>
    <cellStyle name="常规 2 11 3 5 2" xfId="32340"/>
    <cellStyle name="常规 2 11 3 6" xfId="32341"/>
    <cellStyle name="常规 2 11 3 6 2" xfId="32342"/>
    <cellStyle name="常规 2 11 3 7" xfId="32343"/>
    <cellStyle name="常规 2 11 4" xfId="32344"/>
    <cellStyle name="常规 2 11 4 2" xfId="32345"/>
    <cellStyle name="常规 2 11 4 2 2" xfId="32346"/>
    <cellStyle name="常规 2 11 4 2 3" xfId="32347"/>
    <cellStyle name="常规 2 11 4 2 4" xfId="32348"/>
    <cellStyle name="常规 2 11 4 3" xfId="32349"/>
    <cellStyle name="常规 2 11 4 4" xfId="32350"/>
    <cellStyle name="常规 2 11 4 5" xfId="32351"/>
    <cellStyle name="常规 2 11 4 6" xfId="32352"/>
    <cellStyle name="常规 2 11 4 6 2" xfId="32353"/>
    <cellStyle name="常规 2 11 5" xfId="32354"/>
    <cellStyle name="常规 2 11 5 2" xfId="32355"/>
    <cellStyle name="常规 2 11 5 3" xfId="32356"/>
    <cellStyle name="常规 2 11 5 4" xfId="32357"/>
    <cellStyle name="常规 2 11 5 5" xfId="32358"/>
    <cellStyle name="常规 2 11 5 5 2" xfId="32359"/>
    <cellStyle name="常规 2 11 6" xfId="32360"/>
    <cellStyle name="常规 2 11 6 2" xfId="32361"/>
    <cellStyle name="常规 2 11 6 2 2" xfId="32362"/>
    <cellStyle name="常规 2 11 7" xfId="32363"/>
    <cellStyle name="常规 2 11 7 2" xfId="32364"/>
    <cellStyle name="常规 2 11 7 2 2" xfId="32365"/>
    <cellStyle name="常规 2 11 8" xfId="32366"/>
    <cellStyle name="常规 2 11 8 2" xfId="32367"/>
    <cellStyle name="常规 2 11 8 3" xfId="32368"/>
    <cellStyle name="常规 2 11 9" xfId="32369"/>
    <cellStyle name="常规 2 11 9 2" xfId="32370"/>
    <cellStyle name="常规 2 12" xfId="32371"/>
    <cellStyle name="常规 2 12 2" xfId="32372"/>
    <cellStyle name="常规 2 12 2 2" xfId="32373"/>
    <cellStyle name="常规 2 12 2 2 2" xfId="32374"/>
    <cellStyle name="常规 2 12 2 2 3" xfId="32375"/>
    <cellStyle name="常规 2 12 2 2 4" xfId="32376"/>
    <cellStyle name="常规 2 12 2 2 5" xfId="32377"/>
    <cellStyle name="常规 2 12 2 2 5 2" xfId="32378"/>
    <cellStyle name="常规 2 12 2 3" xfId="32379"/>
    <cellStyle name="常规 2 12 2 3 2" xfId="32380"/>
    <cellStyle name="常规 2 12 2 3 2 2" xfId="32381"/>
    <cellStyle name="常规 2 12 2 4" xfId="32382"/>
    <cellStyle name="常规 2 12 2 4 2" xfId="32383"/>
    <cellStyle name="常规 2 12 2 4 2 2" xfId="32384"/>
    <cellStyle name="常规 2 12 2 5" xfId="32385"/>
    <cellStyle name="常规 2 12 2 5 2" xfId="32386"/>
    <cellStyle name="常规 2 12 2 5 3" xfId="32387"/>
    <cellStyle name="常规 2 12 2 6" xfId="32388"/>
    <cellStyle name="常规 2 12 2 6 2" xfId="32389"/>
    <cellStyle name="常规 2 12 2 7" xfId="32390"/>
    <cellStyle name="常规 2 12 3" xfId="32391"/>
    <cellStyle name="常规 2 12 3 2" xfId="32392"/>
    <cellStyle name="常规 2 12 3 2 2" xfId="32393"/>
    <cellStyle name="常规 2 12 3 2 3" xfId="32394"/>
    <cellStyle name="常规 2 12 3 2 4" xfId="32395"/>
    <cellStyle name="常规 2 12 3 3" xfId="32396"/>
    <cellStyle name="常规 2 12 3 4" xfId="32397"/>
    <cellStyle name="常规 2 12 3 5" xfId="32398"/>
    <cellStyle name="常规 2 12 3 6" xfId="32399"/>
    <cellStyle name="常规 2 12 3 6 2" xfId="32400"/>
    <cellStyle name="常规 2 12 4" xfId="32401"/>
    <cellStyle name="常规 2 12 4 2" xfId="32402"/>
    <cellStyle name="常规 2 12 4 3" xfId="32403"/>
    <cellStyle name="常规 2 12 4 4" xfId="32404"/>
    <cellStyle name="常规 2 12 4 5" xfId="32405"/>
    <cellStyle name="常规 2 12 4 5 2" xfId="32406"/>
    <cellStyle name="常规 2 12 5" xfId="32407"/>
    <cellStyle name="常规 2 12 5 2" xfId="32408"/>
    <cellStyle name="常规 2 12 5 2 2" xfId="32409"/>
    <cellStyle name="常规 2 12 6" xfId="32410"/>
    <cellStyle name="常规 2 12 6 2" xfId="32411"/>
    <cellStyle name="常规 2 12 6 2 2" xfId="32412"/>
    <cellStyle name="常规 2 12 7" xfId="32413"/>
    <cellStyle name="常规 2 12 7 2" xfId="32414"/>
    <cellStyle name="常规 2 12 7 2 2" xfId="32415"/>
    <cellStyle name="常规 2 12 8" xfId="32416"/>
    <cellStyle name="常规 2 12 8 2" xfId="32417"/>
    <cellStyle name="常规 2 12 8 3" xfId="32418"/>
    <cellStyle name="常规 2 12 9" xfId="32419"/>
    <cellStyle name="常规 2 13" xfId="32420"/>
    <cellStyle name="常规 2 13 2" xfId="32421"/>
    <cellStyle name="常规 2 13 2 2" xfId="32422"/>
    <cellStyle name="常规 2 13 2 2 2" xfId="32423"/>
    <cellStyle name="常规 2 13 2 2 2 2" xfId="32424"/>
    <cellStyle name="常规 2 13 2 3" xfId="32425"/>
    <cellStyle name="常规 2 13 2 3 2" xfId="32426"/>
    <cellStyle name="常规 2 13 2 3 2 2" xfId="32427"/>
    <cellStyle name="常规 2 13 2 4" xfId="32428"/>
    <cellStyle name="常规 2 13 2 4 2" xfId="32429"/>
    <cellStyle name="常规 2 13 2 4 2 2" xfId="32430"/>
    <cellStyle name="常规 2 13 2 5" xfId="32431"/>
    <cellStyle name="常规 2 13 2 5 2" xfId="32432"/>
    <cellStyle name="常规 2 13 2 5 3" xfId="32433"/>
    <cellStyle name="常规 2 13 2 6" xfId="32434"/>
    <cellStyle name="常规 2 13 3" xfId="32435"/>
    <cellStyle name="常规 2 13 3 2" xfId="32436"/>
    <cellStyle name="常规 2 13 3 2 2" xfId="32437"/>
    <cellStyle name="常规 2 13 4" xfId="32438"/>
    <cellStyle name="常规 2 13 4 2" xfId="32439"/>
    <cellStyle name="常规 2 13 4 2 2" xfId="32440"/>
    <cellStyle name="常规 2 13 5" xfId="32441"/>
    <cellStyle name="常规 2 13 5 2" xfId="32442"/>
    <cellStyle name="常规 2 13 5 2 2" xfId="32443"/>
    <cellStyle name="常规 2 13 6" xfId="32444"/>
    <cellStyle name="常规 2 13 7" xfId="32445"/>
    <cellStyle name="常规 2 13 7 2" xfId="32446"/>
    <cellStyle name="常规 2 13 7 3" xfId="32447"/>
    <cellStyle name="常规 2 13 8" xfId="32448"/>
    <cellStyle name="常规 2 13 8 2" xfId="32449"/>
    <cellStyle name="常规 2 14" xfId="32450"/>
    <cellStyle name="常规 2 14 2" xfId="32451"/>
    <cellStyle name="常规 2 14 2 2" xfId="32452"/>
    <cellStyle name="常规 2 14 2 2 2" xfId="32453"/>
    <cellStyle name="常规 2 14 2 2 2 2" xfId="32454"/>
    <cellStyle name="常规 2 14 2 3" xfId="32455"/>
    <cellStyle name="常规 2 14 2 4" xfId="32456"/>
    <cellStyle name="常规 2 14 2 5" xfId="32457"/>
    <cellStyle name="常规 2 14 2 5 2" xfId="32458"/>
    <cellStyle name="常规 2 14 3" xfId="32459"/>
    <cellStyle name="常规 2 14 3 2" xfId="32460"/>
    <cellStyle name="常规 2 14 3 2 2" xfId="32461"/>
    <cellStyle name="常规 2 14 4" xfId="32462"/>
    <cellStyle name="常规 2 14 4 2" xfId="32463"/>
    <cellStyle name="常规 2 14 4 2 2" xfId="32464"/>
    <cellStyle name="常规 2 14 5" xfId="32465"/>
    <cellStyle name="常规 2 14 6" xfId="32466"/>
    <cellStyle name="常规 2 14 6 2" xfId="32467"/>
    <cellStyle name="常规 2 14 7" xfId="32468"/>
    <cellStyle name="常规 2 15" xfId="32469"/>
    <cellStyle name="常规 2 15 2" xfId="32470"/>
    <cellStyle name="常规 2 15 2 2" xfId="32471"/>
    <cellStyle name="常规 2 15 2 2 2" xfId="32472"/>
    <cellStyle name="常规 2 15 2 2 2 2" xfId="32473"/>
    <cellStyle name="常规 2 15 2 3" xfId="32474"/>
    <cellStyle name="常规 2 15 2 3 2" xfId="32475"/>
    <cellStyle name="常规 2 15 2 3 2 2" xfId="32476"/>
    <cellStyle name="常规 2 15 2 4" xfId="32477"/>
    <cellStyle name="常规 2 15 2 4 2" xfId="32478"/>
    <cellStyle name="常规 2 15 2 4 2 2" xfId="32479"/>
    <cellStyle name="常规 2 15 2 5" xfId="32480"/>
    <cellStyle name="常规 2 15 2 5 2" xfId="32481"/>
    <cellStyle name="常规 2 15 2 5 3" xfId="32482"/>
    <cellStyle name="常规 2 15 2 6" xfId="32483"/>
    <cellStyle name="常规 2 15 3" xfId="32484"/>
    <cellStyle name="常规 2 15 3 2" xfId="32485"/>
    <cellStyle name="常规 2 15 3 2 2" xfId="32486"/>
    <cellStyle name="常规 2 15 4" xfId="32487"/>
    <cellStyle name="常规 2 15 4 2" xfId="32488"/>
    <cellStyle name="常规 2 15 4 2 2" xfId="32489"/>
    <cellStyle name="常规 2 15 5" xfId="32490"/>
    <cellStyle name="常规 2 15 5 2" xfId="32491"/>
    <cellStyle name="常规 2 15 5 2 2" xfId="32492"/>
    <cellStyle name="常规 2 15 6" xfId="32493"/>
    <cellStyle name="常规 2 15 6 2" xfId="32494"/>
    <cellStyle name="常规 2 15 6 3" xfId="32495"/>
    <cellStyle name="常规 2 15 7" xfId="32496"/>
    <cellStyle name="常规 2 15 7 2" xfId="32497"/>
    <cellStyle name="常规 2 16" xfId="32498"/>
    <cellStyle name="常规 2 16 2" xfId="32499"/>
    <cellStyle name="常规 2 16 2 2" xfId="32500"/>
    <cellStyle name="常规 2 16 2 2 2" xfId="32501"/>
    <cellStyle name="常规 2 16 2 2 2 2" xfId="32502"/>
    <cellStyle name="常规 2 16 2 2 3" xfId="32503"/>
    <cellStyle name="常规 2 16 2 3" xfId="32504"/>
    <cellStyle name="常规 2 16 2 3 2" xfId="32505"/>
    <cellStyle name="常规 2 16 2 3 2 2" xfId="32506"/>
    <cellStyle name="常规 2 16 2 4" xfId="32507"/>
    <cellStyle name="常规 2 16 2 4 2" xfId="32508"/>
    <cellStyle name="常规 2 16 2 4 3" xfId="32509"/>
    <cellStyle name="常规 2 16 2 5" xfId="32510"/>
    <cellStyle name="常规 2 16 2 5 2" xfId="32511"/>
    <cellStyle name="常规 2 16 2 6" xfId="32512"/>
    <cellStyle name="常规 2 16 3" xfId="32513"/>
    <cellStyle name="常规 2 16 3 2" xfId="32514"/>
    <cellStyle name="常规 2 16 3 2 2" xfId="32515"/>
    <cellStyle name="常规 2 16 4" xfId="32516"/>
    <cellStyle name="常规 2 16 4 2" xfId="32517"/>
    <cellStyle name="常规 2 16 4 2 2" xfId="32518"/>
    <cellStyle name="常规 2 16 5" xfId="32519"/>
    <cellStyle name="常规 2 16 5 2" xfId="32520"/>
    <cellStyle name="常规 2 16 5 3" xfId="32521"/>
    <cellStyle name="常规 2 16 6" xfId="32522"/>
    <cellStyle name="常规 2 16 6 2" xfId="32523"/>
    <cellStyle name="常规 2 16 7" xfId="32524"/>
    <cellStyle name="常规 2 17" xfId="32525"/>
    <cellStyle name="常规 2 17 2" xfId="32526"/>
    <cellStyle name="常规 2 17 2 2" xfId="32527"/>
    <cellStyle name="常规 2 17 2 2 2" xfId="32528"/>
    <cellStyle name="常规 2 17 2 2 2 2" xfId="32529"/>
    <cellStyle name="常规 2 17 2 3" xfId="32530"/>
    <cellStyle name="常规 2 17 2 3 2" xfId="32531"/>
    <cellStyle name="常规 2 17 2 3 2 2" xfId="32532"/>
    <cellStyle name="常规 2 17 2 4" xfId="32533"/>
    <cellStyle name="常规 2 17 2 4 2" xfId="32534"/>
    <cellStyle name="常规 2 17 2 4 3" xfId="32535"/>
    <cellStyle name="常规 2 17 2 5" xfId="32536"/>
    <cellStyle name="常规 2 17 2 5 2" xfId="32537"/>
    <cellStyle name="常规 2 17 2 6" xfId="32538"/>
    <cellStyle name="常规 2 17 3" xfId="32539"/>
    <cellStyle name="常规 2 17 3 2" xfId="32540"/>
    <cellStyle name="常规 2 17 3 2 2" xfId="32541"/>
    <cellStyle name="常规 2 17 4" xfId="32542"/>
    <cellStyle name="常规 2 17 4 2" xfId="32543"/>
    <cellStyle name="常规 2 17 4 2 2" xfId="32544"/>
    <cellStyle name="常规 2 17 5" xfId="32545"/>
    <cellStyle name="常规 2 17 5 2" xfId="32546"/>
    <cellStyle name="常规 2 17 5 3" xfId="32547"/>
    <cellStyle name="常规 2 17 6" xfId="32548"/>
    <cellStyle name="常规 2 17 6 2" xfId="32549"/>
    <cellStyle name="常规 2 17 7" xfId="32550"/>
    <cellStyle name="常规 2 18" xfId="32551"/>
    <cellStyle name="常规 2 18 2" xfId="32552"/>
    <cellStyle name="常规 2 18 2 2" xfId="32553"/>
    <cellStyle name="常规 2 18 2 2 2" xfId="32554"/>
    <cellStyle name="常规 2 18 2 3" xfId="32555"/>
    <cellStyle name="常规 2 18 3" xfId="32556"/>
    <cellStyle name="常规 2 18 3 2" xfId="32557"/>
    <cellStyle name="常规 2 18 3 2 2" xfId="32558"/>
    <cellStyle name="常规 2 18 4" xfId="32559"/>
    <cellStyle name="常规 2 18 4 2" xfId="32560"/>
    <cellStyle name="常规 2 18 4 3" xfId="32561"/>
    <cellStyle name="常规 2 18 5" xfId="32562"/>
    <cellStyle name="常规 2 18 5 2" xfId="32563"/>
    <cellStyle name="常规 2 18 6" xfId="32564"/>
    <cellStyle name="常规 2 19" xfId="32565"/>
    <cellStyle name="常规 2 19 2" xfId="32566"/>
    <cellStyle name="常规 2 19 2 2" xfId="32567"/>
    <cellStyle name="常规 2 19 2 2 2" xfId="32568"/>
    <cellStyle name="常规 2 19 3" xfId="32569"/>
    <cellStyle name="常规 2 19 3 2" xfId="32570"/>
    <cellStyle name="常规 2 19 3 2 2" xfId="32571"/>
    <cellStyle name="常规 2 19 4" xfId="32572"/>
    <cellStyle name="常规 2 19 4 2" xfId="32573"/>
    <cellStyle name="常规 2 19 5" xfId="32574"/>
    <cellStyle name="常规 2 2" xfId="32575"/>
    <cellStyle name="常规 2 2 10" xfId="32576"/>
    <cellStyle name="常规 2 2 10 2" xfId="32577"/>
    <cellStyle name="常规 2 2 10 2 2" xfId="32578"/>
    <cellStyle name="常规 2 2 10 2 3" xfId="32579"/>
    <cellStyle name="常规 2 2 10 2 4" xfId="32580"/>
    <cellStyle name="常规 2 2 10 2 4 2" xfId="32581"/>
    <cellStyle name="常规 2 2 10 2 4 3" xfId="32582"/>
    <cellStyle name="常规 2 2 10 2 5" xfId="32583"/>
    <cellStyle name="常规 2 2 10 2 5 2" xfId="32584"/>
    <cellStyle name="常规 2 2 10 3" xfId="32585"/>
    <cellStyle name="常规 2 2 10 3 2" xfId="32586"/>
    <cellStyle name="常规 2 2 10 3 2 2" xfId="32587"/>
    <cellStyle name="常规 2 2 10 4" xfId="32588"/>
    <cellStyle name="常规 2 2 10 4 2" xfId="32589"/>
    <cellStyle name="常规 2 2 10 4 2 2" xfId="32590"/>
    <cellStyle name="常规 2 2 10 5" xfId="32591"/>
    <cellStyle name="常规 2 2 10 6" xfId="32592"/>
    <cellStyle name="常规 2 2 10 7" xfId="32593"/>
    <cellStyle name="常规 2 2 10 7 2" xfId="32594"/>
    <cellStyle name="常规 2 2 10 7 3" xfId="32595"/>
    <cellStyle name="常规 2 2 10 8" xfId="32596"/>
    <cellStyle name="常规 2 2 10 8 2" xfId="32597"/>
    <cellStyle name="常规 2 2 11" xfId="32598"/>
    <cellStyle name="常规 2 2 11 2" xfId="32599"/>
    <cellStyle name="常规 2 2 11 2 2" xfId="32600"/>
    <cellStyle name="常规 2 2 11 3" xfId="32601"/>
    <cellStyle name="常规 2 2 11 4" xfId="32602"/>
    <cellStyle name="常规 2 2 11 5" xfId="32603"/>
    <cellStyle name="常规 2 2 11 5 2" xfId="32604"/>
    <cellStyle name="常规 2 2 11 6" xfId="32605"/>
    <cellStyle name="常规 2 2 12" xfId="32606"/>
    <cellStyle name="常规 2 2 12 2" xfId="32607"/>
    <cellStyle name="常规 2 2 12 3" xfId="32608"/>
    <cellStyle name="常规 2 2 12 3 2" xfId="32609"/>
    <cellStyle name="常规 2 2 12 3 2 2" xfId="32610"/>
    <cellStyle name="常规 2 2 12 4" xfId="32611"/>
    <cellStyle name="常规 2 2 12 4 2" xfId="32612"/>
    <cellStyle name="常规 2 2 12 4 3" xfId="32613"/>
    <cellStyle name="常规 2 2 13" xfId="32614"/>
    <cellStyle name="常规 2 2 13 2" xfId="32615"/>
    <cellStyle name="常规 2 2 13 2 2" xfId="32616"/>
    <cellStyle name="常规 2 2 13 2 2 2" xfId="32617"/>
    <cellStyle name="常规 2 2 13 2 2 2 2" xfId="32618"/>
    <cellStyle name="常规 2 2 13 2 3" xfId="32619"/>
    <cellStyle name="常规 2 2 13 2 3 2" xfId="32620"/>
    <cellStyle name="常规 2 2 13 2 4" xfId="32621"/>
    <cellStyle name="常规 2 2 13 2 4 2" xfId="32622"/>
    <cellStyle name="常规 2 2 13 2 5" xfId="32623"/>
    <cellStyle name="常规 2 2 13 3" xfId="32624"/>
    <cellStyle name="常规 2 2 13 4" xfId="32625"/>
    <cellStyle name="常规 2 2 13 4 2" xfId="32626"/>
    <cellStyle name="常规 2 2 13 4 2 2" xfId="32627"/>
    <cellStyle name="常规 2 2 13 4 3" xfId="32628"/>
    <cellStyle name="常规 2 2 13 5" xfId="32629"/>
    <cellStyle name="常规 2 2 13 5 2" xfId="32630"/>
    <cellStyle name="常规 2 2 13 5 2 2" xfId="32631"/>
    <cellStyle name="常规 2 2 13 6" xfId="32632"/>
    <cellStyle name="常规 2 2 13 6 2" xfId="32633"/>
    <cellStyle name="常规 2 2 13 7" xfId="32634"/>
    <cellStyle name="常规 2 2 14" xfId="32635"/>
    <cellStyle name="常规 2 2 14 2" xfId="32636"/>
    <cellStyle name="常规 2 2 14 2 2" xfId="32637"/>
    <cellStyle name="常规 2 2 14 2 2 2" xfId="32638"/>
    <cellStyle name="常规 2 2 14 2 2 2 2" xfId="32639"/>
    <cellStyle name="常规 2 2 14 2 3" xfId="32640"/>
    <cellStyle name="常规 2 2 14 2 3 2" xfId="32641"/>
    <cellStyle name="常规 2 2 14 2 4" xfId="32642"/>
    <cellStyle name="常规 2 2 14 2 4 2" xfId="32643"/>
    <cellStyle name="常规 2 2 14 2 5" xfId="32644"/>
    <cellStyle name="常规 2 2 14 3" xfId="32645"/>
    <cellStyle name="常规 2 2 14 3 2" xfId="32646"/>
    <cellStyle name="常规 2 2 14 3 2 2" xfId="32647"/>
    <cellStyle name="常规 2 2 14 4" xfId="32648"/>
    <cellStyle name="常规 2 2 14 4 2" xfId="32649"/>
    <cellStyle name="常规 2 2 14 5" xfId="32650"/>
    <cellStyle name="常规 2 2 14 5 2" xfId="32651"/>
    <cellStyle name="常规 2 2 14 6" xfId="32652"/>
    <cellStyle name="常规 2 2 15" xfId="32653"/>
    <cellStyle name="常规 2 2 15 2" xfId="32654"/>
    <cellStyle name="常规 2 2 15 2 2" xfId="32655"/>
    <cellStyle name="常规 2 2 15 2 2 2" xfId="32656"/>
    <cellStyle name="常规 2 2 15 2 2 2 2" xfId="32657"/>
    <cellStyle name="常规 2 2 15 2 3" xfId="32658"/>
    <cellStyle name="常规 2 2 15 2 3 2" xfId="32659"/>
    <cellStyle name="常规 2 2 15 2 4" xfId="32660"/>
    <cellStyle name="常规 2 2 15 2 4 2" xfId="32661"/>
    <cellStyle name="常规 2 2 15 2 5" xfId="32662"/>
    <cellStyle name="常规 2 2 15 3" xfId="32663"/>
    <cellStyle name="常规 2 2 15 3 2" xfId="32664"/>
    <cellStyle name="常规 2 2 15 3 2 2" xfId="32665"/>
    <cellStyle name="常规 2 2 15 4" xfId="32666"/>
    <cellStyle name="常规 2 2 15 4 2" xfId="32667"/>
    <cellStyle name="常规 2 2 15 4 2 2" xfId="32668"/>
    <cellStyle name="常规 2 2 15 5" xfId="32669"/>
    <cellStyle name="常规 2 2 15 5 2" xfId="32670"/>
    <cellStyle name="常规 2 2 15 6" xfId="32671"/>
    <cellStyle name="常规 2 2 16" xfId="32672"/>
    <cellStyle name="常规 2 2 16 2" xfId="32673"/>
    <cellStyle name="常规 2 2 16 2 2" xfId="32674"/>
    <cellStyle name="常规 2 2 16 2 2 2" xfId="32675"/>
    <cellStyle name="常规 2 2 16 3" xfId="32676"/>
    <cellStyle name="常规 2 2 16 3 2" xfId="32677"/>
    <cellStyle name="常规 2 2 17" xfId="32678"/>
    <cellStyle name="常规 2 2 17 2" xfId="32679"/>
    <cellStyle name="常规 2 2 17 2 2" xfId="32680"/>
    <cellStyle name="常规 2 2 17 3" xfId="32681"/>
    <cellStyle name="常规 2 2 17 3 2" xfId="32682"/>
    <cellStyle name="常规 2 2 17 3 3" xfId="32683"/>
    <cellStyle name="常规 2 2 17 4" xfId="32684"/>
    <cellStyle name="常规 2 2 17 4 2" xfId="32685"/>
    <cellStyle name="常规 2 2 17 5" xfId="32686"/>
    <cellStyle name="常规 2 2 18" xfId="32687"/>
    <cellStyle name="常规 2 2 18 2" xfId="32688"/>
    <cellStyle name="常规 2 2 18 3" xfId="32689"/>
    <cellStyle name="常规 2 2 19" xfId="32690"/>
    <cellStyle name="常规 2 2 19 2" xfId="32691"/>
    <cellStyle name="常规 2 2 19 3" xfId="32692"/>
    <cellStyle name="常规 2 2 2" xfId="32693"/>
    <cellStyle name="常规 2 2 2 10" xfId="32694"/>
    <cellStyle name="常规 2 2 2 10 2" xfId="32695"/>
    <cellStyle name="常规 2 2 2 10 3" xfId="32696"/>
    <cellStyle name="常规 2 2 2 10 4" xfId="32697"/>
    <cellStyle name="常规 2 2 2 11" xfId="32698"/>
    <cellStyle name="常规 2 2 2 12" xfId="32699"/>
    <cellStyle name="常规 2 2 2 12 2" xfId="32700"/>
    <cellStyle name="常规 2 2 2 2" xfId="32701"/>
    <cellStyle name="常规 2 2 2 2 10" xfId="32702"/>
    <cellStyle name="常规 2 2 2 2 2" xfId="32703"/>
    <cellStyle name="常规 2 2 2 2 2 2" xfId="32704"/>
    <cellStyle name="常规 2 2 2 2 2 2 2" xfId="32705"/>
    <cellStyle name="常规 2 2 2 2 2 2 2 2" xfId="32706"/>
    <cellStyle name="常规 2 2 2 2 2 2 2 2 2" xfId="32707"/>
    <cellStyle name="常规 2 2 2 2 2 2 2 2 3" xfId="32708"/>
    <cellStyle name="常规 2 2 2 2 2 2 2 2 4" xfId="32709"/>
    <cellStyle name="常规 2 2 2 2 2 2 2 3" xfId="32710"/>
    <cellStyle name="常规 2 2 2 2 2 2 2 4" xfId="32711"/>
    <cellStyle name="常规 2 2 2 2 2 2 2 5" xfId="32712"/>
    <cellStyle name="常规 2 2 2 2 2 2 2 6" xfId="32713"/>
    <cellStyle name="常规 2 2 2 2 2 2 3" xfId="32714"/>
    <cellStyle name="常规 2 2 2 2 2 2 3 2" xfId="32715"/>
    <cellStyle name="常规 2 2 2 2 2 2 3 2 2" xfId="32716"/>
    <cellStyle name="常规 2 2 2 2 2 2 3 2 3" xfId="32717"/>
    <cellStyle name="常规 2 2 2 2 2 2 3 2 4" xfId="32718"/>
    <cellStyle name="常规 2 2 2 2 2 2 3 3" xfId="32719"/>
    <cellStyle name="常规 2 2 2 2 2 2 3 4" xfId="32720"/>
    <cellStyle name="常规 2 2 2 2 2 2 3 5" xfId="32721"/>
    <cellStyle name="常规 2 2 2 2 2 2 4" xfId="32722"/>
    <cellStyle name="常规 2 2 2 2 2 2 4 2" xfId="32723"/>
    <cellStyle name="常规 2 2 2 2 2 2 4 3" xfId="32724"/>
    <cellStyle name="常规 2 2 2 2 2 2 4 4" xfId="32725"/>
    <cellStyle name="常规 2 2 2 2 2 2 5" xfId="32726"/>
    <cellStyle name="常规 2 2 2 2 2 2 6" xfId="32727"/>
    <cellStyle name="常规 2 2 2 2 2 2 7" xfId="32728"/>
    <cellStyle name="常规 2 2 2 2 2 2 8" xfId="32729"/>
    <cellStyle name="常规 2 2 2 2 2 2 8 2" xfId="32730"/>
    <cellStyle name="常规 2 2 2 2 2 3" xfId="32731"/>
    <cellStyle name="常规 2 2 2 2 2 3 2" xfId="32732"/>
    <cellStyle name="常规 2 2 2 2 2 3 2 2" xfId="32733"/>
    <cellStyle name="常规 2 2 2 2 2 3 2 3" xfId="32734"/>
    <cellStyle name="常规 2 2 2 2 2 3 2 4" xfId="32735"/>
    <cellStyle name="常规 2 2 2 2 2 3 2 5" xfId="32736"/>
    <cellStyle name="常规 2 2 2 2 2 3 3" xfId="32737"/>
    <cellStyle name="常规 2 2 2 2 2 3 4" xfId="32738"/>
    <cellStyle name="常规 2 2 2 2 2 3 5" xfId="32739"/>
    <cellStyle name="常规 2 2 2 2 2 3 6" xfId="32740"/>
    <cellStyle name="常规 2 2 2 2 2 4" xfId="32741"/>
    <cellStyle name="常规 2 2 2 2 2 4 2" xfId="32742"/>
    <cellStyle name="常规 2 2 2 2 2 4 2 2" xfId="32743"/>
    <cellStyle name="常规 2 2 2 2 2 4 2 3" xfId="32744"/>
    <cellStyle name="常规 2 2 2 2 2 4 2 4" xfId="32745"/>
    <cellStyle name="常规 2 2 2 2 2 4 3" xfId="32746"/>
    <cellStyle name="常规 2 2 2 2 2 4 4" xfId="32747"/>
    <cellStyle name="常规 2 2 2 2 2 4 5" xfId="32748"/>
    <cellStyle name="常规 2 2 2 2 2 5" xfId="32749"/>
    <cellStyle name="常规 2 2 2 2 2 5 2" xfId="32750"/>
    <cellStyle name="常规 2 2 2 2 2 5 3" xfId="32751"/>
    <cellStyle name="常规 2 2 2 2 2 5 4" xfId="32752"/>
    <cellStyle name="常规 2 2 2 2 2 6" xfId="32753"/>
    <cellStyle name="常规 2 2 2 2 2 7" xfId="32754"/>
    <cellStyle name="常规 2 2 2 2 2 8" xfId="32755"/>
    <cellStyle name="常规 2 2 2 2 2 9" xfId="32756"/>
    <cellStyle name="常规 2 2 2 2 2 9 2" xfId="32757"/>
    <cellStyle name="常规 2 2 2 2 3" xfId="32758"/>
    <cellStyle name="常规 2 2 2 2 3 2" xfId="32759"/>
    <cellStyle name="常规 2 2 2 2 3 2 2" xfId="32760"/>
    <cellStyle name="常规 2 2 2 2 3 2 3" xfId="32761"/>
    <cellStyle name="常规 2 2 2 2 3 2 4" xfId="32762"/>
    <cellStyle name="常规 2 2 2 2 3 2 5" xfId="32763"/>
    <cellStyle name="常规 2 2 2 2 3 3" xfId="32764"/>
    <cellStyle name="常规 2 2 2 2 3 4" xfId="32765"/>
    <cellStyle name="常规 2 2 2 2 3 5" xfId="32766"/>
    <cellStyle name="常规 2 2 2 2 3 6" xfId="32767"/>
    <cellStyle name="常规 2 2 2 2 3 6 2" xfId="32768"/>
    <cellStyle name="常规 2 2 2 2 4" xfId="32769"/>
    <cellStyle name="常规 2 2 2 2 4 2" xfId="32770"/>
    <cellStyle name="常规 2 2 2 2 4 2 2" xfId="32771"/>
    <cellStyle name="常规 2 2 2 2 4 2 3" xfId="32772"/>
    <cellStyle name="常规 2 2 2 2 4 2 4" xfId="32773"/>
    <cellStyle name="常规 2 2 2 2 4 3" xfId="32774"/>
    <cellStyle name="常规 2 2 2 2 4 4" xfId="32775"/>
    <cellStyle name="常规 2 2 2 2 4 5" xfId="32776"/>
    <cellStyle name="常规 2 2 2 2 4 6" xfId="32777"/>
    <cellStyle name="常规 2 2 2 2 4 6 2" xfId="32778"/>
    <cellStyle name="常规 2 2 2 2 5" xfId="32779"/>
    <cellStyle name="常规 2 2 2 2 5 2" xfId="32780"/>
    <cellStyle name="常规 2 2 2 2 5 2 2" xfId="32781"/>
    <cellStyle name="常规 2 2 2 2 5 3" xfId="32782"/>
    <cellStyle name="常规 2 2 2 2 5 4" xfId="32783"/>
    <cellStyle name="常规 2 2 2 2 5 5" xfId="32784"/>
    <cellStyle name="常规 2 2 2 2 5 6" xfId="32785"/>
    <cellStyle name="常规 2 2 2 2 6" xfId="32786"/>
    <cellStyle name="常规 2 2 2 2 7" xfId="32787"/>
    <cellStyle name="常规 2 2 2 2 8" xfId="32788"/>
    <cellStyle name="常规 2 2 2 2 9" xfId="32789"/>
    <cellStyle name="常规 2 2 2 2 9 2" xfId="32790"/>
    <cellStyle name="常规 2 2 2 3" xfId="32791"/>
    <cellStyle name="常规 2 2 2 3 2" xfId="32792"/>
    <cellStyle name="常规 2 2 2 3 2 2" xfId="32793"/>
    <cellStyle name="常规 2 2 2 3 2 2 2" xfId="32794"/>
    <cellStyle name="常规 2 2 2 3 2 2 3" xfId="32795"/>
    <cellStyle name="常规 2 2 2 3 2 2 4" xfId="32796"/>
    <cellStyle name="常规 2 2 2 3 2 2 5" xfId="32797"/>
    <cellStyle name="常规 2 2 2 3 2 2 5 2" xfId="32798"/>
    <cellStyle name="常规 2 2 2 3 2 3" xfId="32799"/>
    <cellStyle name="常规 2 2 2 3 2 4" xfId="32800"/>
    <cellStyle name="常规 2 2 2 3 2 5" xfId="32801"/>
    <cellStyle name="常规 2 2 2 3 2 6" xfId="32802"/>
    <cellStyle name="常规 2 2 2 3 2 6 2" xfId="32803"/>
    <cellStyle name="常规 2 2 2 3 3" xfId="32804"/>
    <cellStyle name="常规 2 2 2 3 3 2" xfId="32805"/>
    <cellStyle name="常规 2 2 2 3 3 2 2" xfId="32806"/>
    <cellStyle name="常规 2 2 2 3 3 2 3" xfId="32807"/>
    <cellStyle name="常规 2 2 2 3 3 2 4" xfId="32808"/>
    <cellStyle name="常规 2 2 2 3 3 3" xfId="32809"/>
    <cellStyle name="常规 2 2 2 3 3 4" xfId="32810"/>
    <cellStyle name="常规 2 2 2 3 3 5" xfId="32811"/>
    <cellStyle name="常规 2 2 2 3 3 6" xfId="32812"/>
    <cellStyle name="常规 2 2 2 3 3 6 2" xfId="32813"/>
    <cellStyle name="常规 2 2 2 3 4" xfId="32814"/>
    <cellStyle name="常规 2 2 2 3 4 2" xfId="32815"/>
    <cellStyle name="常规 2 2 2 3 4 3" xfId="32816"/>
    <cellStyle name="常规 2 2 2 3 4 4" xfId="32817"/>
    <cellStyle name="常规 2 2 2 3 4 5" xfId="32818"/>
    <cellStyle name="常规 2 2 2 3 4 5 2" xfId="32819"/>
    <cellStyle name="常规 2 2 2 3 5" xfId="32820"/>
    <cellStyle name="常规 2 2 2 3 5 2" xfId="32821"/>
    <cellStyle name="常规 2 2 2 3 6" xfId="32822"/>
    <cellStyle name="常规 2 2 2 3 7" xfId="32823"/>
    <cellStyle name="常规 2 2 2 3 8" xfId="32824"/>
    <cellStyle name="常规 2 2 2 3 8 2" xfId="32825"/>
    <cellStyle name="常规 2 2 2 3 9" xfId="32826"/>
    <cellStyle name="常规 2 2 2 4" xfId="32827"/>
    <cellStyle name="常规 2 2 2 4 2" xfId="32828"/>
    <cellStyle name="常规 2 2 2 4 2 2" xfId="32829"/>
    <cellStyle name="常规 2 2 2 4 2 2 2" xfId="32830"/>
    <cellStyle name="常规 2 2 2 4 2 2 2 2" xfId="32831"/>
    <cellStyle name="常规 2 2 2 4 2 3" xfId="32832"/>
    <cellStyle name="常规 2 2 2 4 2 4" xfId="32833"/>
    <cellStyle name="常规 2 2 2 4 2 5" xfId="32834"/>
    <cellStyle name="常规 2 2 2 4 2 5 2" xfId="32835"/>
    <cellStyle name="常规 2 2 2 4 3" xfId="32836"/>
    <cellStyle name="常规 2 2 2 4 3 2" xfId="32837"/>
    <cellStyle name="常规 2 2 2 4 3 2 2" xfId="32838"/>
    <cellStyle name="常规 2 2 2 4 4" xfId="32839"/>
    <cellStyle name="常规 2 2 2 4 4 2" xfId="32840"/>
    <cellStyle name="常规 2 2 2 4 4 2 2" xfId="32841"/>
    <cellStyle name="常规 2 2 2 4 5" xfId="32842"/>
    <cellStyle name="常规 2 2 2 4 6" xfId="32843"/>
    <cellStyle name="常规 2 2 2 4 6 2" xfId="32844"/>
    <cellStyle name="常规 2 2 2 4 7" xfId="32845"/>
    <cellStyle name="常规 2 2 2 5" xfId="32846"/>
    <cellStyle name="常规 2 2 2 5 2" xfId="32847"/>
    <cellStyle name="常规 2 2 2 5 2 2" xfId="32848"/>
    <cellStyle name="常规 2 2 2 5 2 3" xfId="32849"/>
    <cellStyle name="常规 2 2 2 5 2 4" xfId="32850"/>
    <cellStyle name="常规 2 2 2 5 2 5" xfId="32851"/>
    <cellStyle name="常规 2 2 2 5 2 5 2" xfId="32852"/>
    <cellStyle name="常规 2 2 2 5 3" xfId="32853"/>
    <cellStyle name="常规 2 2 2 5 3 2" xfId="32854"/>
    <cellStyle name="常规 2 2 2 5 3 2 2" xfId="32855"/>
    <cellStyle name="常规 2 2 2 5 3 3" xfId="32856"/>
    <cellStyle name="常规 2 2 2 5 4" xfId="32857"/>
    <cellStyle name="常规 2 2 2 5 4 2" xfId="32858"/>
    <cellStyle name="常规 2 2 2 5 5" xfId="32859"/>
    <cellStyle name="常规 2 2 2 5 6" xfId="32860"/>
    <cellStyle name="常规 2 2 2 5 6 2" xfId="32861"/>
    <cellStyle name="常规 2 2 2 5 7" xfId="32862"/>
    <cellStyle name="常规 2 2 2 6" xfId="32863"/>
    <cellStyle name="常规 2 2 2 6 2" xfId="32864"/>
    <cellStyle name="常规 2 2 2 6 2 2" xfId="32865"/>
    <cellStyle name="常规 2 2 2 6 2 2 2" xfId="32866"/>
    <cellStyle name="常规 2 2 2 6 3" xfId="32867"/>
    <cellStyle name="常规 2 2 2 6 3 2" xfId="32868"/>
    <cellStyle name="常规 2 2 2 6 3 2 2" xfId="32869"/>
    <cellStyle name="常规 2 2 2 6 3 2 3" xfId="32870"/>
    <cellStyle name="常规 2 2 2 6 3 3" xfId="32871"/>
    <cellStyle name="常规 2 2 2 6 3 3 2" xfId="32872"/>
    <cellStyle name="常规 2 2 2 6 4" xfId="32873"/>
    <cellStyle name="常规 2 2 2 6 4 2" xfId="32874"/>
    <cellStyle name="常规 2 2 2 6 4 2 2" xfId="32875"/>
    <cellStyle name="常规 2 2 2 6 5" xfId="32876"/>
    <cellStyle name="常规 2 2 2 6 5 2" xfId="32877"/>
    <cellStyle name="常规 2 2 2 6 5 2 2" xfId="32878"/>
    <cellStyle name="常规 2 2 2 6 5 3" xfId="32879"/>
    <cellStyle name="常规 2 2 2 6 6" xfId="32880"/>
    <cellStyle name="常规 2 2 2 6 6 2" xfId="32881"/>
    <cellStyle name="常规 2 2 2 7" xfId="32882"/>
    <cellStyle name="常规 2 2 2 7 2" xfId="32883"/>
    <cellStyle name="常规 2 2 2 7 2 2" xfId="32884"/>
    <cellStyle name="常规 2 2 2 7 2 2 2" xfId="32885"/>
    <cellStyle name="常规 2 2 2 7 2 3" xfId="32886"/>
    <cellStyle name="常规 2 2 2 7 3" xfId="32887"/>
    <cellStyle name="常规 2 2 2 7 3 2" xfId="32888"/>
    <cellStyle name="常规 2 2 2 7 3 3" xfId="32889"/>
    <cellStyle name="常规 2 2 2 7 4" xfId="32890"/>
    <cellStyle name="常规 2 2 2 8" xfId="32891"/>
    <cellStyle name="常规 2 2 2 8 2" xfId="32892"/>
    <cellStyle name="常规 2 2 2 8 2 2" xfId="32893"/>
    <cellStyle name="常规 2 2 2 9" xfId="32894"/>
    <cellStyle name="常规 2 2 2 9 2" xfId="32895"/>
    <cellStyle name="常规 2 2 2 9 2 2" xfId="32896"/>
    <cellStyle name="常规 2 2 20" xfId="32897"/>
    <cellStyle name="常规 2 2 3" xfId="32898"/>
    <cellStyle name="常规 2 2 3 10" xfId="32899"/>
    <cellStyle name="常规 2 2 3 11" xfId="32900"/>
    <cellStyle name="常规 2 2 3 11 2" xfId="32901"/>
    <cellStyle name="常规 2 2 3 12" xfId="32902"/>
    <cellStyle name="常规 2 2 3 2" xfId="32903"/>
    <cellStyle name="常规 2 2 3 2 2" xfId="32904"/>
    <cellStyle name="常规 2 2 3 2 2 2" xfId="32905"/>
    <cellStyle name="常规 2 2 3 2 2 2 2" xfId="32906"/>
    <cellStyle name="常规 2 2 3 2 2 2 3" xfId="32907"/>
    <cellStyle name="常规 2 2 3 2 2 2 4" xfId="32908"/>
    <cellStyle name="常规 2 2 3 2 2 2 5" xfId="32909"/>
    <cellStyle name="常规 2 2 3 2 2 2 5 2" xfId="32910"/>
    <cellStyle name="常规 2 2 3 2 2 3" xfId="32911"/>
    <cellStyle name="常规 2 2 3 2 2 4" xfId="32912"/>
    <cellStyle name="常规 2 2 3 2 2 5" xfId="32913"/>
    <cellStyle name="常规 2 2 3 2 2 6" xfId="32914"/>
    <cellStyle name="常规 2 2 3 2 2 6 2" xfId="32915"/>
    <cellStyle name="常规 2 2 3 2 3" xfId="32916"/>
    <cellStyle name="常规 2 2 3 2 3 2" xfId="32917"/>
    <cellStyle name="常规 2 2 3 2 3 2 2" xfId="32918"/>
    <cellStyle name="常规 2 2 3 2 3 2 3" xfId="32919"/>
    <cellStyle name="常规 2 2 3 2 3 2 4" xfId="32920"/>
    <cellStyle name="常规 2 2 3 2 3 3" xfId="32921"/>
    <cellStyle name="常规 2 2 3 2 3 4" xfId="32922"/>
    <cellStyle name="常规 2 2 3 2 3 5" xfId="32923"/>
    <cellStyle name="常规 2 2 3 2 3 6" xfId="32924"/>
    <cellStyle name="常规 2 2 3 2 3 6 2" xfId="32925"/>
    <cellStyle name="常规 2 2 3 2 4" xfId="32926"/>
    <cellStyle name="常规 2 2 3 2 4 2" xfId="32927"/>
    <cellStyle name="常规 2 2 3 2 4 3" xfId="32928"/>
    <cellStyle name="常规 2 2 3 2 4 4" xfId="32929"/>
    <cellStyle name="常规 2 2 3 2 4 5" xfId="32930"/>
    <cellStyle name="常规 2 2 3 2 4 5 2" xfId="32931"/>
    <cellStyle name="常规 2 2 3 2 5" xfId="32932"/>
    <cellStyle name="常规 2 2 3 2 5 2" xfId="32933"/>
    <cellStyle name="常规 2 2 3 2 6" xfId="32934"/>
    <cellStyle name="常规 2 2 3 2 7" xfId="32935"/>
    <cellStyle name="常规 2 2 3 2 8" xfId="32936"/>
    <cellStyle name="常规 2 2 3 2 8 2" xfId="32937"/>
    <cellStyle name="常规 2 2 3 2 9" xfId="32938"/>
    <cellStyle name="常规 2 2 3 3" xfId="32939"/>
    <cellStyle name="常规 2 2 3 3 2" xfId="32940"/>
    <cellStyle name="常规 2 2 3 3 2 2" xfId="32941"/>
    <cellStyle name="常规 2 2 3 3 2 2 2" xfId="32942"/>
    <cellStyle name="常规 2 2 3 3 2 2 3" xfId="32943"/>
    <cellStyle name="常规 2 2 3 3 2 2 4" xfId="32944"/>
    <cellStyle name="常规 2 2 3 3 2 2 5" xfId="32945"/>
    <cellStyle name="常规 2 2 3 3 2 2 5 2" xfId="32946"/>
    <cellStyle name="常规 2 2 3 3 2 3" xfId="32947"/>
    <cellStyle name="常规 2 2 3 3 2 4" xfId="32948"/>
    <cellStyle name="常规 2 2 3 3 2 5" xfId="32949"/>
    <cellStyle name="常规 2 2 3 3 2 6" xfId="32950"/>
    <cellStyle name="常规 2 2 3 3 2 6 2" xfId="32951"/>
    <cellStyle name="常规 2 2 3 3 3" xfId="32952"/>
    <cellStyle name="常规 2 2 3 3 3 2" xfId="32953"/>
    <cellStyle name="常规 2 2 3 3 3 2 2" xfId="32954"/>
    <cellStyle name="常规 2 2 3 3 3 2 3" xfId="32955"/>
    <cellStyle name="常规 2 2 3 3 3 2 4" xfId="32956"/>
    <cellStyle name="常规 2 2 3 3 3 3" xfId="32957"/>
    <cellStyle name="常规 2 2 3 3 3 4" xfId="32958"/>
    <cellStyle name="常规 2 2 3 3 3 5" xfId="32959"/>
    <cellStyle name="常规 2 2 3 3 3 6" xfId="32960"/>
    <cellStyle name="常规 2 2 3 3 3 6 2" xfId="32961"/>
    <cellStyle name="常规 2 2 3 3 4" xfId="32962"/>
    <cellStyle name="常规 2 2 3 3 4 2" xfId="32963"/>
    <cellStyle name="常规 2 2 3 3 4 3" xfId="32964"/>
    <cellStyle name="常规 2 2 3 3 4 4" xfId="32965"/>
    <cellStyle name="常规 2 2 3 3 4 5" xfId="32966"/>
    <cellStyle name="常规 2 2 3 3 4 5 2" xfId="32967"/>
    <cellStyle name="常规 2 2 3 3 5" xfId="32968"/>
    <cellStyle name="常规 2 2 3 3 6" xfId="32969"/>
    <cellStyle name="常规 2 2 3 3 7" xfId="32970"/>
    <cellStyle name="常规 2 2 3 3 8" xfId="32971"/>
    <cellStyle name="常规 2 2 3 3 8 2" xfId="32972"/>
    <cellStyle name="常规 2 2 3 3 9" xfId="32973"/>
    <cellStyle name="常规 2 2 3 4" xfId="32974"/>
    <cellStyle name="常规 2 2 3 4 2" xfId="32975"/>
    <cellStyle name="常规 2 2 3 4 2 2" xfId="32976"/>
    <cellStyle name="常规 2 2 3 4 2 2 2" xfId="32977"/>
    <cellStyle name="常规 2 2 3 4 2 2 3" xfId="32978"/>
    <cellStyle name="常规 2 2 3 4 2 2 4" xfId="32979"/>
    <cellStyle name="常规 2 2 3 4 2 3" xfId="32980"/>
    <cellStyle name="常规 2 2 3 4 2 4" xfId="32981"/>
    <cellStyle name="常规 2 2 3 4 2 5" xfId="32982"/>
    <cellStyle name="常规 2 2 3 4 2 6" xfId="32983"/>
    <cellStyle name="常规 2 2 3 4 2 6 2" xfId="32984"/>
    <cellStyle name="常规 2 2 3 4 3" xfId="32985"/>
    <cellStyle name="常规 2 2 3 4 3 2" xfId="32986"/>
    <cellStyle name="常规 2 2 3 4 3 2 2" xfId="32987"/>
    <cellStyle name="常规 2 2 3 4 3 2 3" xfId="32988"/>
    <cellStyle name="常规 2 2 3 4 3 2 4" xfId="32989"/>
    <cellStyle name="常规 2 2 3 4 3 2 5" xfId="32990"/>
    <cellStyle name="常规 2 2 3 4 3 3" xfId="32991"/>
    <cellStyle name="常规 2 2 3 4 3 4" xfId="32992"/>
    <cellStyle name="常规 2 2 3 4 3 5" xfId="32993"/>
    <cellStyle name="常规 2 2 3 4 3 6" xfId="32994"/>
    <cellStyle name="常规 2 2 3 4 3 6 2" xfId="32995"/>
    <cellStyle name="常规 2 2 3 4 3 7" xfId="32996"/>
    <cellStyle name="常规 2 2 3 4 4" xfId="32997"/>
    <cellStyle name="常规 2 2 3 4 4 2" xfId="32998"/>
    <cellStyle name="常规 2 2 3 4 4 3" xfId="32999"/>
    <cellStyle name="常规 2 2 3 4 4 4" xfId="33000"/>
    <cellStyle name="常规 2 2 3 4 4 5" xfId="33001"/>
    <cellStyle name="常规 2 2 3 4 5" xfId="33002"/>
    <cellStyle name="常规 2 2 3 4 6" xfId="33003"/>
    <cellStyle name="常规 2 2 3 4 7" xfId="33004"/>
    <cellStyle name="常规 2 2 3 4 8" xfId="33005"/>
    <cellStyle name="常规 2 2 3 4 8 2" xfId="33006"/>
    <cellStyle name="常规 2 2 3 4 9" xfId="33007"/>
    <cellStyle name="常规 2 2 3 5" xfId="33008"/>
    <cellStyle name="常规 2 2 3 5 2" xfId="33009"/>
    <cellStyle name="常规 2 2 3 5 2 2" xfId="33010"/>
    <cellStyle name="常规 2 2 3 5 2 3" xfId="33011"/>
    <cellStyle name="常规 2 2 3 5 2 4" xfId="33012"/>
    <cellStyle name="常规 2 2 3 5 3" xfId="33013"/>
    <cellStyle name="常规 2 2 3 5 4" xfId="33014"/>
    <cellStyle name="常规 2 2 3 5 5" xfId="33015"/>
    <cellStyle name="常规 2 2 3 5 6" xfId="33016"/>
    <cellStyle name="常规 2 2 3 5 6 2" xfId="33017"/>
    <cellStyle name="常规 2 2 3 6" xfId="33018"/>
    <cellStyle name="常规 2 2 3 6 2" xfId="33019"/>
    <cellStyle name="常规 2 2 3 6 2 2" xfId="33020"/>
    <cellStyle name="常规 2 2 3 6 2 3" xfId="33021"/>
    <cellStyle name="常规 2 2 3 6 2 4" xfId="33022"/>
    <cellStyle name="常规 2 2 3 6 3" xfId="33023"/>
    <cellStyle name="常规 2 2 3 6 4" xfId="33024"/>
    <cellStyle name="常规 2 2 3 6 5" xfId="33025"/>
    <cellStyle name="常规 2 2 3 6 6" xfId="33026"/>
    <cellStyle name="常规 2 2 3 6 6 2" xfId="33027"/>
    <cellStyle name="常规 2 2 3 7" xfId="33028"/>
    <cellStyle name="常规 2 2 3 7 2" xfId="33029"/>
    <cellStyle name="常规 2 2 3 7 2 2" xfId="33030"/>
    <cellStyle name="常规 2 2 3 7 3" xfId="33031"/>
    <cellStyle name="常规 2 2 3 7 4" xfId="33032"/>
    <cellStyle name="常规 2 2 3 7 5" xfId="33033"/>
    <cellStyle name="常规 2 2 3 7 6" xfId="33034"/>
    <cellStyle name="常规 2 2 3 8" xfId="33035"/>
    <cellStyle name="常规 2 2 3 9" xfId="33036"/>
    <cellStyle name="常规 2 2 4" xfId="33037"/>
    <cellStyle name="常规 2 2 4 10" xfId="33038"/>
    <cellStyle name="常规 2 2 4 10 2" xfId="33039"/>
    <cellStyle name="常规 2 2 4 2" xfId="33040"/>
    <cellStyle name="常规 2 2 4 2 2" xfId="33041"/>
    <cellStyle name="常规 2 2 4 2 2 2" xfId="33042"/>
    <cellStyle name="常规 2 2 4 2 2 2 2" xfId="33043"/>
    <cellStyle name="常规 2 2 4 2 2 2 2 2" xfId="33044"/>
    <cellStyle name="常规 2 2 4 2 2 2 2 2 2" xfId="33045"/>
    <cellStyle name="常规 2 2 4 2 2 2 3" xfId="33046"/>
    <cellStyle name="常规 2 2 4 2 2 2 3 2" xfId="33047"/>
    <cellStyle name="常规 2 2 4 2 2 2 3 2 2" xfId="33048"/>
    <cellStyle name="常规 2 2 4 2 2 2 4" xfId="33049"/>
    <cellStyle name="常规 2 2 4 2 2 2 4 2" xfId="33050"/>
    <cellStyle name="常规 2 2 4 2 2 2 4 2 2" xfId="33051"/>
    <cellStyle name="常规 2 2 4 2 2 2 5" xfId="33052"/>
    <cellStyle name="常规 2 2 4 2 2 2 5 2" xfId="33053"/>
    <cellStyle name="常规 2 2 4 2 2 2 5 3" xfId="33054"/>
    <cellStyle name="常规 2 2 4 2 2 2 6" xfId="33055"/>
    <cellStyle name="常规 2 2 4 2 2 3" xfId="33056"/>
    <cellStyle name="常规 2 2 4 2 2 3 2" xfId="33057"/>
    <cellStyle name="常规 2 2 4 2 2 3 2 2" xfId="33058"/>
    <cellStyle name="常规 2 2 4 2 2 3 2 2 2" xfId="33059"/>
    <cellStyle name="常规 2 2 4 2 2 3 3" xfId="33060"/>
    <cellStyle name="常规 2 2 4 2 2 3 3 2" xfId="33061"/>
    <cellStyle name="常规 2 2 4 2 2 3 3 2 2" xfId="33062"/>
    <cellStyle name="常规 2 2 4 2 2 3 4" xfId="33063"/>
    <cellStyle name="常规 2 2 4 2 2 3 4 2" xfId="33064"/>
    <cellStyle name="常规 2 2 4 2 2 3 5" xfId="33065"/>
    <cellStyle name="常规 2 2 4 2 2 4" xfId="33066"/>
    <cellStyle name="常规 2 2 4 2 2 4 2" xfId="33067"/>
    <cellStyle name="常规 2 2 4 2 2 4 2 2" xfId="33068"/>
    <cellStyle name="常规 2 2 4 2 2 5" xfId="33069"/>
    <cellStyle name="常规 2 2 4 2 2 5 2" xfId="33070"/>
    <cellStyle name="常规 2 2 4 2 2 5 2 2" xfId="33071"/>
    <cellStyle name="常规 2 2 4 2 2 6" xfId="33072"/>
    <cellStyle name="常规 2 2 4 2 2 7" xfId="33073"/>
    <cellStyle name="常规 2 2 4 2 2 7 2" xfId="33074"/>
    <cellStyle name="常规 2 2 4 2 2 7 3" xfId="33075"/>
    <cellStyle name="常规 2 2 4 2 2 8" xfId="33076"/>
    <cellStyle name="常规 2 2 4 2 2 8 2" xfId="33077"/>
    <cellStyle name="常规 2 2 4 2 3" xfId="33078"/>
    <cellStyle name="常规 2 2 4 2 3 2" xfId="33079"/>
    <cellStyle name="常规 2 2 4 2 3 2 2" xfId="33080"/>
    <cellStyle name="常规 2 2 4 2 3 2 3" xfId="33081"/>
    <cellStyle name="常规 2 2 4 2 3 2 4" xfId="33082"/>
    <cellStyle name="常规 2 2 4 2 3 2 5" xfId="33083"/>
    <cellStyle name="常规 2 2 4 2 3 2 5 2" xfId="33084"/>
    <cellStyle name="常规 2 2 4 2 3 3" xfId="33085"/>
    <cellStyle name="常规 2 2 4 2 3 3 2" xfId="33086"/>
    <cellStyle name="常规 2 2 4 2 3 3 2 2" xfId="33087"/>
    <cellStyle name="常规 2 2 4 2 3 4" xfId="33088"/>
    <cellStyle name="常规 2 2 4 2 3 4 2" xfId="33089"/>
    <cellStyle name="常规 2 2 4 2 3 4 2 2" xfId="33090"/>
    <cellStyle name="常规 2 2 4 2 3 5" xfId="33091"/>
    <cellStyle name="常规 2 2 4 2 3 5 2" xfId="33092"/>
    <cellStyle name="常规 2 2 4 2 3 5 3" xfId="33093"/>
    <cellStyle name="常规 2 2 4 2 3 6" xfId="33094"/>
    <cellStyle name="常规 2 2 4 2 3 6 2" xfId="33095"/>
    <cellStyle name="常规 2 2 4 2 3 7" xfId="33096"/>
    <cellStyle name="常规 2 2 4 2 4" xfId="33097"/>
    <cellStyle name="常规 2 2 4 2 4 2" xfId="33098"/>
    <cellStyle name="常规 2 2 4 2 4 3" xfId="33099"/>
    <cellStyle name="常规 2 2 4 2 4 4" xfId="33100"/>
    <cellStyle name="常规 2 2 4 2 4 5" xfId="33101"/>
    <cellStyle name="常规 2 2 4 2 4 5 2" xfId="33102"/>
    <cellStyle name="常规 2 2 4 2 5" xfId="33103"/>
    <cellStyle name="常规 2 2 4 2 5 2" xfId="33104"/>
    <cellStyle name="常规 2 2 4 2 5 2 2" xfId="33105"/>
    <cellStyle name="常规 2 2 4 2 6" xfId="33106"/>
    <cellStyle name="常规 2 2 4 2 6 2" xfId="33107"/>
    <cellStyle name="常规 2 2 4 2 6 2 2" xfId="33108"/>
    <cellStyle name="常规 2 2 4 2 7" xfId="33109"/>
    <cellStyle name="常规 2 2 4 2 7 2" xfId="33110"/>
    <cellStyle name="常规 2 2 4 2 7 2 2" xfId="33111"/>
    <cellStyle name="常规 2 2 4 2 8" xfId="33112"/>
    <cellStyle name="常规 2 2 4 2 8 2" xfId="33113"/>
    <cellStyle name="常规 2 2 4 2 8 3" xfId="33114"/>
    <cellStyle name="常规 2 2 4 2 9" xfId="33115"/>
    <cellStyle name="常规 2 2 4 2 9 2" xfId="33116"/>
    <cellStyle name="常规 2 2 4 3" xfId="33117"/>
    <cellStyle name="常规 2 2 4 3 2" xfId="33118"/>
    <cellStyle name="常规 2 2 4 3 2 2" xfId="33119"/>
    <cellStyle name="常规 2 2 4 3 2 2 2" xfId="33120"/>
    <cellStyle name="常规 2 2 4 3 2 2 2 2" xfId="33121"/>
    <cellStyle name="常规 2 2 4 3 2 3" xfId="33122"/>
    <cellStyle name="常规 2 2 4 3 2 3 2" xfId="33123"/>
    <cellStyle name="常规 2 2 4 3 2 3 2 2" xfId="33124"/>
    <cellStyle name="常规 2 2 4 3 2 4" xfId="33125"/>
    <cellStyle name="常规 2 2 4 3 2 4 2" xfId="33126"/>
    <cellStyle name="常规 2 2 4 3 2 4 2 2" xfId="33127"/>
    <cellStyle name="常规 2 2 4 3 2 5" xfId="33128"/>
    <cellStyle name="常规 2 2 4 3 2 5 2" xfId="33129"/>
    <cellStyle name="常规 2 2 4 3 2 5 3" xfId="33130"/>
    <cellStyle name="常规 2 2 4 3 2 6" xfId="33131"/>
    <cellStyle name="常规 2 2 4 3 3" xfId="33132"/>
    <cellStyle name="常规 2 2 4 3 3 2" xfId="33133"/>
    <cellStyle name="常规 2 2 4 3 3 2 2" xfId="33134"/>
    <cellStyle name="常规 2 2 4 3 3 2 2 2" xfId="33135"/>
    <cellStyle name="常规 2 2 4 3 3 3" xfId="33136"/>
    <cellStyle name="常规 2 2 4 3 3 3 2" xfId="33137"/>
    <cellStyle name="常规 2 2 4 3 3 3 2 2" xfId="33138"/>
    <cellStyle name="常规 2 2 4 3 3 4" xfId="33139"/>
    <cellStyle name="常规 2 2 4 3 3 4 2" xfId="33140"/>
    <cellStyle name="常规 2 2 4 3 3 5" xfId="33141"/>
    <cellStyle name="常规 2 2 4 3 4" xfId="33142"/>
    <cellStyle name="常规 2 2 4 3 4 2" xfId="33143"/>
    <cellStyle name="常规 2 2 4 3 4 2 2" xfId="33144"/>
    <cellStyle name="常规 2 2 4 3 5" xfId="33145"/>
    <cellStyle name="常规 2 2 4 3 5 2" xfId="33146"/>
    <cellStyle name="常规 2 2 4 3 5 2 2" xfId="33147"/>
    <cellStyle name="常规 2 2 4 3 6" xfId="33148"/>
    <cellStyle name="常规 2 2 4 3 7" xfId="33149"/>
    <cellStyle name="常规 2 2 4 3 7 2" xfId="33150"/>
    <cellStyle name="常规 2 2 4 3 7 3" xfId="33151"/>
    <cellStyle name="常规 2 2 4 3 8" xfId="33152"/>
    <cellStyle name="常规 2 2 4 3 8 2" xfId="33153"/>
    <cellStyle name="常规 2 2 4 4" xfId="33154"/>
    <cellStyle name="常规 2 2 4 4 2" xfId="33155"/>
    <cellStyle name="常规 2 2 4 4 2 2" xfId="33156"/>
    <cellStyle name="常规 2 2 4 4 2 3" xfId="33157"/>
    <cellStyle name="常规 2 2 4 4 2 4" xfId="33158"/>
    <cellStyle name="常规 2 2 4 4 2 5" xfId="33159"/>
    <cellStyle name="常规 2 2 4 4 2 5 2" xfId="33160"/>
    <cellStyle name="常规 2 2 4 4 3" xfId="33161"/>
    <cellStyle name="常规 2 2 4 4 3 2" xfId="33162"/>
    <cellStyle name="常规 2 2 4 4 3 2 2" xfId="33163"/>
    <cellStyle name="常规 2 2 4 4 4" xfId="33164"/>
    <cellStyle name="常规 2 2 4 4 4 2" xfId="33165"/>
    <cellStyle name="常规 2 2 4 4 4 2 2" xfId="33166"/>
    <cellStyle name="常规 2 2 4 4 5" xfId="33167"/>
    <cellStyle name="常规 2 2 4 4 5 2" xfId="33168"/>
    <cellStyle name="常规 2 2 4 4 5 3" xfId="33169"/>
    <cellStyle name="常规 2 2 4 4 6" xfId="33170"/>
    <cellStyle name="常规 2 2 4 4 6 2" xfId="33171"/>
    <cellStyle name="常规 2 2 4 4 7" xfId="33172"/>
    <cellStyle name="常规 2 2 4 5" xfId="33173"/>
    <cellStyle name="常规 2 2 4 5 2" xfId="33174"/>
    <cellStyle name="常规 2 2 4 5 3" xfId="33175"/>
    <cellStyle name="常规 2 2 4 5 4" xfId="33176"/>
    <cellStyle name="常规 2 2 4 5 5" xfId="33177"/>
    <cellStyle name="常规 2 2 4 5 5 2" xfId="33178"/>
    <cellStyle name="常规 2 2 4 6" xfId="33179"/>
    <cellStyle name="常规 2 2 4 6 2" xfId="33180"/>
    <cellStyle name="常规 2 2 4 6 2 2" xfId="33181"/>
    <cellStyle name="常规 2 2 4 7" xfId="33182"/>
    <cellStyle name="常规 2 2 4 7 2" xfId="33183"/>
    <cellStyle name="常规 2 2 4 7 2 2" xfId="33184"/>
    <cellStyle name="常规 2 2 4 8" xfId="33185"/>
    <cellStyle name="常规 2 2 4 8 2" xfId="33186"/>
    <cellStyle name="常规 2 2 4 8 2 2" xfId="33187"/>
    <cellStyle name="常规 2 2 4 9" xfId="33188"/>
    <cellStyle name="常规 2 2 4 9 2" xfId="33189"/>
    <cellStyle name="常规 2 2 4 9 2 2" xfId="33190"/>
    <cellStyle name="常规 2 2 4 9 3" xfId="33191"/>
    <cellStyle name="常规 2 2 4 9 3 2" xfId="33192"/>
    <cellStyle name="常规 2 2 5" xfId="33193"/>
    <cellStyle name="常规 2 2 5 10" xfId="33194"/>
    <cellStyle name="常规 2 2 5 10 2" xfId="33195"/>
    <cellStyle name="常规 2 2 5 2" xfId="33196"/>
    <cellStyle name="常规 2 2 5 2 2" xfId="33197"/>
    <cellStyle name="常规 2 2 5 2 2 2" xfId="33198"/>
    <cellStyle name="常规 2 2 5 2 2 2 2" xfId="33199"/>
    <cellStyle name="常规 2 2 5 2 2 2 3" xfId="33200"/>
    <cellStyle name="常规 2 2 5 2 2 2 4" xfId="33201"/>
    <cellStyle name="常规 2 2 5 2 2 2 5" xfId="33202"/>
    <cellStyle name="常规 2 2 5 2 2 2 5 2" xfId="33203"/>
    <cellStyle name="常规 2 2 5 2 2 3" xfId="33204"/>
    <cellStyle name="常规 2 2 5 2 2 3 2" xfId="33205"/>
    <cellStyle name="常规 2 2 5 2 2 3 2 2" xfId="33206"/>
    <cellStyle name="常规 2 2 5 2 2 4" xfId="33207"/>
    <cellStyle name="常规 2 2 5 2 2 4 2" xfId="33208"/>
    <cellStyle name="常规 2 2 5 2 2 4 2 2" xfId="33209"/>
    <cellStyle name="常规 2 2 5 2 2 5" xfId="33210"/>
    <cellStyle name="常规 2 2 5 2 2 5 2" xfId="33211"/>
    <cellStyle name="常规 2 2 5 2 2 5 3" xfId="33212"/>
    <cellStyle name="常规 2 2 5 2 2 6" xfId="33213"/>
    <cellStyle name="常规 2 2 5 2 2 6 2" xfId="33214"/>
    <cellStyle name="常规 2 2 5 2 2 7" xfId="33215"/>
    <cellStyle name="常规 2 2 5 2 3" xfId="33216"/>
    <cellStyle name="常规 2 2 5 2 3 2" xfId="33217"/>
    <cellStyle name="常规 2 2 5 2 3 2 2" xfId="33218"/>
    <cellStyle name="常规 2 2 5 2 3 2 3" xfId="33219"/>
    <cellStyle name="常规 2 2 5 2 3 2 4" xfId="33220"/>
    <cellStyle name="常规 2 2 5 2 3 3" xfId="33221"/>
    <cellStyle name="常规 2 2 5 2 3 4" xfId="33222"/>
    <cellStyle name="常规 2 2 5 2 3 5" xfId="33223"/>
    <cellStyle name="常规 2 2 5 2 3 6" xfId="33224"/>
    <cellStyle name="常规 2 2 5 2 3 6 2" xfId="33225"/>
    <cellStyle name="常规 2 2 5 2 4" xfId="33226"/>
    <cellStyle name="常规 2 2 5 2 4 2" xfId="33227"/>
    <cellStyle name="常规 2 2 5 2 4 3" xfId="33228"/>
    <cellStyle name="常规 2 2 5 2 4 4" xfId="33229"/>
    <cellStyle name="常规 2 2 5 2 4 5" xfId="33230"/>
    <cellStyle name="常规 2 2 5 2 4 5 2" xfId="33231"/>
    <cellStyle name="常规 2 2 5 2 5" xfId="33232"/>
    <cellStyle name="常规 2 2 5 2 5 2" xfId="33233"/>
    <cellStyle name="常规 2 2 5 2 5 2 2" xfId="33234"/>
    <cellStyle name="常规 2 2 5 2 6" xfId="33235"/>
    <cellStyle name="常规 2 2 5 2 6 2" xfId="33236"/>
    <cellStyle name="常规 2 2 5 2 6 2 2" xfId="33237"/>
    <cellStyle name="常规 2 2 5 2 7" xfId="33238"/>
    <cellStyle name="常规 2 2 5 2 7 2" xfId="33239"/>
    <cellStyle name="常规 2 2 5 2 7 2 2" xfId="33240"/>
    <cellStyle name="常规 2 2 5 2 8" xfId="33241"/>
    <cellStyle name="常规 2 2 5 2 8 2" xfId="33242"/>
    <cellStyle name="常规 2 2 5 2 8 3" xfId="33243"/>
    <cellStyle name="常规 2 2 5 2 9" xfId="33244"/>
    <cellStyle name="常规 2 2 5 3" xfId="33245"/>
    <cellStyle name="常规 2 2 5 3 2" xfId="33246"/>
    <cellStyle name="常规 2 2 5 3 2 2" xfId="33247"/>
    <cellStyle name="常规 2 2 5 3 2 2 2" xfId="33248"/>
    <cellStyle name="常规 2 2 5 3 2 2 2 2" xfId="33249"/>
    <cellStyle name="常规 2 2 5 3 2 3" xfId="33250"/>
    <cellStyle name="常规 2 2 5 3 2 3 2" xfId="33251"/>
    <cellStyle name="常规 2 2 5 3 2 3 2 2" xfId="33252"/>
    <cellStyle name="常规 2 2 5 3 2 4" xfId="33253"/>
    <cellStyle name="常规 2 2 5 3 2 4 2" xfId="33254"/>
    <cellStyle name="常规 2 2 5 3 2 4 2 2" xfId="33255"/>
    <cellStyle name="常规 2 2 5 3 2 5" xfId="33256"/>
    <cellStyle name="常规 2 2 5 3 2 5 2" xfId="33257"/>
    <cellStyle name="常规 2 2 5 3 2 5 3" xfId="33258"/>
    <cellStyle name="常规 2 2 5 3 2 6" xfId="33259"/>
    <cellStyle name="常规 2 2 5 3 3" xfId="33260"/>
    <cellStyle name="常规 2 2 5 3 3 2" xfId="33261"/>
    <cellStyle name="常规 2 2 5 3 3 2 2" xfId="33262"/>
    <cellStyle name="常规 2 2 5 3 3 2 2 2" xfId="33263"/>
    <cellStyle name="常规 2 2 5 3 3 3" xfId="33264"/>
    <cellStyle name="常规 2 2 5 3 3 3 2" xfId="33265"/>
    <cellStyle name="常规 2 2 5 3 3 3 2 2" xfId="33266"/>
    <cellStyle name="常规 2 2 5 3 3 4" xfId="33267"/>
    <cellStyle name="常规 2 2 5 3 3 4 2" xfId="33268"/>
    <cellStyle name="常规 2 2 5 3 3 5" xfId="33269"/>
    <cellStyle name="常规 2 2 5 3 4" xfId="33270"/>
    <cellStyle name="常规 2 2 5 3 4 2" xfId="33271"/>
    <cellStyle name="常规 2 2 5 3 4 2 2" xfId="33272"/>
    <cellStyle name="常规 2 2 5 3 5" xfId="33273"/>
    <cellStyle name="常规 2 2 5 3 5 2" xfId="33274"/>
    <cellStyle name="常规 2 2 5 3 5 2 2" xfId="33275"/>
    <cellStyle name="常规 2 2 5 3 6" xfId="33276"/>
    <cellStyle name="常规 2 2 5 3 7" xfId="33277"/>
    <cellStyle name="常规 2 2 5 3 7 2" xfId="33278"/>
    <cellStyle name="常规 2 2 5 3 7 3" xfId="33279"/>
    <cellStyle name="常规 2 2 5 3 8" xfId="33280"/>
    <cellStyle name="常规 2 2 5 3 8 2" xfId="33281"/>
    <cellStyle name="常规 2 2 5 4" xfId="33282"/>
    <cellStyle name="常规 2 2 5 4 2" xfId="33283"/>
    <cellStyle name="常规 2 2 5 4 2 2" xfId="33284"/>
    <cellStyle name="常规 2 2 5 4 2 3" xfId="33285"/>
    <cellStyle name="常规 2 2 5 4 2 4" xfId="33286"/>
    <cellStyle name="常规 2 2 5 4 2 5" xfId="33287"/>
    <cellStyle name="常规 2 2 5 4 2 5 2" xfId="33288"/>
    <cellStyle name="常规 2 2 5 4 3" xfId="33289"/>
    <cellStyle name="常规 2 2 5 4 3 2" xfId="33290"/>
    <cellStyle name="常规 2 2 5 4 3 2 2" xfId="33291"/>
    <cellStyle name="常规 2 2 5 4 4" xfId="33292"/>
    <cellStyle name="常规 2 2 5 4 4 2" xfId="33293"/>
    <cellStyle name="常规 2 2 5 4 4 2 2" xfId="33294"/>
    <cellStyle name="常规 2 2 5 4 5" xfId="33295"/>
    <cellStyle name="常规 2 2 5 4 5 2" xfId="33296"/>
    <cellStyle name="常规 2 2 5 4 5 3" xfId="33297"/>
    <cellStyle name="常规 2 2 5 4 6" xfId="33298"/>
    <cellStyle name="常规 2 2 5 4 6 2" xfId="33299"/>
    <cellStyle name="常规 2 2 5 4 7" xfId="33300"/>
    <cellStyle name="常规 2 2 5 5" xfId="33301"/>
    <cellStyle name="常规 2 2 5 5 2" xfId="33302"/>
    <cellStyle name="常规 2 2 5 5 3" xfId="33303"/>
    <cellStyle name="常规 2 2 5 5 4" xfId="33304"/>
    <cellStyle name="常规 2 2 5 5 5" xfId="33305"/>
    <cellStyle name="常规 2 2 5 5 5 2" xfId="33306"/>
    <cellStyle name="常规 2 2 5 6" xfId="33307"/>
    <cellStyle name="常规 2 2 5 6 2" xfId="33308"/>
    <cellStyle name="常规 2 2 5 6 2 2" xfId="33309"/>
    <cellStyle name="常规 2 2 5 7" xfId="33310"/>
    <cellStyle name="常规 2 2 5 7 2" xfId="33311"/>
    <cellStyle name="常规 2 2 5 7 2 2" xfId="33312"/>
    <cellStyle name="常规 2 2 5 8" xfId="33313"/>
    <cellStyle name="常规 2 2 5 8 2" xfId="33314"/>
    <cellStyle name="常规 2 2 5 8 2 2" xfId="33315"/>
    <cellStyle name="常规 2 2 5 9" xfId="33316"/>
    <cellStyle name="常规 2 2 5 9 2" xfId="33317"/>
    <cellStyle name="常规 2 2 5 9 3" xfId="33318"/>
    <cellStyle name="常规 2 2 6" xfId="33319"/>
    <cellStyle name="常规 2 2 6 10" xfId="33320"/>
    <cellStyle name="常规 2 2 6 2" xfId="33321"/>
    <cellStyle name="常规 2 2 6 2 2" xfId="33322"/>
    <cellStyle name="常规 2 2 6 2 2 2" xfId="33323"/>
    <cellStyle name="常规 2 2 6 2 2 2 2" xfId="33324"/>
    <cellStyle name="常规 2 2 6 2 2 2 3" xfId="33325"/>
    <cellStyle name="常规 2 2 6 2 2 2 4" xfId="33326"/>
    <cellStyle name="常规 2 2 6 2 2 2 5" xfId="33327"/>
    <cellStyle name="常规 2 2 6 2 2 2 5 2" xfId="33328"/>
    <cellStyle name="常规 2 2 6 2 2 3" xfId="33329"/>
    <cellStyle name="常规 2 2 6 2 2 4" xfId="33330"/>
    <cellStyle name="常规 2 2 6 2 2 5" xfId="33331"/>
    <cellStyle name="常规 2 2 6 2 2 6" xfId="33332"/>
    <cellStyle name="常规 2 2 6 2 2 6 2" xfId="33333"/>
    <cellStyle name="常规 2 2 6 2 3" xfId="33334"/>
    <cellStyle name="常规 2 2 6 2 3 2" xfId="33335"/>
    <cellStyle name="常规 2 2 6 2 3 2 2" xfId="33336"/>
    <cellStyle name="常规 2 2 6 2 3 2 3" xfId="33337"/>
    <cellStyle name="常规 2 2 6 2 3 2 4" xfId="33338"/>
    <cellStyle name="常规 2 2 6 2 3 3" xfId="33339"/>
    <cellStyle name="常规 2 2 6 2 3 4" xfId="33340"/>
    <cellStyle name="常规 2 2 6 2 3 5" xfId="33341"/>
    <cellStyle name="常规 2 2 6 2 3 6" xfId="33342"/>
    <cellStyle name="常规 2 2 6 2 3 6 2" xfId="33343"/>
    <cellStyle name="常规 2 2 6 2 4" xfId="33344"/>
    <cellStyle name="常规 2 2 6 2 4 2" xfId="33345"/>
    <cellStyle name="常规 2 2 6 2 4 3" xfId="33346"/>
    <cellStyle name="常规 2 2 6 2 4 4" xfId="33347"/>
    <cellStyle name="常规 2 2 6 2 4 5" xfId="33348"/>
    <cellStyle name="常规 2 2 6 2 4 5 2" xfId="33349"/>
    <cellStyle name="常规 2 2 6 2 5" xfId="33350"/>
    <cellStyle name="常规 2 2 6 2 6" xfId="33351"/>
    <cellStyle name="常规 2 2 6 2 7" xfId="33352"/>
    <cellStyle name="常规 2 2 6 2 8" xfId="33353"/>
    <cellStyle name="常规 2 2 6 2 8 2" xfId="33354"/>
    <cellStyle name="常规 2 2 6 2 9" xfId="33355"/>
    <cellStyle name="常规 2 2 6 3" xfId="33356"/>
    <cellStyle name="常规 2 2 6 3 2" xfId="33357"/>
    <cellStyle name="常规 2 2 6 3 2 2" xfId="33358"/>
    <cellStyle name="常规 2 2 6 3 2 3" xfId="33359"/>
    <cellStyle name="常规 2 2 6 3 2 4" xfId="33360"/>
    <cellStyle name="常规 2 2 6 3 2 5" xfId="33361"/>
    <cellStyle name="常规 2 2 6 3 2 5 2" xfId="33362"/>
    <cellStyle name="常规 2 2 6 3 3" xfId="33363"/>
    <cellStyle name="常规 2 2 6 3 4" xfId="33364"/>
    <cellStyle name="常规 2 2 6 3 5" xfId="33365"/>
    <cellStyle name="常规 2 2 6 3 6" xfId="33366"/>
    <cellStyle name="常规 2 2 6 3 6 2" xfId="33367"/>
    <cellStyle name="常规 2 2 6 4" xfId="33368"/>
    <cellStyle name="常规 2 2 6 4 2" xfId="33369"/>
    <cellStyle name="常规 2 2 6 4 2 2" xfId="33370"/>
    <cellStyle name="常规 2 2 6 4 2 3" xfId="33371"/>
    <cellStyle name="常规 2 2 6 4 2 4" xfId="33372"/>
    <cellStyle name="常规 2 2 6 4 3" xfId="33373"/>
    <cellStyle name="常规 2 2 6 4 4" xfId="33374"/>
    <cellStyle name="常规 2 2 6 4 5" xfId="33375"/>
    <cellStyle name="常规 2 2 6 4 6" xfId="33376"/>
    <cellStyle name="常规 2 2 6 4 6 2" xfId="33377"/>
    <cellStyle name="常规 2 2 6 5" xfId="33378"/>
    <cellStyle name="常规 2 2 6 5 2" xfId="33379"/>
    <cellStyle name="常规 2 2 6 5 3" xfId="33380"/>
    <cellStyle name="常规 2 2 6 5 4" xfId="33381"/>
    <cellStyle name="常规 2 2 6 5 5" xfId="33382"/>
    <cellStyle name="常规 2 2 6 5 5 2" xfId="33383"/>
    <cellStyle name="常规 2 2 6 6" xfId="33384"/>
    <cellStyle name="常规 2 2 6 7" xfId="33385"/>
    <cellStyle name="常规 2 2 6 8" xfId="33386"/>
    <cellStyle name="常规 2 2 6 9" xfId="33387"/>
    <cellStyle name="常规 2 2 6 9 2" xfId="33388"/>
    <cellStyle name="常规 2 2 7" xfId="33389"/>
    <cellStyle name="常规 2 2 7 2" xfId="33390"/>
    <cellStyle name="常规 2 2 7 2 2" xfId="33391"/>
    <cellStyle name="常规 2 2 7 2 2 2" xfId="33392"/>
    <cellStyle name="常规 2 2 7 2 2 3" xfId="33393"/>
    <cellStyle name="常规 2 2 7 2 2 4" xfId="33394"/>
    <cellStyle name="常规 2 2 7 2 2 5" xfId="33395"/>
    <cellStyle name="常规 2 2 7 2 2 5 2" xfId="33396"/>
    <cellStyle name="常规 2 2 7 2 3" xfId="33397"/>
    <cellStyle name="常规 2 2 7 2 4" xfId="33398"/>
    <cellStyle name="常规 2 2 7 2 5" xfId="33399"/>
    <cellStyle name="常规 2 2 7 2 6" xfId="33400"/>
    <cellStyle name="常规 2 2 7 2 6 2" xfId="33401"/>
    <cellStyle name="常规 2 2 7 3" xfId="33402"/>
    <cellStyle name="常规 2 2 7 3 2" xfId="33403"/>
    <cellStyle name="常规 2 2 7 3 2 2" xfId="33404"/>
    <cellStyle name="常规 2 2 7 3 2 3" xfId="33405"/>
    <cellStyle name="常规 2 2 7 3 2 4" xfId="33406"/>
    <cellStyle name="常规 2 2 7 3 3" xfId="33407"/>
    <cellStyle name="常规 2 2 7 3 4" xfId="33408"/>
    <cellStyle name="常规 2 2 7 3 5" xfId="33409"/>
    <cellStyle name="常规 2 2 7 3 6" xfId="33410"/>
    <cellStyle name="常规 2 2 7 3 6 2" xfId="33411"/>
    <cellStyle name="常规 2 2 7 4" xfId="33412"/>
    <cellStyle name="常规 2 2 7 4 2" xfId="33413"/>
    <cellStyle name="常规 2 2 7 4 3" xfId="33414"/>
    <cellStyle name="常规 2 2 7 4 4" xfId="33415"/>
    <cellStyle name="常规 2 2 7 4 5" xfId="33416"/>
    <cellStyle name="常规 2 2 7 4 5 2" xfId="33417"/>
    <cellStyle name="常规 2 2 7 5" xfId="33418"/>
    <cellStyle name="常规 2 2 7 6" xfId="33419"/>
    <cellStyle name="常规 2 2 7 7" xfId="33420"/>
    <cellStyle name="常规 2 2 7 8" xfId="33421"/>
    <cellStyle name="常规 2 2 7 8 2" xfId="33422"/>
    <cellStyle name="常规 2 2 7 9" xfId="33423"/>
    <cellStyle name="常规 2 2 8" xfId="33424"/>
    <cellStyle name="常规 2 2 8 2" xfId="33425"/>
    <cellStyle name="常规 2 2 8 2 2" xfId="33426"/>
    <cellStyle name="常规 2 2 8 2 2 2" xfId="33427"/>
    <cellStyle name="常规 2 2 8 2 2 2 2" xfId="33428"/>
    <cellStyle name="常规 2 2 8 2 3" xfId="33429"/>
    <cellStyle name="常规 2 2 8 2 3 2" xfId="33430"/>
    <cellStyle name="常规 2 2 8 2 3 2 2" xfId="33431"/>
    <cellStyle name="常规 2 2 8 2 4" xfId="33432"/>
    <cellStyle name="常规 2 2 8 2 4 2" xfId="33433"/>
    <cellStyle name="常规 2 2 8 2 4 2 2" xfId="33434"/>
    <cellStyle name="常规 2 2 8 2 5" xfId="33435"/>
    <cellStyle name="常规 2 2 8 2 5 2" xfId="33436"/>
    <cellStyle name="常规 2 2 8 2 5 3" xfId="33437"/>
    <cellStyle name="常规 2 2 8 2 6" xfId="33438"/>
    <cellStyle name="常规 2 2 8 3" xfId="33439"/>
    <cellStyle name="常规 2 2 8 3 2" xfId="33440"/>
    <cellStyle name="常规 2 2 8 3 2 2" xfId="33441"/>
    <cellStyle name="常规 2 2 8 4" xfId="33442"/>
    <cellStyle name="常规 2 2 8 4 2" xfId="33443"/>
    <cellStyle name="常规 2 2 8 4 2 2" xfId="33444"/>
    <cellStyle name="常规 2 2 8 5" xfId="33445"/>
    <cellStyle name="常规 2 2 8 5 2" xfId="33446"/>
    <cellStyle name="常规 2 2 8 5 2 2" xfId="33447"/>
    <cellStyle name="常规 2 2 8 6" xfId="33448"/>
    <cellStyle name="常规 2 2 8 7" xfId="33449"/>
    <cellStyle name="常规 2 2 8 7 2" xfId="33450"/>
    <cellStyle name="常规 2 2 8 7 3" xfId="33451"/>
    <cellStyle name="常规 2 2 8 8" xfId="33452"/>
    <cellStyle name="常规 2 2 8 8 2" xfId="33453"/>
    <cellStyle name="常规 2 2 9" xfId="33454"/>
    <cellStyle name="常规 2 2 9 2" xfId="33455"/>
    <cellStyle name="常规 2 2 9 2 2" xfId="33456"/>
    <cellStyle name="常规 2 2 9 2 2 2" xfId="33457"/>
    <cellStyle name="常规 2 2 9 2 2 2 2" xfId="33458"/>
    <cellStyle name="常规 2 2 9 2 3" xfId="33459"/>
    <cellStyle name="常规 2 2 9 2 4" xfId="33460"/>
    <cellStyle name="常规 2 2 9 2 5" xfId="33461"/>
    <cellStyle name="常规 2 2 9 2 5 2" xfId="33462"/>
    <cellStyle name="常规 2 2 9 3" xfId="33463"/>
    <cellStyle name="常规 2 2 9 3 2" xfId="33464"/>
    <cellStyle name="常规 2 2 9 3 2 2" xfId="33465"/>
    <cellStyle name="常规 2 2 9 4" xfId="33466"/>
    <cellStyle name="常规 2 2 9 4 2" xfId="33467"/>
    <cellStyle name="常规 2 2 9 4 2 2" xfId="33468"/>
    <cellStyle name="常规 2 2 9 5" xfId="33469"/>
    <cellStyle name="常规 2 2 9 6" xfId="33470"/>
    <cellStyle name="常规 2 2 9 6 2" xfId="33471"/>
    <cellStyle name="常规 2 2 9 7" xfId="33472"/>
    <cellStyle name="常规 2 20" xfId="33473"/>
    <cellStyle name="常规 2 20 2" xfId="33474"/>
    <cellStyle name="常规 2 20 2 2" xfId="33475"/>
    <cellStyle name="常规 2 20 2 3" xfId="33476"/>
    <cellStyle name="常规 2 20 3" xfId="33477"/>
    <cellStyle name="常规 2 20 3 2" xfId="33478"/>
    <cellStyle name="常规 2 20 4" xfId="33479"/>
    <cellStyle name="常规 2 20 5" xfId="33480"/>
    <cellStyle name="常规 2 21" xfId="33481"/>
    <cellStyle name="常规 2 21 2" xfId="33482"/>
    <cellStyle name="常规 2 21 2 2" xfId="33483"/>
    <cellStyle name="常规 2 21 3" xfId="33484"/>
    <cellStyle name="常规 2 22" xfId="33485"/>
    <cellStyle name="常规 2 22 2" xfId="33486"/>
    <cellStyle name="常规 2 22 3" xfId="33487"/>
    <cellStyle name="常规 2 23" xfId="33488"/>
    <cellStyle name="常规 2 23 2" xfId="33489"/>
    <cellStyle name="常规 2 24" xfId="33490"/>
    <cellStyle name="常规 2 25" xfId="33491"/>
    <cellStyle name="常规 2 26" xfId="33492"/>
    <cellStyle name="常规 2 27" xfId="33493"/>
    <cellStyle name="常规 2 28" xfId="33494"/>
    <cellStyle name="常规 2 3" xfId="33495"/>
    <cellStyle name="常规 2 3 2" xfId="33496"/>
    <cellStyle name="常规 2 3 2 2" xfId="33497"/>
    <cellStyle name="常规 2 3 2 2 2" xfId="33498"/>
    <cellStyle name="常规 2 3 2 2 2 2" xfId="33499"/>
    <cellStyle name="常规 2 3 2 2 2 3" xfId="33500"/>
    <cellStyle name="常规 2 3 2 2 2 4" xfId="33501"/>
    <cellStyle name="常规 2 3 2 2 2 4 2" xfId="33502"/>
    <cellStyle name="常规 2 3 2 2 2 5" xfId="33503"/>
    <cellStyle name="常规 2 3 2 2 2 5 2" xfId="33504"/>
    <cellStyle name="常规 2 3 2 2 3" xfId="33505"/>
    <cellStyle name="常规 2 3 2 2 4" xfId="33506"/>
    <cellStyle name="常规 2 3 2 2 5" xfId="33507"/>
    <cellStyle name="常规 2 3 2 2 6" xfId="33508"/>
    <cellStyle name="常规 2 3 2 2 6 2" xfId="33509"/>
    <cellStyle name="常规 2 3 2 2 7" xfId="33510"/>
    <cellStyle name="常规 2 3 2 2 7 2" xfId="33511"/>
    <cellStyle name="常规 2 3 2 3" xfId="33512"/>
    <cellStyle name="常规 2 3 2 3 2" xfId="33513"/>
    <cellStyle name="常规 2 3 2 3 2 2" xfId="33514"/>
    <cellStyle name="常规 2 3 2 3 2 3" xfId="33515"/>
    <cellStyle name="常规 2 3 2 3 2 4" xfId="33516"/>
    <cellStyle name="常规 2 3 2 3 2 4 2" xfId="33517"/>
    <cellStyle name="常规 2 3 2 3 2 5" xfId="33518"/>
    <cellStyle name="常规 2 3 2 3 2 5 2" xfId="33519"/>
    <cellStyle name="常规 2 3 2 3 3" xfId="33520"/>
    <cellStyle name="常规 2 3 2 3 4" xfId="33521"/>
    <cellStyle name="常规 2 3 2 3 5" xfId="33522"/>
    <cellStyle name="常规 2 3 2 3 6" xfId="33523"/>
    <cellStyle name="常规 2 3 2 3 6 2" xfId="33524"/>
    <cellStyle name="常规 2 3 2 3 7" xfId="33525"/>
    <cellStyle name="常规 2 3 2 3 7 2" xfId="33526"/>
    <cellStyle name="常规 2 3 2 4" xfId="33527"/>
    <cellStyle name="常规 2 3 2 4 2" xfId="33528"/>
    <cellStyle name="常规 2 3 2 5" xfId="33529"/>
    <cellStyle name="常规 2 3 2 6" xfId="33530"/>
    <cellStyle name="常规 2 3 2 7" xfId="33531"/>
    <cellStyle name="常规 2 3 3" xfId="33532"/>
    <cellStyle name="常规 2 3 3 2" xfId="33533"/>
    <cellStyle name="常规 2 3 3 2 2" xfId="33534"/>
    <cellStyle name="常规 2 3 3 3" xfId="33535"/>
    <cellStyle name="常规 2 3 3 4" xfId="33536"/>
    <cellStyle name="常规 2 3 3 5" xfId="33537"/>
    <cellStyle name="常规 2 3 4" xfId="33538"/>
    <cellStyle name="常规 2 3 4 2" xfId="33539"/>
    <cellStyle name="常规 2 3 4 2 2" xfId="33540"/>
    <cellStyle name="常规 2 3 4 3" xfId="33541"/>
    <cellStyle name="常规 2 3 4 4" xfId="33542"/>
    <cellStyle name="常规 2 3 4 5" xfId="33543"/>
    <cellStyle name="常规 2 3 5" xfId="33544"/>
    <cellStyle name="常规 2 3 5 2" xfId="33545"/>
    <cellStyle name="常规 2 3 5 3" xfId="33546"/>
    <cellStyle name="常规 2 3 5 3 2" xfId="33547"/>
    <cellStyle name="常规 2 3 5 3 2 2" xfId="33548"/>
    <cellStyle name="常规 2 3 5 4" xfId="33549"/>
    <cellStyle name="常规 2 3 5 4 2" xfId="33550"/>
    <cellStyle name="常规 2 3 6" xfId="33551"/>
    <cellStyle name="常规 2 3 7" xfId="33552"/>
    <cellStyle name="常规 2 3 8" xfId="33553"/>
    <cellStyle name="常规 2 3 8 2" xfId="33554"/>
    <cellStyle name="常规 2 3 8 3" xfId="33555"/>
    <cellStyle name="常规 2 3 9" xfId="33556"/>
    <cellStyle name="常规 2 4" xfId="33557"/>
    <cellStyle name="常规 2 4 10" xfId="33558"/>
    <cellStyle name="常规 2 4 10 2" xfId="33559"/>
    <cellStyle name="常规 2 4 10 3" xfId="33560"/>
    <cellStyle name="常规 2 4 10 4" xfId="33561"/>
    <cellStyle name="常规 2 4 11" xfId="33562"/>
    <cellStyle name="常规 2 4 12" xfId="33563"/>
    <cellStyle name="常规 2 4 13" xfId="33564"/>
    <cellStyle name="常规 2 4 14" xfId="33565"/>
    <cellStyle name="常规 2 4 14 2" xfId="33566"/>
    <cellStyle name="常规 2 4 15" xfId="33567"/>
    <cellStyle name="常规 2 4 2" xfId="33568"/>
    <cellStyle name="常规 2 4 2 10" xfId="33569"/>
    <cellStyle name="常规 2 4 2 2" xfId="33570"/>
    <cellStyle name="常规 2 4 2 2 2" xfId="33571"/>
    <cellStyle name="常规 2 4 2 2 2 2" xfId="33572"/>
    <cellStyle name="常规 2 4 2 2 2 2 2" xfId="33573"/>
    <cellStyle name="常规 2 4 2 2 2 2 2 2" xfId="33574"/>
    <cellStyle name="常规 2 4 2 2 2 2 2 3" xfId="33575"/>
    <cellStyle name="常规 2 4 2 2 2 2 2 4" xfId="33576"/>
    <cellStyle name="常规 2 4 2 2 2 2 3" xfId="33577"/>
    <cellStyle name="常规 2 4 2 2 2 2 4" xfId="33578"/>
    <cellStyle name="常规 2 4 2 2 2 2 5" xfId="33579"/>
    <cellStyle name="常规 2 4 2 2 2 3" xfId="33580"/>
    <cellStyle name="常规 2 4 2 2 2 3 2" xfId="33581"/>
    <cellStyle name="常规 2 4 2 2 2 3 2 2" xfId="33582"/>
    <cellStyle name="常规 2 4 2 2 2 3 2 3" xfId="33583"/>
    <cellStyle name="常规 2 4 2 2 2 3 2 4" xfId="33584"/>
    <cellStyle name="常规 2 4 2 2 2 3 3" xfId="33585"/>
    <cellStyle name="常规 2 4 2 2 2 3 4" xfId="33586"/>
    <cellStyle name="常规 2 4 2 2 2 3 5" xfId="33587"/>
    <cellStyle name="常规 2 4 2 2 2 4" xfId="33588"/>
    <cellStyle name="常规 2 4 2 2 2 4 2" xfId="33589"/>
    <cellStyle name="常规 2 4 2 2 2 4 3" xfId="33590"/>
    <cellStyle name="常规 2 4 2 2 2 4 4" xfId="33591"/>
    <cellStyle name="常规 2 4 2 2 2 5" xfId="33592"/>
    <cellStyle name="常规 2 4 2 2 2 6" xfId="33593"/>
    <cellStyle name="常规 2 4 2 2 2 7" xfId="33594"/>
    <cellStyle name="常规 2 4 2 2 2 8" xfId="33595"/>
    <cellStyle name="常规 2 4 2 2 2 8 2" xfId="33596"/>
    <cellStyle name="常规 2 4 2 2 3" xfId="33597"/>
    <cellStyle name="常规 2 4 2 2 3 2" xfId="33598"/>
    <cellStyle name="常规 2 4 2 2 3 2 2" xfId="33599"/>
    <cellStyle name="常规 2 4 2 2 3 2 3" xfId="33600"/>
    <cellStyle name="常规 2 4 2 2 3 2 4" xfId="33601"/>
    <cellStyle name="常规 2 4 2 2 3 3" xfId="33602"/>
    <cellStyle name="常规 2 4 2 2 3 4" xfId="33603"/>
    <cellStyle name="常规 2 4 2 2 3 5" xfId="33604"/>
    <cellStyle name="常规 2 4 2 2 4" xfId="33605"/>
    <cellStyle name="常规 2 4 2 2 4 2" xfId="33606"/>
    <cellStyle name="常规 2 4 2 2 4 2 2" xfId="33607"/>
    <cellStyle name="常规 2 4 2 2 4 2 3" xfId="33608"/>
    <cellStyle name="常规 2 4 2 2 4 2 4" xfId="33609"/>
    <cellStyle name="常规 2 4 2 2 4 3" xfId="33610"/>
    <cellStyle name="常规 2 4 2 2 4 4" xfId="33611"/>
    <cellStyle name="常规 2 4 2 2 4 5" xfId="33612"/>
    <cellStyle name="常规 2 4 2 2 5" xfId="33613"/>
    <cellStyle name="常规 2 4 2 2 5 2" xfId="33614"/>
    <cellStyle name="常规 2 4 2 2 5 3" xfId="33615"/>
    <cellStyle name="常规 2 4 2 2 5 4" xfId="33616"/>
    <cellStyle name="常规 2 4 2 2 6" xfId="33617"/>
    <cellStyle name="常规 2 4 2 2 7" xfId="33618"/>
    <cellStyle name="常规 2 4 2 2 8" xfId="33619"/>
    <cellStyle name="常规 2 4 2 2 9" xfId="33620"/>
    <cellStyle name="常规 2 4 2 2 9 2" xfId="33621"/>
    <cellStyle name="常规 2 4 2 3" xfId="33622"/>
    <cellStyle name="常规 2 4 2 3 2" xfId="33623"/>
    <cellStyle name="常规 2 4 2 3 2 2" xfId="33624"/>
    <cellStyle name="常规 2 4 2 3 2 3" xfId="33625"/>
    <cellStyle name="常规 2 4 2 3 2 4" xfId="33626"/>
    <cellStyle name="常规 2 4 2 3 3" xfId="33627"/>
    <cellStyle name="常规 2 4 2 3 4" xfId="33628"/>
    <cellStyle name="常规 2 4 2 3 5" xfId="33629"/>
    <cellStyle name="常规 2 4 2 3 6" xfId="33630"/>
    <cellStyle name="常规 2 4 2 3 6 2" xfId="33631"/>
    <cellStyle name="常规 2 4 2 4" xfId="33632"/>
    <cellStyle name="常规 2 4 2 4 2" xfId="33633"/>
    <cellStyle name="常规 2 4 2 4 2 2" xfId="33634"/>
    <cellStyle name="常规 2 4 2 4 2 3" xfId="33635"/>
    <cellStyle name="常规 2 4 2 4 2 4" xfId="33636"/>
    <cellStyle name="常规 2 4 2 4 3" xfId="33637"/>
    <cellStyle name="常规 2 4 2 4 4" xfId="33638"/>
    <cellStyle name="常规 2 4 2 4 5" xfId="33639"/>
    <cellStyle name="常规 2 4 2 4 6" xfId="33640"/>
    <cellStyle name="常规 2 4 2 4 6 2" xfId="33641"/>
    <cellStyle name="常规 2 4 2 5" xfId="33642"/>
    <cellStyle name="常规 2 4 2 5 2" xfId="33643"/>
    <cellStyle name="常规 2 4 2 5 3" xfId="33644"/>
    <cellStyle name="常规 2 4 2 5 4" xfId="33645"/>
    <cellStyle name="常规 2 4 2 6" xfId="33646"/>
    <cellStyle name="常规 2 4 2 7" xfId="33647"/>
    <cellStyle name="常规 2 4 2 8" xfId="33648"/>
    <cellStyle name="常规 2 4 2 9" xfId="33649"/>
    <cellStyle name="常规 2 4 2 9 2" xfId="33650"/>
    <cellStyle name="常规 2 4 3" xfId="33651"/>
    <cellStyle name="常规 2 4 3 10" xfId="33652"/>
    <cellStyle name="常规 2 4 3 2" xfId="33653"/>
    <cellStyle name="常规 2 4 3 2 2" xfId="33654"/>
    <cellStyle name="常规 2 4 3 2 2 2" xfId="33655"/>
    <cellStyle name="常规 2 4 3 2 2 2 2" xfId="33656"/>
    <cellStyle name="常规 2 4 3 2 2 2 2 2" xfId="33657"/>
    <cellStyle name="常规 2 4 3 2 2 2 2 3" xfId="33658"/>
    <cellStyle name="常规 2 4 3 2 2 2 2 4" xfId="33659"/>
    <cellStyle name="常规 2 4 3 2 2 2 3" xfId="33660"/>
    <cellStyle name="常规 2 4 3 2 2 2 4" xfId="33661"/>
    <cellStyle name="常规 2 4 3 2 2 2 5" xfId="33662"/>
    <cellStyle name="常规 2 4 3 2 2 3" xfId="33663"/>
    <cellStyle name="常规 2 4 3 2 2 3 2" xfId="33664"/>
    <cellStyle name="常规 2 4 3 2 2 3 2 2" xfId="33665"/>
    <cellStyle name="常规 2 4 3 2 2 3 2 3" xfId="33666"/>
    <cellStyle name="常规 2 4 3 2 2 3 2 4" xfId="33667"/>
    <cellStyle name="常规 2 4 3 2 2 3 3" xfId="33668"/>
    <cellStyle name="常规 2 4 3 2 2 3 4" xfId="33669"/>
    <cellStyle name="常规 2 4 3 2 2 3 5" xfId="33670"/>
    <cellStyle name="常规 2 4 3 2 2 4" xfId="33671"/>
    <cellStyle name="常规 2 4 3 2 2 4 2" xfId="33672"/>
    <cellStyle name="常规 2 4 3 2 2 4 3" xfId="33673"/>
    <cellStyle name="常规 2 4 3 2 2 4 4" xfId="33674"/>
    <cellStyle name="常规 2 4 3 2 2 5" xfId="33675"/>
    <cellStyle name="常规 2 4 3 2 2 6" xfId="33676"/>
    <cellStyle name="常规 2 4 3 2 2 7" xfId="33677"/>
    <cellStyle name="常规 2 4 3 2 2 8" xfId="33678"/>
    <cellStyle name="常规 2 4 3 2 2 8 2" xfId="33679"/>
    <cellStyle name="常规 2 4 3 2 3" xfId="33680"/>
    <cellStyle name="常规 2 4 3 2 3 2" xfId="33681"/>
    <cellStyle name="常规 2 4 3 2 3 2 2" xfId="33682"/>
    <cellStyle name="常规 2 4 3 2 3 2 3" xfId="33683"/>
    <cellStyle name="常规 2 4 3 2 3 2 4" xfId="33684"/>
    <cellStyle name="常规 2 4 3 2 3 3" xfId="33685"/>
    <cellStyle name="常规 2 4 3 2 3 4" xfId="33686"/>
    <cellStyle name="常规 2 4 3 2 3 5" xfId="33687"/>
    <cellStyle name="常规 2 4 3 2 4" xfId="33688"/>
    <cellStyle name="常规 2 4 3 2 4 2" xfId="33689"/>
    <cellStyle name="常规 2 4 3 2 4 2 2" xfId="33690"/>
    <cellStyle name="常规 2 4 3 2 4 2 3" xfId="33691"/>
    <cellStyle name="常规 2 4 3 2 4 2 4" xfId="33692"/>
    <cellStyle name="常规 2 4 3 2 4 3" xfId="33693"/>
    <cellStyle name="常规 2 4 3 2 4 4" xfId="33694"/>
    <cellStyle name="常规 2 4 3 2 4 5" xfId="33695"/>
    <cellStyle name="常规 2 4 3 2 5" xfId="33696"/>
    <cellStyle name="常规 2 4 3 2 5 2" xfId="33697"/>
    <cellStyle name="常规 2 4 3 2 5 3" xfId="33698"/>
    <cellStyle name="常规 2 4 3 2 5 4" xfId="33699"/>
    <cellStyle name="常规 2 4 3 2 6" xfId="33700"/>
    <cellStyle name="常规 2 4 3 2 7" xfId="33701"/>
    <cellStyle name="常规 2 4 3 2 8" xfId="33702"/>
    <cellStyle name="常规 2 4 3 2 9" xfId="33703"/>
    <cellStyle name="常规 2 4 3 2 9 2" xfId="33704"/>
    <cellStyle name="常规 2 4 3 3" xfId="33705"/>
    <cellStyle name="常规 2 4 3 3 2" xfId="33706"/>
    <cellStyle name="常规 2 4 3 3 2 2" xfId="33707"/>
    <cellStyle name="常规 2 4 3 3 2 3" xfId="33708"/>
    <cellStyle name="常规 2 4 3 3 2 4" xfId="33709"/>
    <cellStyle name="常规 2 4 3 3 3" xfId="33710"/>
    <cellStyle name="常规 2 4 3 3 4" xfId="33711"/>
    <cellStyle name="常规 2 4 3 3 5" xfId="33712"/>
    <cellStyle name="常规 2 4 3 3 6" xfId="33713"/>
    <cellStyle name="常规 2 4 3 3 6 2" xfId="33714"/>
    <cellStyle name="常规 2 4 3 4" xfId="33715"/>
    <cellStyle name="常规 2 4 3 4 2" xfId="33716"/>
    <cellStyle name="常规 2 4 3 4 2 2" xfId="33717"/>
    <cellStyle name="常规 2 4 3 4 2 3" xfId="33718"/>
    <cellStyle name="常规 2 4 3 4 2 4" xfId="33719"/>
    <cellStyle name="常规 2 4 3 4 3" xfId="33720"/>
    <cellStyle name="常规 2 4 3 4 4" xfId="33721"/>
    <cellStyle name="常规 2 4 3 4 5" xfId="33722"/>
    <cellStyle name="常规 2 4 3 4 6" xfId="33723"/>
    <cellStyle name="常规 2 4 3 4 6 2" xfId="33724"/>
    <cellStyle name="常规 2 4 3 5" xfId="33725"/>
    <cellStyle name="常规 2 4 3 5 2" xfId="33726"/>
    <cellStyle name="常规 2 4 3 5 3" xfId="33727"/>
    <cellStyle name="常规 2 4 3 5 4" xfId="33728"/>
    <cellStyle name="常规 2 4 3 6" xfId="33729"/>
    <cellStyle name="常规 2 4 3 7" xfId="33730"/>
    <cellStyle name="常规 2 4 3 8" xfId="33731"/>
    <cellStyle name="常规 2 4 3 9" xfId="33732"/>
    <cellStyle name="常规 2 4 3 9 2" xfId="33733"/>
    <cellStyle name="常规 2 4 4" xfId="33734"/>
    <cellStyle name="常规 2 4 4 10" xfId="33735"/>
    <cellStyle name="常规 2 4 4 2" xfId="33736"/>
    <cellStyle name="常规 2 4 4 2 2" xfId="33737"/>
    <cellStyle name="常规 2 4 4 2 2 2" xfId="33738"/>
    <cellStyle name="常规 2 4 4 2 2 2 2" xfId="33739"/>
    <cellStyle name="常规 2 4 4 2 2 2 2 2" xfId="33740"/>
    <cellStyle name="常规 2 4 4 2 2 2 2 3" xfId="33741"/>
    <cellStyle name="常规 2 4 4 2 2 2 2 4" xfId="33742"/>
    <cellStyle name="常规 2 4 4 2 2 2 3" xfId="33743"/>
    <cellStyle name="常规 2 4 4 2 2 2 4" xfId="33744"/>
    <cellStyle name="常规 2 4 4 2 2 2 5" xfId="33745"/>
    <cellStyle name="常规 2 4 4 2 2 3" xfId="33746"/>
    <cellStyle name="常规 2 4 4 2 2 3 2" xfId="33747"/>
    <cellStyle name="常规 2 4 4 2 2 3 2 2" xfId="33748"/>
    <cellStyle name="常规 2 4 4 2 2 3 2 3" xfId="33749"/>
    <cellStyle name="常规 2 4 4 2 2 3 2 4" xfId="33750"/>
    <cellStyle name="常规 2 4 4 2 2 3 3" xfId="33751"/>
    <cellStyle name="常规 2 4 4 2 2 3 4" xfId="33752"/>
    <cellStyle name="常规 2 4 4 2 2 3 5" xfId="33753"/>
    <cellStyle name="常规 2 4 4 2 2 4" xfId="33754"/>
    <cellStyle name="常规 2 4 4 2 2 4 2" xfId="33755"/>
    <cellStyle name="常规 2 4 4 2 2 4 3" xfId="33756"/>
    <cellStyle name="常规 2 4 4 2 2 4 4" xfId="33757"/>
    <cellStyle name="常规 2 4 4 2 2 5" xfId="33758"/>
    <cellStyle name="常规 2 4 4 2 2 6" xfId="33759"/>
    <cellStyle name="常规 2 4 4 2 2 7" xfId="33760"/>
    <cellStyle name="常规 2 4 4 2 3" xfId="33761"/>
    <cellStyle name="常规 2 4 4 2 3 2" xfId="33762"/>
    <cellStyle name="常规 2 4 4 2 3 2 2" xfId="33763"/>
    <cellStyle name="常规 2 4 4 2 3 2 3" xfId="33764"/>
    <cellStyle name="常规 2 4 4 2 3 2 4" xfId="33765"/>
    <cellStyle name="常规 2 4 4 2 3 3" xfId="33766"/>
    <cellStyle name="常规 2 4 4 2 3 4" xfId="33767"/>
    <cellStyle name="常规 2 4 4 2 3 5" xfId="33768"/>
    <cellStyle name="常规 2 4 4 2 4" xfId="33769"/>
    <cellStyle name="常规 2 4 4 2 4 2" xfId="33770"/>
    <cellStyle name="常规 2 4 4 2 4 2 2" xfId="33771"/>
    <cellStyle name="常规 2 4 4 2 4 2 3" xfId="33772"/>
    <cellStyle name="常规 2 4 4 2 4 2 4" xfId="33773"/>
    <cellStyle name="常规 2 4 4 2 4 3" xfId="33774"/>
    <cellStyle name="常规 2 4 4 2 4 4" xfId="33775"/>
    <cellStyle name="常规 2 4 4 2 4 5" xfId="33776"/>
    <cellStyle name="常规 2 4 4 2 5" xfId="33777"/>
    <cellStyle name="常规 2 4 4 2 5 2" xfId="33778"/>
    <cellStyle name="常规 2 4 4 2 5 3" xfId="33779"/>
    <cellStyle name="常规 2 4 4 2 5 4" xfId="33780"/>
    <cellStyle name="常规 2 4 4 2 6" xfId="33781"/>
    <cellStyle name="常规 2 4 4 2 7" xfId="33782"/>
    <cellStyle name="常规 2 4 4 2 8" xfId="33783"/>
    <cellStyle name="常规 2 4 4 2 9" xfId="33784"/>
    <cellStyle name="常规 2 4 4 2 9 2" xfId="33785"/>
    <cellStyle name="常规 2 4 4 3" xfId="33786"/>
    <cellStyle name="常规 2 4 4 3 2" xfId="33787"/>
    <cellStyle name="常规 2 4 4 3 2 2" xfId="33788"/>
    <cellStyle name="常规 2 4 4 3 2 3" xfId="33789"/>
    <cellStyle name="常规 2 4 4 3 2 4" xfId="33790"/>
    <cellStyle name="常规 2 4 4 3 2 5" xfId="33791"/>
    <cellStyle name="常规 2 4 4 3 3" xfId="33792"/>
    <cellStyle name="常规 2 4 4 3 4" xfId="33793"/>
    <cellStyle name="常规 2 4 4 3 5" xfId="33794"/>
    <cellStyle name="常规 2 4 4 3 6" xfId="33795"/>
    <cellStyle name="常规 2 4 4 3 6 2" xfId="33796"/>
    <cellStyle name="常规 2 4 4 3 7" xfId="33797"/>
    <cellStyle name="常规 2 4 4 4" xfId="33798"/>
    <cellStyle name="常规 2 4 4 4 2" xfId="33799"/>
    <cellStyle name="常规 2 4 4 4 2 2" xfId="33800"/>
    <cellStyle name="常规 2 4 4 4 2 3" xfId="33801"/>
    <cellStyle name="常规 2 4 4 4 2 4" xfId="33802"/>
    <cellStyle name="常规 2 4 4 4 3" xfId="33803"/>
    <cellStyle name="常规 2 4 4 4 4" xfId="33804"/>
    <cellStyle name="常规 2 4 4 4 5" xfId="33805"/>
    <cellStyle name="常规 2 4 4 4 6" xfId="33806"/>
    <cellStyle name="常规 2 4 4 5" xfId="33807"/>
    <cellStyle name="常规 2 4 4 5 2" xfId="33808"/>
    <cellStyle name="常规 2 4 4 5 3" xfId="33809"/>
    <cellStyle name="常规 2 4 4 5 4" xfId="33810"/>
    <cellStyle name="常规 2 4 4 6" xfId="33811"/>
    <cellStyle name="常规 2 4 4 7" xfId="33812"/>
    <cellStyle name="常规 2 4 4 8" xfId="33813"/>
    <cellStyle name="常规 2 4 4 9" xfId="33814"/>
    <cellStyle name="常规 2 4 4 9 2" xfId="33815"/>
    <cellStyle name="常规 2 4 5" xfId="33816"/>
    <cellStyle name="常规 2 4 5 2" xfId="33817"/>
    <cellStyle name="常规 2 4 5 2 2" xfId="33818"/>
    <cellStyle name="常规 2 4 5 2 2 2" xfId="33819"/>
    <cellStyle name="常规 2 4 5 2 2 2 2" xfId="33820"/>
    <cellStyle name="常规 2 4 5 2 2 2 2 2" xfId="33821"/>
    <cellStyle name="常规 2 4 5 2 2 2 2 3" xfId="33822"/>
    <cellStyle name="常规 2 4 5 2 2 2 2 4" xfId="33823"/>
    <cellStyle name="常规 2 4 5 2 2 2 3" xfId="33824"/>
    <cellStyle name="常规 2 4 5 2 2 2 4" xfId="33825"/>
    <cellStyle name="常规 2 4 5 2 2 2 5" xfId="33826"/>
    <cellStyle name="常规 2 4 5 2 2 3" xfId="33827"/>
    <cellStyle name="常规 2 4 5 2 2 3 2" xfId="33828"/>
    <cellStyle name="常规 2 4 5 2 2 3 2 2" xfId="33829"/>
    <cellStyle name="常规 2 4 5 2 2 3 2 3" xfId="33830"/>
    <cellStyle name="常规 2 4 5 2 2 3 2 4" xfId="33831"/>
    <cellStyle name="常规 2 4 5 2 2 3 3" xfId="33832"/>
    <cellStyle name="常规 2 4 5 2 2 3 4" xfId="33833"/>
    <cellStyle name="常规 2 4 5 2 2 3 5" xfId="33834"/>
    <cellStyle name="常规 2 4 5 2 2 4" xfId="33835"/>
    <cellStyle name="常规 2 4 5 2 2 4 2" xfId="33836"/>
    <cellStyle name="常规 2 4 5 2 2 4 3" xfId="33837"/>
    <cellStyle name="常规 2 4 5 2 2 4 4" xfId="33838"/>
    <cellStyle name="常规 2 4 5 2 2 5" xfId="33839"/>
    <cellStyle name="常规 2 4 5 2 2 6" xfId="33840"/>
    <cellStyle name="常规 2 4 5 2 2 7" xfId="33841"/>
    <cellStyle name="常规 2 4 5 2 3" xfId="33842"/>
    <cellStyle name="常规 2 4 5 2 3 2" xfId="33843"/>
    <cellStyle name="常规 2 4 5 2 3 2 2" xfId="33844"/>
    <cellStyle name="常规 2 4 5 2 3 2 3" xfId="33845"/>
    <cellStyle name="常规 2 4 5 2 3 2 4" xfId="33846"/>
    <cellStyle name="常规 2 4 5 2 3 3" xfId="33847"/>
    <cellStyle name="常规 2 4 5 2 3 4" xfId="33848"/>
    <cellStyle name="常规 2 4 5 2 3 5" xfId="33849"/>
    <cellStyle name="常规 2 4 5 2 4" xfId="33850"/>
    <cellStyle name="常规 2 4 5 2 4 2" xfId="33851"/>
    <cellStyle name="常规 2 4 5 2 4 2 2" xfId="33852"/>
    <cellStyle name="常规 2 4 5 2 4 2 3" xfId="33853"/>
    <cellStyle name="常规 2 4 5 2 4 2 4" xfId="33854"/>
    <cellStyle name="常规 2 4 5 2 4 3" xfId="33855"/>
    <cellStyle name="常规 2 4 5 2 4 4" xfId="33856"/>
    <cellStyle name="常规 2 4 5 2 4 5" xfId="33857"/>
    <cellStyle name="常规 2 4 5 2 5" xfId="33858"/>
    <cellStyle name="常规 2 4 5 2 5 2" xfId="33859"/>
    <cellStyle name="常规 2 4 5 2 5 3" xfId="33860"/>
    <cellStyle name="常规 2 4 5 2 5 4" xfId="33861"/>
    <cellStyle name="常规 2 4 5 2 6" xfId="33862"/>
    <cellStyle name="常规 2 4 5 2 7" xfId="33863"/>
    <cellStyle name="常规 2 4 5 2 8" xfId="33864"/>
    <cellStyle name="常规 2 4 5 3" xfId="33865"/>
    <cellStyle name="常规 2 4 5 3 2" xfId="33866"/>
    <cellStyle name="常规 2 4 5 3 2 2" xfId="33867"/>
    <cellStyle name="常规 2 4 5 3 2 3" xfId="33868"/>
    <cellStyle name="常规 2 4 5 3 2 4" xfId="33869"/>
    <cellStyle name="常规 2 4 5 3 3" xfId="33870"/>
    <cellStyle name="常规 2 4 5 3 4" xfId="33871"/>
    <cellStyle name="常规 2 4 5 3 5" xfId="33872"/>
    <cellStyle name="常规 2 4 5 4" xfId="33873"/>
    <cellStyle name="常规 2 4 5 4 2" xfId="33874"/>
    <cellStyle name="常规 2 4 5 4 2 2" xfId="33875"/>
    <cellStyle name="常规 2 4 5 4 2 3" xfId="33876"/>
    <cellStyle name="常规 2 4 5 4 2 4" xfId="33877"/>
    <cellStyle name="常规 2 4 5 4 3" xfId="33878"/>
    <cellStyle name="常规 2 4 5 4 4" xfId="33879"/>
    <cellStyle name="常规 2 4 5 4 5" xfId="33880"/>
    <cellStyle name="常规 2 4 5 5" xfId="33881"/>
    <cellStyle name="常规 2 4 5 5 2" xfId="33882"/>
    <cellStyle name="常规 2 4 5 5 3" xfId="33883"/>
    <cellStyle name="常规 2 4 5 5 4" xfId="33884"/>
    <cellStyle name="常规 2 4 5 6" xfId="33885"/>
    <cellStyle name="常规 2 4 5 7" xfId="33886"/>
    <cellStyle name="常规 2 4 5 8" xfId="33887"/>
    <cellStyle name="常规 2 4 5 9" xfId="33888"/>
    <cellStyle name="常规 2 4 5 9 2" xfId="33889"/>
    <cellStyle name="常规 2 4 6" xfId="33890"/>
    <cellStyle name="常规 2 4 6 2" xfId="33891"/>
    <cellStyle name="常规 2 4 6 2 2" xfId="33892"/>
    <cellStyle name="常规 2 4 6 2 2 2" xfId="33893"/>
    <cellStyle name="常规 2 4 6 2 2 2 2" xfId="33894"/>
    <cellStyle name="常规 2 4 6 2 2 2 2 2" xfId="33895"/>
    <cellStyle name="常规 2 4 6 2 2 2 2 3" xfId="33896"/>
    <cellStyle name="常规 2 4 6 2 2 2 2 4" xfId="33897"/>
    <cellStyle name="常规 2 4 6 2 2 2 3" xfId="33898"/>
    <cellStyle name="常规 2 4 6 2 2 2 4" xfId="33899"/>
    <cellStyle name="常规 2 4 6 2 2 2 5" xfId="33900"/>
    <cellStyle name="常规 2 4 6 2 2 3" xfId="33901"/>
    <cellStyle name="常规 2 4 6 2 2 3 2" xfId="33902"/>
    <cellStyle name="常规 2 4 6 2 2 3 2 2" xfId="33903"/>
    <cellStyle name="常规 2 4 6 2 2 3 2 3" xfId="33904"/>
    <cellStyle name="常规 2 4 6 2 2 3 2 4" xfId="33905"/>
    <cellStyle name="常规 2 4 6 2 2 3 3" xfId="33906"/>
    <cellStyle name="常规 2 4 6 2 2 3 4" xfId="33907"/>
    <cellStyle name="常规 2 4 6 2 2 3 5" xfId="33908"/>
    <cellStyle name="常规 2 4 6 2 2 4" xfId="33909"/>
    <cellStyle name="常规 2 4 6 2 2 4 2" xfId="33910"/>
    <cellStyle name="常规 2 4 6 2 2 4 3" xfId="33911"/>
    <cellStyle name="常规 2 4 6 2 2 4 4" xfId="33912"/>
    <cellStyle name="常规 2 4 6 2 2 5" xfId="33913"/>
    <cellStyle name="常规 2 4 6 2 2 6" xfId="33914"/>
    <cellStyle name="常规 2 4 6 2 2 7" xfId="33915"/>
    <cellStyle name="常规 2 4 6 2 3" xfId="33916"/>
    <cellStyle name="常规 2 4 6 2 3 2" xfId="33917"/>
    <cellStyle name="常规 2 4 6 2 3 2 2" xfId="33918"/>
    <cellStyle name="常规 2 4 6 2 3 2 3" xfId="33919"/>
    <cellStyle name="常规 2 4 6 2 3 2 4" xfId="33920"/>
    <cellStyle name="常规 2 4 6 2 3 3" xfId="33921"/>
    <cellStyle name="常规 2 4 6 2 3 4" xfId="33922"/>
    <cellStyle name="常规 2 4 6 2 3 5" xfId="33923"/>
    <cellStyle name="常规 2 4 6 2 4" xfId="33924"/>
    <cellStyle name="常规 2 4 6 2 4 2" xfId="33925"/>
    <cellStyle name="常规 2 4 6 2 4 2 2" xfId="33926"/>
    <cellStyle name="常规 2 4 6 2 4 2 3" xfId="33927"/>
    <cellStyle name="常规 2 4 6 2 4 2 4" xfId="33928"/>
    <cellStyle name="常规 2 4 6 2 4 3" xfId="33929"/>
    <cellStyle name="常规 2 4 6 2 4 4" xfId="33930"/>
    <cellStyle name="常规 2 4 6 2 4 5" xfId="33931"/>
    <cellStyle name="常规 2 4 6 2 5" xfId="33932"/>
    <cellStyle name="常规 2 4 6 2 5 2" xfId="33933"/>
    <cellStyle name="常规 2 4 6 2 5 3" xfId="33934"/>
    <cellStyle name="常规 2 4 6 2 5 4" xfId="33935"/>
    <cellStyle name="常规 2 4 6 2 6" xfId="33936"/>
    <cellStyle name="常规 2 4 6 2 7" xfId="33937"/>
    <cellStyle name="常规 2 4 6 2 8" xfId="33938"/>
    <cellStyle name="常规 2 4 6 3" xfId="33939"/>
    <cellStyle name="常规 2 4 6 3 2" xfId="33940"/>
    <cellStyle name="常规 2 4 6 3 2 2" xfId="33941"/>
    <cellStyle name="常规 2 4 6 3 2 3" xfId="33942"/>
    <cellStyle name="常规 2 4 6 3 2 4" xfId="33943"/>
    <cellStyle name="常规 2 4 6 3 3" xfId="33944"/>
    <cellStyle name="常规 2 4 6 3 4" xfId="33945"/>
    <cellStyle name="常规 2 4 6 3 5" xfId="33946"/>
    <cellStyle name="常规 2 4 6 4" xfId="33947"/>
    <cellStyle name="常规 2 4 6 4 2" xfId="33948"/>
    <cellStyle name="常规 2 4 6 4 2 2" xfId="33949"/>
    <cellStyle name="常规 2 4 6 4 2 3" xfId="33950"/>
    <cellStyle name="常规 2 4 6 4 2 4" xfId="33951"/>
    <cellStyle name="常规 2 4 6 4 3" xfId="33952"/>
    <cellStyle name="常规 2 4 6 4 4" xfId="33953"/>
    <cellStyle name="常规 2 4 6 4 5" xfId="33954"/>
    <cellStyle name="常规 2 4 6 5" xfId="33955"/>
    <cellStyle name="常规 2 4 6 5 2" xfId="33956"/>
    <cellStyle name="常规 2 4 6 5 3" xfId="33957"/>
    <cellStyle name="常规 2 4 6 5 4" xfId="33958"/>
    <cellStyle name="常规 2 4 6 6" xfId="33959"/>
    <cellStyle name="常规 2 4 6 7" xfId="33960"/>
    <cellStyle name="常规 2 4 6 8" xfId="33961"/>
    <cellStyle name="常规 2 4 6 9" xfId="33962"/>
    <cellStyle name="常规 2 4 6 9 2" xfId="33963"/>
    <cellStyle name="常规 2 4 7" xfId="33964"/>
    <cellStyle name="常规 2 4 7 2" xfId="33965"/>
    <cellStyle name="常规 2 4 7 2 2" xfId="33966"/>
    <cellStyle name="常规 2 4 7 2 2 2" xfId="33967"/>
    <cellStyle name="常规 2 4 7 2 2 2 2" xfId="33968"/>
    <cellStyle name="常规 2 4 7 2 2 2 3" xfId="33969"/>
    <cellStyle name="常规 2 4 7 2 2 2 4" xfId="33970"/>
    <cellStyle name="常规 2 4 7 2 2 3" xfId="33971"/>
    <cellStyle name="常规 2 4 7 2 2 4" xfId="33972"/>
    <cellStyle name="常规 2 4 7 2 2 5" xfId="33973"/>
    <cellStyle name="常规 2 4 7 2 3" xfId="33974"/>
    <cellStyle name="常规 2 4 7 2 3 2" xfId="33975"/>
    <cellStyle name="常规 2 4 7 2 3 2 2" xfId="33976"/>
    <cellStyle name="常规 2 4 7 2 3 2 3" xfId="33977"/>
    <cellStyle name="常规 2 4 7 2 3 2 4" xfId="33978"/>
    <cellStyle name="常规 2 4 7 2 3 3" xfId="33979"/>
    <cellStyle name="常规 2 4 7 2 3 4" xfId="33980"/>
    <cellStyle name="常规 2 4 7 2 3 5" xfId="33981"/>
    <cellStyle name="常规 2 4 7 2 4" xfId="33982"/>
    <cellStyle name="常规 2 4 7 2 4 2" xfId="33983"/>
    <cellStyle name="常规 2 4 7 2 4 3" xfId="33984"/>
    <cellStyle name="常规 2 4 7 2 4 4" xfId="33985"/>
    <cellStyle name="常规 2 4 7 2 5" xfId="33986"/>
    <cellStyle name="常规 2 4 7 2 6" xfId="33987"/>
    <cellStyle name="常规 2 4 7 2 7" xfId="33988"/>
    <cellStyle name="常规 2 4 7 3" xfId="33989"/>
    <cellStyle name="常规 2 4 7 3 2" xfId="33990"/>
    <cellStyle name="常规 2 4 7 3 2 2" xfId="33991"/>
    <cellStyle name="常规 2 4 7 3 2 3" xfId="33992"/>
    <cellStyle name="常规 2 4 7 3 2 4" xfId="33993"/>
    <cellStyle name="常规 2 4 7 3 3" xfId="33994"/>
    <cellStyle name="常规 2 4 7 3 4" xfId="33995"/>
    <cellStyle name="常规 2 4 7 3 5" xfId="33996"/>
    <cellStyle name="常规 2 4 7 4" xfId="33997"/>
    <cellStyle name="常规 2 4 7 4 2" xfId="33998"/>
    <cellStyle name="常规 2 4 7 4 2 2" xfId="33999"/>
    <cellStyle name="常规 2 4 7 4 2 3" xfId="34000"/>
    <cellStyle name="常规 2 4 7 4 2 4" xfId="34001"/>
    <cellStyle name="常规 2 4 7 4 3" xfId="34002"/>
    <cellStyle name="常规 2 4 7 4 4" xfId="34003"/>
    <cellStyle name="常规 2 4 7 4 5" xfId="34004"/>
    <cellStyle name="常规 2 4 7 5" xfId="34005"/>
    <cellStyle name="常规 2 4 7 5 2" xfId="34006"/>
    <cellStyle name="常规 2 4 7 5 3" xfId="34007"/>
    <cellStyle name="常规 2 4 7 5 4" xfId="34008"/>
    <cellStyle name="常规 2 4 7 6" xfId="34009"/>
    <cellStyle name="常规 2 4 7 7" xfId="34010"/>
    <cellStyle name="常规 2 4 7 8" xfId="34011"/>
    <cellStyle name="常规 2 4 8" xfId="34012"/>
    <cellStyle name="常规 2 4 8 2" xfId="34013"/>
    <cellStyle name="常规 2 4 8 2 2" xfId="34014"/>
    <cellStyle name="常规 2 4 8 2 3" xfId="34015"/>
    <cellStyle name="常规 2 4 8 2 4" xfId="34016"/>
    <cellStyle name="常规 2 4 8 3" xfId="34017"/>
    <cellStyle name="常规 2 4 8 4" xfId="34018"/>
    <cellStyle name="常规 2 4 8 5" xfId="34019"/>
    <cellStyle name="常规 2 4 9" xfId="34020"/>
    <cellStyle name="常规 2 4 9 2" xfId="34021"/>
    <cellStyle name="常规 2 4 9 2 2" xfId="34022"/>
    <cellStyle name="常规 2 4 9 2 3" xfId="34023"/>
    <cellStyle name="常规 2 4 9 2 4" xfId="34024"/>
    <cellStyle name="常规 2 4 9 3" xfId="34025"/>
    <cellStyle name="常规 2 4 9 4" xfId="34026"/>
    <cellStyle name="常规 2 4 9 5" xfId="34027"/>
    <cellStyle name="常规 2 5" xfId="34028"/>
    <cellStyle name="常规 2 5 10" xfId="34029"/>
    <cellStyle name="常规 2 5 10 2" xfId="34030"/>
    <cellStyle name="常规 2 5 10 2 2" xfId="34031"/>
    <cellStyle name="常规 2 5 10 2 2 2" xfId="34032"/>
    <cellStyle name="常规 2 5 10 2 2 2 2" xfId="34033"/>
    <cellStyle name="常规 2 5 10 2 2 2 3" xfId="34034"/>
    <cellStyle name="常规 2 5 10 2 2 2 4" xfId="34035"/>
    <cellStyle name="常规 2 5 10 2 2 3" xfId="34036"/>
    <cellStyle name="常规 2 5 10 2 2 4" xfId="34037"/>
    <cellStyle name="常规 2 5 10 2 2 5" xfId="34038"/>
    <cellStyle name="常规 2 5 10 2 3" xfId="34039"/>
    <cellStyle name="常规 2 5 10 2 3 2" xfId="34040"/>
    <cellStyle name="常规 2 5 10 2 3 2 2" xfId="34041"/>
    <cellStyle name="常规 2 5 10 2 3 2 3" xfId="34042"/>
    <cellStyle name="常规 2 5 10 2 3 2 4" xfId="34043"/>
    <cellStyle name="常规 2 5 10 2 3 3" xfId="34044"/>
    <cellStyle name="常规 2 5 10 2 3 4" xfId="34045"/>
    <cellStyle name="常规 2 5 10 2 3 5" xfId="34046"/>
    <cellStyle name="常规 2 5 10 2 4" xfId="34047"/>
    <cellStyle name="常规 2 5 10 2 4 2" xfId="34048"/>
    <cellStyle name="常规 2 5 10 2 4 3" xfId="34049"/>
    <cellStyle name="常规 2 5 10 2 4 4" xfId="34050"/>
    <cellStyle name="常规 2 5 10 2 5" xfId="34051"/>
    <cellStyle name="常规 2 5 10 2 6" xfId="34052"/>
    <cellStyle name="常规 2 5 10 2 7" xfId="34053"/>
    <cellStyle name="常规 2 5 10 2 8" xfId="34054"/>
    <cellStyle name="常规 2 5 10 3" xfId="34055"/>
    <cellStyle name="常规 2 5 10 3 2" xfId="34056"/>
    <cellStyle name="常规 2 5 10 3 2 2" xfId="34057"/>
    <cellStyle name="常规 2 5 10 3 2 3" xfId="34058"/>
    <cellStyle name="常规 2 5 10 3 2 4" xfId="34059"/>
    <cellStyle name="常规 2 5 10 3 3" xfId="34060"/>
    <cellStyle name="常规 2 5 10 3 4" xfId="34061"/>
    <cellStyle name="常规 2 5 10 3 5" xfId="34062"/>
    <cellStyle name="常规 2 5 10 4" xfId="34063"/>
    <cellStyle name="常规 2 5 10 4 2" xfId="34064"/>
    <cellStyle name="常规 2 5 10 4 2 2" xfId="34065"/>
    <cellStyle name="常规 2 5 10 4 2 3" xfId="34066"/>
    <cellStyle name="常规 2 5 10 4 2 4" xfId="34067"/>
    <cellStyle name="常规 2 5 10 4 3" xfId="34068"/>
    <cellStyle name="常规 2 5 10 4 4" xfId="34069"/>
    <cellStyle name="常规 2 5 10 4 5" xfId="34070"/>
    <cellStyle name="常规 2 5 10 5" xfId="34071"/>
    <cellStyle name="常规 2 5 10 5 2" xfId="34072"/>
    <cellStyle name="常规 2 5 10 5 3" xfId="34073"/>
    <cellStyle name="常规 2 5 10 5 4" xfId="34074"/>
    <cellStyle name="常规 2 5 10 6" xfId="34075"/>
    <cellStyle name="常规 2 5 10 7" xfId="34076"/>
    <cellStyle name="常规 2 5 10 8" xfId="34077"/>
    <cellStyle name="常规 2 5 10 9" xfId="34078"/>
    <cellStyle name="常规 2 5 11" xfId="34079"/>
    <cellStyle name="常规 2 5 11 2" xfId="34080"/>
    <cellStyle name="常规 2 5 11 2 2" xfId="34081"/>
    <cellStyle name="常规 2 5 11 2 2 2" xfId="34082"/>
    <cellStyle name="常规 2 5 11 2 2 2 2" xfId="34083"/>
    <cellStyle name="常规 2 5 11 2 2 2 3" xfId="34084"/>
    <cellStyle name="常规 2 5 11 2 2 2 4" xfId="34085"/>
    <cellStyle name="常规 2 5 11 2 2 3" xfId="34086"/>
    <cellStyle name="常规 2 5 11 2 2 4" xfId="34087"/>
    <cellStyle name="常规 2 5 11 2 2 5" xfId="34088"/>
    <cellStyle name="常规 2 5 11 2 3" xfId="34089"/>
    <cellStyle name="常规 2 5 11 2 3 2" xfId="34090"/>
    <cellStyle name="常规 2 5 11 2 3 2 2" xfId="34091"/>
    <cellStyle name="常规 2 5 11 2 3 2 3" xfId="34092"/>
    <cellStyle name="常规 2 5 11 2 3 2 4" xfId="34093"/>
    <cellStyle name="常规 2 5 11 2 3 3" xfId="34094"/>
    <cellStyle name="常规 2 5 11 2 3 4" xfId="34095"/>
    <cellStyle name="常规 2 5 11 2 3 5" xfId="34096"/>
    <cellStyle name="常规 2 5 11 2 4" xfId="34097"/>
    <cellStyle name="常规 2 5 11 2 4 2" xfId="34098"/>
    <cellStyle name="常规 2 5 11 2 4 3" xfId="34099"/>
    <cellStyle name="常规 2 5 11 2 4 4" xfId="34100"/>
    <cellStyle name="常规 2 5 11 2 5" xfId="34101"/>
    <cellStyle name="常规 2 5 11 2 6" xfId="34102"/>
    <cellStyle name="常规 2 5 11 2 7" xfId="34103"/>
    <cellStyle name="常规 2 5 11 2 8" xfId="34104"/>
    <cellStyle name="常规 2 5 11 3" xfId="34105"/>
    <cellStyle name="常规 2 5 11 3 2" xfId="34106"/>
    <cellStyle name="常规 2 5 11 3 2 2" xfId="34107"/>
    <cellStyle name="常规 2 5 11 3 2 3" xfId="34108"/>
    <cellStyle name="常规 2 5 11 3 2 4" xfId="34109"/>
    <cellStyle name="常规 2 5 11 3 3" xfId="34110"/>
    <cellStyle name="常规 2 5 11 3 4" xfId="34111"/>
    <cellStyle name="常规 2 5 11 3 5" xfId="34112"/>
    <cellStyle name="常规 2 5 11 4" xfId="34113"/>
    <cellStyle name="常规 2 5 11 4 2" xfId="34114"/>
    <cellStyle name="常规 2 5 11 4 2 2" xfId="34115"/>
    <cellStyle name="常规 2 5 11 4 2 3" xfId="34116"/>
    <cellStyle name="常规 2 5 11 4 2 4" xfId="34117"/>
    <cellStyle name="常规 2 5 11 4 3" xfId="34118"/>
    <cellStyle name="常规 2 5 11 4 4" xfId="34119"/>
    <cellStyle name="常规 2 5 11 4 5" xfId="34120"/>
    <cellStyle name="常规 2 5 11 5" xfId="34121"/>
    <cellStyle name="常规 2 5 11 5 2" xfId="34122"/>
    <cellStyle name="常规 2 5 11 5 3" xfId="34123"/>
    <cellStyle name="常规 2 5 11 5 4" xfId="34124"/>
    <cellStyle name="常规 2 5 11 6" xfId="34125"/>
    <cellStyle name="常规 2 5 11 7" xfId="34126"/>
    <cellStyle name="常规 2 5 11 8" xfId="34127"/>
    <cellStyle name="常规 2 5 11 9" xfId="34128"/>
    <cellStyle name="常规 2 5 12" xfId="34129"/>
    <cellStyle name="常规 2 5 12 2" xfId="34130"/>
    <cellStyle name="常规 2 5 12 2 2" xfId="34131"/>
    <cellStyle name="常规 2 5 12 2 2 2" xfId="34132"/>
    <cellStyle name="常规 2 5 12 2 2 2 2" xfId="34133"/>
    <cellStyle name="常规 2 5 12 2 2 2 3" xfId="34134"/>
    <cellStyle name="常规 2 5 12 2 2 2 4" xfId="34135"/>
    <cellStyle name="常规 2 5 12 2 2 3" xfId="34136"/>
    <cellStyle name="常规 2 5 12 2 2 4" xfId="34137"/>
    <cellStyle name="常规 2 5 12 2 2 5" xfId="34138"/>
    <cellStyle name="常规 2 5 12 2 3" xfId="34139"/>
    <cellStyle name="常规 2 5 12 2 3 2" xfId="34140"/>
    <cellStyle name="常规 2 5 12 2 3 2 2" xfId="34141"/>
    <cellStyle name="常规 2 5 12 2 3 2 3" xfId="34142"/>
    <cellStyle name="常规 2 5 12 2 3 2 4" xfId="34143"/>
    <cellStyle name="常规 2 5 12 2 3 3" xfId="34144"/>
    <cellStyle name="常规 2 5 12 2 3 4" xfId="34145"/>
    <cellStyle name="常规 2 5 12 2 3 5" xfId="34146"/>
    <cellStyle name="常规 2 5 12 2 4" xfId="34147"/>
    <cellStyle name="常规 2 5 12 2 4 2" xfId="34148"/>
    <cellStyle name="常规 2 5 12 2 4 3" xfId="34149"/>
    <cellStyle name="常规 2 5 12 2 4 4" xfId="34150"/>
    <cellStyle name="常规 2 5 12 2 5" xfId="34151"/>
    <cellStyle name="常规 2 5 12 2 6" xfId="34152"/>
    <cellStyle name="常规 2 5 12 2 7" xfId="34153"/>
    <cellStyle name="常规 2 5 12 3" xfId="34154"/>
    <cellStyle name="常规 2 5 12 3 2" xfId="34155"/>
    <cellStyle name="常规 2 5 12 3 2 2" xfId="34156"/>
    <cellStyle name="常规 2 5 12 3 2 3" xfId="34157"/>
    <cellStyle name="常规 2 5 12 3 2 4" xfId="34158"/>
    <cellStyle name="常规 2 5 12 3 3" xfId="34159"/>
    <cellStyle name="常规 2 5 12 3 4" xfId="34160"/>
    <cellStyle name="常规 2 5 12 3 5" xfId="34161"/>
    <cellStyle name="常规 2 5 12 4" xfId="34162"/>
    <cellStyle name="常规 2 5 12 4 2" xfId="34163"/>
    <cellStyle name="常规 2 5 12 4 2 2" xfId="34164"/>
    <cellStyle name="常规 2 5 12 4 2 3" xfId="34165"/>
    <cellStyle name="常规 2 5 12 4 2 4" xfId="34166"/>
    <cellStyle name="常规 2 5 12 4 3" xfId="34167"/>
    <cellStyle name="常规 2 5 12 4 4" xfId="34168"/>
    <cellStyle name="常规 2 5 12 4 5" xfId="34169"/>
    <cellStyle name="常规 2 5 12 5" xfId="34170"/>
    <cellStyle name="常规 2 5 12 5 2" xfId="34171"/>
    <cellStyle name="常规 2 5 12 5 3" xfId="34172"/>
    <cellStyle name="常规 2 5 12 5 4" xfId="34173"/>
    <cellStyle name="常规 2 5 12 6" xfId="34174"/>
    <cellStyle name="常规 2 5 12 7" xfId="34175"/>
    <cellStyle name="常规 2 5 12 8" xfId="34176"/>
    <cellStyle name="常规 2 5 13" xfId="34177"/>
    <cellStyle name="常规 2 5 13 2" xfId="34178"/>
    <cellStyle name="常规 2 5 13 2 2" xfId="34179"/>
    <cellStyle name="常规 2 5 13 2 2 2" xfId="34180"/>
    <cellStyle name="常规 2 5 13 2 2 2 2" xfId="34181"/>
    <cellStyle name="常规 2 5 13 2 2 2 3" xfId="34182"/>
    <cellStyle name="常规 2 5 13 2 2 2 4" xfId="34183"/>
    <cellStyle name="常规 2 5 13 2 2 3" xfId="34184"/>
    <cellStyle name="常规 2 5 13 2 2 4" xfId="34185"/>
    <cellStyle name="常规 2 5 13 2 2 5" xfId="34186"/>
    <cellStyle name="常规 2 5 13 2 3" xfId="34187"/>
    <cellStyle name="常规 2 5 13 2 3 2" xfId="34188"/>
    <cellStyle name="常规 2 5 13 2 3 2 2" xfId="34189"/>
    <cellStyle name="常规 2 5 13 2 3 2 3" xfId="34190"/>
    <cellStyle name="常规 2 5 13 2 3 2 4" xfId="34191"/>
    <cellStyle name="常规 2 5 13 2 3 3" xfId="34192"/>
    <cellStyle name="常规 2 5 13 2 3 4" xfId="34193"/>
    <cellStyle name="常规 2 5 13 2 3 5" xfId="34194"/>
    <cellStyle name="常规 2 5 13 2 4" xfId="34195"/>
    <cellStyle name="常规 2 5 13 2 4 2" xfId="34196"/>
    <cellStyle name="常规 2 5 13 2 4 3" xfId="34197"/>
    <cellStyle name="常规 2 5 13 2 4 4" xfId="34198"/>
    <cellStyle name="常规 2 5 13 2 5" xfId="34199"/>
    <cellStyle name="常规 2 5 13 2 6" xfId="34200"/>
    <cellStyle name="常规 2 5 13 2 7" xfId="34201"/>
    <cellStyle name="常规 2 5 13 3" xfId="34202"/>
    <cellStyle name="常规 2 5 13 3 2" xfId="34203"/>
    <cellStyle name="常规 2 5 13 3 2 2" xfId="34204"/>
    <cellStyle name="常规 2 5 13 3 2 3" xfId="34205"/>
    <cellStyle name="常规 2 5 13 3 2 4" xfId="34206"/>
    <cellStyle name="常规 2 5 13 3 3" xfId="34207"/>
    <cellStyle name="常规 2 5 13 3 4" xfId="34208"/>
    <cellStyle name="常规 2 5 13 3 5" xfId="34209"/>
    <cellStyle name="常规 2 5 13 4" xfId="34210"/>
    <cellStyle name="常规 2 5 13 4 2" xfId="34211"/>
    <cellStyle name="常规 2 5 13 4 2 2" xfId="34212"/>
    <cellStyle name="常规 2 5 13 4 2 3" xfId="34213"/>
    <cellStyle name="常规 2 5 13 4 2 4" xfId="34214"/>
    <cellStyle name="常规 2 5 13 4 3" xfId="34215"/>
    <cellStyle name="常规 2 5 13 4 4" xfId="34216"/>
    <cellStyle name="常规 2 5 13 4 5" xfId="34217"/>
    <cellStyle name="常规 2 5 13 5" xfId="34218"/>
    <cellStyle name="常规 2 5 13 5 2" xfId="34219"/>
    <cellStyle name="常规 2 5 13 5 3" xfId="34220"/>
    <cellStyle name="常规 2 5 13 5 4" xfId="34221"/>
    <cellStyle name="常规 2 5 13 6" xfId="34222"/>
    <cellStyle name="常规 2 5 13 7" xfId="34223"/>
    <cellStyle name="常规 2 5 13 8" xfId="34224"/>
    <cellStyle name="常规 2 5 14" xfId="34225"/>
    <cellStyle name="常规 2 5 14 2" xfId="34226"/>
    <cellStyle name="常规 2 5 14 2 2" xfId="34227"/>
    <cellStyle name="常规 2 5 14 2 2 2" xfId="34228"/>
    <cellStyle name="常规 2 5 14 2 2 2 2" xfId="34229"/>
    <cellStyle name="常规 2 5 14 2 2 2 3" xfId="34230"/>
    <cellStyle name="常规 2 5 14 2 2 2 4" xfId="34231"/>
    <cellStyle name="常规 2 5 14 2 2 3" xfId="34232"/>
    <cellStyle name="常规 2 5 14 2 2 4" xfId="34233"/>
    <cellStyle name="常规 2 5 14 2 2 5" xfId="34234"/>
    <cellStyle name="常规 2 5 14 2 3" xfId="34235"/>
    <cellStyle name="常规 2 5 14 2 3 2" xfId="34236"/>
    <cellStyle name="常规 2 5 14 2 3 2 2" xfId="34237"/>
    <cellStyle name="常规 2 5 14 2 3 2 3" xfId="34238"/>
    <cellStyle name="常规 2 5 14 2 3 2 4" xfId="34239"/>
    <cellStyle name="常规 2 5 14 2 3 3" xfId="34240"/>
    <cellStyle name="常规 2 5 14 2 3 4" xfId="34241"/>
    <cellStyle name="常规 2 5 14 2 3 5" xfId="34242"/>
    <cellStyle name="常规 2 5 14 2 4" xfId="34243"/>
    <cellStyle name="常规 2 5 14 2 4 2" xfId="34244"/>
    <cellStyle name="常规 2 5 14 2 4 3" xfId="34245"/>
    <cellStyle name="常规 2 5 14 2 4 4" xfId="34246"/>
    <cellStyle name="常规 2 5 14 2 5" xfId="34247"/>
    <cellStyle name="常规 2 5 14 2 6" xfId="34248"/>
    <cellStyle name="常规 2 5 14 2 7" xfId="34249"/>
    <cellStyle name="常规 2 5 14 3" xfId="34250"/>
    <cellStyle name="常规 2 5 14 3 2" xfId="34251"/>
    <cellStyle name="常规 2 5 14 3 2 2" xfId="34252"/>
    <cellStyle name="常规 2 5 14 3 2 3" xfId="34253"/>
    <cellStyle name="常规 2 5 14 3 2 4" xfId="34254"/>
    <cellStyle name="常规 2 5 14 3 3" xfId="34255"/>
    <cellStyle name="常规 2 5 14 3 4" xfId="34256"/>
    <cellStyle name="常规 2 5 14 3 5" xfId="34257"/>
    <cellStyle name="常规 2 5 14 4" xfId="34258"/>
    <cellStyle name="常规 2 5 14 4 2" xfId="34259"/>
    <cellStyle name="常规 2 5 14 4 2 2" xfId="34260"/>
    <cellStyle name="常规 2 5 14 4 2 3" xfId="34261"/>
    <cellStyle name="常规 2 5 14 4 2 4" xfId="34262"/>
    <cellStyle name="常规 2 5 14 4 3" xfId="34263"/>
    <cellStyle name="常规 2 5 14 4 4" xfId="34264"/>
    <cellStyle name="常规 2 5 14 4 5" xfId="34265"/>
    <cellStyle name="常规 2 5 14 5" xfId="34266"/>
    <cellStyle name="常规 2 5 14 5 2" xfId="34267"/>
    <cellStyle name="常规 2 5 14 5 3" xfId="34268"/>
    <cellStyle name="常规 2 5 14 5 4" xfId="34269"/>
    <cellStyle name="常规 2 5 14 6" xfId="34270"/>
    <cellStyle name="常规 2 5 14 7" xfId="34271"/>
    <cellStyle name="常规 2 5 14 8" xfId="34272"/>
    <cellStyle name="常规 2 5 15" xfId="34273"/>
    <cellStyle name="常规 2 5 15 2" xfId="34274"/>
    <cellStyle name="常规 2 5 15 2 2" xfId="34275"/>
    <cellStyle name="常规 2 5 15 2 3" xfId="34276"/>
    <cellStyle name="常规 2 5 15 2 4" xfId="34277"/>
    <cellStyle name="常规 2 5 15 3" xfId="34278"/>
    <cellStyle name="常规 2 5 15 4" xfId="34279"/>
    <cellStyle name="常规 2 5 15 5" xfId="34280"/>
    <cellStyle name="常规 2 5 16" xfId="34281"/>
    <cellStyle name="常规 2 5 16 2" xfId="34282"/>
    <cellStyle name="常规 2 5 16 2 2" xfId="34283"/>
    <cellStyle name="常规 2 5 16 2 3" xfId="34284"/>
    <cellStyle name="常规 2 5 16 2 4" xfId="34285"/>
    <cellStyle name="常规 2 5 16 3" xfId="34286"/>
    <cellStyle name="常规 2 5 16 4" xfId="34287"/>
    <cellStyle name="常规 2 5 16 5" xfId="34288"/>
    <cellStyle name="常规 2 5 17" xfId="34289"/>
    <cellStyle name="常规 2 5 17 2" xfId="34290"/>
    <cellStyle name="常规 2 5 17 3" xfId="34291"/>
    <cellStyle name="常规 2 5 17 4" xfId="34292"/>
    <cellStyle name="常规 2 5 18" xfId="34293"/>
    <cellStyle name="常规 2 5 19" xfId="34294"/>
    <cellStyle name="常规 2 5 2" xfId="34295"/>
    <cellStyle name="常规 2 5 2 10" xfId="34296"/>
    <cellStyle name="常规 2 5 2 10 2" xfId="34297"/>
    <cellStyle name="常规 2 5 2 11" xfId="34298"/>
    <cellStyle name="常规 2 5 2 12" xfId="34299"/>
    <cellStyle name="常规 2 5 2 12 2" xfId="34300"/>
    <cellStyle name="常规 2 5 2 2" xfId="34301"/>
    <cellStyle name="常规 2 5 2 2 10" xfId="34302"/>
    <cellStyle name="常规 2 5 2 2 11" xfId="34303"/>
    <cellStyle name="常规 2 5 2 2 11 2" xfId="34304"/>
    <cellStyle name="常规 2 5 2 2 2" xfId="34305"/>
    <cellStyle name="常规 2 5 2 2 2 10" xfId="34306"/>
    <cellStyle name="常规 2 5 2 2 2 10 2" xfId="34307"/>
    <cellStyle name="常规 2 5 2 2 2 10 3" xfId="34308"/>
    <cellStyle name="常规 2 5 2 2 2 2" xfId="34309"/>
    <cellStyle name="常规 2 5 2 2 2 2 2" xfId="34310"/>
    <cellStyle name="常规 2 5 2 2 2 2 2 2" xfId="34311"/>
    <cellStyle name="常规 2 5 2 2 2 2 2 3" xfId="34312"/>
    <cellStyle name="常规 2 5 2 2 2 2 2 4" xfId="34313"/>
    <cellStyle name="常规 2 5 2 2 2 2 2 5" xfId="34314"/>
    <cellStyle name="常规 2 5 2 2 2 2 2 5 2" xfId="34315"/>
    <cellStyle name="常规 2 5 2 2 2 2 3" xfId="34316"/>
    <cellStyle name="常规 2 5 2 2 2 2 3 2" xfId="34317"/>
    <cellStyle name="常规 2 5 2 2 2 2 3 2 2" xfId="34318"/>
    <cellStyle name="常规 2 5 2 2 2 2 4" xfId="34319"/>
    <cellStyle name="常规 2 5 2 2 2 2 4 2" xfId="34320"/>
    <cellStyle name="常规 2 5 2 2 2 2 4 2 2" xfId="34321"/>
    <cellStyle name="常规 2 5 2 2 2 2 4 3" xfId="34322"/>
    <cellStyle name="常规 2 5 2 2 2 2 5" xfId="34323"/>
    <cellStyle name="常规 2 5 2 2 2 2 5 2" xfId="34324"/>
    <cellStyle name="常规 2 5 2 2 2 2 5 3" xfId="34325"/>
    <cellStyle name="常规 2 5 2 2 2 2 6" xfId="34326"/>
    <cellStyle name="常规 2 5 2 2 2 2 6 2" xfId="34327"/>
    <cellStyle name="常规 2 5 2 2 2 2 7" xfId="34328"/>
    <cellStyle name="常规 2 5 2 2 2 3" xfId="34329"/>
    <cellStyle name="常规 2 5 2 2 2 3 2" xfId="34330"/>
    <cellStyle name="常规 2 5 2 2 2 3 2 2" xfId="34331"/>
    <cellStyle name="常规 2 5 2 2 2 3 2 2 2" xfId="34332"/>
    <cellStyle name="常规 2 5 2 2 2 3 2 3" xfId="34333"/>
    <cellStyle name="常规 2 5 2 2 2 3 2 4" xfId="34334"/>
    <cellStyle name="常规 2 5 2 2 2 3 2 5" xfId="34335"/>
    <cellStyle name="常规 2 5 2 2 2 3 2 5 2" xfId="34336"/>
    <cellStyle name="常规 2 5 2 2 2 3 2 6" xfId="34337"/>
    <cellStyle name="常规 2 5 2 2 2 3 3" xfId="34338"/>
    <cellStyle name="常规 2 5 2 2 2 3 3 2" xfId="34339"/>
    <cellStyle name="常规 2 5 2 2 2 3 3 2 2" xfId="34340"/>
    <cellStyle name="常规 2 5 2 2 2 3 4" xfId="34341"/>
    <cellStyle name="常规 2 5 2 2 2 3 4 2" xfId="34342"/>
    <cellStyle name="常规 2 5 2 2 2 3 4 3" xfId="34343"/>
    <cellStyle name="常规 2 5 2 2 2 3 5" xfId="34344"/>
    <cellStyle name="常规 2 5 2 2 2 3 5 2" xfId="34345"/>
    <cellStyle name="常规 2 5 2 2 2 3 6" xfId="34346"/>
    <cellStyle name="常规 2 5 2 2 2 3 6 2" xfId="34347"/>
    <cellStyle name="常规 2 5 2 2 2 3 7" xfId="34348"/>
    <cellStyle name="常规 2 5 2 2 2 4" xfId="34349"/>
    <cellStyle name="常规 2 5 2 2 2 4 2" xfId="34350"/>
    <cellStyle name="常规 2 5 2 2 2 4 2 2" xfId="34351"/>
    <cellStyle name="常规 2 5 2 2 2 4 2 2 2" xfId="34352"/>
    <cellStyle name="常规 2 5 2 2 2 4 2 3" xfId="34353"/>
    <cellStyle name="常规 2 5 2 2 2 4 3" xfId="34354"/>
    <cellStyle name="常规 2 5 2 2 2 4 3 2" xfId="34355"/>
    <cellStyle name="常规 2 5 2 2 2 4 3 2 2" xfId="34356"/>
    <cellStyle name="常规 2 5 2 2 2 4 4" xfId="34357"/>
    <cellStyle name="常规 2 5 2 2 2 4 4 2" xfId="34358"/>
    <cellStyle name="常规 2 5 2 2 2 4 4 3" xfId="34359"/>
    <cellStyle name="常规 2 5 2 2 2 4 5" xfId="34360"/>
    <cellStyle name="常规 2 5 2 2 2 4 5 2" xfId="34361"/>
    <cellStyle name="常规 2 5 2 2 2 4 6" xfId="34362"/>
    <cellStyle name="常规 2 5 2 2 2 5" xfId="34363"/>
    <cellStyle name="常规 2 5 2 2 2 5 2" xfId="34364"/>
    <cellStyle name="常规 2 5 2 2 2 5 2 2" xfId="34365"/>
    <cellStyle name="常规 2 5 2 2 2 6" xfId="34366"/>
    <cellStyle name="常规 2 5 2 2 2 6 2" xfId="34367"/>
    <cellStyle name="常规 2 5 2 2 2 6 2 2" xfId="34368"/>
    <cellStyle name="常规 2 5 2 2 2 7" xfId="34369"/>
    <cellStyle name="常规 2 5 2 2 2 7 2" xfId="34370"/>
    <cellStyle name="常规 2 5 2 2 2 7 2 2" xfId="34371"/>
    <cellStyle name="常规 2 5 2 2 2 8" xfId="34372"/>
    <cellStyle name="常规 2 5 2 2 2 8 2" xfId="34373"/>
    <cellStyle name="常规 2 5 2 2 2 8 2 2" xfId="34374"/>
    <cellStyle name="常规 2 5 2 2 2 9" xfId="34375"/>
    <cellStyle name="常规 2 5 2 2 2 9 2" xfId="34376"/>
    <cellStyle name="常规 2 5 2 2 2 9 3" xfId="34377"/>
    <cellStyle name="常规 2 5 2 2 3" xfId="34378"/>
    <cellStyle name="常规 2 5 2 2 3 2" xfId="34379"/>
    <cellStyle name="常规 2 5 2 2 3 2 2" xfId="34380"/>
    <cellStyle name="常规 2 5 2 2 3 2 3" xfId="34381"/>
    <cellStyle name="常规 2 5 2 2 3 2 4" xfId="34382"/>
    <cellStyle name="常规 2 5 2 2 3 2 5" xfId="34383"/>
    <cellStyle name="常规 2 5 2 2 3 2 5 2" xfId="34384"/>
    <cellStyle name="常规 2 5 2 2 3 3" xfId="34385"/>
    <cellStyle name="常规 2 5 2 2 3 3 2" xfId="34386"/>
    <cellStyle name="常规 2 5 2 2 3 3 2 2" xfId="34387"/>
    <cellStyle name="常规 2 5 2 2 3 4" xfId="34388"/>
    <cellStyle name="常规 2 5 2 2 3 4 2" xfId="34389"/>
    <cellStyle name="常规 2 5 2 2 3 4 2 2" xfId="34390"/>
    <cellStyle name="常规 2 5 2 2 3 4 3" xfId="34391"/>
    <cellStyle name="常规 2 5 2 2 3 4 3 2" xfId="34392"/>
    <cellStyle name="常规 2 5 2 2 3 5" xfId="34393"/>
    <cellStyle name="常规 2 5 2 2 3 5 2" xfId="34394"/>
    <cellStyle name="常规 2 5 2 2 3 5 3" xfId="34395"/>
    <cellStyle name="常规 2 5 2 2 3 6" xfId="34396"/>
    <cellStyle name="常规 2 5 2 2 3 6 2" xfId="34397"/>
    <cellStyle name="常规 2 5 2 2 3 7" xfId="34398"/>
    <cellStyle name="常规 2 5 2 2 4" xfId="34399"/>
    <cellStyle name="常规 2 5 2 2 4 2" xfId="34400"/>
    <cellStyle name="常规 2 5 2 2 4 2 2" xfId="34401"/>
    <cellStyle name="常规 2 5 2 2 4 2 2 2" xfId="34402"/>
    <cellStyle name="常规 2 5 2 2 4 2 3" xfId="34403"/>
    <cellStyle name="常规 2 5 2 2 4 2 4" xfId="34404"/>
    <cellStyle name="常规 2 5 2 2 4 2 5" xfId="34405"/>
    <cellStyle name="常规 2 5 2 2 4 2 5 2" xfId="34406"/>
    <cellStyle name="常规 2 5 2 2 4 2 6" xfId="34407"/>
    <cellStyle name="常规 2 5 2 2 4 3" xfId="34408"/>
    <cellStyle name="常规 2 5 2 2 4 3 2" xfId="34409"/>
    <cellStyle name="常规 2 5 2 2 4 3 2 2" xfId="34410"/>
    <cellStyle name="常规 2 5 2 2 4 3 3" xfId="34411"/>
    <cellStyle name="常规 2 5 2 2 4 4" xfId="34412"/>
    <cellStyle name="常规 2 5 2 2 4 4 2" xfId="34413"/>
    <cellStyle name="常规 2 5 2 2 4 4 3" xfId="34414"/>
    <cellStyle name="常规 2 5 2 2 4 5" xfId="34415"/>
    <cellStyle name="常规 2 5 2 2 4 5 2" xfId="34416"/>
    <cellStyle name="常规 2 5 2 2 4 6" xfId="34417"/>
    <cellStyle name="常规 2 5 2 2 4 6 2" xfId="34418"/>
    <cellStyle name="常规 2 5 2 2 4 7" xfId="34419"/>
    <cellStyle name="常规 2 5 2 2 5" xfId="34420"/>
    <cellStyle name="常规 2 5 2 2 5 2" xfId="34421"/>
    <cellStyle name="常规 2 5 2 2 5 2 2" xfId="34422"/>
    <cellStyle name="常规 2 5 2 2 5 2 2 2" xfId="34423"/>
    <cellStyle name="常规 2 5 2 2 5 2 2 3" xfId="34424"/>
    <cellStyle name="常规 2 5 2 2 5 2 3" xfId="34425"/>
    <cellStyle name="常规 2 5 2 2 5 2 3 2" xfId="34426"/>
    <cellStyle name="常规 2 5 2 2 5 3" xfId="34427"/>
    <cellStyle name="常规 2 5 2 2 5 3 2" xfId="34428"/>
    <cellStyle name="常规 2 5 2 2 5 3 2 2" xfId="34429"/>
    <cellStyle name="常规 2 5 2 2 5 4" xfId="34430"/>
    <cellStyle name="常规 2 5 2 2 5 4 2" xfId="34431"/>
    <cellStyle name="常规 2 5 2 2 5 4 3" xfId="34432"/>
    <cellStyle name="常规 2 5 2 2 5 5" xfId="34433"/>
    <cellStyle name="常规 2 5 2 2 5 5 2" xfId="34434"/>
    <cellStyle name="常规 2 5 2 2 5 5 3" xfId="34435"/>
    <cellStyle name="常规 2 5 2 2 5 6" xfId="34436"/>
    <cellStyle name="常规 2 5 2 2 5 7" xfId="34437"/>
    <cellStyle name="常规 2 5 2 2 6" xfId="34438"/>
    <cellStyle name="常规 2 5 2 2 6 2" xfId="34439"/>
    <cellStyle name="常规 2 5 2 2 6 2 2" xfId="34440"/>
    <cellStyle name="常规 2 5 2 2 7" xfId="34441"/>
    <cellStyle name="常规 2 5 2 2 7 2" xfId="34442"/>
    <cellStyle name="常规 2 5 2 2 7 2 2" xfId="34443"/>
    <cellStyle name="常规 2 5 2 2 8" xfId="34444"/>
    <cellStyle name="常规 2 5 2 2 8 2" xfId="34445"/>
    <cellStyle name="常规 2 5 2 2 8 2 2" xfId="34446"/>
    <cellStyle name="常规 2 5 2 2 9" xfId="34447"/>
    <cellStyle name="常规 2 5 2 2 9 2" xfId="34448"/>
    <cellStyle name="常规 2 5 2 2 9 2 2" xfId="34449"/>
    <cellStyle name="常规 2 5 2 3" xfId="34450"/>
    <cellStyle name="常规 2 5 2 3 10" xfId="34451"/>
    <cellStyle name="常规 2 5 2 3 10 2" xfId="34452"/>
    <cellStyle name="常规 2 5 2 3 11" xfId="34453"/>
    <cellStyle name="常规 2 5 2 3 12" xfId="34454"/>
    <cellStyle name="常规 2 5 2 3 2" xfId="34455"/>
    <cellStyle name="常规 2 5 2 3 2 2" xfId="34456"/>
    <cellStyle name="常规 2 5 2 3 2 2 2" xfId="34457"/>
    <cellStyle name="常规 2 5 2 3 2 2 2 2" xfId="34458"/>
    <cellStyle name="常规 2 5 2 3 2 2 2 3" xfId="34459"/>
    <cellStyle name="常规 2 5 2 3 2 2 2 4" xfId="34460"/>
    <cellStyle name="常规 2 5 2 3 2 2 3" xfId="34461"/>
    <cellStyle name="常规 2 5 2 3 2 2 4" xfId="34462"/>
    <cellStyle name="常规 2 5 2 3 2 2 5" xfId="34463"/>
    <cellStyle name="常规 2 5 2 3 2 2 6" xfId="34464"/>
    <cellStyle name="常规 2 5 2 3 2 2 6 2" xfId="34465"/>
    <cellStyle name="常规 2 5 2 3 2 3" xfId="34466"/>
    <cellStyle name="常规 2 5 2 3 2 3 2" xfId="34467"/>
    <cellStyle name="常规 2 5 2 3 2 3 2 2" xfId="34468"/>
    <cellStyle name="常规 2 5 2 3 2 3 2 3" xfId="34469"/>
    <cellStyle name="常规 2 5 2 3 2 3 2 4" xfId="34470"/>
    <cellStyle name="常规 2 5 2 3 2 3 3" xfId="34471"/>
    <cellStyle name="常规 2 5 2 3 2 3 4" xfId="34472"/>
    <cellStyle name="常规 2 5 2 3 2 3 5" xfId="34473"/>
    <cellStyle name="常规 2 5 2 3 2 3 6" xfId="34474"/>
    <cellStyle name="常规 2 5 2 3 2 3 6 2" xfId="34475"/>
    <cellStyle name="常规 2 5 2 3 2 4" xfId="34476"/>
    <cellStyle name="常规 2 5 2 3 2 4 2" xfId="34477"/>
    <cellStyle name="常规 2 5 2 3 2 4 2 2" xfId="34478"/>
    <cellStyle name="常规 2 5 2 3 2 4 3" xfId="34479"/>
    <cellStyle name="常规 2 5 2 3 2 4 3 2" xfId="34480"/>
    <cellStyle name="常规 2 5 2 3 2 4 4" xfId="34481"/>
    <cellStyle name="常规 2 5 2 3 2 4 5" xfId="34482"/>
    <cellStyle name="常规 2 5 2 3 2 4 6" xfId="34483"/>
    <cellStyle name="常规 2 5 2 3 2 5" xfId="34484"/>
    <cellStyle name="常规 2 5 2 3 2 5 2" xfId="34485"/>
    <cellStyle name="常规 2 5 2 3 2 5 3" xfId="34486"/>
    <cellStyle name="常规 2 5 2 3 2 6" xfId="34487"/>
    <cellStyle name="常规 2 5 2 3 2 7" xfId="34488"/>
    <cellStyle name="常规 2 5 2 3 2 8" xfId="34489"/>
    <cellStyle name="常规 2 5 2 3 2 8 2" xfId="34490"/>
    <cellStyle name="常规 2 5 2 3 2 9" xfId="34491"/>
    <cellStyle name="常规 2 5 2 3 3" xfId="34492"/>
    <cellStyle name="常规 2 5 2 3 3 2" xfId="34493"/>
    <cellStyle name="常规 2 5 2 3 3 2 2" xfId="34494"/>
    <cellStyle name="常规 2 5 2 3 3 2 2 2" xfId="34495"/>
    <cellStyle name="常规 2 5 2 3 3 2 3" xfId="34496"/>
    <cellStyle name="常规 2 5 2 3 3 2 4" xfId="34497"/>
    <cellStyle name="常规 2 5 2 3 3 2 5" xfId="34498"/>
    <cellStyle name="常规 2 5 2 3 3 2 5 2" xfId="34499"/>
    <cellStyle name="常规 2 5 2 3 3 2 6" xfId="34500"/>
    <cellStyle name="常规 2 5 2 3 3 3" xfId="34501"/>
    <cellStyle name="常规 2 5 2 3 3 3 2" xfId="34502"/>
    <cellStyle name="常规 2 5 2 3 3 3 2 2" xfId="34503"/>
    <cellStyle name="常规 2 5 2 3 3 3 3" xfId="34504"/>
    <cellStyle name="常规 2 5 2 3 3 4" xfId="34505"/>
    <cellStyle name="常规 2 5 2 3 3 4 2" xfId="34506"/>
    <cellStyle name="常规 2 5 2 3 3 4 3" xfId="34507"/>
    <cellStyle name="常规 2 5 2 3 3 5" xfId="34508"/>
    <cellStyle name="常规 2 5 2 3 3 5 2" xfId="34509"/>
    <cellStyle name="常规 2 5 2 3 3 6" xfId="34510"/>
    <cellStyle name="常规 2 5 2 3 3 6 2" xfId="34511"/>
    <cellStyle name="常规 2 5 2 3 3 7" xfId="34512"/>
    <cellStyle name="常规 2 5 2 3 4" xfId="34513"/>
    <cellStyle name="常规 2 5 2 3 4 2" xfId="34514"/>
    <cellStyle name="常规 2 5 2 3 4 2 2" xfId="34515"/>
    <cellStyle name="常规 2 5 2 3 4 2 2 2" xfId="34516"/>
    <cellStyle name="常规 2 5 2 3 4 2 3" xfId="34517"/>
    <cellStyle name="常规 2 5 2 3 4 2 4" xfId="34518"/>
    <cellStyle name="常规 2 5 2 3 4 2 5" xfId="34519"/>
    <cellStyle name="常规 2 5 2 3 4 2 5 2" xfId="34520"/>
    <cellStyle name="常规 2 5 2 3 4 2 6" xfId="34521"/>
    <cellStyle name="常规 2 5 2 3 4 3" xfId="34522"/>
    <cellStyle name="常规 2 5 2 3 4 3 2" xfId="34523"/>
    <cellStyle name="常规 2 5 2 3 4 3 2 2" xfId="34524"/>
    <cellStyle name="常规 2 5 2 3 4 4" xfId="34525"/>
    <cellStyle name="常规 2 5 2 3 4 4 2" xfId="34526"/>
    <cellStyle name="常规 2 5 2 3 4 4 3" xfId="34527"/>
    <cellStyle name="常规 2 5 2 3 4 5" xfId="34528"/>
    <cellStyle name="常规 2 5 2 3 4 5 2" xfId="34529"/>
    <cellStyle name="常规 2 5 2 3 4 6" xfId="34530"/>
    <cellStyle name="常规 2 5 2 3 4 6 2" xfId="34531"/>
    <cellStyle name="常规 2 5 2 3 4 7" xfId="34532"/>
    <cellStyle name="常规 2 5 2 3 5" xfId="34533"/>
    <cellStyle name="常规 2 5 2 3 5 2" xfId="34534"/>
    <cellStyle name="常规 2 5 2 3 5 3" xfId="34535"/>
    <cellStyle name="常规 2 5 2 3 5 4" xfId="34536"/>
    <cellStyle name="常规 2 5 2 3 5 5" xfId="34537"/>
    <cellStyle name="常规 2 5 2 3 5 5 2" xfId="34538"/>
    <cellStyle name="常规 2 5 2 3 6" xfId="34539"/>
    <cellStyle name="常规 2 5 2 3 6 2" xfId="34540"/>
    <cellStyle name="常规 2 5 2 3 6 2 2" xfId="34541"/>
    <cellStyle name="常规 2 5 2 3 7" xfId="34542"/>
    <cellStyle name="常规 2 5 2 3 7 2" xfId="34543"/>
    <cellStyle name="常规 2 5 2 3 7 2 2" xfId="34544"/>
    <cellStyle name="常规 2 5 2 3 8" xfId="34545"/>
    <cellStyle name="常规 2 5 2 3 8 2" xfId="34546"/>
    <cellStyle name="常规 2 5 2 3 9" xfId="34547"/>
    <cellStyle name="常规 2 5 2 3 9 2" xfId="34548"/>
    <cellStyle name="常规 2 5 2 4" xfId="34549"/>
    <cellStyle name="常规 2 5 2 4 2" xfId="34550"/>
    <cellStyle name="常规 2 5 2 4 2 2" xfId="34551"/>
    <cellStyle name="常规 2 5 2 4 2 3" xfId="34552"/>
    <cellStyle name="常规 2 5 2 4 2 4" xfId="34553"/>
    <cellStyle name="常规 2 5 2 4 2 5" xfId="34554"/>
    <cellStyle name="常规 2 5 2 4 2 5 2" xfId="34555"/>
    <cellStyle name="常规 2 5 2 4 3" xfId="34556"/>
    <cellStyle name="常规 2 5 2 4 3 2" xfId="34557"/>
    <cellStyle name="常规 2 5 2 4 3 2 2" xfId="34558"/>
    <cellStyle name="常规 2 5 2 4 4" xfId="34559"/>
    <cellStyle name="常规 2 5 2 4 4 2" xfId="34560"/>
    <cellStyle name="常规 2 5 2 4 4 2 2" xfId="34561"/>
    <cellStyle name="常规 2 5 2 4 4 3" xfId="34562"/>
    <cellStyle name="常规 2 5 2 4 5" xfId="34563"/>
    <cellStyle name="常规 2 5 2 4 5 2" xfId="34564"/>
    <cellStyle name="常规 2 5 2 4 5 3" xfId="34565"/>
    <cellStyle name="常规 2 5 2 4 6" xfId="34566"/>
    <cellStyle name="常规 2 5 2 4 6 2" xfId="34567"/>
    <cellStyle name="常规 2 5 2 4 7" xfId="34568"/>
    <cellStyle name="常规 2 5 2 5" xfId="34569"/>
    <cellStyle name="常规 2 5 2 5 2" xfId="34570"/>
    <cellStyle name="常规 2 5 2 5 2 2" xfId="34571"/>
    <cellStyle name="常规 2 5 2 5 2 3" xfId="34572"/>
    <cellStyle name="常规 2 5 2 5 2 4" xfId="34573"/>
    <cellStyle name="常规 2 5 2 5 2 5" xfId="34574"/>
    <cellStyle name="常规 2 5 2 5 2 5 2" xfId="34575"/>
    <cellStyle name="常规 2 5 2 5 3" xfId="34576"/>
    <cellStyle name="常规 2 5 2 5 3 2" xfId="34577"/>
    <cellStyle name="常规 2 5 2 5 3 2 2" xfId="34578"/>
    <cellStyle name="常规 2 5 2 5 4" xfId="34579"/>
    <cellStyle name="常规 2 5 2 5 4 2" xfId="34580"/>
    <cellStyle name="常规 2 5 2 5 4 2 2" xfId="34581"/>
    <cellStyle name="常规 2 5 2 5 5" xfId="34582"/>
    <cellStyle name="常规 2 5 2 5 5 2" xfId="34583"/>
    <cellStyle name="常规 2 5 2 5 5 3" xfId="34584"/>
    <cellStyle name="常规 2 5 2 5 6" xfId="34585"/>
    <cellStyle name="常规 2 5 2 5 6 2" xfId="34586"/>
    <cellStyle name="常规 2 5 2 5 7" xfId="34587"/>
    <cellStyle name="常规 2 5 2 6" xfId="34588"/>
    <cellStyle name="常规 2 5 2 6 2" xfId="34589"/>
    <cellStyle name="常规 2 5 2 6 2 2" xfId="34590"/>
    <cellStyle name="常规 2 5 2 6 2 2 2" xfId="34591"/>
    <cellStyle name="常规 2 5 2 6 3" xfId="34592"/>
    <cellStyle name="常规 2 5 2 6 3 2" xfId="34593"/>
    <cellStyle name="常规 2 5 2 6 3 2 2" xfId="34594"/>
    <cellStyle name="常规 2 5 2 6 3 3" xfId="34595"/>
    <cellStyle name="常规 2 5 2 6 4" xfId="34596"/>
    <cellStyle name="常规 2 5 2 6 4 2" xfId="34597"/>
    <cellStyle name="常规 2 5 2 6 4 2 2" xfId="34598"/>
    <cellStyle name="常规 2 5 2 6 5" xfId="34599"/>
    <cellStyle name="常规 2 5 2 6 5 2" xfId="34600"/>
    <cellStyle name="常规 2 5 2 6 5 3" xfId="34601"/>
    <cellStyle name="常规 2 5 2 6 6" xfId="34602"/>
    <cellStyle name="常规 2 5 2 6 6 2" xfId="34603"/>
    <cellStyle name="常规 2 5 2 7" xfId="34604"/>
    <cellStyle name="常规 2 5 2 7 2" xfId="34605"/>
    <cellStyle name="常规 2 5 2 7 2 2" xfId="34606"/>
    <cellStyle name="常规 2 5 2 8" xfId="34607"/>
    <cellStyle name="常规 2 5 2 8 2" xfId="34608"/>
    <cellStyle name="常规 2 5 2 8 2 2" xfId="34609"/>
    <cellStyle name="常规 2 5 2 9" xfId="34610"/>
    <cellStyle name="常规 2 5 20" xfId="34611"/>
    <cellStyle name="常规 2 5 21" xfId="34612"/>
    <cellStyle name="常规 2 5 21 2" xfId="34613"/>
    <cellStyle name="常规 2 5 22" xfId="34614"/>
    <cellStyle name="常规 2 5 3" xfId="34615"/>
    <cellStyle name="常规 2 5 3 10" xfId="34616"/>
    <cellStyle name="常规 2 5 3 10 2" xfId="34617"/>
    <cellStyle name="常规 2 5 3 10 2 2" xfId="34618"/>
    <cellStyle name="常规 2 5 3 10 2 2 2" xfId="34619"/>
    <cellStyle name="常规 2 5 3 10 2 2 2 2" xfId="34620"/>
    <cellStyle name="常规 2 5 3 10 2 2 2 3" xfId="34621"/>
    <cellStyle name="常规 2 5 3 10 2 2 2 4" xfId="34622"/>
    <cellStyle name="常规 2 5 3 10 2 2 3" xfId="34623"/>
    <cellStyle name="常规 2 5 3 10 2 2 4" xfId="34624"/>
    <cellStyle name="常规 2 5 3 10 2 2 5" xfId="34625"/>
    <cellStyle name="常规 2 5 3 10 2 3" xfId="34626"/>
    <cellStyle name="常规 2 5 3 10 2 3 2" xfId="34627"/>
    <cellStyle name="常规 2 5 3 10 2 3 2 2" xfId="34628"/>
    <cellStyle name="常规 2 5 3 10 2 3 2 3" xfId="34629"/>
    <cellStyle name="常规 2 5 3 10 2 3 2 4" xfId="34630"/>
    <cellStyle name="常规 2 5 3 10 2 3 3" xfId="34631"/>
    <cellStyle name="常规 2 5 3 10 2 3 4" xfId="34632"/>
    <cellStyle name="常规 2 5 3 10 2 3 5" xfId="34633"/>
    <cellStyle name="常规 2 5 3 10 2 4" xfId="34634"/>
    <cellStyle name="常规 2 5 3 10 2 4 2" xfId="34635"/>
    <cellStyle name="常规 2 5 3 10 2 4 3" xfId="34636"/>
    <cellStyle name="常规 2 5 3 10 2 4 4" xfId="34637"/>
    <cellStyle name="常规 2 5 3 10 2 5" xfId="34638"/>
    <cellStyle name="常规 2 5 3 10 2 6" xfId="34639"/>
    <cellStyle name="常规 2 5 3 10 2 7" xfId="34640"/>
    <cellStyle name="常规 2 5 3 10 3" xfId="34641"/>
    <cellStyle name="常规 2 5 3 10 3 2" xfId="34642"/>
    <cellStyle name="常规 2 5 3 10 3 2 2" xfId="34643"/>
    <cellStyle name="常规 2 5 3 10 3 2 3" xfId="34644"/>
    <cellStyle name="常规 2 5 3 10 3 2 4" xfId="34645"/>
    <cellStyle name="常规 2 5 3 10 3 3" xfId="34646"/>
    <cellStyle name="常规 2 5 3 10 3 4" xfId="34647"/>
    <cellStyle name="常规 2 5 3 10 3 5" xfId="34648"/>
    <cellStyle name="常规 2 5 3 10 4" xfId="34649"/>
    <cellStyle name="常规 2 5 3 10 4 2" xfId="34650"/>
    <cellStyle name="常规 2 5 3 10 4 2 2" xfId="34651"/>
    <cellStyle name="常规 2 5 3 10 4 2 3" xfId="34652"/>
    <cellStyle name="常规 2 5 3 10 4 2 4" xfId="34653"/>
    <cellStyle name="常规 2 5 3 10 4 3" xfId="34654"/>
    <cellStyle name="常规 2 5 3 10 4 4" xfId="34655"/>
    <cellStyle name="常规 2 5 3 10 4 5" xfId="34656"/>
    <cellStyle name="常规 2 5 3 10 5" xfId="34657"/>
    <cellStyle name="常规 2 5 3 10 5 2" xfId="34658"/>
    <cellStyle name="常规 2 5 3 10 5 3" xfId="34659"/>
    <cellStyle name="常规 2 5 3 10 5 4" xfId="34660"/>
    <cellStyle name="常规 2 5 3 10 6" xfId="34661"/>
    <cellStyle name="常规 2 5 3 10 7" xfId="34662"/>
    <cellStyle name="常规 2 5 3 10 8" xfId="34663"/>
    <cellStyle name="常规 2 5 3 11" xfId="34664"/>
    <cellStyle name="常规 2 5 3 11 2" xfId="34665"/>
    <cellStyle name="常规 2 5 3 11 2 2" xfId="34666"/>
    <cellStyle name="常规 2 5 3 11 2 2 2" xfId="34667"/>
    <cellStyle name="常规 2 5 3 11 2 2 2 2" xfId="34668"/>
    <cellStyle name="常规 2 5 3 11 2 2 2 3" xfId="34669"/>
    <cellStyle name="常规 2 5 3 11 2 2 2 4" xfId="34670"/>
    <cellStyle name="常规 2 5 3 11 2 2 3" xfId="34671"/>
    <cellStyle name="常规 2 5 3 11 2 2 4" xfId="34672"/>
    <cellStyle name="常规 2 5 3 11 2 2 5" xfId="34673"/>
    <cellStyle name="常规 2 5 3 11 2 3" xfId="34674"/>
    <cellStyle name="常规 2 5 3 11 2 3 2" xfId="34675"/>
    <cellStyle name="常规 2 5 3 11 2 3 2 2" xfId="34676"/>
    <cellStyle name="常规 2 5 3 11 2 3 2 3" xfId="34677"/>
    <cellStyle name="常规 2 5 3 11 2 3 2 4" xfId="34678"/>
    <cellStyle name="常规 2 5 3 11 2 3 3" xfId="34679"/>
    <cellStyle name="常规 2 5 3 11 2 3 4" xfId="34680"/>
    <cellStyle name="常规 2 5 3 11 2 3 5" xfId="34681"/>
    <cellStyle name="常规 2 5 3 11 2 4" xfId="34682"/>
    <cellStyle name="常规 2 5 3 11 2 4 2" xfId="34683"/>
    <cellStyle name="常规 2 5 3 11 2 4 3" xfId="34684"/>
    <cellStyle name="常规 2 5 3 11 2 4 4" xfId="34685"/>
    <cellStyle name="常规 2 5 3 11 2 5" xfId="34686"/>
    <cellStyle name="常规 2 5 3 11 2 6" xfId="34687"/>
    <cellStyle name="常规 2 5 3 11 2 7" xfId="34688"/>
    <cellStyle name="常规 2 5 3 11 3" xfId="34689"/>
    <cellStyle name="常规 2 5 3 11 3 2" xfId="34690"/>
    <cellStyle name="常规 2 5 3 11 3 2 2" xfId="34691"/>
    <cellStyle name="常规 2 5 3 11 3 2 3" xfId="34692"/>
    <cellStyle name="常规 2 5 3 11 3 2 4" xfId="34693"/>
    <cellStyle name="常规 2 5 3 11 3 3" xfId="34694"/>
    <cellStyle name="常规 2 5 3 11 3 4" xfId="34695"/>
    <cellStyle name="常规 2 5 3 11 3 5" xfId="34696"/>
    <cellStyle name="常规 2 5 3 11 4" xfId="34697"/>
    <cellStyle name="常规 2 5 3 11 4 2" xfId="34698"/>
    <cellStyle name="常规 2 5 3 11 4 2 2" xfId="34699"/>
    <cellStyle name="常规 2 5 3 11 4 2 3" xfId="34700"/>
    <cellStyle name="常规 2 5 3 11 4 2 4" xfId="34701"/>
    <cellStyle name="常规 2 5 3 11 4 3" xfId="34702"/>
    <cellStyle name="常规 2 5 3 11 4 4" xfId="34703"/>
    <cellStyle name="常规 2 5 3 11 4 5" xfId="34704"/>
    <cellStyle name="常规 2 5 3 11 5" xfId="34705"/>
    <cellStyle name="常规 2 5 3 11 5 2" xfId="34706"/>
    <cellStyle name="常规 2 5 3 11 5 3" xfId="34707"/>
    <cellStyle name="常规 2 5 3 11 5 4" xfId="34708"/>
    <cellStyle name="常规 2 5 3 11 6" xfId="34709"/>
    <cellStyle name="常规 2 5 3 11 7" xfId="34710"/>
    <cellStyle name="常规 2 5 3 11 8" xfId="34711"/>
    <cellStyle name="常规 2 5 3 12" xfId="34712"/>
    <cellStyle name="常规 2 5 3 12 2" xfId="34713"/>
    <cellStyle name="常规 2 5 3 12 2 2" xfId="34714"/>
    <cellStyle name="常规 2 5 3 12 2 2 2" xfId="34715"/>
    <cellStyle name="常规 2 5 3 12 2 2 2 2" xfId="34716"/>
    <cellStyle name="常规 2 5 3 12 2 2 2 3" xfId="34717"/>
    <cellStyle name="常规 2 5 3 12 2 2 2 4" xfId="34718"/>
    <cellStyle name="常规 2 5 3 12 2 2 3" xfId="34719"/>
    <cellStyle name="常规 2 5 3 12 2 2 4" xfId="34720"/>
    <cellStyle name="常规 2 5 3 12 2 2 5" xfId="34721"/>
    <cellStyle name="常规 2 5 3 12 2 3" xfId="34722"/>
    <cellStyle name="常规 2 5 3 12 2 3 2" xfId="34723"/>
    <cellStyle name="常规 2 5 3 12 2 3 2 2" xfId="34724"/>
    <cellStyle name="常规 2 5 3 12 2 3 2 3" xfId="34725"/>
    <cellStyle name="常规 2 5 3 12 2 3 2 4" xfId="34726"/>
    <cellStyle name="常规 2 5 3 12 2 3 3" xfId="34727"/>
    <cellStyle name="常规 2 5 3 12 2 3 4" xfId="34728"/>
    <cellStyle name="常规 2 5 3 12 2 3 5" xfId="34729"/>
    <cellStyle name="常规 2 5 3 12 2 4" xfId="34730"/>
    <cellStyle name="常规 2 5 3 12 2 4 2" xfId="34731"/>
    <cellStyle name="常规 2 5 3 12 2 4 3" xfId="34732"/>
    <cellStyle name="常规 2 5 3 12 2 4 4" xfId="34733"/>
    <cellStyle name="常规 2 5 3 12 2 5" xfId="34734"/>
    <cellStyle name="常规 2 5 3 12 2 6" xfId="34735"/>
    <cellStyle name="常规 2 5 3 12 2 7" xfId="34736"/>
    <cellStyle name="常规 2 5 3 12 3" xfId="34737"/>
    <cellStyle name="常规 2 5 3 12 3 2" xfId="34738"/>
    <cellStyle name="常规 2 5 3 12 3 2 2" xfId="34739"/>
    <cellStyle name="常规 2 5 3 12 3 2 3" xfId="34740"/>
    <cellStyle name="常规 2 5 3 12 3 2 4" xfId="34741"/>
    <cellStyle name="常规 2 5 3 12 3 3" xfId="34742"/>
    <cellStyle name="常规 2 5 3 12 3 4" xfId="34743"/>
    <cellStyle name="常规 2 5 3 12 3 5" xfId="34744"/>
    <cellStyle name="常规 2 5 3 12 4" xfId="34745"/>
    <cellStyle name="常规 2 5 3 12 4 2" xfId="34746"/>
    <cellStyle name="常规 2 5 3 12 4 2 2" xfId="34747"/>
    <cellStyle name="常规 2 5 3 12 4 2 3" xfId="34748"/>
    <cellStyle name="常规 2 5 3 12 4 2 4" xfId="34749"/>
    <cellStyle name="常规 2 5 3 12 4 3" xfId="34750"/>
    <cellStyle name="常规 2 5 3 12 4 4" xfId="34751"/>
    <cellStyle name="常规 2 5 3 12 4 5" xfId="34752"/>
    <cellStyle name="常规 2 5 3 12 5" xfId="34753"/>
    <cellStyle name="常规 2 5 3 12 5 2" xfId="34754"/>
    <cellStyle name="常规 2 5 3 12 5 3" xfId="34755"/>
    <cellStyle name="常规 2 5 3 12 5 4" xfId="34756"/>
    <cellStyle name="常规 2 5 3 12 6" xfId="34757"/>
    <cellStyle name="常规 2 5 3 12 7" xfId="34758"/>
    <cellStyle name="常规 2 5 3 12 8" xfId="34759"/>
    <cellStyle name="常规 2 5 3 13" xfId="34760"/>
    <cellStyle name="常规 2 5 3 13 2" xfId="34761"/>
    <cellStyle name="常规 2 5 3 13 2 2" xfId="34762"/>
    <cellStyle name="常规 2 5 3 13 2 2 2" xfId="34763"/>
    <cellStyle name="常规 2 5 3 13 2 2 2 2" xfId="34764"/>
    <cellStyle name="常规 2 5 3 13 2 2 2 3" xfId="34765"/>
    <cellStyle name="常规 2 5 3 13 2 2 2 4" xfId="34766"/>
    <cellStyle name="常规 2 5 3 13 2 2 3" xfId="34767"/>
    <cellStyle name="常规 2 5 3 13 2 2 4" xfId="34768"/>
    <cellStyle name="常规 2 5 3 13 2 2 5" xfId="34769"/>
    <cellStyle name="常规 2 5 3 13 2 3" xfId="34770"/>
    <cellStyle name="常规 2 5 3 13 2 3 2" xfId="34771"/>
    <cellStyle name="常规 2 5 3 13 2 3 2 2" xfId="34772"/>
    <cellStyle name="常规 2 5 3 13 2 3 2 3" xfId="34773"/>
    <cellStyle name="常规 2 5 3 13 2 3 2 4" xfId="34774"/>
    <cellStyle name="常规 2 5 3 13 2 3 3" xfId="34775"/>
    <cellStyle name="常规 2 5 3 13 2 3 4" xfId="34776"/>
    <cellStyle name="常规 2 5 3 13 2 3 5" xfId="34777"/>
    <cellStyle name="常规 2 5 3 13 2 4" xfId="34778"/>
    <cellStyle name="常规 2 5 3 13 2 4 2" xfId="34779"/>
    <cellStyle name="常规 2 5 3 13 2 4 3" xfId="34780"/>
    <cellStyle name="常规 2 5 3 13 2 4 4" xfId="34781"/>
    <cellStyle name="常规 2 5 3 13 2 5" xfId="34782"/>
    <cellStyle name="常规 2 5 3 13 2 6" xfId="34783"/>
    <cellStyle name="常规 2 5 3 13 2 7" xfId="34784"/>
    <cellStyle name="常规 2 5 3 13 3" xfId="34785"/>
    <cellStyle name="常规 2 5 3 13 3 2" xfId="34786"/>
    <cellStyle name="常规 2 5 3 13 3 2 2" xfId="34787"/>
    <cellStyle name="常规 2 5 3 13 3 2 3" xfId="34788"/>
    <cellStyle name="常规 2 5 3 13 3 2 4" xfId="34789"/>
    <cellStyle name="常规 2 5 3 13 3 3" xfId="34790"/>
    <cellStyle name="常规 2 5 3 13 3 4" xfId="34791"/>
    <cellStyle name="常规 2 5 3 13 3 5" xfId="34792"/>
    <cellStyle name="常规 2 5 3 13 4" xfId="34793"/>
    <cellStyle name="常规 2 5 3 13 4 2" xfId="34794"/>
    <cellStyle name="常规 2 5 3 13 4 2 2" xfId="34795"/>
    <cellStyle name="常规 2 5 3 13 4 2 3" xfId="34796"/>
    <cellStyle name="常规 2 5 3 13 4 2 4" xfId="34797"/>
    <cellStyle name="常规 2 5 3 13 4 3" xfId="34798"/>
    <cellStyle name="常规 2 5 3 13 4 4" xfId="34799"/>
    <cellStyle name="常规 2 5 3 13 4 5" xfId="34800"/>
    <cellStyle name="常规 2 5 3 13 5" xfId="34801"/>
    <cellStyle name="常规 2 5 3 13 5 2" xfId="34802"/>
    <cellStyle name="常规 2 5 3 13 5 3" xfId="34803"/>
    <cellStyle name="常规 2 5 3 13 5 4" xfId="34804"/>
    <cellStyle name="常规 2 5 3 13 6" xfId="34805"/>
    <cellStyle name="常规 2 5 3 13 7" xfId="34806"/>
    <cellStyle name="常规 2 5 3 13 8" xfId="34807"/>
    <cellStyle name="常规 2 5 3 14" xfId="34808"/>
    <cellStyle name="常规 2 5 3 14 2" xfId="34809"/>
    <cellStyle name="常规 2 5 3 14 2 2" xfId="34810"/>
    <cellStyle name="常规 2 5 3 14 2 2 2" xfId="34811"/>
    <cellStyle name="常规 2 5 3 14 2 2 2 2" xfId="34812"/>
    <cellStyle name="常规 2 5 3 14 2 2 2 3" xfId="34813"/>
    <cellStyle name="常规 2 5 3 14 2 2 2 4" xfId="34814"/>
    <cellStyle name="常规 2 5 3 14 2 2 3" xfId="34815"/>
    <cellStyle name="常规 2 5 3 14 2 2 4" xfId="34816"/>
    <cellStyle name="常规 2 5 3 14 2 2 5" xfId="34817"/>
    <cellStyle name="常规 2 5 3 14 2 3" xfId="34818"/>
    <cellStyle name="常规 2 5 3 14 2 3 2" xfId="34819"/>
    <cellStyle name="常规 2 5 3 14 2 3 2 2" xfId="34820"/>
    <cellStyle name="常规 2 5 3 14 2 3 2 3" xfId="34821"/>
    <cellStyle name="常规 2 5 3 14 2 3 2 4" xfId="34822"/>
    <cellStyle name="常规 2 5 3 14 2 3 3" xfId="34823"/>
    <cellStyle name="常规 2 5 3 14 2 3 4" xfId="34824"/>
    <cellStyle name="常规 2 5 3 14 2 3 5" xfId="34825"/>
    <cellStyle name="常规 2 5 3 14 2 4" xfId="34826"/>
    <cellStyle name="常规 2 5 3 14 2 4 2" xfId="34827"/>
    <cellStyle name="常规 2 5 3 14 2 4 3" xfId="34828"/>
    <cellStyle name="常规 2 5 3 14 2 4 4" xfId="34829"/>
    <cellStyle name="常规 2 5 3 14 2 5" xfId="34830"/>
    <cellStyle name="常规 2 5 3 14 2 6" xfId="34831"/>
    <cellStyle name="常规 2 5 3 14 2 7" xfId="34832"/>
    <cellStyle name="常规 2 5 3 14 3" xfId="34833"/>
    <cellStyle name="常规 2 5 3 14 3 2" xfId="34834"/>
    <cellStyle name="常规 2 5 3 14 3 2 2" xfId="34835"/>
    <cellStyle name="常规 2 5 3 14 3 2 3" xfId="34836"/>
    <cellStyle name="常规 2 5 3 14 3 2 4" xfId="34837"/>
    <cellStyle name="常规 2 5 3 14 3 3" xfId="34838"/>
    <cellStyle name="常规 2 5 3 14 3 4" xfId="34839"/>
    <cellStyle name="常规 2 5 3 14 3 5" xfId="34840"/>
    <cellStyle name="常规 2 5 3 14 4" xfId="34841"/>
    <cellStyle name="常规 2 5 3 14 4 2" xfId="34842"/>
    <cellStyle name="常规 2 5 3 14 4 2 2" xfId="34843"/>
    <cellStyle name="常规 2 5 3 14 4 2 3" xfId="34844"/>
    <cellStyle name="常规 2 5 3 14 4 2 4" xfId="34845"/>
    <cellStyle name="常规 2 5 3 14 4 3" xfId="34846"/>
    <cellStyle name="常规 2 5 3 14 4 4" xfId="34847"/>
    <cellStyle name="常规 2 5 3 14 4 5" xfId="34848"/>
    <cellStyle name="常规 2 5 3 14 5" xfId="34849"/>
    <cellStyle name="常规 2 5 3 14 5 2" xfId="34850"/>
    <cellStyle name="常规 2 5 3 14 5 3" xfId="34851"/>
    <cellStyle name="常规 2 5 3 14 5 4" xfId="34852"/>
    <cellStyle name="常规 2 5 3 14 6" xfId="34853"/>
    <cellStyle name="常规 2 5 3 14 7" xfId="34854"/>
    <cellStyle name="常规 2 5 3 14 8" xfId="34855"/>
    <cellStyle name="常规 2 5 3 15" xfId="34856"/>
    <cellStyle name="常规 2 5 3 15 2" xfId="34857"/>
    <cellStyle name="常规 2 5 3 15 2 2" xfId="34858"/>
    <cellStyle name="常规 2 5 3 15 2 3" xfId="34859"/>
    <cellStyle name="常规 2 5 3 15 2 4" xfId="34860"/>
    <cellStyle name="常规 2 5 3 15 3" xfId="34861"/>
    <cellStyle name="常规 2 5 3 15 4" xfId="34862"/>
    <cellStyle name="常规 2 5 3 15 5" xfId="34863"/>
    <cellStyle name="常规 2 5 3 16" xfId="34864"/>
    <cellStyle name="常规 2 5 3 16 2" xfId="34865"/>
    <cellStyle name="常规 2 5 3 16 2 2" xfId="34866"/>
    <cellStyle name="常规 2 5 3 16 2 3" xfId="34867"/>
    <cellStyle name="常规 2 5 3 16 2 4" xfId="34868"/>
    <cellStyle name="常规 2 5 3 16 3" xfId="34869"/>
    <cellStyle name="常规 2 5 3 16 4" xfId="34870"/>
    <cellStyle name="常规 2 5 3 16 5" xfId="34871"/>
    <cellStyle name="常规 2 5 3 17" xfId="34872"/>
    <cellStyle name="常规 2 5 3 17 2" xfId="34873"/>
    <cellStyle name="常规 2 5 3 17 3" xfId="34874"/>
    <cellStyle name="常规 2 5 3 17 4" xfId="34875"/>
    <cellStyle name="常规 2 5 3 18" xfId="34876"/>
    <cellStyle name="常规 2 5 3 19" xfId="34877"/>
    <cellStyle name="常规 2 5 3 2" xfId="34878"/>
    <cellStyle name="常规 2 5 3 2 10" xfId="34879"/>
    <cellStyle name="常规 2 5 3 2 2" xfId="34880"/>
    <cellStyle name="常规 2 5 3 2 2 2" xfId="34881"/>
    <cellStyle name="常规 2 5 3 2 2 2 2" xfId="34882"/>
    <cellStyle name="常规 2 5 3 2 2 2 2 2" xfId="34883"/>
    <cellStyle name="常规 2 5 3 2 2 2 2 2 2" xfId="34884"/>
    <cellStyle name="常规 2 5 3 2 2 2 2 2 3" xfId="34885"/>
    <cellStyle name="常规 2 5 3 2 2 2 2 2 4" xfId="34886"/>
    <cellStyle name="常规 2 5 3 2 2 2 2 3" xfId="34887"/>
    <cellStyle name="常规 2 5 3 2 2 2 2 4" xfId="34888"/>
    <cellStyle name="常规 2 5 3 2 2 2 2 5" xfId="34889"/>
    <cellStyle name="常规 2 5 3 2 2 2 3" xfId="34890"/>
    <cellStyle name="常规 2 5 3 2 2 2 3 2" xfId="34891"/>
    <cellStyle name="常规 2 5 3 2 2 2 3 2 2" xfId="34892"/>
    <cellStyle name="常规 2 5 3 2 2 2 3 2 3" xfId="34893"/>
    <cellStyle name="常规 2 5 3 2 2 2 3 2 4" xfId="34894"/>
    <cellStyle name="常规 2 5 3 2 2 2 3 3" xfId="34895"/>
    <cellStyle name="常规 2 5 3 2 2 2 3 4" xfId="34896"/>
    <cellStyle name="常规 2 5 3 2 2 2 3 5" xfId="34897"/>
    <cellStyle name="常规 2 5 3 2 2 2 4" xfId="34898"/>
    <cellStyle name="常规 2 5 3 2 2 2 4 2" xfId="34899"/>
    <cellStyle name="常规 2 5 3 2 2 2 4 3" xfId="34900"/>
    <cellStyle name="常规 2 5 3 2 2 2 4 4" xfId="34901"/>
    <cellStyle name="常规 2 5 3 2 2 2 5" xfId="34902"/>
    <cellStyle name="常规 2 5 3 2 2 2 6" xfId="34903"/>
    <cellStyle name="常规 2 5 3 2 2 2 7" xfId="34904"/>
    <cellStyle name="常规 2 5 3 2 2 3" xfId="34905"/>
    <cellStyle name="常规 2 5 3 2 2 3 2" xfId="34906"/>
    <cellStyle name="常规 2 5 3 2 2 3 2 2" xfId="34907"/>
    <cellStyle name="常规 2 5 3 2 2 3 2 3" xfId="34908"/>
    <cellStyle name="常规 2 5 3 2 2 3 2 4" xfId="34909"/>
    <cellStyle name="常规 2 5 3 2 2 3 3" xfId="34910"/>
    <cellStyle name="常规 2 5 3 2 2 3 4" xfId="34911"/>
    <cellStyle name="常规 2 5 3 2 2 3 5" xfId="34912"/>
    <cellStyle name="常规 2 5 3 2 2 4" xfId="34913"/>
    <cellStyle name="常规 2 5 3 2 2 4 2" xfId="34914"/>
    <cellStyle name="常规 2 5 3 2 2 4 2 2" xfId="34915"/>
    <cellStyle name="常规 2 5 3 2 2 4 2 3" xfId="34916"/>
    <cellStyle name="常规 2 5 3 2 2 4 2 4" xfId="34917"/>
    <cellStyle name="常规 2 5 3 2 2 4 3" xfId="34918"/>
    <cellStyle name="常规 2 5 3 2 2 4 4" xfId="34919"/>
    <cellStyle name="常规 2 5 3 2 2 4 5" xfId="34920"/>
    <cellStyle name="常规 2 5 3 2 2 5" xfId="34921"/>
    <cellStyle name="常规 2 5 3 2 2 5 2" xfId="34922"/>
    <cellStyle name="常规 2 5 3 2 2 5 3" xfId="34923"/>
    <cellStyle name="常规 2 5 3 2 2 5 4" xfId="34924"/>
    <cellStyle name="常规 2 5 3 2 2 6" xfId="34925"/>
    <cellStyle name="常规 2 5 3 2 2 7" xfId="34926"/>
    <cellStyle name="常规 2 5 3 2 2 8" xfId="34927"/>
    <cellStyle name="常规 2 5 3 2 2 9" xfId="34928"/>
    <cellStyle name="常规 2 5 3 2 2 9 2" xfId="34929"/>
    <cellStyle name="常规 2 5 3 2 3" xfId="34930"/>
    <cellStyle name="常规 2 5 3 2 3 2" xfId="34931"/>
    <cellStyle name="常规 2 5 3 2 3 2 2" xfId="34932"/>
    <cellStyle name="常规 2 5 3 2 3 2 3" xfId="34933"/>
    <cellStyle name="常规 2 5 3 2 3 2 4" xfId="34934"/>
    <cellStyle name="常规 2 5 3 2 3 3" xfId="34935"/>
    <cellStyle name="常规 2 5 3 2 3 4" xfId="34936"/>
    <cellStyle name="常规 2 5 3 2 3 5" xfId="34937"/>
    <cellStyle name="常规 2 5 3 2 3 6" xfId="34938"/>
    <cellStyle name="常规 2 5 3 2 3 6 2" xfId="34939"/>
    <cellStyle name="常规 2 5 3 2 4" xfId="34940"/>
    <cellStyle name="常规 2 5 3 2 4 2" xfId="34941"/>
    <cellStyle name="常规 2 5 3 2 4 2 2" xfId="34942"/>
    <cellStyle name="常规 2 5 3 2 4 2 3" xfId="34943"/>
    <cellStyle name="常规 2 5 3 2 4 2 4" xfId="34944"/>
    <cellStyle name="常规 2 5 3 2 4 2 5" xfId="34945"/>
    <cellStyle name="常规 2 5 3 2 4 3" xfId="34946"/>
    <cellStyle name="常规 2 5 3 2 4 4" xfId="34947"/>
    <cellStyle name="常规 2 5 3 2 4 5" xfId="34948"/>
    <cellStyle name="常规 2 5 3 2 4 6" xfId="34949"/>
    <cellStyle name="常规 2 5 3 2 5" xfId="34950"/>
    <cellStyle name="常规 2 5 3 2 5 2" xfId="34951"/>
    <cellStyle name="常规 2 5 3 2 5 2 2" xfId="34952"/>
    <cellStyle name="常规 2 5 3 2 5 3" xfId="34953"/>
    <cellStyle name="常规 2 5 3 2 5 4" xfId="34954"/>
    <cellStyle name="常规 2 5 3 2 5 5" xfId="34955"/>
    <cellStyle name="常规 2 5 3 2 6" xfId="34956"/>
    <cellStyle name="常规 2 5 3 2 7" xfId="34957"/>
    <cellStyle name="常规 2 5 3 2 8" xfId="34958"/>
    <cellStyle name="常规 2 5 3 2 9" xfId="34959"/>
    <cellStyle name="常规 2 5 3 2 9 2" xfId="34960"/>
    <cellStyle name="常规 2 5 3 20" xfId="34961"/>
    <cellStyle name="常规 2 5 3 21" xfId="34962"/>
    <cellStyle name="常规 2 5 3 21 2" xfId="34963"/>
    <cellStyle name="常规 2 5 3 22" xfId="34964"/>
    <cellStyle name="常规 2 5 3 3" xfId="34965"/>
    <cellStyle name="常规 2 5 3 3 10" xfId="34966"/>
    <cellStyle name="常规 2 5 3 3 2" xfId="34967"/>
    <cellStyle name="常规 2 5 3 3 2 10" xfId="34968"/>
    <cellStyle name="常规 2 5 3 3 2 2" xfId="34969"/>
    <cellStyle name="常规 2 5 3 3 2 2 2" xfId="34970"/>
    <cellStyle name="常规 2 5 3 3 2 2 2 2" xfId="34971"/>
    <cellStyle name="常规 2 5 3 3 2 2 2 2 2" xfId="34972"/>
    <cellStyle name="常规 2 5 3 3 2 2 2 2 3" xfId="34973"/>
    <cellStyle name="常规 2 5 3 3 2 2 2 2 4" xfId="34974"/>
    <cellStyle name="常规 2 5 3 3 2 2 2 3" xfId="34975"/>
    <cellStyle name="常规 2 5 3 3 2 2 2 4" xfId="34976"/>
    <cellStyle name="常规 2 5 3 3 2 2 2 5" xfId="34977"/>
    <cellStyle name="常规 2 5 3 3 2 2 3" xfId="34978"/>
    <cellStyle name="常规 2 5 3 3 2 2 3 2" xfId="34979"/>
    <cellStyle name="常规 2 5 3 3 2 2 3 2 2" xfId="34980"/>
    <cellStyle name="常规 2 5 3 3 2 2 3 2 3" xfId="34981"/>
    <cellStyle name="常规 2 5 3 3 2 2 3 2 4" xfId="34982"/>
    <cellStyle name="常规 2 5 3 3 2 2 3 3" xfId="34983"/>
    <cellStyle name="常规 2 5 3 3 2 2 3 4" xfId="34984"/>
    <cellStyle name="常规 2 5 3 3 2 2 3 5" xfId="34985"/>
    <cellStyle name="常规 2 5 3 3 2 2 4" xfId="34986"/>
    <cellStyle name="常规 2 5 3 3 2 2 4 2" xfId="34987"/>
    <cellStyle name="常规 2 5 3 3 2 2 4 3" xfId="34988"/>
    <cellStyle name="常规 2 5 3 3 2 2 4 4" xfId="34989"/>
    <cellStyle name="常规 2 5 3 3 2 2 5" xfId="34990"/>
    <cellStyle name="常规 2 5 3 3 2 2 6" xfId="34991"/>
    <cellStyle name="常规 2 5 3 3 2 2 7" xfId="34992"/>
    <cellStyle name="常规 2 5 3 3 2 2 8" xfId="34993"/>
    <cellStyle name="常规 2 5 3 3 2 3" xfId="34994"/>
    <cellStyle name="常规 2 5 3 3 2 3 2" xfId="34995"/>
    <cellStyle name="常规 2 5 3 3 2 3 2 2" xfId="34996"/>
    <cellStyle name="常规 2 5 3 3 2 3 2 3" xfId="34997"/>
    <cellStyle name="常规 2 5 3 3 2 3 2 4" xfId="34998"/>
    <cellStyle name="常规 2 5 3 3 2 3 3" xfId="34999"/>
    <cellStyle name="常规 2 5 3 3 2 3 4" xfId="35000"/>
    <cellStyle name="常规 2 5 3 3 2 3 5" xfId="35001"/>
    <cellStyle name="常规 2 5 3 3 2 4" xfId="35002"/>
    <cellStyle name="常规 2 5 3 3 2 4 2" xfId="35003"/>
    <cellStyle name="常规 2 5 3 3 2 4 2 2" xfId="35004"/>
    <cellStyle name="常规 2 5 3 3 2 4 2 3" xfId="35005"/>
    <cellStyle name="常规 2 5 3 3 2 4 2 4" xfId="35006"/>
    <cellStyle name="常规 2 5 3 3 2 4 3" xfId="35007"/>
    <cellStyle name="常规 2 5 3 3 2 4 4" xfId="35008"/>
    <cellStyle name="常规 2 5 3 3 2 4 5" xfId="35009"/>
    <cellStyle name="常规 2 5 3 3 2 5" xfId="35010"/>
    <cellStyle name="常规 2 5 3 3 2 5 2" xfId="35011"/>
    <cellStyle name="常规 2 5 3 3 2 5 3" xfId="35012"/>
    <cellStyle name="常规 2 5 3 3 2 5 4" xfId="35013"/>
    <cellStyle name="常规 2 5 3 3 2 6" xfId="35014"/>
    <cellStyle name="常规 2 5 3 3 2 7" xfId="35015"/>
    <cellStyle name="常规 2 5 3 3 2 8" xfId="35016"/>
    <cellStyle name="常规 2 5 3 3 2 9" xfId="35017"/>
    <cellStyle name="常规 2 5 3 3 2 9 2" xfId="35018"/>
    <cellStyle name="常规 2 5 3 3 3" xfId="35019"/>
    <cellStyle name="常规 2 5 3 3 3 2" xfId="35020"/>
    <cellStyle name="常规 2 5 3 3 3 2 2" xfId="35021"/>
    <cellStyle name="常规 2 5 3 3 3 2 3" xfId="35022"/>
    <cellStyle name="常规 2 5 3 3 3 2 4" xfId="35023"/>
    <cellStyle name="常规 2 5 3 3 3 2 5" xfId="35024"/>
    <cellStyle name="常规 2 5 3 3 3 3" xfId="35025"/>
    <cellStyle name="常规 2 5 3 3 3 4" xfId="35026"/>
    <cellStyle name="常规 2 5 3 3 3 5" xfId="35027"/>
    <cellStyle name="常规 2 5 3 3 3 6" xfId="35028"/>
    <cellStyle name="常规 2 5 3 3 4" xfId="35029"/>
    <cellStyle name="常规 2 5 3 3 4 2" xfId="35030"/>
    <cellStyle name="常规 2 5 3 3 4 2 2" xfId="35031"/>
    <cellStyle name="常规 2 5 3 3 4 2 3" xfId="35032"/>
    <cellStyle name="常规 2 5 3 3 4 2 4" xfId="35033"/>
    <cellStyle name="常规 2 5 3 3 4 2 5" xfId="35034"/>
    <cellStyle name="常规 2 5 3 3 4 3" xfId="35035"/>
    <cellStyle name="常规 2 5 3 3 4 4" xfId="35036"/>
    <cellStyle name="常规 2 5 3 3 4 5" xfId="35037"/>
    <cellStyle name="常规 2 5 3 3 4 6" xfId="35038"/>
    <cellStyle name="常规 2 5 3 3 5" xfId="35039"/>
    <cellStyle name="常规 2 5 3 3 5 2" xfId="35040"/>
    <cellStyle name="常规 2 5 3 3 5 3" xfId="35041"/>
    <cellStyle name="常规 2 5 3 3 5 4" xfId="35042"/>
    <cellStyle name="常规 2 5 3 3 5 5" xfId="35043"/>
    <cellStyle name="常规 2 5 3 3 6" xfId="35044"/>
    <cellStyle name="常规 2 5 3 3 7" xfId="35045"/>
    <cellStyle name="常规 2 5 3 3 8" xfId="35046"/>
    <cellStyle name="常规 2 5 3 3 9" xfId="35047"/>
    <cellStyle name="常规 2 5 3 3 9 2" xfId="35048"/>
    <cellStyle name="常规 2 5 3 4" xfId="35049"/>
    <cellStyle name="常规 2 5 3 4 2" xfId="35050"/>
    <cellStyle name="常规 2 5 3 4 2 2" xfId="35051"/>
    <cellStyle name="常规 2 5 3 4 2 2 2" xfId="35052"/>
    <cellStyle name="常规 2 5 3 4 2 2 2 2" xfId="35053"/>
    <cellStyle name="常规 2 5 3 4 2 2 2 2 2" xfId="35054"/>
    <cellStyle name="常规 2 5 3 4 2 2 2 2 3" xfId="35055"/>
    <cellStyle name="常规 2 5 3 4 2 2 2 2 4" xfId="35056"/>
    <cellStyle name="常规 2 5 3 4 2 2 2 3" xfId="35057"/>
    <cellStyle name="常规 2 5 3 4 2 2 2 4" xfId="35058"/>
    <cellStyle name="常规 2 5 3 4 2 2 2 5" xfId="35059"/>
    <cellStyle name="常规 2 5 3 4 2 2 3" xfId="35060"/>
    <cellStyle name="常规 2 5 3 4 2 2 3 2" xfId="35061"/>
    <cellStyle name="常规 2 5 3 4 2 2 3 2 2" xfId="35062"/>
    <cellStyle name="常规 2 5 3 4 2 2 3 2 3" xfId="35063"/>
    <cellStyle name="常规 2 5 3 4 2 2 3 2 4" xfId="35064"/>
    <cellStyle name="常规 2 5 3 4 2 2 3 3" xfId="35065"/>
    <cellStyle name="常规 2 5 3 4 2 2 3 4" xfId="35066"/>
    <cellStyle name="常规 2 5 3 4 2 2 3 5" xfId="35067"/>
    <cellStyle name="常规 2 5 3 4 2 2 4" xfId="35068"/>
    <cellStyle name="常规 2 5 3 4 2 2 4 2" xfId="35069"/>
    <cellStyle name="常规 2 5 3 4 2 2 4 3" xfId="35070"/>
    <cellStyle name="常规 2 5 3 4 2 2 4 4" xfId="35071"/>
    <cellStyle name="常规 2 5 3 4 2 2 5" xfId="35072"/>
    <cellStyle name="常规 2 5 3 4 2 2 6" xfId="35073"/>
    <cellStyle name="常规 2 5 3 4 2 2 7" xfId="35074"/>
    <cellStyle name="常规 2 5 3 4 2 3" xfId="35075"/>
    <cellStyle name="常规 2 5 3 4 2 3 2" xfId="35076"/>
    <cellStyle name="常规 2 5 3 4 2 3 2 2" xfId="35077"/>
    <cellStyle name="常规 2 5 3 4 2 3 2 3" xfId="35078"/>
    <cellStyle name="常规 2 5 3 4 2 3 2 4" xfId="35079"/>
    <cellStyle name="常规 2 5 3 4 2 3 3" xfId="35080"/>
    <cellStyle name="常规 2 5 3 4 2 3 4" xfId="35081"/>
    <cellStyle name="常规 2 5 3 4 2 3 5" xfId="35082"/>
    <cellStyle name="常规 2 5 3 4 2 4" xfId="35083"/>
    <cellStyle name="常规 2 5 3 4 2 4 2" xfId="35084"/>
    <cellStyle name="常规 2 5 3 4 2 4 2 2" xfId="35085"/>
    <cellStyle name="常规 2 5 3 4 2 4 2 3" xfId="35086"/>
    <cellStyle name="常规 2 5 3 4 2 4 2 4" xfId="35087"/>
    <cellStyle name="常规 2 5 3 4 2 4 3" xfId="35088"/>
    <cellStyle name="常规 2 5 3 4 2 4 4" xfId="35089"/>
    <cellStyle name="常规 2 5 3 4 2 4 5" xfId="35090"/>
    <cellStyle name="常规 2 5 3 4 2 5" xfId="35091"/>
    <cellStyle name="常规 2 5 3 4 2 5 2" xfId="35092"/>
    <cellStyle name="常规 2 5 3 4 2 5 3" xfId="35093"/>
    <cellStyle name="常规 2 5 3 4 2 5 4" xfId="35094"/>
    <cellStyle name="常规 2 5 3 4 2 6" xfId="35095"/>
    <cellStyle name="常规 2 5 3 4 2 7" xfId="35096"/>
    <cellStyle name="常规 2 5 3 4 2 8" xfId="35097"/>
    <cellStyle name="常规 2 5 3 4 3" xfId="35098"/>
    <cellStyle name="常规 2 5 3 4 3 2" xfId="35099"/>
    <cellStyle name="常规 2 5 3 4 3 2 2" xfId="35100"/>
    <cellStyle name="常规 2 5 3 4 3 2 3" xfId="35101"/>
    <cellStyle name="常规 2 5 3 4 3 2 4" xfId="35102"/>
    <cellStyle name="常规 2 5 3 4 3 3" xfId="35103"/>
    <cellStyle name="常规 2 5 3 4 3 4" xfId="35104"/>
    <cellStyle name="常规 2 5 3 4 3 5" xfId="35105"/>
    <cellStyle name="常规 2 5 3 4 4" xfId="35106"/>
    <cellStyle name="常规 2 5 3 4 4 2" xfId="35107"/>
    <cellStyle name="常规 2 5 3 4 4 2 2" xfId="35108"/>
    <cellStyle name="常规 2 5 3 4 4 2 3" xfId="35109"/>
    <cellStyle name="常规 2 5 3 4 4 2 4" xfId="35110"/>
    <cellStyle name="常规 2 5 3 4 4 3" xfId="35111"/>
    <cellStyle name="常规 2 5 3 4 4 4" xfId="35112"/>
    <cellStyle name="常规 2 5 3 4 4 5" xfId="35113"/>
    <cellStyle name="常规 2 5 3 4 5" xfId="35114"/>
    <cellStyle name="常规 2 5 3 4 5 2" xfId="35115"/>
    <cellStyle name="常规 2 5 3 4 5 3" xfId="35116"/>
    <cellStyle name="常规 2 5 3 4 5 4" xfId="35117"/>
    <cellStyle name="常规 2 5 3 4 6" xfId="35118"/>
    <cellStyle name="常规 2 5 3 4 7" xfId="35119"/>
    <cellStyle name="常规 2 5 3 4 8" xfId="35120"/>
    <cellStyle name="常规 2 5 3 4 9" xfId="35121"/>
    <cellStyle name="常规 2 5 3 4 9 2" xfId="35122"/>
    <cellStyle name="常规 2 5 3 5" xfId="35123"/>
    <cellStyle name="常规 2 5 3 5 2" xfId="35124"/>
    <cellStyle name="常规 2 5 3 5 2 2" xfId="35125"/>
    <cellStyle name="常规 2 5 3 5 2 2 2" xfId="35126"/>
    <cellStyle name="常规 2 5 3 5 2 2 2 2" xfId="35127"/>
    <cellStyle name="常规 2 5 3 5 2 2 2 2 2" xfId="35128"/>
    <cellStyle name="常规 2 5 3 5 2 2 2 2 3" xfId="35129"/>
    <cellStyle name="常规 2 5 3 5 2 2 2 2 4" xfId="35130"/>
    <cellStyle name="常规 2 5 3 5 2 2 2 3" xfId="35131"/>
    <cellStyle name="常规 2 5 3 5 2 2 2 4" xfId="35132"/>
    <cellStyle name="常规 2 5 3 5 2 2 2 5" xfId="35133"/>
    <cellStyle name="常规 2 5 3 5 2 2 3" xfId="35134"/>
    <cellStyle name="常规 2 5 3 5 2 2 3 2" xfId="35135"/>
    <cellStyle name="常规 2 5 3 5 2 2 3 2 2" xfId="35136"/>
    <cellStyle name="常规 2 5 3 5 2 2 3 2 3" xfId="35137"/>
    <cellStyle name="常规 2 5 3 5 2 2 3 2 4" xfId="35138"/>
    <cellStyle name="常规 2 5 3 5 2 2 3 3" xfId="35139"/>
    <cellStyle name="常规 2 5 3 5 2 2 3 4" xfId="35140"/>
    <cellStyle name="常规 2 5 3 5 2 2 3 5" xfId="35141"/>
    <cellStyle name="常规 2 5 3 5 2 2 4" xfId="35142"/>
    <cellStyle name="常规 2 5 3 5 2 2 4 2" xfId="35143"/>
    <cellStyle name="常规 2 5 3 5 2 2 4 3" xfId="35144"/>
    <cellStyle name="常规 2 5 3 5 2 2 4 4" xfId="35145"/>
    <cellStyle name="常规 2 5 3 5 2 2 5" xfId="35146"/>
    <cellStyle name="常规 2 5 3 5 2 2 6" xfId="35147"/>
    <cellStyle name="常规 2 5 3 5 2 2 7" xfId="35148"/>
    <cellStyle name="常规 2 5 3 5 2 3" xfId="35149"/>
    <cellStyle name="常规 2 5 3 5 2 3 2" xfId="35150"/>
    <cellStyle name="常规 2 5 3 5 2 3 2 2" xfId="35151"/>
    <cellStyle name="常规 2 5 3 5 2 3 2 3" xfId="35152"/>
    <cellStyle name="常规 2 5 3 5 2 3 2 4" xfId="35153"/>
    <cellStyle name="常规 2 5 3 5 2 3 3" xfId="35154"/>
    <cellStyle name="常规 2 5 3 5 2 3 4" xfId="35155"/>
    <cellStyle name="常规 2 5 3 5 2 3 5" xfId="35156"/>
    <cellStyle name="常规 2 5 3 5 2 4" xfId="35157"/>
    <cellStyle name="常规 2 5 3 5 2 4 2" xfId="35158"/>
    <cellStyle name="常规 2 5 3 5 2 4 2 2" xfId="35159"/>
    <cellStyle name="常规 2 5 3 5 2 4 2 3" xfId="35160"/>
    <cellStyle name="常规 2 5 3 5 2 4 2 4" xfId="35161"/>
    <cellStyle name="常规 2 5 3 5 2 4 3" xfId="35162"/>
    <cellStyle name="常规 2 5 3 5 2 4 4" xfId="35163"/>
    <cellStyle name="常规 2 5 3 5 2 4 5" xfId="35164"/>
    <cellStyle name="常规 2 5 3 5 2 5" xfId="35165"/>
    <cellStyle name="常规 2 5 3 5 2 5 2" xfId="35166"/>
    <cellStyle name="常规 2 5 3 5 2 5 3" xfId="35167"/>
    <cellStyle name="常规 2 5 3 5 2 5 4" xfId="35168"/>
    <cellStyle name="常规 2 5 3 5 2 6" xfId="35169"/>
    <cellStyle name="常规 2 5 3 5 2 7" xfId="35170"/>
    <cellStyle name="常规 2 5 3 5 2 8" xfId="35171"/>
    <cellStyle name="常规 2 5 3 5 3" xfId="35172"/>
    <cellStyle name="常规 2 5 3 5 3 2" xfId="35173"/>
    <cellStyle name="常规 2 5 3 5 3 2 2" xfId="35174"/>
    <cellStyle name="常规 2 5 3 5 3 2 3" xfId="35175"/>
    <cellStyle name="常规 2 5 3 5 3 2 4" xfId="35176"/>
    <cellStyle name="常规 2 5 3 5 3 3" xfId="35177"/>
    <cellStyle name="常规 2 5 3 5 3 4" xfId="35178"/>
    <cellStyle name="常规 2 5 3 5 3 5" xfId="35179"/>
    <cellStyle name="常规 2 5 3 5 4" xfId="35180"/>
    <cellStyle name="常规 2 5 3 5 4 2" xfId="35181"/>
    <cellStyle name="常规 2 5 3 5 4 2 2" xfId="35182"/>
    <cellStyle name="常规 2 5 3 5 4 2 3" xfId="35183"/>
    <cellStyle name="常规 2 5 3 5 4 2 4" xfId="35184"/>
    <cellStyle name="常规 2 5 3 5 4 3" xfId="35185"/>
    <cellStyle name="常规 2 5 3 5 4 4" xfId="35186"/>
    <cellStyle name="常规 2 5 3 5 4 5" xfId="35187"/>
    <cellStyle name="常规 2 5 3 5 5" xfId="35188"/>
    <cellStyle name="常规 2 5 3 5 5 2" xfId="35189"/>
    <cellStyle name="常规 2 5 3 5 5 3" xfId="35190"/>
    <cellStyle name="常规 2 5 3 5 5 4" xfId="35191"/>
    <cellStyle name="常规 2 5 3 5 6" xfId="35192"/>
    <cellStyle name="常规 2 5 3 5 7" xfId="35193"/>
    <cellStyle name="常规 2 5 3 5 8" xfId="35194"/>
    <cellStyle name="常规 2 5 3 5 9" xfId="35195"/>
    <cellStyle name="常规 2 5 3 5 9 2" xfId="35196"/>
    <cellStyle name="常规 2 5 3 6" xfId="35197"/>
    <cellStyle name="常规 2 5 3 6 2" xfId="35198"/>
    <cellStyle name="常规 2 5 3 6 2 2" xfId="35199"/>
    <cellStyle name="常规 2 5 3 6 2 2 2" xfId="35200"/>
    <cellStyle name="常规 2 5 3 6 2 2 2 2" xfId="35201"/>
    <cellStyle name="常规 2 5 3 6 2 2 2 2 2" xfId="35202"/>
    <cellStyle name="常规 2 5 3 6 2 2 2 2 3" xfId="35203"/>
    <cellStyle name="常规 2 5 3 6 2 2 2 2 4" xfId="35204"/>
    <cellStyle name="常规 2 5 3 6 2 2 2 3" xfId="35205"/>
    <cellStyle name="常规 2 5 3 6 2 2 2 4" xfId="35206"/>
    <cellStyle name="常规 2 5 3 6 2 2 2 5" xfId="35207"/>
    <cellStyle name="常规 2 5 3 6 2 2 3" xfId="35208"/>
    <cellStyle name="常规 2 5 3 6 2 2 3 2" xfId="35209"/>
    <cellStyle name="常规 2 5 3 6 2 2 3 2 2" xfId="35210"/>
    <cellStyle name="常规 2 5 3 6 2 2 3 2 3" xfId="35211"/>
    <cellStyle name="常规 2 5 3 6 2 2 3 2 4" xfId="35212"/>
    <cellStyle name="常规 2 5 3 6 2 2 3 3" xfId="35213"/>
    <cellStyle name="常规 2 5 3 6 2 2 3 4" xfId="35214"/>
    <cellStyle name="常规 2 5 3 6 2 2 3 5" xfId="35215"/>
    <cellStyle name="常规 2 5 3 6 2 2 4" xfId="35216"/>
    <cellStyle name="常规 2 5 3 6 2 2 4 2" xfId="35217"/>
    <cellStyle name="常规 2 5 3 6 2 2 4 3" xfId="35218"/>
    <cellStyle name="常规 2 5 3 6 2 2 4 4" xfId="35219"/>
    <cellStyle name="常规 2 5 3 6 2 2 5" xfId="35220"/>
    <cellStyle name="常规 2 5 3 6 2 2 6" xfId="35221"/>
    <cellStyle name="常规 2 5 3 6 2 2 7" xfId="35222"/>
    <cellStyle name="常规 2 5 3 6 2 3" xfId="35223"/>
    <cellStyle name="常规 2 5 3 6 2 3 2" xfId="35224"/>
    <cellStyle name="常规 2 5 3 6 2 3 2 2" xfId="35225"/>
    <cellStyle name="常规 2 5 3 6 2 3 2 3" xfId="35226"/>
    <cellStyle name="常规 2 5 3 6 2 3 2 4" xfId="35227"/>
    <cellStyle name="常规 2 5 3 6 2 3 3" xfId="35228"/>
    <cellStyle name="常规 2 5 3 6 2 3 4" xfId="35229"/>
    <cellStyle name="常规 2 5 3 6 2 3 5" xfId="35230"/>
    <cellStyle name="常规 2 5 3 6 2 4" xfId="35231"/>
    <cellStyle name="常规 2 5 3 6 2 4 2" xfId="35232"/>
    <cellStyle name="常规 2 5 3 6 2 4 2 2" xfId="35233"/>
    <cellStyle name="常规 2 5 3 6 2 4 2 3" xfId="35234"/>
    <cellStyle name="常规 2 5 3 6 2 4 2 4" xfId="35235"/>
    <cellStyle name="常规 2 5 3 6 2 4 3" xfId="35236"/>
    <cellStyle name="常规 2 5 3 6 2 4 4" xfId="35237"/>
    <cellStyle name="常规 2 5 3 6 2 4 5" xfId="35238"/>
    <cellStyle name="常规 2 5 3 6 2 5" xfId="35239"/>
    <cellStyle name="常规 2 5 3 6 2 5 2" xfId="35240"/>
    <cellStyle name="常规 2 5 3 6 2 5 3" xfId="35241"/>
    <cellStyle name="常规 2 5 3 6 2 5 4" xfId="35242"/>
    <cellStyle name="常规 2 5 3 6 2 6" xfId="35243"/>
    <cellStyle name="常规 2 5 3 6 2 7" xfId="35244"/>
    <cellStyle name="常规 2 5 3 6 2 8" xfId="35245"/>
    <cellStyle name="常规 2 5 3 6 3" xfId="35246"/>
    <cellStyle name="常规 2 5 3 6 3 2" xfId="35247"/>
    <cellStyle name="常规 2 5 3 6 3 2 2" xfId="35248"/>
    <cellStyle name="常规 2 5 3 6 3 2 3" xfId="35249"/>
    <cellStyle name="常规 2 5 3 6 3 2 4" xfId="35250"/>
    <cellStyle name="常规 2 5 3 6 3 3" xfId="35251"/>
    <cellStyle name="常规 2 5 3 6 3 4" xfId="35252"/>
    <cellStyle name="常规 2 5 3 6 3 5" xfId="35253"/>
    <cellStyle name="常规 2 5 3 6 4" xfId="35254"/>
    <cellStyle name="常规 2 5 3 6 4 2" xfId="35255"/>
    <cellStyle name="常规 2 5 3 6 4 2 2" xfId="35256"/>
    <cellStyle name="常规 2 5 3 6 4 2 3" xfId="35257"/>
    <cellStyle name="常规 2 5 3 6 4 2 4" xfId="35258"/>
    <cellStyle name="常规 2 5 3 6 4 3" xfId="35259"/>
    <cellStyle name="常规 2 5 3 6 4 4" xfId="35260"/>
    <cellStyle name="常规 2 5 3 6 4 5" xfId="35261"/>
    <cellStyle name="常规 2 5 3 6 5" xfId="35262"/>
    <cellStyle name="常规 2 5 3 6 5 2" xfId="35263"/>
    <cellStyle name="常规 2 5 3 6 5 3" xfId="35264"/>
    <cellStyle name="常规 2 5 3 6 5 4" xfId="35265"/>
    <cellStyle name="常规 2 5 3 6 6" xfId="35266"/>
    <cellStyle name="常规 2 5 3 6 7" xfId="35267"/>
    <cellStyle name="常规 2 5 3 6 8" xfId="35268"/>
    <cellStyle name="常规 2 5 3 6 9" xfId="35269"/>
    <cellStyle name="常规 2 5 3 6 9 2" xfId="35270"/>
    <cellStyle name="常规 2 5 3 7" xfId="35271"/>
    <cellStyle name="常规 2 5 3 7 2" xfId="35272"/>
    <cellStyle name="常规 2 5 3 7 2 2" xfId="35273"/>
    <cellStyle name="常规 2 5 3 7 2 2 2" xfId="35274"/>
    <cellStyle name="常规 2 5 3 7 2 2 2 2" xfId="35275"/>
    <cellStyle name="常规 2 5 3 7 2 2 2 3" xfId="35276"/>
    <cellStyle name="常规 2 5 3 7 2 2 2 4" xfId="35277"/>
    <cellStyle name="常规 2 5 3 7 2 2 3" xfId="35278"/>
    <cellStyle name="常规 2 5 3 7 2 2 4" xfId="35279"/>
    <cellStyle name="常规 2 5 3 7 2 2 5" xfId="35280"/>
    <cellStyle name="常规 2 5 3 7 2 3" xfId="35281"/>
    <cellStyle name="常规 2 5 3 7 2 3 2" xfId="35282"/>
    <cellStyle name="常规 2 5 3 7 2 3 2 2" xfId="35283"/>
    <cellStyle name="常规 2 5 3 7 2 3 2 3" xfId="35284"/>
    <cellStyle name="常规 2 5 3 7 2 3 2 4" xfId="35285"/>
    <cellStyle name="常规 2 5 3 7 2 3 3" xfId="35286"/>
    <cellStyle name="常规 2 5 3 7 2 3 4" xfId="35287"/>
    <cellStyle name="常规 2 5 3 7 2 3 5" xfId="35288"/>
    <cellStyle name="常规 2 5 3 7 2 4" xfId="35289"/>
    <cellStyle name="常规 2 5 3 7 2 4 2" xfId="35290"/>
    <cellStyle name="常规 2 5 3 7 2 4 3" xfId="35291"/>
    <cellStyle name="常规 2 5 3 7 2 4 4" xfId="35292"/>
    <cellStyle name="常规 2 5 3 7 2 5" xfId="35293"/>
    <cellStyle name="常规 2 5 3 7 2 6" xfId="35294"/>
    <cellStyle name="常规 2 5 3 7 2 7" xfId="35295"/>
    <cellStyle name="常规 2 5 3 7 2 8" xfId="35296"/>
    <cellStyle name="常规 2 5 3 7 3" xfId="35297"/>
    <cellStyle name="常规 2 5 3 7 3 2" xfId="35298"/>
    <cellStyle name="常规 2 5 3 7 3 2 2" xfId="35299"/>
    <cellStyle name="常规 2 5 3 7 3 2 3" xfId="35300"/>
    <cellStyle name="常规 2 5 3 7 3 2 4" xfId="35301"/>
    <cellStyle name="常规 2 5 3 7 3 3" xfId="35302"/>
    <cellStyle name="常规 2 5 3 7 3 4" xfId="35303"/>
    <cellStyle name="常规 2 5 3 7 3 5" xfId="35304"/>
    <cellStyle name="常规 2 5 3 7 4" xfId="35305"/>
    <cellStyle name="常规 2 5 3 7 4 2" xfId="35306"/>
    <cellStyle name="常规 2 5 3 7 4 2 2" xfId="35307"/>
    <cellStyle name="常规 2 5 3 7 4 2 3" xfId="35308"/>
    <cellStyle name="常规 2 5 3 7 4 2 4" xfId="35309"/>
    <cellStyle name="常规 2 5 3 7 4 3" xfId="35310"/>
    <cellStyle name="常规 2 5 3 7 4 4" xfId="35311"/>
    <cellStyle name="常规 2 5 3 7 4 5" xfId="35312"/>
    <cellStyle name="常规 2 5 3 7 5" xfId="35313"/>
    <cellStyle name="常规 2 5 3 7 5 2" xfId="35314"/>
    <cellStyle name="常规 2 5 3 7 5 3" xfId="35315"/>
    <cellStyle name="常规 2 5 3 7 5 4" xfId="35316"/>
    <cellStyle name="常规 2 5 3 7 6" xfId="35317"/>
    <cellStyle name="常规 2 5 3 7 7" xfId="35318"/>
    <cellStyle name="常规 2 5 3 7 8" xfId="35319"/>
    <cellStyle name="常规 2 5 3 7 9" xfId="35320"/>
    <cellStyle name="常规 2 5 3 8" xfId="35321"/>
    <cellStyle name="常规 2 5 3 8 2" xfId="35322"/>
    <cellStyle name="常规 2 5 3 8 2 2" xfId="35323"/>
    <cellStyle name="常规 2 5 3 8 2 2 2" xfId="35324"/>
    <cellStyle name="常规 2 5 3 8 2 2 2 2" xfId="35325"/>
    <cellStyle name="常规 2 5 3 8 2 2 2 3" xfId="35326"/>
    <cellStyle name="常规 2 5 3 8 2 2 2 4" xfId="35327"/>
    <cellStyle name="常规 2 5 3 8 2 2 3" xfId="35328"/>
    <cellStyle name="常规 2 5 3 8 2 2 4" xfId="35329"/>
    <cellStyle name="常规 2 5 3 8 2 2 5" xfId="35330"/>
    <cellStyle name="常规 2 5 3 8 2 3" xfId="35331"/>
    <cellStyle name="常规 2 5 3 8 2 3 2" xfId="35332"/>
    <cellStyle name="常规 2 5 3 8 2 3 2 2" xfId="35333"/>
    <cellStyle name="常规 2 5 3 8 2 3 2 3" xfId="35334"/>
    <cellStyle name="常规 2 5 3 8 2 3 2 4" xfId="35335"/>
    <cellStyle name="常规 2 5 3 8 2 3 3" xfId="35336"/>
    <cellStyle name="常规 2 5 3 8 2 3 4" xfId="35337"/>
    <cellStyle name="常规 2 5 3 8 2 3 5" xfId="35338"/>
    <cellStyle name="常规 2 5 3 8 2 4" xfId="35339"/>
    <cellStyle name="常规 2 5 3 8 2 4 2" xfId="35340"/>
    <cellStyle name="常规 2 5 3 8 2 4 3" xfId="35341"/>
    <cellStyle name="常规 2 5 3 8 2 4 4" xfId="35342"/>
    <cellStyle name="常规 2 5 3 8 2 5" xfId="35343"/>
    <cellStyle name="常规 2 5 3 8 2 6" xfId="35344"/>
    <cellStyle name="常规 2 5 3 8 2 7" xfId="35345"/>
    <cellStyle name="常规 2 5 3 8 2 8" xfId="35346"/>
    <cellStyle name="常规 2 5 3 8 3" xfId="35347"/>
    <cellStyle name="常规 2 5 3 8 3 2" xfId="35348"/>
    <cellStyle name="常规 2 5 3 8 3 2 2" xfId="35349"/>
    <cellStyle name="常规 2 5 3 8 3 2 3" xfId="35350"/>
    <cellStyle name="常规 2 5 3 8 3 2 4" xfId="35351"/>
    <cellStyle name="常规 2 5 3 8 3 3" xfId="35352"/>
    <cellStyle name="常规 2 5 3 8 3 4" xfId="35353"/>
    <cellStyle name="常规 2 5 3 8 3 5" xfId="35354"/>
    <cellStyle name="常规 2 5 3 8 4" xfId="35355"/>
    <cellStyle name="常规 2 5 3 8 4 2" xfId="35356"/>
    <cellStyle name="常规 2 5 3 8 4 2 2" xfId="35357"/>
    <cellStyle name="常规 2 5 3 8 4 2 3" xfId="35358"/>
    <cellStyle name="常规 2 5 3 8 4 2 4" xfId="35359"/>
    <cellStyle name="常规 2 5 3 8 4 3" xfId="35360"/>
    <cellStyle name="常规 2 5 3 8 4 4" xfId="35361"/>
    <cellStyle name="常规 2 5 3 8 4 5" xfId="35362"/>
    <cellStyle name="常规 2 5 3 8 5" xfId="35363"/>
    <cellStyle name="常规 2 5 3 8 5 2" xfId="35364"/>
    <cellStyle name="常规 2 5 3 8 5 3" xfId="35365"/>
    <cellStyle name="常规 2 5 3 8 5 4" xfId="35366"/>
    <cellStyle name="常规 2 5 3 8 6" xfId="35367"/>
    <cellStyle name="常规 2 5 3 8 7" xfId="35368"/>
    <cellStyle name="常规 2 5 3 8 8" xfId="35369"/>
    <cellStyle name="常规 2 5 3 8 9" xfId="35370"/>
    <cellStyle name="常规 2 5 3 9" xfId="35371"/>
    <cellStyle name="常规 2 5 3 9 2" xfId="35372"/>
    <cellStyle name="常规 2 5 3 9 2 2" xfId="35373"/>
    <cellStyle name="常规 2 5 3 9 2 2 2" xfId="35374"/>
    <cellStyle name="常规 2 5 3 9 2 2 2 2" xfId="35375"/>
    <cellStyle name="常规 2 5 3 9 2 2 2 3" xfId="35376"/>
    <cellStyle name="常规 2 5 3 9 2 2 2 4" xfId="35377"/>
    <cellStyle name="常规 2 5 3 9 2 2 3" xfId="35378"/>
    <cellStyle name="常规 2 5 3 9 2 2 4" xfId="35379"/>
    <cellStyle name="常规 2 5 3 9 2 2 5" xfId="35380"/>
    <cellStyle name="常规 2 5 3 9 2 3" xfId="35381"/>
    <cellStyle name="常规 2 5 3 9 2 3 2" xfId="35382"/>
    <cellStyle name="常规 2 5 3 9 2 3 2 2" xfId="35383"/>
    <cellStyle name="常规 2 5 3 9 2 3 2 3" xfId="35384"/>
    <cellStyle name="常规 2 5 3 9 2 3 2 4" xfId="35385"/>
    <cellStyle name="常规 2 5 3 9 2 3 3" xfId="35386"/>
    <cellStyle name="常规 2 5 3 9 2 3 4" xfId="35387"/>
    <cellStyle name="常规 2 5 3 9 2 3 5" xfId="35388"/>
    <cellStyle name="常规 2 5 3 9 2 4" xfId="35389"/>
    <cellStyle name="常规 2 5 3 9 2 4 2" xfId="35390"/>
    <cellStyle name="常规 2 5 3 9 2 4 3" xfId="35391"/>
    <cellStyle name="常规 2 5 3 9 2 4 4" xfId="35392"/>
    <cellStyle name="常规 2 5 3 9 2 5" xfId="35393"/>
    <cellStyle name="常规 2 5 3 9 2 6" xfId="35394"/>
    <cellStyle name="常规 2 5 3 9 2 7" xfId="35395"/>
    <cellStyle name="常规 2 5 3 9 3" xfId="35396"/>
    <cellStyle name="常规 2 5 3 9 3 2" xfId="35397"/>
    <cellStyle name="常规 2 5 3 9 3 2 2" xfId="35398"/>
    <cellStyle name="常规 2 5 3 9 3 2 3" xfId="35399"/>
    <cellStyle name="常规 2 5 3 9 3 2 4" xfId="35400"/>
    <cellStyle name="常规 2 5 3 9 3 3" xfId="35401"/>
    <cellStyle name="常规 2 5 3 9 3 4" xfId="35402"/>
    <cellStyle name="常规 2 5 3 9 3 5" xfId="35403"/>
    <cellStyle name="常规 2 5 3 9 4" xfId="35404"/>
    <cellStyle name="常规 2 5 3 9 4 2" xfId="35405"/>
    <cellStyle name="常规 2 5 3 9 4 2 2" xfId="35406"/>
    <cellStyle name="常规 2 5 3 9 4 2 3" xfId="35407"/>
    <cellStyle name="常规 2 5 3 9 4 2 4" xfId="35408"/>
    <cellStyle name="常规 2 5 3 9 4 3" xfId="35409"/>
    <cellStyle name="常规 2 5 3 9 4 4" xfId="35410"/>
    <cellStyle name="常规 2 5 3 9 4 5" xfId="35411"/>
    <cellStyle name="常规 2 5 3 9 5" xfId="35412"/>
    <cellStyle name="常规 2 5 3 9 5 2" xfId="35413"/>
    <cellStyle name="常规 2 5 3 9 5 3" xfId="35414"/>
    <cellStyle name="常规 2 5 3 9 5 4" xfId="35415"/>
    <cellStyle name="常规 2 5 3 9 6" xfId="35416"/>
    <cellStyle name="常规 2 5 3 9 7" xfId="35417"/>
    <cellStyle name="常规 2 5 3 9 8" xfId="35418"/>
    <cellStyle name="常规 2 5 4" xfId="35419"/>
    <cellStyle name="常规 2 5 4 10" xfId="35420"/>
    <cellStyle name="常规 2 5 4 10 2" xfId="35421"/>
    <cellStyle name="常规 2 5 4 10 2 2" xfId="35422"/>
    <cellStyle name="常规 2 5 4 10 2 2 2" xfId="35423"/>
    <cellStyle name="常规 2 5 4 10 2 2 2 2" xfId="35424"/>
    <cellStyle name="常规 2 5 4 10 2 2 2 2 2" xfId="35425"/>
    <cellStyle name="常规 2 5 4 10 2 2 2 2 3" xfId="35426"/>
    <cellStyle name="常规 2 5 4 10 2 2 2 2 4" xfId="35427"/>
    <cellStyle name="常规 2 5 4 10 2 2 2 3" xfId="35428"/>
    <cellStyle name="常规 2 5 4 10 2 2 2 4" xfId="35429"/>
    <cellStyle name="常规 2 5 4 10 2 2 2 5" xfId="35430"/>
    <cellStyle name="常规 2 5 4 10 2 2 3" xfId="35431"/>
    <cellStyle name="常规 2 5 4 10 2 2 3 2" xfId="35432"/>
    <cellStyle name="常规 2 5 4 10 2 2 3 2 2" xfId="35433"/>
    <cellStyle name="常规 2 5 4 10 2 2 3 2 3" xfId="35434"/>
    <cellStyle name="常规 2 5 4 10 2 2 3 2 4" xfId="35435"/>
    <cellStyle name="常规 2 5 4 10 2 2 3 3" xfId="35436"/>
    <cellStyle name="常规 2 5 4 10 2 2 3 4" xfId="35437"/>
    <cellStyle name="常规 2 5 4 10 2 2 3 5" xfId="35438"/>
    <cellStyle name="常规 2 5 4 10 2 2 4" xfId="35439"/>
    <cellStyle name="常规 2 5 4 10 2 2 4 2" xfId="35440"/>
    <cellStyle name="常规 2 5 4 10 2 2 4 3" xfId="35441"/>
    <cellStyle name="常规 2 5 4 10 2 2 4 4" xfId="35442"/>
    <cellStyle name="常规 2 5 4 10 2 2 5" xfId="35443"/>
    <cellStyle name="常规 2 5 4 10 2 2 6" xfId="35444"/>
    <cellStyle name="常规 2 5 4 10 2 2 7" xfId="35445"/>
    <cellStyle name="常规 2 5 4 10 2 3" xfId="35446"/>
    <cellStyle name="常规 2 5 4 10 2 3 2" xfId="35447"/>
    <cellStyle name="常规 2 5 4 10 2 3 2 2" xfId="35448"/>
    <cellStyle name="常规 2 5 4 10 2 3 2 3" xfId="35449"/>
    <cellStyle name="常规 2 5 4 10 2 3 2 4" xfId="35450"/>
    <cellStyle name="常规 2 5 4 10 2 3 3" xfId="35451"/>
    <cellStyle name="常规 2 5 4 10 2 3 4" xfId="35452"/>
    <cellStyle name="常规 2 5 4 10 2 3 5" xfId="35453"/>
    <cellStyle name="常规 2 5 4 10 2 4" xfId="35454"/>
    <cellStyle name="常规 2 5 4 10 2 4 2" xfId="35455"/>
    <cellStyle name="常规 2 5 4 10 2 4 2 2" xfId="35456"/>
    <cellStyle name="常规 2 5 4 10 2 4 2 3" xfId="35457"/>
    <cellStyle name="常规 2 5 4 10 2 4 2 4" xfId="35458"/>
    <cellStyle name="常规 2 5 4 10 2 4 3" xfId="35459"/>
    <cellStyle name="常规 2 5 4 10 2 4 4" xfId="35460"/>
    <cellStyle name="常规 2 5 4 10 2 4 5" xfId="35461"/>
    <cellStyle name="常规 2 5 4 10 2 5" xfId="35462"/>
    <cellStyle name="常规 2 5 4 10 2 5 2" xfId="35463"/>
    <cellStyle name="常规 2 5 4 10 2 5 3" xfId="35464"/>
    <cellStyle name="常规 2 5 4 10 2 5 4" xfId="35465"/>
    <cellStyle name="常规 2 5 4 10 2 6" xfId="35466"/>
    <cellStyle name="常规 2 5 4 10 2 7" xfId="35467"/>
    <cellStyle name="常规 2 5 4 10 2 8" xfId="35468"/>
    <cellStyle name="常规 2 5 4 10 3" xfId="35469"/>
    <cellStyle name="常规 2 5 4 10 3 2" xfId="35470"/>
    <cellStyle name="常规 2 5 4 10 3 2 2" xfId="35471"/>
    <cellStyle name="常规 2 5 4 10 3 2 3" xfId="35472"/>
    <cellStyle name="常规 2 5 4 10 3 2 4" xfId="35473"/>
    <cellStyle name="常规 2 5 4 10 3 3" xfId="35474"/>
    <cellStyle name="常规 2 5 4 10 3 4" xfId="35475"/>
    <cellStyle name="常规 2 5 4 10 3 5" xfId="35476"/>
    <cellStyle name="常规 2 5 4 10 4" xfId="35477"/>
    <cellStyle name="常规 2 5 4 10 4 2" xfId="35478"/>
    <cellStyle name="常规 2 5 4 10 4 2 2" xfId="35479"/>
    <cellStyle name="常规 2 5 4 10 4 2 3" xfId="35480"/>
    <cellStyle name="常规 2 5 4 10 4 2 4" xfId="35481"/>
    <cellStyle name="常规 2 5 4 10 4 3" xfId="35482"/>
    <cellStyle name="常规 2 5 4 10 4 4" xfId="35483"/>
    <cellStyle name="常规 2 5 4 10 4 5" xfId="35484"/>
    <cellStyle name="常规 2 5 4 10 5" xfId="35485"/>
    <cellStyle name="常规 2 5 4 10 5 2" xfId="35486"/>
    <cellStyle name="常规 2 5 4 10 5 3" xfId="35487"/>
    <cellStyle name="常规 2 5 4 10 5 4" xfId="35488"/>
    <cellStyle name="常规 2 5 4 10 6" xfId="35489"/>
    <cellStyle name="常规 2 5 4 10 7" xfId="35490"/>
    <cellStyle name="常规 2 5 4 10 8" xfId="35491"/>
    <cellStyle name="常规 2 5 4 11" xfId="35492"/>
    <cellStyle name="常规 2 5 4 11 2" xfId="35493"/>
    <cellStyle name="常规 2 5 4 11 2 2" xfId="35494"/>
    <cellStyle name="常规 2 5 4 11 2 2 2" xfId="35495"/>
    <cellStyle name="常规 2 5 4 11 2 2 2 2" xfId="35496"/>
    <cellStyle name="常规 2 5 4 11 2 2 2 2 2" xfId="35497"/>
    <cellStyle name="常规 2 5 4 11 2 2 2 2 3" xfId="35498"/>
    <cellStyle name="常规 2 5 4 11 2 2 2 2 4" xfId="35499"/>
    <cellStyle name="常规 2 5 4 11 2 2 2 3" xfId="35500"/>
    <cellStyle name="常规 2 5 4 11 2 2 2 4" xfId="35501"/>
    <cellStyle name="常规 2 5 4 11 2 2 2 5" xfId="35502"/>
    <cellStyle name="常规 2 5 4 11 2 2 3" xfId="35503"/>
    <cellStyle name="常规 2 5 4 11 2 2 3 2" xfId="35504"/>
    <cellStyle name="常规 2 5 4 11 2 2 3 2 2" xfId="35505"/>
    <cellStyle name="常规 2 5 4 11 2 2 3 2 3" xfId="35506"/>
    <cellStyle name="常规 2 5 4 11 2 2 3 2 4" xfId="35507"/>
    <cellStyle name="常规 2 5 4 11 2 2 3 3" xfId="35508"/>
    <cellStyle name="常规 2 5 4 11 2 2 3 4" xfId="35509"/>
    <cellStyle name="常规 2 5 4 11 2 2 3 5" xfId="35510"/>
    <cellStyle name="常规 2 5 4 11 2 2 4" xfId="35511"/>
    <cellStyle name="常规 2 5 4 11 2 2 4 2" xfId="35512"/>
    <cellStyle name="常规 2 5 4 11 2 2 4 3" xfId="35513"/>
    <cellStyle name="常规 2 5 4 11 2 2 4 4" xfId="35514"/>
    <cellStyle name="常规 2 5 4 11 2 2 5" xfId="35515"/>
    <cellStyle name="常规 2 5 4 11 2 2 6" xfId="35516"/>
    <cellStyle name="常规 2 5 4 11 2 2 7" xfId="35517"/>
    <cellStyle name="常规 2 5 4 11 2 3" xfId="35518"/>
    <cellStyle name="常规 2 5 4 11 2 3 2" xfId="35519"/>
    <cellStyle name="常规 2 5 4 11 2 3 2 2" xfId="35520"/>
    <cellStyle name="常规 2 5 4 11 2 3 2 3" xfId="35521"/>
    <cellStyle name="常规 2 5 4 11 2 3 2 4" xfId="35522"/>
    <cellStyle name="常规 2 5 4 11 2 3 3" xfId="35523"/>
    <cellStyle name="常规 2 5 4 11 2 3 4" xfId="35524"/>
    <cellStyle name="常规 2 5 4 11 2 3 5" xfId="35525"/>
    <cellStyle name="常规 2 5 4 11 2 4" xfId="35526"/>
    <cellStyle name="常规 2 5 4 11 2 4 2" xfId="35527"/>
    <cellStyle name="常规 2 5 4 11 2 4 2 2" xfId="35528"/>
    <cellStyle name="常规 2 5 4 11 2 4 2 3" xfId="35529"/>
    <cellStyle name="常规 2 5 4 11 2 4 2 4" xfId="35530"/>
    <cellStyle name="常规 2 5 4 11 2 4 3" xfId="35531"/>
    <cellStyle name="常规 2 5 4 11 2 4 4" xfId="35532"/>
    <cellStyle name="常规 2 5 4 11 2 4 5" xfId="35533"/>
    <cellStyle name="常规 2 5 4 11 2 5" xfId="35534"/>
    <cellStyle name="常规 2 5 4 11 2 5 2" xfId="35535"/>
    <cellStyle name="常规 2 5 4 11 2 5 3" xfId="35536"/>
    <cellStyle name="常规 2 5 4 11 2 5 4" xfId="35537"/>
    <cellStyle name="常规 2 5 4 11 2 6" xfId="35538"/>
    <cellStyle name="常规 2 5 4 11 2 7" xfId="35539"/>
    <cellStyle name="常规 2 5 4 11 2 8" xfId="35540"/>
    <cellStyle name="常规 2 5 4 11 3" xfId="35541"/>
    <cellStyle name="常规 2 5 4 11 3 2" xfId="35542"/>
    <cellStyle name="常规 2 5 4 11 3 2 2" xfId="35543"/>
    <cellStyle name="常规 2 5 4 11 3 2 3" xfId="35544"/>
    <cellStyle name="常规 2 5 4 11 3 2 4" xfId="35545"/>
    <cellStyle name="常规 2 5 4 11 3 3" xfId="35546"/>
    <cellStyle name="常规 2 5 4 11 3 4" xfId="35547"/>
    <cellStyle name="常规 2 5 4 11 3 5" xfId="35548"/>
    <cellStyle name="常规 2 5 4 11 4" xfId="35549"/>
    <cellStyle name="常规 2 5 4 11 4 2" xfId="35550"/>
    <cellStyle name="常规 2 5 4 11 4 2 2" xfId="35551"/>
    <cellStyle name="常规 2 5 4 11 4 2 3" xfId="35552"/>
    <cellStyle name="常规 2 5 4 11 4 2 4" xfId="35553"/>
    <cellStyle name="常规 2 5 4 11 4 3" xfId="35554"/>
    <cellStyle name="常规 2 5 4 11 4 4" xfId="35555"/>
    <cellStyle name="常规 2 5 4 11 4 5" xfId="35556"/>
    <cellStyle name="常规 2 5 4 11 5" xfId="35557"/>
    <cellStyle name="常规 2 5 4 11 5 2" xfId="35558"/>
    <cellStyle name="常规 2 5 4 11 5 3" xfId="35559"/>
    <cellStyle name="常规 2 5 4 11 5 4" xfId="35560"/>
    <cellStyle name="常规 2 5 4 11 6" xfId="35561"/>
    <cellStyle name="常规 2 5 4 11 7" xfId="35562"/>
    <cellStyle name="常规 2 5 4 11 8" xfId="35563"/>
    <cellStyle name="常规 2 5 4 12" xfId="35564"/>
    <cellStyle name="常规 2 5 4 12 2" xfId="35565"/>
    <cellStyle name="常规 2 5 4 12 2 2" xfId="35566"/>
    <cellStyle name="常规 2 5 4 12 2 2 2" xfId="35567"/>
    <cellStyle name="常规 2 5 4 12 2 2 2 2" xfId="35568"/>
    <cellStyle name="常规 2 5 4 12 2 2 2 2 2" xfId="35569"/>
    <cellStyle name="常规 2 5 4 12 2 2 2 2 3" xfId="35570"/>
    <cellStyle name="常规 2 5 4 12 2 2 2 2 4" xfId="35571"/>
    <cellStyle name="常规 2 5 4 12 2 2 2 3" xfId="35572"/>
    <cellStyle name="常规 2 5 4 12 2 2 2 4" xfId="35573"/>
    <cellStyle name="常规 2 5 4 12 2 2 2 5" xfId="35574"/>
    <cellStyle name="常规 2 5 4 12 2 2 3" xfId="35575"/>
    <cellStyle name="常规 2 5 4 12 2 2 3 2" xfId="35576"/>
    <cellStyle name="常规 2 5 4 12 2 2 3 2 2" xfId="35577"/>
    <cellStyle name="常规 2 5 4 12 2 2 3 2 3" xfId="35578"/>
    <cellStyle name="常规 2 5 4 12 2 2 3 2 4" xfId="35579"/>
    <cellStyle name="常规 2 5 4 12 2 2 3 3" xfId="35580"/>
    <cellStyle name="常规 2 5 4 12 2 2 3 4" xfId="35581"/>
    <cellStyle name="常规 2 5 4 12 2 2 3 5" xfId="35582"/>
    <cellStyle name="常规 2 5 4 12 2 2 4" xfId="35583"/>
    <cellStyle name="常规 2 5 4 12 2 2 4 2" xfId="35584"/>
    <cellStyle name="常规 2 5 4 12 2 2 4 3" xfId="35585"/>
    <cellStyle name="常规 2 5 4 12 2 2 4 4" xfId="35586"/>
    <cellStyle name="常规 2 5 4 12 2 2 5" xfId="35587"/>
    <cellStyle name="常规 2 5 4 12 2 2 6" xfId="35588"/>
    <cellStyle name="常规 2 5 4 12 2 2 7" xfId="35589"/>
    <cellStyle name="常规 2 5 4 12 2 3" xfId="35590"/>
    <cellStyle name="常规 2 5 4 12 2 3 2" xfId="35591"/>
    <cellStyle name="常规 2 5 4 12 2 3 2 2" xfId="35592"/>
    <cellStyle name="常规 2 5 4 12 2 3 2 3" xfId="35593"/>
    <cellStyle name="常规 2 5 4 12 2 3 2 4" xfId="35594"/>
    <cellStyle name="常规 2 5 4 12 2 3 3" xfId="35595"/>
    <cellStyle name="常规 2 5 4 12 2 3 4" xfId="35596"/>
    <cellStyle name="常规 2 5 4 12 2 3 5" xfId="35597"/>
    <cellStyle name="常规 2 5 4 12 2 4" xfId="35598"/>
    <cellStyle name="常规 2 5 4 12 2 4 2" xfId="35599"/>
    <cellStyle name="常规 2 5 4 12 2 4 2 2" xfId="35600"/>
    <cellStyle name="常规 2 5 4 12 2 4 2 3" xfId="35601"/>
    <cellStyle name="常规 2 5 4 12 2 4 2 4" xfId="35602"/>
    <cellStyle name="常规 2 5 4 12 2 4 3" xfId="35603"/>
    <cellStyle name="常规 2 5 4 12 2 4 4" xfId="35604"/>
    <cellStyle name="常规 2 5 4 12 2 4 5" xfId="35605"/>
    <cellStyle name="常规 2 5 4 12 2 5" xfId="35606"/>
    <cellStyle name="常规 2 5 4 12 2 5 2" xfId="35607"/>
    <cellStyle name="常规 2 5 4 12 2 5 3" xfId="35608"/>
    <cellStyle name="常规 2 5 4 12 2 5 4" xfId="35609"/>
    <cellStyle name="常规 2 5 4 12 2 6" xfId="35610"/>
    <cellStyle name="常规 2 5 4 12 2 7" xfId="35611"/>
    <cellStyle name="常规 2 5 4 12 2 8" xfId="35612"/>
    <cellStyle name="常规 2 5 4 12 3" xfId="35613"/>
    <cellStyle name="常规 2 5 4 12 3 2" xfId="35614"/>
    <cellStyle name="常规 2 5 4 12 3 2 2" xfId="35615"/>
    <cellStyle name="常规 2 5 4 12 3 2 3" xfId="35616"/>
    <cellStyle name="常规 2 5 4 12 3 2 4" xfId="35617"/>
    <cellStyle name="常规 2 5 4 12 3 3" xfId="35618"/>
    <cellStyle name="常规 2 5 4 12 3 4" xfId="35619"/>
    <cellStyle name="常规 2 5 4 12 3 5" xfId="35620"/>
    <cellStyle name="常规 2 5 4 12 4" xfId="35621"/>
    <cellStyle name="常规 2 5 4 12 4 2" xfId="35622"/>
    <cellStyle name="常规 2 5 4 12 4 2 2" xfId="35623"/>
    <cellStyle name="常规 2 5 4 12 4 2 3" xfId="35624"/>
    <cellStyle name="常规 2 5 4 12 4 2 4" xfId="35625"/>
    <cellStyle name="常规 2 5 4 12 4 3" xfId="35626"/>
    <cellStyle name="常规 2 5 4 12 4 4" xfId="35627"/>
    <cellStyle name="常规 2 5 4 12 4 5" xfId="35628"/>
    <cellStyle name="常规 2 5 4 12 5" xfId="35629"/>
    <cellStyle name="常规 2 5 4 12 5 2" xfId="35630"/>
    <cellStyle name="常规 2 5 4 12 5 3" xfId="35631"/>
    <cellStyle name="常规 2 5 4 12 5 4" xfId="35632"/>
    <cellStyle name="常规 2 5 4 12 6" xfId="35633"/>
    <cellStyle name="常规 2 5 4 12 7" xfId="35634"/>
    <cellStyle name="常规 2 5 4 12 8" xfId="35635"/>
    <cellStyle name="常规 2 5 4 13" xfId="35636"/>
    <cellStyle name="常规 2 5 4 13 2" xfId="35637"/>
    <cellStyle name="常规 2 5 4 13 2 2" xfId="35638"/>
    <cellStyle name="常规 2 5 4 13 2 2 2" xfId="35639"/>
    <cellStyle name="常规 2 5 4 13 2 2 2 2" xfId="35640"/>
    <cellStyle name="常规 2 5 4 13 2 2 2 2 2" xfId="35641"/>
    <cellStyle name="常规 2 5 4 13 2 2 2 2 3" xfId="35642"/>
    <cellStyle name="常规 2 5 4 13 2 2 2 2 4" xfId="35643"/>
    <cellStyle name="常规 2 5 4 13 2 2 2 3" xfId="35644"/>
    <cellStyle name="常规 2 5 4 13 2 2 2 4" xfId="35645"/>
    <cellStyle name="常规 2 5 4 13 2 2 2 5" xfId="35646"/>
    <cellStyle name="常规 2 5 4 13 2 2 3" xfId="35647"/>
    <cellStyle name="常规 2 5 4 13 2 2 3 2" xfId="35648"/>
    <cellStyle name="常规 2 5 4 13 2 2 3 2 2" xfId="35649"/>
    <cellStyle name="常规 2 5 4 13 2 2 3 2 3" xfId="35650"/>
    <cellStyle name="常规 2 5 4 13 2 2 3 2 4" xfId="35651"/>
    <cellStyle name="常规 2 5 4 13 2 2 3 3" xfId="35652"/>
    <cellStyle name="常规 2 5 4 13 2 2 3 4" xfId="35653"/>
    <cellStyle name="常规 2 5 4 13 2 2 3 5" xfId="35654"/>
    <cellStyle name="常规 2 5 4 13 2 2 4" xfId="35655"/>
    <cellStyle name="常规 2 5 4 13 2 2 4 2" xfId="35656"/>
    <cellStyle name="常规 2 5 4 13 2 2 4 3" xfId="35657"/>
    <cellStyle name="常规 2 5 4 13 2 2 4 4" xfId="35658"/>
    <cellStyle name="常规 2 5 4 13 2 2 5" xfId="35659"/>
    <cellStyle name="常规 2 5 4 13 2 2 6" xfId="35660"/>
    <cellStyle name="常规 2 5 4 13 2 2 7" xfId="35661"/>
    <cellStyle name="常规 2 5 4 13 2 3" xfId="35662"/>
    <cellStyle name="常规 2 5 4 13 2 3 2" xfId="35663"/>
    <cellStyle name="常规 2 5 4 13 2 3 2 2" xfId="35664"/>
    <cellStyle name="常规 2 5 4 13 2 3 2 3" xfId="35665"/>
    <cellStyle name="常规 2 5 4 13 2 3 2 4" xfId="35666"/>
    <cellStyle name="常规 2 5 4 13 2 3 3" xfId="35667"/>
    <cellStyle name="常规 2 5 4 13 2 3 4" xfId="35668"/>
    <cellStyle name="常规 2 5 4 13 2 3 5" xfId="35669"/>
    <cellStyle name="常规 2 5 4 13 2 4" xfId="35670"/>
    <cellStyle name="常规 2 5 4 13 2 4 2" xfId="35671"/>
    <cellStyle name="常规 2 5 4 13 2 4 2 2" xfId="35672"/>
    <cellStyle name="常规 2 5 4 13 2 4 2 3" xfId="35673"/>
    <cellStyle name="常规 2 5 4 13 2 4 2 4" xfId="35674"/>
    <cellStyle name="常规 2 5 4 13 2 4 3" xfId="35675"/>
    <cellStyle name="常规 2 5 4 13 2 4 4" xfId="35676"/>
    <cellStyle name="常规 2 5 4 13 2 4 5" xfId="35677"/>
    <cellStyle name="常规 2 5 4 13 2 5" xfId="35678"/>
    <cellStyle name="常规 2 5 4 13 2 5 2" xfId="35679"/>
    <cellStyle name="常规 2 5 4 13 2 5 3" xfId="35680"/>
    <cellStyle name="常规 2 5 4 13 2 5 4" xfId="35681"/>
    <cellStyle name="常规 2 5 4 13 2 6" xfId="35682"/>
    <cellStyle name="常规 2 5 4 13 2 7" xfId="35683"/>
    <cellStyle name="常规 2 5 4 13 2 8" xfId="35684"/>
    <cellStyle name="常规 2 5 4 13 3" xfId="35685"/>
    <cellStyle name="常规 2 5 4 13 3 2" xfId="35686"/>
    <cellStyle name="常规 2 5 4 13 3 2 2" xfId="35687"/>
    <cellStyle name="常规 2 5 4 13 3 2 3" xfId="35688"/>
    <cellStyle name="常规 2 5 4 13 3 2 4" xfId="35689"/>
    <cellStyle name="常规 2 5 4 13 3 3" xfId="35690"/>
    <cellStyle name="常规 2 5 4 13 3 4" xfId="35691"/>
    <cellStyle name="常规 2 5 4 13 3 5" xfId="35692"/>
    <cellStyle name="常规 2 5 4 13 4" xfId="35693"/>
    <cellStyle name="常规 2 5 4 13 4 2" xfId="35694"/>
    <cellStyle name="常规 2 5 4 13 4 2 2" xfId="35695"/>
    <cellStyle name="常规 2 5 4 13 4 2 3" xfId="35696"/>
    <cellStyle name="常规 2 5 4 13 4 2 4" xfId="35697"/>
    <cellStyle name="常规 2 5 4 13 4 3" xfId="35698"/>
    <cellStyle name="常规 2 5 4 13 4 4" xfId="35699"/>
    <cellStyle name="常规 2 5 4 13 4 5" xfId="35700"/>
    <cellStyle name="常规 2 5 4 13 5" xfId="35701"/>
    <cellStyle name="常规 2 5 4 13 5 2" xfId="35702"/>
    <cellStyle name="常规 2 5 4 13 5 3" xfId="35703"/>
    <cellStyle name="常规 2 5 4 13 5 4" xfId="35704"/>
    <cellStyle name="常规 2 5 4 13 6" xfId="35705"/>
    <cellStyle name="常规 2 5 4 13 7" xfId="35706"/>
    <cellStyle name="常规 2 5 4 13 8" xfId="35707"/>
    <cellStyle name="常规 2 5 4 14" xfId="35708"/>
    <cellStyle name="常规 2 5 4 14 2" xfId="35709"/>
    <cellStyle name="常规 2 5 4 14 2 2" xfId="35710"/>
    <cellStyle name="常规 2 5 4 14 2 2 2" xfId="35711"/>
    <cellStyle name="常规 2 5 4 14 2 2 2 2" xfId="35712"/>
    <cellStyle name="常规 2 5 4 14 2 2 2 2 2" xfId="35713"/>
    <cellStyle name="常规 2 5 4 14 2 2 2 2 3" xfId="35714"/>
    <cellStyle name="常规 2 5 4 14 2 2 2 2 4" xfId="35715"/>
    <cellStyle name="常规 2 5 4 14 2 2 2 3" xfId="35716"/>
    <cellStyle name="常规 2 5 4 14 2 2 2 4" xfId="35717"/>
    <cellStyle name="常规 2 5 4 14 2 2 2 5" xfId="35718"/>
    <cellStyle name="常规 2 5 4 14 2 2 3" xfId="35719"/>
    <cellStyle name="常规 2 5 4 14 2 2 3 2" xfId="35720"/>
    <cellStyle name="常规 2 5 4 14 2 2 3 2 2" xfId="35721"/>
    <cellStyle name="常规 2 5 4 14 2 2 3 2 3" xfId="35722"/>
    <cellStyle name="常规 2 5 4 14 2 2 3 2 4" xfId="35723"/>
    <cellStyle name="常规 2 5 4 14 2 2 3 3" xfId="35724"/>
    <cellStyle name="常规 2 5 4 14 2 2 3 4" xfId="35725"/>
    <cellStyle name="常规 2 5 4 14 2 2 3 5" xfId="35726"/>
    <cellStyle name="常规 2 5 4 14 2 2 4" xfId="35727"/>
    <cellStyle name="常规 2 5 4 14 2 2 4 2" xfId="35728"/>
    <cellStyle name="常规 2 5 4 14 2 2 4 3" xfId="35729"/>
    <cellStyle name="常规 2 5 4 14 2 2 4 4" xfId="35730"/>
    <cellStyle name="常规 2 5 4 14 2 2 5" xfId="35731"/>
    <cellStyle name="常规 2 5 4 14 2 2 6" xfId="35732"/>
    <cellStyle name="常规 2 5 4 14 2 2 7" xfId="35733"/>
    <cellStyle name="常规 2 5 4 14 2 3" xfId="35734"/>
    <cellStyle name="常规 2 5 4 14 2 3 2" xfId="35735"/>
    <cellStyle name="常规 2 5 4 14 2 3 2 2" xfId="35736"/>
    <cellStyle name="常规 2 5 4 14 2 3 2 3" xfId="35737"/>
    <cellStyle name="常规 2 5 4 14 2 3 2 4" xfId="35738"/>
    <cellStyle name="常规 2 5 4 14 2 3 3" xfId="35739"/>
    <cellStyle name="常规 2 5 4 14 2 3 4" xfId="35740"/>
    <cellStyle name="常规 2 5 4 14 2 3 5" xfId="35741"/>
    <cellStyle name="常规 2 5 4 14 2 4" xfId="35742"/>
    <cellStyle name="常规 2 5 4 14 2 4 2" xfId="35743"/>
    <cellStyle name="常规 2 5 4 14 2 4 2 2" xfId="35744"/>
    <cellStyle name="常规 2 5 4 14 2 4 2 3" xfId="35745"/>
    <cellStyle name="常规 2 5 4 14 2 4 2 4" xfId="35746"/>
    <cellStyle name="常规 2 5 4 14 2 4 3" xfId="35747"/>
    <cellStyle name="常规 2 5 4 14 2 4 4" xfId="35748"/>
    <cellStyle name="常规 2 5 4 14 2 4 5" xfId="35749"/>
    <cellStyle name="常规 2 5 4 14 2 5" xfId="35750"/>
    <cellStyle name="常规 2 5 4 14 2 5 2" xfId="35751"/>
    <cellStyle name="常规 2 5 4 14 2 5 3" xfId="35752"/>
    <cellStyle name="常规 2 5 4 14 2 5 4" xfId="35753"/>
    <cellStyle name="常规 2 5 4 14 2 6" xfId="35754"/>
    <cellStyle name="常规 2 5 4 14 2 7" xfId="35755"/>
    <cellStyle name="常规 2 5 4 14 2 8" xfId="35756"/>
    <cellStyle name="常规 2 5 4 14 3" xfId="35757"/>
    <cellStyle name="常规 2 5 4 14 3 2" xfId="35758"/>
    <cellStyle name="常规 2 5 4 14 3 2 2" xfId="35759"/>
    <cellStyle name="常规 2 5 4 14 3 2 3" xfId="35760"/>
    <cellStyle name="常规 2 5 4 14 3 2 4" xfId="35761"/>
    <cellStyle name="常规 2 5 4 14 3 3" xfId="35762"/>
    <cellStyle name="常规 2 5 4 14 3 4" xfId="35763"/>
    <cellStyle name="常规 2 5 4 14 3 5" xfId="35764"/>
    <cellStyle name="常规 2 5 4 14 4" xfId="35765"/>
    <cellStyle name="常规 2 5 4 14 4 2" xfId="35766"/>
    <cellStyle name="常规 2 5 4 14 4 2 2" xfId="35767"/>
    <cellStyle name="常规 2 5 4 14 4 2 3" xfId="35768"/>
    <cellStyle name="常规 2 5 4 14 4 2 4" xfId="35769"/>
    <cellStyle name="常规 2 5 4 14 4 3" xfId="35770"/>
    <cellStyle name="常规 2 5 4 14 4 4" xfId="35771"/>
    <cellStyle name="常规 2 5 4 14 4 5" xfId="35772"/>
    <cellStyle name="常规 2 5 4 14 5" xfId="35773"/>
    <cellStyle name="常规 2 5 4 14 5 2" xfId="35774"/>
    <cellStyle name="常规 2 5 4 14 5 3" xfId="35775"/>
    <cellStyle name="常规 2 5 4 14 5 4" xfId="35776"/>
    <cellStyle name="常规 2 5 4 14 6" xfId="35777"/>
    <cellStyle name="常规 2 5 4 14 7" xfId="35778"/>
    <cellStyle name="常规 2 5 4 14 8" xfId="35779"/>
    <cellStyle name="常规 2 5 4 15" xfId="35780"/>
    <cellStyle name="常规 2 5 4 15 2" xfId="35781"/>
    <cellStyle name="常规 2 5 4 15 2 2" xfId="35782"/>
    <cellStyle name="常规 2 5 4 15 2 2 2" xfId="35783"/>
    <cellStyle name="常规 2 5 4 15 2 2 2 2" xfId="35784"/>
    <cellStyle name="常规 2 5 4 15 2 2 2 3" xfId="35785"/>
    <cellStyle name="常规 2 5 4 15 2 2 2 4" xfId="35786"/>
    <cellStyle name="常规 2 5 4 15 2 2 3" xfId="35787"/>
    <cellStyle name="常规 2 5 4 15 2 2 4" xfId="35788"/>
    <cellStyle name="常规 2 5 4 15 2 2 5" xfId="35789"/>
    <cellStyle name="常规 2 5 4 15 2 3" xfId="35790"/>
    <cellStyle name="常规 2 5 4 15 2 3 2" xfId="35791"/>
    <cellStyle name="常规 2 5 4 15 2 3 2 2" xfId="35792"/>
    <cellStyle name="常规 2 5 4 15 2 3 2 3" xfId="35793"/>
    <cellStyle name="常规 2 5 4 15 2 3 2 4" xfId="35794"/>
    <cellStyle name="常规 2 5 4 15 2 3 3" xfId="35795"/>
    <cellStyle name="常规 2 5 4 15 2 3 4" xfId="35796"/>
    <cellStyle name="常规 2 5 4 15 2 3 5" xfId="35797"/>
    <cellStyle name="常规 2 5 4 15 2 4" xfId="35798"/>
    <cellStyle name="常规 2 5 4 15 2 4 2" xfId="35799"/>
    <cellStyle name="常规 2 5 4 15 2 4 3" xfId="35800"/>
    <cellStyle name="常规 2 5 4 15 2 4 4" xfId="35801"/>
    <cellStyle name="常规 2 5 4 15 2 5" xfId="35802"/>
    <cellStyle name="常规 2 5 4 15 2 6" xfId="35803"/>
    <cellStyle name="常规 2 5 4 15 2 7" xfId="35804"/>
    <cellStyle name="常规 2 5 4 15 3" xfId="35805"/>
    <cellStyle name="常规 2 5 4 15 3 2" xfId="35806"/>
    <cellStyle name="常规 2 5 4 15 3 2 2" xfId="35807"/>
    <cellStyle name="常规 2 5 4 15 3 2 3" xfId="35808"/>
    <cellStyle name="常规 2 5 4 15 3 2 4" xfId="35809"/>
    <cellStyle name="常规 2 5 4 15 3 3" xfId="35810"/>
    <cellStyle name="常规 2 5 4 15 3 4" xfId="35811"/>
    <cellStyle name="常规 2 5 4 15 3 5" xfId="35812"/>
    <cellStyle name="常规 2 5 4 15 4" xfId="35813"/>
    <cellStyle name="常规 2 5 4 15 4 2" xfId="35814"/>
    <cellStyle name="常规 2 5 4 15 4 2 2" xfId="35815"/>
    <cellStyle name="常规 2 5 4 15 4 2 3" xfId="35816"/>
    <cellStyle name="常规 2 5 4 15 4 2 4" xfId="35817"/>
    <cellStyle name="常规 2 5 4 15 4 3" xfId="35818"/>
    <cellStyle name="常规 2 5 4 15 4 4" xfId="35819"/>
    <cellStyle name="常规 2 5 4 15 4 5" xfId="35820"/>
    <cellStyle name="常规 2 5 4 15 5" xfId="35821"/>
    <cellStyle name="常规 2 5 4 15 5 2" xfId="35822"/>
    <cellStyle name="常规 2 5 4 15 5 3" xfId="35823"/>
    <cellStyle name="常规 2 5 4 15 5 4" xfId="35824"/>
    <cellStyle name="常规 2 5 4 15 6" xfId="35825"/>
    <cellStyle name="常规 2 5 4 15 7" xfId="35826"/>
    <cellStyle name="常规 2 5 4 15 8" xfId="35827"/>
    <cellStyle name="常规 2 5 4 16" xfId="35828"/>
    <cellStyle name="常规 2 5 4 16 2" xfId="35829"/>
    <cellStyle name="常规 2 5 4 16 2 2" xfId="35830"/>
    <cellStyle name="常规 2 5 4 16 2 3" xfId="35831"/>
    <cellStyle name="常规 2 5 4 16 2 4" xfId="35832"/>
    <cellStyle name="常规 2 5 4 16 3" xfId="35833"/>
    <cellStyle name="常规 2 5 4 16 4" xfId="35834"/>
    <cellStyle name="常规 2 5 4 16 5" xfId="35835"/>
    <cellStyle name="常规 2 5 4 17" xfId="35836"/>
    <cellStyle name="常规 2 5 4 17 2" xfId="35837"/>
    <cellStyle name="常规 2 5 4 17 2 2" xfId="35838"/>
    <cellStyle name="常规 2 5 4 17 2 3" xfId="35839"/>
    <cellStyle name="常规 2 5 4 17 2 4" xfId="35840"/>
    <cellStyle name="常规 2 5 4 17 3" xfId="35841"/>
    <cellStyle name="常规 2 5 4 17 4" xfId="35842"/>
    <cellStyle name="常规 2 5 4 17 5" xfId="35843"/>
    <cellStyle name="常规 2 5 4 18" xfId="35844"/>
    <cellStyle name="常规 2 5 4 18 2" xfId="35845"/>
    <cellStyle name="常规 2 5 4 18 3" xfId="35846"/>
    <cellStyle name="常规 2 5 4 18 4" xfId="35847"/>
    <cellStyle name="常规 2 5 4 19" xfId="35848"/>
    <cellStyle name="常规 2 5 4 2" xfId="35849"/>
    <cellStyle name="常规 2 5 4 2 10" xfId="35850"/>
    <cellStyle name="常规 2 5 4 2 2" xfId="35851"/>
    <cellStyle name="常规 2 5 4 2 2 2" xfId="35852"/>
    <cellStyle name="常规 2 5 4 2 2 2 2" xfId="35853"/>
    <cellStyle name="常规 2 5 4 2 2 2 2 2" xfId="35854"/>
    <cellStyle name="常规 2 5 4 2 2 2 2 2 2" xfId="35855"/>
    <cellStyle name="常规 2 5 4 2 2 2 2 2 3" xfId="35856"/>
    <cellStyle name="常规 2 5 4 2 2 2 2 2 4" xfId="35857"/>
    <cellStyle name="常规 2 5 4 2 2 2 2 3" xfId="35858"/>
    <cellStyle name="常规 2 5 4 2 2 2 2 4" xfId="35859"/>
    <cellStyle name="常规 2 5 4 2 2 2 2 5" xfId="35860"/>
    <cellStyle name="常规 2 5 4 2 2 2 3" xfId="35861"/>
    <cellStyle name="常规 2 5 4 2 2 2 3 2" xfId="35862"/>
    <cellStyle name="常规 2 5 4 2 2 2 3 2 2" xfId="35863"/>
    <cellStyle name="常规 2 5 4 2 2 2 3 2 3" xfId="35864"/>
    <cellStyle name="常规 2 5 4 2 2 2 3 2 4" xfId="35865"/>
    <cellStyle name="常规 2 5 4 2 2 2 3 3" xfId="35866"/>
    <cellStyle name="常规 2 5 4 2 2 2 3 4" xfId="35867"/>
    <cellStyle name="常规 2 5 4 2 2 2 3 5" xfId="35868"/>
    <cellStyle name="常规 2 5 4 2 2 2 4" xfId="35869"/>
    <cellStyle name="常规 2 5 4 2 2 2 4 2" xfId="35870"/>
    <cellStyle name="常规 2 5 4 2 2 2 4 3" xfId="35871"/>
    <cellStyle name="常规 2 5 4 2 2 2 4 4" xfId="35872"/>
    <cellStyle name="常规 2 5 4 2 2 2 5" xfId="35873"/>
    <cellStyle name="常规 2 5 4 2 2 2 6" xfId="35874"/>
    <cellStyle name="常规 2 5 4 2 2 2 7" xfId="35875"/>
    <cellStyle name="常规 2 5 4 2 2 3" xfId="35876"/>
    <cellStyle name="常规 2 5 4 2 2 3 2" xfId="35877"/>
    <cellStyle name="常规 2 5 4 2 2 3 2 2" xfId="35878"/>
    <cellStyle name="常规 2 5 4 2 2 3 2 3" xfId="35879"/>
    <cellStyle name="常规 2 5 4 2 2 3 2 4" xfId="35880"/>
    <cellStyle name="常规 2 5 4 2 2 3 3" xfId="35881"/>
    <cellStyle name="常规 2 5 4 2 2 3 4" xfId="35882"/>
    <cellStyle name="常规 2 5 4 2 2 3 5" xfId="35883"/>
    <cellStyle name="常规 2 5 4 2 2 4" xfId="35884"/>
    <cellStyle name="常规 2 5 4 2 2 4 2" xfId="35885"/>
    <cellStyle name="常规 2 5 4 2 2 4 2 2" xfId="35886"/>
    <cellStyle name="常规 2 5 4 2 2 4 2 3" xfId="35887"/>
    <cellStyle name="常规 2 5 4 2 2 4 2 4" xfId="35888"/>
    <cellStyle name="常规 2 5 4 2 2 4 3" xfId="35889"/>
    <cellStyle name="常规 2 5 4 2 2 4 4" xfId="35890"/>
    <cellStyle name="常规 2 5 4 2 2 4 5" xfId="35891"/>
    <cellStyle name="常规 2 5 4 2 2 5" xfId="35892"/>
    <cellStyle name="常规 2 5 4 2 2 5 2" xfId="35893"/>
    <cellStyle name="常规 2 5 4 2 2 5 3" xfId="35894"/>
    <cellStyle name="常规 2 5 4 2 2 5 4" xfId="35895"/>
    <cellStyle name="常规 2 5 4 2 2 6" xfId="35896"/>
    <cellStyle name="常规 2 5 4 2 2 7" xfId="35897"/>
    <cellStyle name="常规 2 5 4 2 2 8" xfId="35898"/>
    <cellStyle name="常规 2 5 4 2 2 9" xfId="35899"/>
    <cellStyle name="常规 2 5 4 2 2 9 2" xfId="35900"/>
    <cellStyle name="常规 2 5 4 2 3" xfId="35901"/>
    <cellStyle name="常规 2 5 4 2 3 2" xfId="35902"/>
    <cellStyle name="常规 2 5 4 2 3 2 2" xfId="35903"/>
    <cellStyle name="常规 2 5 4 2 3 2 3" xfId="35904"/>
    <cellStyle name="常规 2 5 4 2 3 2 4" xfId="35905"/>
    <cellStyle name="常规 2 5 4 2 3 3" xfId="35906"/>
    <cellStyle name="常规 2 5 4 2 3 4" xfId="35907"/>
    <cellStyle name="常规 2 5 4 2 3 5" xfId="35908"/>
    <cellStyle name="常规 2 5 4 2 3 6" xfId="35909"/>
    <cellStyle name="常规 2 5 4 2 3 6 2" xfId="35910"/>
    <cellStyle name="常规 2 5 4 2 4" xfId="35911"/>
    <cellStyle name="常规 2 5 4 2 4 2" xfId="35912"/>
    <cellStyle name="常规 2 5 4 2 4 2 2" xfId="35913"/>
    <cellStyle name="常规 2 5 4 2 4 2 3" xfId="35914"/>
    <cellStyle name="常规 2 5 4 2 4 2 4" xfId="35915"/>
    <cellStyle name="常规 2 5 4 2 4 2 5" xfId="35916"/>
    <cellStyle name="常规 2 5 4 2 4 3" xfId="35917"/>
    <cellStyle name="常规 2 5 4 2 4 4" xfId="35918"/>
    <cellStyle name="常规 2 5 4 2 4 5" xfId="35919"/>
    <cellStyle name="常规 2 5 4 2 4 6" xfId="35920"/>
    <cellStyle name="常规 2 5 4 2 5" xfId="35921"/>
    <cellStyle name="常规 2 5 4 2 5 2" xfId="35922"/>
    <cellStyle name="常规 2 5 4 2 5 2 2" xfId="35923"/>
    <cellStyle name="常规 2 5 4 2 5 3" xfId="35924"/>
    <cellStyle name="常规 2 5 4 2 5 4" xfId="35925"/>
    <cellStyle name="常规 2 5 4 2 5 5" xfId="35926"/>
    <cellStyle name="常规 2 5 4 2 6" xfId="35927"/>
    <cellStyle name="常规 2 5 4 2 7" xfId="35928"/>
    <cellStyle name="常规 2 5 4 2 8" xfId="35929"/>
    <cellStyle name="常规 2 5 4 2 9" xfId="35930"/>
    <cellStyle name="常规 2 5 4 2 9 2" xfId="35931"/>
    <cellStyle name="常规 2 5 4 20" xfId="35932"/>
    <cellStyle name="常规 2 5 4 21" xfId="35933"/>
    <cellStyle name="常规 2 5 4 22" xfId="35934"/>
    <cellStyle name="常规 2 5 4 22 2" xfId="35935"/>
    <cellStyle name="常规 2 5 4 23" xfId="35936"/>
    <cellStyle name="常规 2 5 4 3" xfId="35937"/>
    <cellStyle name="常规 2 5 4 3 2" xfId="35938"/>
    <cellStyle name="常规 2 5 4 3 2 2" xfId="35939"/>
    <cellStyle name="常规 2 5 4 3 2 2 2" xfId="35940"/>
    <cellStyle name="常规 2 5 4 3 2 2 2 2" xfId="35941"/>
    <cellStyle name="常规 2 5 4 3 2 2 2 2 2" xfId="35942"/>
    <cellStyle name="常规 2 5 4 3 2 2 2 2 3" xfId="35943"/>
    <cellStyle name="常规 2 5 4 3 2 2 2 2 4" xfId="35944"/>
    <cellStyle name="常规 2 5 4 3 2 2 2 3" xfId="35945"/>
    <cellStyle name="常规 2 5 4 3 2 2 2 4" xfId="35946"/>
    <cellStyle name="常规 2 5 4 3 2 2 2 5" xfId="35947"/>
    <cellStyle name="常规 2 5 4 3 2 2 3" xfId="35948"/>
    <cellStyle name="常规 2 5 4 3 2 2 3 2" xfId="35949"/>
    <cellStyle name="常规 2 5 4 3 2 2 3 2 2" xfId="35950"/>
    <cellStyle name="常规 2 5 4 3 2 2 3 2 3" xfId="35951"/>
    <cellStyle name="常规 2 5 4 3 2 2 3 2 4" xfId="35952"/>
    <cellStyle name="常规 2 5 4 3 2 2 3 3" xfId="35953"/>
    <cellStyle name="常规 2 5 4 3 2 2 3 4" xfId="35954"/>
    <cellStyle name="常规 2 5 4 3 2 2 3 5" xfId="35955"/>
    <cellStyle name="常规 2 5 4 3 2 2 4" xfId="35956"/>
    <cellStyle name="常规 2 5 4 3 2 2 4 2" xfId="35957"/>
    <cellStyle name="常规 2 5 4 3 2 2 4 3" xfId="35958"/>
    <cellStyle name="常规 2 5 4 3 2 2 4 4" xfId="35959"/>
    <cellStyle name="常规 2 5 4 3 2 2 5" xfId="35960"/>
    <cellStyle name="常规 2 5 4 3 2 2 6" xfId="35961"/>
    <cellStyle name="常规 2 5 4 3 2 2 7" xfId="35962"/>
    <cellStyle name="常规 2 5 4 3 2 3" xfId="35963"/>
    <cellStyle name="常规 2 5 4 3 2 3 2" xfId="35964"/>
    <cellStyle name="常规 2 5 4 3 2 3 2 2" xfId="35965"/>
    <cellStyle name="常规 2 5 4 3 2 3 2 3" xfId="35966"/>
    <cellStyle name="常规 2 5 4 3 2 3 2 4" xfId="35967"/>
    <cellStyle name="常规 2 5 4 3 2 3 3" xfId="35968"/>
    <cellStyle name="常规 2 5 4 3 2 3 4" xfId="35969"/>
    <cellStyle name="常规 2 5 4 3 2 3 5" xfId="35970"/>
    <cellStyle name="常规 2 5 4 3 2 4" xfId="35971"/>
    <cellStyle name="常规 2 5 4 3 2 4 2" xfId="35972"/>
    <cellStyle name="常规 2 5 4 3 2 4 2 2" xfId="35973"/>
    <cellStyle name="常规 2 5 4 3 2 4 2 3" xfId="35974"/>
    <cellStyle name="常规 2 5 4 3 2 4 2 4" xfId="35975"/>
    <cellStyle name="常规 2 5 4 3 2 4 3" xfId="35976"/>
    <cellStyle name="常规 2 5 4 3 2 4 4" xfId="35977"/>
    <cellStyle name="常规 2 5 4 3 2 4 5" xfId="35978"/>
    <cellStyle name="常规 2 5 4 3 2 5" xfId="35979"/>
    <cellStyle name="常规 2 5 4 3 2 5 2" xfId="35980"/>
    <cellStyle name="常规 2 5 4 3 2 5 3" xfId="35981"/>
    <cellStyle name="常规 2 5 4 3 2 5 4" xfId="35982"/>
    <cellStyle name="常规 2 5 4 3 2 6" xfId="35983"/>
    <cellStyle name="常规 2 5 4 3 2 7" xfId="35984"/>
    <cellStyle name="常规 2 5 4 3 2 8" xfId="35985"/>
    <cellStyle name="常规 2 5 4 3 3" xfId="35986"/>
    <cellStyle name="常规 2 5 4 3 3 2" xfId="35987"/>
    <cellStyle name="常规 2 5 4 3 3 2 2" xfId="35988"/>
    <cellStyle name="常规 2 5 4 3 3 2 3" xfId="35989"/>
    <cellStyle name="常规 2 5 4 3 3 2 4" xfId="35990"/>
    <cellStyle name="常规 2 5 4 3 3 3" xfId="35991"/>
    <cellStyle name="常规 2 5 4 3 3 4" xfId="35992"/>
    <cellStyle name="常规 2 5 4 3 3 5" xfId="35993"/>
    <cellStyle name="常规 2 5 4 3 4" xfId="35994"/>
    <cellStyle name="常规 2 5 4 3 4 2" xfId="35995"/>
    <cellStyle name="常规 2 5 4 3 4 2 2" xfId="35996"/>
    <cellStyle name="常规 2 5 4 3 4 2 3" xfId="35997"/>
    <cellStyle name="常规 2 5 4 3 4 2 4" xfId="35998"/>
    <cellStyle name="常规 2 5 4 3 4 3" xfId="35999"/>
    <cellStyle name="常规 2 5 4 3 4 4" xfId="36000"/>
    <cellStyle name="常规 2 5 4 3 4 5" xfId="36001"/>
    <cellStyle name="常规 2 5 4 3 5" xfId="36002"/>
    <cellStyle name="常规 2 5 4 3 5 2" xfId="36003"/>
    <cellStyle name="常规 2 5 4 3 5 3" xfId="36004"/>
    <cellStyle name="常规 2 5 4 3 5 4" xfId="36005"/>
    <cellStyle name="常规 2 5 4 3 6" xfId="36006"/>
    <cellStyle name="常规 2 5 4 3 7" xfId="36007"/>
    <cellStyle name="常规 2 5 4 3 8" xfId="36008"/>
    <cellStyle name="常规 2 5 4 3 9" xfId="36009"/>
    <cellStyle name="常规 2 5 4 3 9 2" xfId="36010"/>
    <cellStyle name="常规 2 5 4 4" xfId="36011"/>
    <cellStyle name="常规 2 5 4 4 2" xfId="36012"/>
    <cellStyle name="常规 2 5 4 4 2 2" xfId="36013"/>
    <cellStyle name="常规 2 5 4 4 2 2 2" xfId="36014"/>
    <cellStyle name="常规 2 5 4 4 2 2 2 2" xfId="36015"/>
    <cellStyle name="常规 2 5 4 4 2 2 2 2 2" xfId="36016"/>
    <cellStyle name="常规 2 5 4 4 2 2 2 2 3" xfId="36017"/>
    <cellStyle name="常规 2 5 4 4 2 2 2 2 4" xfId="36018"/>
    <cellStyle name="常规 2 5 4 4 2 2 2 3" xfId="36019"/>
    <cellStyle name="常规 2 5 4 4 2 2 2 4" xfId="36020"/>
    <cellStyle name="常规 2 5 4 4 2 2 2 5" xfId="36021"/>
    <cellStyle name="常规 2 5 4 4 2 2 3" xfId="36022"/>
    <cellStyle name="常规 2 5 4 4 2 2 3 2" xfId="36023"/>
    <cellStyle name="常规 2 5 4 4 2 2 3 2 2" xfId="36024"/>
    <cellStyle name="常规 2 5 4 4 2 2 3 2 3" xfId="36025"/>
    <cellStyle name="常规 2 5 4 4 2 2 3 2 4" xfId="36026"/>
    <cellStyle name="常规 2 5 4 4 2 2 3 3" xfId="36027"/>
    <cellStyle name="常规 2 5 4 4 2 2 3 4" xfId="36028"/>
    <cellStyle name="常规 2 5 4 4 2 2 3 5" xfId="36029"/>
    <cellStyle name="常规 2 5 4 4 2 2 4" xfId="36030"/>
    <cellStyle name="常规 2 5 4 4 2 2 4 2" xfId="36031"/>
    <cellStyle name="常规 2 5 4 4 2 2 4 3" xfId="36032"/>
    <cellStyle name="常规 2 5 4 4 2 2 4 4" xfId="36033"/>
    <cellStyle name="常规 2 5 4 4 2 2 5" xfId="36034"/>
    <cellStyle name="常规 2 5 4 4 2 2 6" xfId="36035"/>
    <cellStyle name="常规 2 5 4 4 2 2 7" xfId="36036"/>
    <cellStyle name="常规 2 5 4 4 2 3" xfId="36037"/>
    <cellStyle name="常规 2 5 4 4 2 3 2" xfId="36038"/>
    <cellStyle name="常规 2 5 4 4 2 3 2 2" xfId="36039"/>
    <cellStyle name="常规 2 5 4 4 2 3 2 3" xfId="36040"/>
    <cellStyle name="常规 2 5 4 4 2 3 2 4" xfId="36041"/>
    <cellStyle name="常规 2 5 4 4 2 3 3" xfId="36042"/>
    <cellStyle name="常规 2 5 4 4 2 3 4" xfId="36043"/>
    <cellStyle name="常规 2 5 4 4 2 3 5" xfId="36044"/>
    <cellStyle name="常规 2 5 4 4 2 4" xfId="36045"/>
    <cellStyle name="常规 2 5 4 4 2 4 2" xfId="36046"/>
    <cellStyle name="常规 2 5 4 4 2 4 2 2" xfId="36047"/>
    <cellStyle name="常规 2 5 4 4 2 4 2 3" xfId="36048"/>
    <cellStyle name="常规 2 5 4 4 2 4 2 4" xfId="36049"/>
    <cellStyle name="常规 2 5 4 4 2 4 3" xfId="36050"/>
    <cellStyle name="常规 2 5 4 4 2 4 4" xfId="36051"/>
    <cellStyle name="常规 2 5 4 4 2 4 5" xfId="36052"/>
    <cellStyle name="常规 2 5 4 4 2 5" xfId="36053"/>
    <cellStyle name="常规 2 5 4 4 2 5 2" xfId="36054"/>
    <cellStyle name="常规 2 5 4 4 2 5 3" xfId="36055"/>
    <cellStyle name="常规 2 5 4 4 2 5 4" xfId="36056"/>
    <cellStyle name="常规 2 5 4 4 2 6" xfId="36057"/>
    <cellStyle name="常规 2 5 4 4 2 7" xfId="36058"/>
    <cellStyle name="常规 2 5 4 4 2 8" xfId="36059"/>
    <cellStyle name="常规 2 5 4 4 3" xfId="36060"/>
    <cellStyle name="常规 2 5 4 4 3 2" xfId="36061"/>
    <cellStyle name="常规 2 5 4 4 3 2 2" xfId="36062"/>
    <cellStyle name="常规 2 5 4 4 3 2 3" xfId="36063"/>
    <cellStyle name="常规 2 5 4 4 3 2 4" xfId="36064"/>
    <cellStyle name="常规 2 5 4 4 3 3" xfId="36065"/>
    <cellStyle name="常规 2 5 4 4 3 4" xfId="36066"/>
    <cellStyle name="常规 2 5 4 4 3 5" xfId="36067"/>
    <cellStyle name="常规 2 5 4 4 4" xfId="36068"/>
    <cellStyle name="常规 2 5 4 4 4 2" xfId="36069"/>
    <cellStyle name="常规 2 5 4 4 4 2 2" xfId="36070"/>
    <cellStyle name="常规 2 5 4 4 4 2 3" xfId="36071"/>
    <cellStyle name="常规 2 5 4 4 4 2 4" xfId="36072"/>
    <cellStyle name="常规 2 5 4 4 4 3" xfId="36073"/>
    <cellStyle name="常规 2 5 4 4 4 4" xfId="36074"/>
    <cellStyle name="常规 2 5 4 4 4 5" xfId="36075"/>
    <cellStyle name="常规 2 5 4 4 5" xfId="36076"/>
    <cellStyle name="常规 2 5 4 4 5 2" xfId="36077"/>
    <cellStyle name="常规 2 5 4 4 5 3" xfId="36078"/>
    <cellStyle name="常规 2 5 4 4 5 4" xfId="36079"/>
    <cellStyle name="常规 2 5 4 4 6" xfId="36080"/>
    <cellStyle name="常规 2 5 4 4 7" xfId="36081"/>
    <cellStyle name="常规 2 5 4 4 8" xfId="36082"/>
    <cellStyle name="常规 2 5 4 4 9" xfId="36083"/>
    <cellStyle name="常规 2 5 4 4 9 2" xfId="36084"/>
    <cellStyle name="常规 2 5 4 5" xfId="36085"/>
    <cellStyle name="常规 2 5 4 5 2" xfId="36086"/>
    <cellStyle name="常规 2 5 4 5 2 2" xfId="36087"/>
    <cellStyle name="常规 2 5 4 5 2 2 2" xfId="36088"/>
    <cellStyle name="常规 2 5 4 5 2 2 2 2" xfId="36089"/>
    <cellStyle name="常规 2 5 4 5 2 2 2 2 2" xfId="36090"/>
    <cellStyle name="常规 2 5 4 5 2 2 2 2 3" xfId="36091"/>
    <cellStyle name="常规 2 5 4 5 2 2 2 2 4" xfId="36092"/>
    <cellStyle name="常规 2 5 4 5 2 2 2 3" xfId="36093"/>
    <cellStyle name="常规 2 5 4 5 2 2 2 4" xfId="36094"/>
    <cellStyle name="常规 2 5 4 5 2 2 2 5" xfId="36095"/>
    <cellStyle name="常规 2 5 4 5 2 2 3" xfId="36096"/>
    <cellStyle name="常规 2 5 4 5 2 2 3 2" xfId="36097"/>
    <cellStyle name="常规 2 5 4 5 2 2 3 2 2" xfId="36098"/>
    <cellStyle name="常规 2 5 4 5 2 2 3 2 3" xfId="36099"/>
    <cellStyle name="常规 2 5 4 5 2 2 3 2 4" xfId="36100"/>
    <cellStyle name="常规 2 5 4 5 2 2 3 3" xfId="36101"/>
    <cellStyle name="常规 2 5 4 5 2 2 3 4" xfId="36102"/>
    <cellStyle name="常规 2 5 4 5 2 2 3 5" xfId="36103"/>
    <cellStyle name="常规 2 5 4 5 2 2 4" xfId="36104"/>
    <cellStyle name="常规 2 5 4 5 2 2 4 2" xfId="36105"/>
    <cellStyle name="常规 2 5 4 5 2 2 4 3" xfId="36106"/>
    <cellStyle name="常规 2 5 4 5 2 2 4 4" xfId="36107"/>
    <cellStyle name="常规 2 5 4 5 2 2 5" xfId="36108"/>
    <cellStyle name="常规 2 5 4 5 2 2 6" xfId="36109"/>
    <cellStyle name="常规 2 5 4 5 2 2 7" xfId="36110"/>
    <cellStyle name="常规 2 5 4 5 2 3" xfId="36111"/>
    <cellStyle name="常规 2 5 4 5 2 3 2" xfId="36112"/>
    <cellStyle name="常规 2 5 4 5 2 3 2 2" xfId="36113"/>
    <cellStyle name="常规 2 5 4 5 2 3 2 3" xfId="36114"/>
    <cellStyle name="常规 2 5 4 5 2 3 2 4" xfId="36115"/>
    <cellStyle name="常规 2 5 4 5 2 3 3" xfId="36116"/>
    <cellStyle name="常规 2 5 4 5 2 3 4" xfId="36117"/>
    <cellStyle name="常规 2 5 4 5 2 3 5" xfId="36118"/>
    <cellStyle name="常规 2 5 4 5 2 4" xfId="36119"/>
    <cellStyle name="常规 2 5 4 5 2 4 2" xfId="36120"/>
    <cellStyle name="常规 2 5 4 5 2 4 2 2" xfId="36121"/>
    <cellStyle name="常规 2 5 4 5 2 4 2 3" xfId="36122"/>
    <cellStyle name="常规 2 5 4 5 2 4 2 4" xfId="36123"/>
    <cellStyle name="常规 2 5 4 5 2 4 3" xfId="36124"/>
    <cellStyle name="常规 2 5 4 5 2 4 4" xfId="36125"/>
    <cellStyle name="常规 2 5 4 5 2 4 5" xfId="36126"/>
    <cellStyle name="常规 2 5 4 5 2 5" xfId="36127"/>
    <cellStyle name="常规 2 5 4 5 2 5 2" xfId="36128"/>
    <cellStyle name="常规 2 5 4 5 2 5 3" xfId="36129"/>
    <cellStyle name="常规 2 5 4 5 2 5 4" xfId="36130"/>
    <cellStyle name="常规 2 5 4 5 2 6" xfId="36131"/>
    <cellStyle name="常规 2 5 4 5 2 7" xfId="36132"/>
    <cellStyle name="常规 2 5 4 5 2 8" xfId="36133"/>
    <cellStyle name="常规 2 5 4 5 3" xfId="36134"/>
    <cellStyle name="常规 2 5 4 5 3 2" xfId="36135"/>
    <cellStyle name="常规 2 5 4 5 3 2 2" xfId="36136"/>
    <cellStyle name="常规 2 5 4 5 3 2 3" xfId="36137"/>
    <cellStyle name="常规 2 5 4 5 3 2 4" xfId="36138"/>
    <cellStyle name="常规 2 5 4 5 3 3" xfId="36139"/>
    <cellStyle name="常规 2 5 4 5 3 4" xfId="36140"/>
    <cellStyle name="常规 2 5 4 5 3 5" xfId="36141"/>
    <cellStyle name="常规 2 5 4 5 4" xfId="36142"/>
    <cellStyle name="常规 2 5 4 5 4 2" xfId="36143"/>
    <cellStyle name="常规 2 5 4 5 4 2 2" xfId="36144"/>
    <cellStyle name="常规 2 5 4 5 4 2 3" xfId="36145"/>
    <cellStyle name="常规 2 5 4 5 4 2 4" xfId="36146"/>
    <cellStyle name="常规 2 5 4 5 4 3" xfId="36147"/>
    <cellStyle name="常规 2 5 4 5 4 4" xfId="36148"/>
    <cellStyle name="常规 2 5 4 5 4 5" xfId="36149"/>
    <cellStyle name="常规 2 5 4 5 5" xfId="36150"/>
    <cellStyle name="常规 2 5 4 5 5 2" xfId="36151"/>
    <cellStyle name="常规 2 5 4 5 5 3" xfId="36152"/>
    <cellStyle name="常规 2 5 4 5 5 4" xfId="36153"/>
    <cellStyle name="常规 2 5 4 5 6" xfId="36154"/>
    <cellStyle name="常规 2 5 4 5 7" xfId="36155"/>
    <cellStyle name="常规 2 5 4 5 8" xfId="36156"/>
    <cellStyle name="常规 2 5 4 5 9" xfId="36157"/>
    <cellStyle name="常规 2 5 4 5 9 2" xfId="36158"/>
    <cellStyle name="常规 2 5 4 6" xfId="36159"/>
    <cellStyle name="常规 2 5 4 6 2" xfId="36160"/>
    <cellStyle name="常规 2 5 4 6 2 2" xfId="36161"/>
    <cellStyle name="常规 2 5 4 6 2 2 2" xfId="36162"/>
    <cellStyle name="常规 2 5 4 6 2 2 2 2" xfId="36163"/>
    <cellStyle name="常规 2 5 4 6 2 2 2 2 2" xfId="36164"/>
    <cellStyle name="常规 2 5 4 6 2 2 2 2 3" xfId="36165"/>
    <cellStyle name="常规 2 5 4 6 2 2 2 2 4" xfId="36166"/>
    <cellStyle name="常规 2 5 4 6 2 2 2 3" xfId="36167"/>
    <cellStyle name="常规 2 5 4 6 2 2 2 4" xfId="36168"/>
    <cellStyle name="常规 2 5 4 6 2 2 2 5" xfId="36169"/>
    <cellStyle name="常规 2 5 4 6 2 2 3" xfId="36170"/>
    <cellStyle name="常规 2 5 4 6 2 2 3 2" xfId="36171"/>
    <cellStyle name="常规 2 5 4 6 2 2 3 2 2" xfId="36172"/>
    <cellStyle name="常规 2 5 4 6 2 2 3 2 3" xfId="36173"/>
    <cellStyle name="常规 2 5 4 6 2 2 3 2 4" xfId="36174"/>
    <cellStyle name="常规 2 5 4 6 2 2 3 3" xfId="36175"/>
    <cellStyle name="常规 2 5 4 6 2 2 3 4" xfId="36176"/>
    <cellStyle name="常规 2 5 4 6 2 2 3 5" xfId="36177"/>
    <cellStyle name="常规 2 5 4 6 2 2 4" xfId="36178"/>
    <cellStyle name="常规 2 5 4 6 2 2 4 2" xfId="36179"/>
    <cellStyle name="常规 2 5 4 6 2 2 4 3" xfId="36180"/>
    <cellStyle name="常规 2 5 4 6 2 2 4 4" xfId="36181"/>
    <cellStyle name="常规 2 5 4 6 2 2 5" xfId="36182"/>
    <cellStyle name="常规 2 5 4 6 2 2 6" xfId="36183"/>
    <cellStyle name="常规 2 5 4 6 2 2 7" xfId="36184"/>
    <cellStyle name="常规 2 5 4 6 2 3" xfId="36185"/>
    <cellStyle name="常规 2 5 4 6 2 3 2" xfId="36186"/>
    <cellStyle name="常规 2 5 4 6 2 3 2 2" xfId="36187"/>
    <cellStyle name="常规 2 5 4 6 2 3 2 3" xfId="36188"/>
    <cellStyle name="常规 2 5 4 6 2 3 2 4" xfId="36189"/>
    <cellStyle name="常规 2 5 4 6 2 3 3" xfId="36190"/>
    <cellStyle name="常规 2 5 4 6 2 3 4" xfId="36191"/>
    <cellStyle name="常规 2 5 4 6 2 3 5" xfId="36192"/>
    <cellStyle name="常规 2 5 4 6 2 4" xfId="36193"/>
    <cellStyle name="常规 2 5 4 6 2 4 2" xfId="36194"/>
    <cellStyle name="常规 2 5 4 6 2 4 2 2" xfId="36195"/>
    <cellStyle name="常规 2 5 4 6 2 4 2 3" xfId="36196"/>
    <cellStyle name="常规 2 5 4 6 2 4 2 4" xfId="36197"/>
    <cellStyle name="常规 2 5 4 6 2 4 3" xfId="36198"/>
    <cellStyle name="常规 2 5 4 6 2 4 4" xfId="36199"/>
    <cellStyle name="常规 2 5 4 6 2 4 5" xfId="36200"/>
    <cellStyle name="常规 2 5 4 6 2 5" xfId="36201"/>
    <cellStyle name="常规 2 5 4 6 2 5 2" xfId="36202"/>
    <cellStyle name="常规 2 5 4 6 2 5 3" xfId="36203"/>
    <cellStyle name="常规 2 5 4 6 2 5 4" xfId="36204"/>
    <cellStyle name="常规 2 5 4 6 2 6" xfId="36205"/>
    <cellStyle name="常规 2 5 4 6 2 7" xfId="36206"/>
    <cellStyle name="常规 2 5 4 6 2 8" xfId="36207"/>
    <cellStyle name="常规 2 5 4 6 3" xfId="36208"/>
    <cellStyle name="常规 2 5 4 6 3 2" xfId="36209"/>
    <cellStyle name="常规 2 5 4 6 3 2 2" xfId="36210"/>
    <cellStyle name="常规 2 5 4 6 3 2 3" xfId="36211"/>
    <cellStyle name="常规 2 5 4 6 3 2 4" xfId="36212"/>
    <cellStyle name="常规 2 5 4 6 3 3" xfId="36213"/>
    <cellStyle name="常规 2 5 4 6 3 4" xfId="36214"/>
    <cellStyle name="常规 2 5 4 6 3 5" xfId="36215"/>
    <cellStyle name="常规 2 5 4 6 4" xfId="36216"/>
    <cellStyle name="常规 2 5 4 6 4 2" xfId="36217"/>
    <cellStyle name="常规 2 5 4 6 4 2 2" xfId="36218"/>
    <cellStyle name="常规 2 5 4 6 4 2 3" xfId="36219"/>
    <cellStyle name="常规 2 5 4 6 4 2 4" xfId="36220"/>
    <cellStyle name="常规 2 5 4 6 4 3" xfId="36221"/>
    <cellStyle name="常规 2 5 4 6 4 4" xfId="36222"/>
    <cellStyle name="常规 2 5 4 6 4 5" xfId="36223"/>
    <cellStyle name="常规 2 5 4 6 5" xfId="36224"/>
    <cellStyle name="常规 2 5 4 6 5 2" xfId="36225"/>
    <cellStyle name="常规 2 5 4 6 5 3" xfId="36226"/>
    <cellStyle name="常规 2 5 4 6 5 4" xfId="36227"/>
    <cellStyle name="常规 2 5 4 6 6" xfId="36228"/>
    <cellStyle name="常规 2 5 4 6 7" xfId="36229"/>
    <cellStyle name="常规 2 5 4 6 8" xfId="36230"/>
    <cellStyle name="常规 2 5 4 6 9" xfId="36231"/>
    <cellStyle name="常规 2 5 4 6 9 2" xfId="36232"/>
    <cellStyle name="常规 2 5 4 7" xfId="36233"/>
    <cellStyle name="常规 2 5 4 7 2" xfId="36234"/>
    <cellStyle name="常规 2 5 4 7 2 2" xfId="36235"/>
    <cellStyle name="常规 2 5 4 7 2 2 2" xfId="36236"/>
    <cellStyle name="常规 2 5 4 7 2 2 2 2" xfId="36237"/>
    <cellStyle name="常规 2 5 4 7 2 2 2 2 2" xfId="36238"/>
    <cellStyle name="常规 2 5 4 7 2 2 2 2 3" xfId="36239"/>
    <cellStyle name="常规 2 5 4 7 2 2 2 2 4" xfId="36240"/>
    <cellStyle name="常规 2 5 4 7 2 2 2 3" xfId="36241"/>
    <cellStyle name="常规 2 5 4 7 2 2 2 4" xfId="36242"/>
    <cellStyle name="常规 2 5 4 7 2 2 2 5" xfId="36243"/>
    <cellStyle name="常规 2 5 4 7 2 2 3" xfId="36244"/>
    <cellStyle name="常规 2 5 4 7 2 2 3 2" xfId="36245"/>
    <cellStyle name="常规 2 5 4 7 2 2 3 2 2" xfId="36246"/>
    <cellStyle name="常规 2 5 4 7 2 2 3 2 3" xfId="36247"/>
    <cellStyle name="常规 2 5 4 7 2 2 3 2 4" xfId="36248"/>
    <cellStyle name="常规 2 5 4 7 2 2 3 3" xfId="36249"/>
    <cellStyle name="常规 2 5 4 7 2 2 3 4" xfId="36250"/>
    <cellStyle name="常规 2 5 4 7 2 2 3 5" xfId="36251"/>
    <cellStyle name="常规 2 5 4 7 2 2 4" xfId="36252"/>
    <cellStyle name="常规 2 5 4 7 2 2 4 2" xfId="36253"/>
    <cellStyle name="常规 2 5 4 7 2 2 4 3" xfId="36254"/>
    <cellStyle name="常规 2 5 4 7 2 2 4 4" xfId="36255"/>
    <cellStyle name="常规 2 5 4 7 2 2 5" xfId="36256"/>
    <cellStyle name="常规 2 5 4 7 2 2 6" xfId="36257"/>
    <cellStyle name="常规 2 5 4 7 2 2 7" xfId="36258"/>
    <cellStyle name="常规 2 5 4 7 2 3" xfId="36259"/>
    <cellStyle name="常规 2 5 4 7 2 3 2" xfId="36260"/>
    <cellStyle name="常规 2 5 4 7 2 3 2 2" xfId="36261"/>
    <cellStyle name="常规 2 5 4 7 2 3 2 3" xfId="36262"/>
    <cellStyle name="常规 2 5 4 7 2 3 2 4" xfId="36263"/>
    <cellStyle name="常规 2 5 4 7 2 3 3" xfId="36264"/>
    <cellStyle name="常规 2 5 4 7 2 3 4" xfId="36265"/>
    <cellStyle name="常规 2 5 4 7 2 3 5" xfId="36266"/>
    <cellStyle name="常规 2 5 4 7 2 4" xfId="36267"/>
    <cellStyle name="常规 2 5 4 7 2 4 2" xfId="36268"/>
    <cellStyle name="常规 2 5 4 7 2 4 2 2" xfId="36269"/>
    <cellStyle name="常规 2 5 4 7 2 4 2 3" xfId="36270"/>
    <cellStyle name="常规 2 5 4 7 2 4 2 4" xfId="36271"/>
    <cellStyle name="常规 2 5 4 7 2 4 3" xfId="36272"/>
    <cellStyle name="常规 2 5 4 7 2 4 4" xfId="36273"/>
    <cellStyle name="常规 2 5 4 7 2 4 5" xfId="36274"/>
    <cellStyle name="常规 2 5 4 7 2 5" xfId="36275"/>
    <cellStyle name="常规 2 5 4 7 2 5 2" xfId="36276"/>
    <cellStyle name="常规 2 5 4 7 2 5 3" xfId="36277"/>
    <cellStyle name="常规 2 5 4 7 2 5 4" xfId="36278"/>
    <cellStyle name="常规 2 5 4 7 2 6" xfId="36279"/>
    <cellStyle name="常规 2 5 4 7 2 7" xfId="36280"/>
    <cellStyle name="常规 2 5 4 7 2 8" xfId="36281"/>
    <cellStyle name="常规 2 5 4 7 2 9" xfId="36282"/>
    <cellStyle name="常规 2 5 4 7 3" xfId="36283"/>
    <cellStyle name="常规 2 5 4 7 3 2" xfId="36284"/>
    <cellStyle name="常规 2 5 4 7 3 2 2" xfId="36285"/>
    <cellStyle name="常规 2 5 4 7 3 2 3" xfId="36286"/>
    <cellStyle name="常规 2 5 4 7 3 2 4" xfId="36287"/>
    <cellStyle name="常规 2 5 4 7 3 3" xfId="36288"/>
    <cellStyle name="常规 2 5 4 7 3 4" xfId="36289"/>
    <cellStyle name="常规 2 5 4 7 3 5" xfId="36290"/>
    <cellStyle name="常规 2 5 4 7 4" xfId="36291"/>
    <cellStyle name="常规 2 5 4 7 4 2" xfId="36292"/>
    <cellStyle name="常规 2 5 4 7 4 2 2" xfId="36293"/>
    <cellStyle name="常规 2 5 4 7 4 2 3" xfId="36294"/>
    <cellStyle name="常规 2 5 4 7 4 2 4" xfId="36295"/>
    <cellStyle name="常规 2 5 4 7 4 3" xfId="36296"/>
    <cellStyle name="常规 2 5 4 7 4 4" xfId="36297"/>
    <cellStyle name="常规 2 5 4 7 4 5" xfId="36298"/>
    <cellStyle name="常规 2 5 4 7 5" xfId="36299"/>
    <cellStyle name="常规 2 5 4 7 5 2" xfId="36300"/>
    <cellStyle name="常规 2 5 4 7 5 3" xfId="36301"/>
    <cellStyle name="常规 2 5 4 7 5 4" xfId="36302"/>
    <cellStyle name="常规 2 5 4 7 6" xfId="36303"/>
    <cellStyle name="常规 2 5 4 7 7" xfId="36304"/>
    <cellStyle name="常规 2 5 4 7 8" xfId="36305"/>
    <cellStyle name="常规 2 5 4 7 9" xfId="36306"/>
    <cellStyle name="常规 2 5 4 8" xfId="36307"/>
    <cellStyle name="常规 2 5 4 8 2" xfId="36308"/>
    <cellStyle name="常规 2 5 4 8 2 2" xfId="36309"/>
    <cellStyle name="常规 2 5 4 8 2 2 2" xfId="36310"/>
    <cellStyle name="常规 2 5 4 8 2 2 2 2" xfId="36311"/>
    <cellStyle name="常规 2 5 4 8 2 2 2 2 2" xfId="36312"/>
    <cellStyle name="常规 2 5 4 8 2 2 2 2 3" xfId="36313"/>
    <cellStyle name="常规 2 5 4 8 2 2 2 2 4" xfId="36314"/>
    <cellStyle name="常规 2 5 4 8 2 2 2 3" xfId="36315"/>
    <cellStyle name="常规 2 5 4 8 2 2 2 4" xfId="36316"/>
    <cellStyle name="常规 2 5 4 8 2 2 2 5" xfId="36317"/>
    <cellStyle name="常规 2 5 4 8 2 2 3" xfId="36318"/>
    <cellStyle name="常规 2 5 4 8 2 2 3 2" xfId="36319"/>
    <cellStyle name="常规 2 5 4 8 2 2 3 2 2" xfId="36320"/>
    <cellStyle name="常规 2 5 4 8 2 2 3 2 3" xfId="36321"/>
    <cellStyle name="常规 2 5 4 8 2 2 3 2 4" xfId="36322"/>
    <cellStyle name="常规 2 5 4 8 2 2 3 3" xfId="36323"/>
    <cellStyle name="常规 2 5 4 8 2 2 3 4" xfId="36324"/>
    <cellStyle name="常规 2 5 4 8 2 2 3 5" xfId="36325"/>
    <cellStyle name="常规 2 5 4 8 2 2 4" xfId="36326"/>
    <cellStyle name="常规 2 5 4 8 2 2 4 2" xfId="36327"/>
    <cellStyle name="常规 2 5 4 8 2 2 4 3" xfId="36328"/>
    <cellStyle name="常规 2 5 4 8 2 2 4 4" xfId="36329"/>
    <cellStyle name="常规 2 5 4 8 2 2 5" xfId="36330"/>
    <cellStyle name="常规 2 5 4 8 2 2 6" xfId="36331"/>
    <cellStyle name="常规 2 5 4 8 2 2 7" xfId="36332"/>
    <cellStyle name="常规 2 5 4 8 2 3" xfId="36333"/>
    <cellStyle name="常规 2 5 4 8 2 3 2" xfId="36334"/>
    <cellStyle name="常规 2 5 4 8 2 3 2 2" xfId="36335"/>
    <cellStyle name="常规 2 5 4 8 2 3 2 3" xfId="36336"/>
    <cellStyle name="常规 2 5 4 8 2 3 2 4" xfId="36337"/>
    <cellStyle name="常规 2 5 4 8 2 3 3" xfId="36338"/>
    <cellStyle name="常规 2 5 4 8 2 3 4" xfId="36339"/>
    <cellStyle name="常规 2 5 4 8 2 3 5" xfId="36340"/>
    <cellStyle name="常规 2 5 4 8 2 4" xfId="36341"/>
    <cellStyle name="常规 2 5 4 8 2 4 2" xfId="36342"/>
    <cellStyle name="常规 2 5 4 8 2 4 2 2" xfId="36343"/>
    <cellStyle name="常规 2 5 4 8 2 4 2 3" xfId="36344"/>
    <cellStyle name="常规 2 5 4 8 2 4 2 4" xfId="36345"/>
    <cellStyle name="常规 2 5 4 8 2 4 3" xfId="36346"/>
    <cellStyle name="常规 2 5 4 8 2 4 4" xfId="36347"/>
    <cellStyle name="常规 2 5 4 8 2 4 5" xfId="36348"/>
    <cellStyle name="常规 2 5 4 8 2 5" xfId="36349"/>
    <cellStyle name="常规 2 5 4 8 2 5 2" xfId="36350"/>
    <cellStyle name="常规 2 5 4 8 2 5 3" xfId="36351"/>
    <cellStyle name="常规 2 5 4 8 2 5 4" xfId="36352"/>
    <cellStyle name="常规 2 5 4 8 2 6" xfId="36353"/>
    <cellStyle name="常规 2 5 4 8 2 7" xfId="36354"/>
    <cellStyle name="常规 2 5 4 8 2 8" xfId="36355"/>
    <cellStyle name="常规 2 5 4 8 2 9" xfId="36356"/>
    <cellStyle name="常规 2 5 4 8 3" xfId="36357"/>
    <cellStyle name="常规 2 5 4 8 3 2" xfId="36358"/>
    <cellStyle name="常规 2 5 4 8 3 2 2" xfId="36359"/>
    <cellStyle name="常规 2 5 4 8 3 2 3" xfId="36360"/>
    <cellStyle name="常规 2 5 4 8 3 2 4" xfId="36361"/>
    <cellStyle name="常规 2 5 4 8 3 3" xfId="36362"/>
    <cellStyle name="常规 2 5 4 8 3 4" xfId="36363"/>
    <cellStyle name="常规 2 5 4 8 3 5" xfId="36364"/>
    <cellStyle name="常规 2 5 4 8 4" xfId="36365"/>
    <cellStyle name="常规 2 5 4 8 4 2" xfId="36366"/>
    <cellStyle name="常规 2 5 4 8 4 2 2" xfId="36367"/>
    <cellStyle name="常规 2 5 4 8 4 2 3" xfId="36368"/>
    <cellStyle name="常规 2 5 4 8 4 2 4" xfId="36369"/>
    <cellStyle name="常规 2 5 4 8 4 3" xfId="36370"/>
    <cellStyle name="常规 2 5 4 8 4 4" xfId="36371"/>
    <cellStyle name="常规 2 5 4 8 4 5" xfId="36372"/>
    <cellStyle name="常规 2 5 4 8 5" xfId="36373"/>
    <cellStyle name="常规 2 5 4 8 5 2" xfId="36374"/>
    <cellStyle name="常规 2 5 4 8 5 3" xfId="36375"/>
    <cellStyle name="常规 2 5 4 8 5 4" xfId="36376"/>
    <cellStyle name="常规 2 5 4 8 6" xfId="36377"/>
    <cellStyle name="常规 2 5 4 8 7" xfId="36378"/>
    <cellStyle name="常规 2 5 4 8 8" xfId="36379"/>
    <cellStyle name="常规 2 5 4 8 9" xfId="36380"/>
    <cellStyle name="常规 2 5 4 9" xfId="36381"/>
    <cellStyle name="常规 2 5 4 9 2" xfId="36382"/>
    <cellStyle name="常规 2 5 4 9 2 2" xfId="36383"/>
    <cellStyle name="常规 2 5 4 9 2 2 2" xfId="36384"/>
    <cellStyle name="常规 2 5 4 9 2 2 2 2" xfId="36385"/>
    <cellStyle name="常规 2 5 4 9 2 2 2 2 2" xfId="36386"/>
    <cellStyle name="常规 2 5 4 9 2 2 2 2 3" xfId="36387"/>
    <cellStyle name="常规 2 5 4 9 2 2 2 2 4" xfId="36388"/>
    <cellStyle name="常规 2 5 4 9 2 2 2 3" xfId="36389"/>
    <cellStyle name="常规 2 5 4 9 2 2 2 4" xfId="36390"/>
    <cellStyle name="常规 2 5 4 9 2 2 2 5" xfId="36391"/>
    <cellStyle name="常规 2 5 4 9 2 2 3" xfId="36392"/>
    <cellStyle name="常规 2 5 4 9 2 2 3 2" xfId="36393"/>
    <cellStyle name="常规 2 5 4 9 2 2 3 2 2" xfId="36394"/>
    <cellStyle name="常规 2 5 4 9 2 2 3 2 3" xfId="36395"/>
    <cellStyle name="常规 2 5 4 9 2 2 3 2 4" xfId="36396"/>
    <cellStyle name="常规 2 5 4 9 2 2 3 3" xfId="36397"/>
    <cellStyle name="常规 2 5 4 9 2 2 3 4" xfId="36398"/>
    <cellStyle name="常规 2 5 4 9 2 2 3 5" xfId="36399"/>
    <cellStyle name="常规 2 5 4 9 2 2 4" xfId="36400"/>
    <cellStyle name="常规 2 5 4 9 2 2 4 2" xfId="36401"/>
    <cellStyle name="常规 2 5 4 9 2 2 4 3" xfId="36402"/>
    <cellStyle name="常规 2 5 4 9 2 2 4 4" xfId="36403"/>
    <cellStyle name="常规 2 5 4 9 2 2 5" xfId="36404"/>
    <cellStyle name="常规 2 5 4 9 2 2 6" xfId="36405"/>
    <cellStyle name="常规 2 5 4 9 2 2 7" xfId="36406"/>
    <cellStyle name="常规 2 5 4 9 2 3" xfId="36407"/>
    <cellStyle name="常规 2 5 4 9 2 3 2" xfId="36408"/>
    <cellStyle name="常规 2 5 4 9 2 3 2 2" xfId="36409"/>
    <cellStyle name="常规 2 5 4 9 2 3 2 3" xfId="36410"/>
    <cellStyle name="常规 2 5 4 9 2 3 2 4" xfId="36411"/>
    <cellStyle name="常规 2 5 4 9 2 3 3" xfId="36412"/>
    <cellStyle name="常规 2 5 4 9 2 3 4" xfId="36413"/>
    <cellStyle name="常规 2 5 4 9 2 3 5" xfId="36414"/>
    <cellStyle name="常规 2 5 4 9 2 4" xfId="36415"/>
    <cellStyle name="常规 2 5 4 9 2 4 2" xfId="36416"/>
    <cellStyle name="常规 2 5 4 9 2 4 2 2" xfId="36417"/>
    <cellStyle name="常规 2 5 4 9 2 4 2 3" xfId="36418"/>
    <cellStyle name="常规 2 5 4 9 2 4 2 4" xfId="36419"/>
    <cellStyle name="常规 2 5 4 9 2 4 3" xfId="36420"/>
    <cellStyle name="常规 2 5 4 9 2 4 4" xfId="36421"/>
    <cellStyle name="常规 2 5 4 9 2 4 5" xfId="36422"/>
    <cellStyle name="常规 2 5 4 9 2 5" xfId="36423"/>
    <cellStyle name="常规 2 5 4 9 2 5 2" xfId="36424"/>
    <cellStyle name="常规 2 5 4 9 2 5 3" xfId="36425"/>
    <cellStyle name="常规 2 5 4 9 2 5 4" xfId="36426"/>
    <cellStyle name="常规 2 5 4 9 2 6" xfId="36427"/>
    <cellStyle name="常规 2 5 4 9 2 7" xfId="36428"/>
    <cellStyle name="常规 2 5 4 9 2 8" xfId="36429"/>
    <cellStyle name="常规 2 5 4 9 3" xfId="36430"/>
    <cellStyle name="常规 2 5 4 9 3 2" xfId="36431"/>
    <cellStyle name="常规 2 5 4 9 3 2 2" xfId="36432"/>
    <cellStyle name="常规 2 5 4 9 3 2 3" xfId="36433"/>
    <cellStyle name="常规 2 5 4 9 3 2 4" xfId="36434"/>
    <cellStyle name="常规 2 5 4 9 3 3" xfId="36435"/>
    <cellStyle name="常规 2 5 4 9 3 4" xfId="36436"/>
    <cellStyle name="常规 2 5 4 9 3 5" xfId="36437"/>
    <cellStyle name="常规 2 5 4 9 4" xfId="36438"/>
    <cellStyle name="常规 2 5 4 9 4 2" xfId="36439"/>
    <cellStyle name="常规 2 5 4 9 4 2 2" xfId="36440"/>
    <cellStyle name="常规 2 5 4 9 4 2 3" xfId="36441"/>
    <cellStyle name="常规 2 5 4 9 4 2 4" xfId="36442"/>
    <cellStyle name="常规 2 5 4 9 4 3" xfId="36443"/>
    <cellStyle name="常规 2 5 4 9 4 4" xfId="36444"/>
    <cellStyle name="常规 2 5 4 9 4 5" xfId="36445"/>
    <cellStyle name="常规 2 5 4 9 5" xfId="36446"/>
    <cellStyle name="常规 2 5 4 9 5 2" xfId="36447"/>
    <cellStyle name="常规 2 5 4 9 5 3" xfId="36448"/>
    <cellStyle name="常规 2 5 4 9 5 4" xfId="36449"/>
    <cellStyle name="常规 2 5 4 9 6" xfId="36450"/>
    <cellStyle name="常规 2 5 4 9 7" xfId="36451"/>
    <cellStyle name="常规 2 5 4 9 8" xfId="36452"/>
    <cellStyle name="常规 2 5 5" xfId="36453"/>
    <cellStyle name="常规 2 5 5 10" xfId="36454"/>
    <cellStyle name="常规 2 5 5 2" xfId="36455"/>
    <cellStyle name="常规 2 5 5 2 10" xfId="36456"/>
    <cellStyle name="常规 2 5 5 2 2" xfId="36457"/>
    <cellStyle name="常规 2 5 5 2 2 2" xfId="36458"/>
    <cellStyle name="常规 2 5 5 2 2 2 2" xfId="36459"/>
    <cellStyle name="常规 2 5 5 2 2 2 2 2" xfId="36460"/>
    <cellStyle name="常规 2 5 5 2 2 2 2 3" xfId="36461"/>
    <cellStyle name="常规 2 5 5 2 2 2 2 4" xfId="36462"/>
    <cellStyle name="常规 2 5 5 2 2 2 3" xfId="36463"/>
    <cellStyle name="常规 2 5 5 2 2 2 4" xfId="36464"/>
    <cellStyle name="常规 2 5 5 2 2 2 5" xfId="36465"/>
    <cellStyle name="常规 2 5 5 2 2 2 6" xfId="36466"/>
    <cellStyle name="常规 2 5 5 2 2 3" xfId="36467"/>
    <cellStyle name="常规 2 5 5 2 2 3 2" xfId="36468"/>
    <cellStyle name="常规 2 5 5 2 2 3 2 2" xfId="36469"/>
    <cellStyle name="常规 2 5 5 2 2 3 2 3" xfId="36470"/>
    <cellStyle name="常规 2 5 5 2 2 3 2 4" xfId="36471"/>
    <cellStyle name="常规 2 5 5 2 2 3 3" xfId="36472"/>
    <cellStyle name="常规 2 5 5 2 2 3 4" xfId="36473"/>
    <cellStyle name="常规 2 5 5 2 2 3 5" xfId="36474"/>
    <cellStyle name="常规 2 5 5 2 2 4" xfId="36475"/>
    <cellStyle name="常规 2 5 5 2 2 4 2" xfId="36476"/>
    <cellStyle name="常规 2 5 5 2 2 4 3" xfId="36477"/>
    <cellStyle name="常规 2 5 5 2 2 4 4" xfId="36478"/>
    <cellStyle name="常规 2 5 5 2 2 5" xfId="36479"/>
    <cellStyle name="常规 2 5 5 2 2 6" xfId="36480"/>
    <cellStyle name="常规 2 5 5 2 2 7" xfId="36481"/>
    <cellStyle name="常规 2 5 5 2 2 8" xfId="36482"/>
    <cellStyle name="常规 2 5 5 2 2 8 2" xfId="36483"/>
    <cellStyle name="常规 2 5 5 2 2 9" xfId="36484"/>
    <cellStyle name="常规 2 5 5 2 3" xfId="36485"/>
    <cellStyle name="常规 2 5 5 2 3 2" xfId="36486"/>
    <cellStyle name="常规 2 5 5 2 3 2 2" xfId="36487"/>
    <cellStyle name="常规 2 5 5 2 3 2 3" xfId="36488"/>
    <cellStyle name="常规 2 5 5 2 3 2 4" xfId="36489"/>
    <cellStyle name="常规 2 5 5 2 3 2 5" xfId="36490"/>
    <cellStyle name="常规 2 5 5 2 3 3" xfId="36491"/>
    <cellStyle name="常规 2 5 5 2 3 4" xfId="36492"/>
    <cellStyle name="常规 2 5 5 2 3 5" xfId="36493"/>
    <cellStyle name="常规 2 5 5 2 3 6" xfId="36494"/>
    <cellStyle name="常规 2 5 5 2 4" xfId="36495"/>
    <cellStyle name="常规 2 5 5 2 4 2" xfId="36496"/>
    <cellStyle name="常规 2 5 5 2 4 2 2" xfId="36497"/>
    <cellStyle name="常规 2 5 5 2 4 2 3" xfId="36498"/>
    <cellStyle name="常规 2 5 5 2 4 2 4" xfId="36499"/>
    <cellStyle name="常规 2 5 5 2 4 2 5" xfId="36500"/>
    <cellStyle name="常规 2 5 5 2 4 3" xfId="36501"/>
    <cellStyle name="常规 2 5 5 2 4 4" xfId="36502"/>
    <cellStyle name="常规 2 5 5 2 4 5" xfId="36503"/>
    <cellStyle name="常规 2 5 5 2 4 6" xfId="36504"/>
    <cellStyle name="常规 2 5 5 2 5" xfId="36505"/>
    <cellStyle name="常规 2 5 5 2 5 2" xfId="36506"/>
    <cellStyle name="常规 2 5 5 2 5 3" xfId="36507"/>
    <cellStyle name="常规 2 5 5 2 5 4" xfId="36508"/>
    <cellStyle name="常规 2 5 5 2 5 5" xfId="36509"/>
    <cellStyle name="常规 2 5 5 2 6" xfId="36510"/>
    <cellStyle name="常规 2 5 5 2 7" xfId="36511"/>
    <cellStyle name="常规 2 5 5 2 8" xfId="36512"/>
    <cellStyle name="常规 2 5 5 2 9" xfId="36513"/>
    <cellStyle name="常规 2 5 5 2 9 2" xfId="36514"/>
    <cellStyle name="常规 2 5 5 3" xfId="36515"/>
    <cellStyle name="常规 2 5 5 3 2" xfId="36516"/>
    <cellStyle name="常规 2 5 5 3 2 2" xfId="36517"/>
    <cellStyle name="常规 2 5 5 3 2 3" xfId="36518"/>
    <cellStyle name="常规 2 5 5 3 2 4" xfId="36519"/>
    <cellStyle name="常规 2 5 5 3 3" xfId="36520"/>
    <cellStyle name="常规 2 5 5 3 4" xfId="36521"/>
    <cellStyle name="常规 2 5 5 3 5" xfId="36522"/>
    <cellStyle name="常规 2 5 5 3 6" xfId="36523"/>
    <cellStyle name="常规 2 5 5 3 6 2" xfId="36524"/>
    <cellStyle name="常规 2 5 5 4" xfId="36525"/>
    <cellStyle name="常规 2 5 5 4 2" xfId="36526"/>
    <cellStyle name="常规 2 5 5 4 2 2" xfId="36527"/>
    <cellStyle name="常规 2 5 5 4 2 3" xfId="36528"/>
    <cellStyle name="常规 2 5 5 4 2 4" xfId="36529"/>
    <cellStyle name="常规 2 5 5 4 2 5" xfId="36530"/>
    <cellStyle name="常规 2 5 5 4 3" xfId="36531"/>
    <cellStyle name="常规 2 5 5 4 4" xfId="36532"/>
    <cellStyle name="常规 2 5 5 4 5" xfId="36533"/>
    <cellStyle name="常规 2 5 5 4 6" xfId="36534"/>
    <cellStyle name="常规 2 5 5 5" xfId="36535"/>
    <cellStyle name="常规 2 5 5 5 2" xfId="36536"/>
    <cellStyle name="常规 2 5 5 5 2 2" xfId="36537"/>
    <cellStyle name="常规 2 5 5 5 3" xfId="36538"/>
    <cellStyle name="常规 2 5 5 5 4" xfId="36539"/>
    <cellStyle name="常规 2 5 5 5 5" xfId="36540"/>
    <cellStyle name="常规 2 5 5 6" xfId="36541"/>
    <cellStyle name="常规 2 5 5 7" xfId="36542"/>
    <cellStyle name="常规 2 5 5 8" xfId="36543"/>
    <cellStyle name="常规 2 5 5 9" xfId="36544"/>
    <cellStyle name="常规 2 5 5 9 2" xfId="36545"/>
    <cellStyle name="常规 2 5 6" xfId="36546"/>
    <cellStyle name="常规 2 5 6 10" xfId="36547"/>
    <cellStyle name="常规 2 5 6 2" xfId="36548"/>
    <cellStyle name="常规 2 5 6 2 10" xfId="36549"/>
    <cellStyle name="常规 2 5 6 2 2" xfId="36550"/>
    <cellStyle name="常规 2 5 6 2 2 2" xfId="36551"/>
    <cellStyle name="常规 2 5 6 2 2 2 2" xfId="36552"/>
    <cellStyle name="常规 2 5 6 2 2 2 2 2" xfId="36553"/>
    <cellStyle name="常规 2 5 6 2 2 2 2 3" xfId="36554"/>
    <cellStyle name="常规 2 5 6 2 2 2 2 4" xfId="36555"/>
    <cellStyle name="常规 2 5 6 2 2 2 3" xfId="36556"/>
    <cellStyle name="常规 2 5 6 2 2 2 4" xfId="36557"/>
    <cellStyle name="常规 2 5 6 2 2 2 5" xfId="36558"/>
    <cellStyle name="常规 2 5 6 2 2 3" xfId="36559"/>
    <cellStyle name="常规 2 5 6 2 2 3 2" xfId="36560"/>
    <cellStyle name="常规 2 5 6 2 2 3 2 2" xfId="36561"/>
    <cellStyle name="常规 2 5 6 2 2 3 2 3" xfId="36562"/>
    <cellStyle name="常规 2 5 6 2 2 3 2 4" xfId="36563"/>
    <cellStyle name="常规 2 5 6 2 2 3 3" xfId="36564"/>
    <cellStyle name="常规 2 5 6 2 2 3 4" xfId="36565"/>
    <cellStyle name="常规 2 5 6 2 2 3 5" xfId="36566"/>
    <cellStyle name="常规 2 5 6 2 2 4" xfId="36567"/>
    <cellStyle name="常规 2 5 6 2 2 4 2" xfId="36568"/>
    <cellStyle name="常规 2 5 6 2 2 4 3" xfId="36569"/>
    <cellStyle name="常规 2 5 6 2 2 4 4" xfId="36570"/>
    <cellStyle name="常规 2 5 6 2 2 5" xfId="36571"/>
    <cellStyle name="常规 2 5 6 2 2 6" xfId="36572"/>
    <cellStyle name="常规 2 5 6 2 2 7" xfId="36573"/>
    <cellStyle name="常规 2 5 6 2 2 8" xfId="36574"/>
    <cellStyle name="常规 2 5 6 2 3" xfId="36575"/>
    <cellStyle name="常规 2 5 6 2 3 2" xfId="36576"/>
    <cellStyle name="常规 2 5 6 2 3 2 2" xfId="36577"/>
    <cellStyle name="常规 2 5 6 2 3 2 3" xfId="36578"/>
    <cellStyle name="常规 2 5 6 2 3 2 4" xfId="36579"/>
    <cellStyle name="常规 2 5 6 2 3 3" xfId="36580"/>
    <cellStyle name="常规 2 5 6 2 3 4" xfId="36581"/>
    <cellStyle name="常规 2 5 6 2 3 5" xfId="36582"/>
    <cellStyle name="常规 2 5 6 2 4" xfId="36583"/>
    <cellStyle name="常规 2 5 6 2 4 2" xfId="36584"/>
    <cellStyle name="常规 2 5 6 2 4 2 2" xfId="36585"/>
    <cellStyle name="常规 2 5 6 2 4 2 3" xfId="36586"/>
    <cellStyle name="常规 2 5 6 2 4 2 4" xfId="36587"/>
    <cellStyle name="常规 2 5 6 2 4 3" xfId="36588"/>
    <cellStyle name="常规 2 5 6 2 4 4" xfId="36589"/>
    <cellStyle name="常规 2 5 6 2 4 5" xfId="36590"/>
    <cellStyle name="常规 2 5 6 2 5" xfId="36591"/>
    <cellStyle name="常规 2 5 6 2 5 2" xfId="36592"/>
    <cellStyle name="常规 2 5 6 2 5 3" xfId="36593"/>
    <cellStyle name="常规 2 5 6 2 5 4" xfId="36594"/>
    <cellStyle name="常规 2 5 6 2 6" xfId="36595"/>
    <cellStyle name="常规 2 5 6 2 7" xfId="36596"/>
    <cellStyle name="常规 2 5 6 2 8" xfId="36597"/>
    <cellStyle name="常规 2 5 6 2 9" xfId="36598"/>
    <cellStyle name="常规 2 5 6 2 9 2" xfId="36599"/>
    <cellStyle name="常规 2 5 6 3" xfId="36600"/>
    <cellStyle name="常规 2 5 6 3 2" xfId="36601"/>
    <cellStyle name="常规 2 5 6 3 2 2" xfId="36602"/>
    <cellStyle name="常规 2 5 6 3 2 3" xfId="36603"/>
    <cellStyle name="常规 2 5 6 3 2 4" xfId="36604"/>
    <cellStyle name="常规 2 5 6 3 2 5" xfId="36605"/>
    <cellStyle name="常规 2 5 6 3 3" xfId="36606"/>
    <cellStyle name="常规 2 5 6 3 4" xfId="36607"/>
    <cellStyle name="常规 2 5 6 3 5" xfId="36608"/>
    <cellStyle name="常规 2 5 6 3 6" xfId="36609"/>
    <cellStyle name="常规 2 5 6 4" xfId="36610"/>
    <cellStyle name="常规 2 5 6 4 2" xfId="36611"/>
    <cellStyle name="常规 2 5 6 4 2 2" xfId="36612"/>
    <cellStyle name="常规 2 5 6 4 2 3" xfId="36613"/>
    <cellStyle name="常规 2 5 6 4 2 4" xfId="36614"/>
    <cellStyle name="常规 2 5 6 4 2 5" xfId="36615"/>
    <cellStyle name="常规 2 5 6 4 3" xfId="36616"/>
    <cellStyle name="常规 2 5 6 4 4" xfId="36617"/>
    <cellStyle name="常规 2 5 6 4 5" xfId="36618"/>
    <cellStyle name="常规 2 5 6 4 6" xfId="36619"/>
    <cellStyle name="常规 2 5 6 5" xfId="36620"/>
    <cellStyle name="常规 2 5 6 5 2" xfId="36621"/>
    <cellStyle name="常规 2 5 6 5 3" xfId="36622"/>
    <cellStyle name="常规 2 5 6 5 4" xfId="36623"/>
    <cellStyle name="常规 2 5 6 5 5" xfId="36624"/>
    <cellStyle name="常规 2 5 6 6" xfId="36625"/>
    <cellStyle name="常规 2 5 6 7" xfId="36626"/>
    <cellStyle name="常规 2 5 6 8" xfId="36627"/>
    <cellStyle name="常规 2 5 6 9" xfId="36628"/>
    <cellStyle name="常规 2 5 6 9 2" xfId="36629"/>
    <cellStyle name="常规 2 5 7" xfId="36630"/>
    <cellStyle name="常规 2 5 7 2" xfId="36631"/>
    <cellStyle name="常规 2 5 7 2 2" xfId="36632"/>
    <cellStyle name="常规 2 5 7 2 2 2" xfId="36633"/>
    <cellStyle name="常规 2 5 7 2 2 2 2" xfId="36634"/>
    <cellStyle name="常规 2 5 7 2 2 2 2 2" xfId="36635"/>
    <cellStyle name="常规 2 5 7 2 2 2 2 3" xfId="36636"/>
    <cellStyle name="常规 2 5 7 2 2 2 2 4" xfId="36637"/>
    <cellStyle name="常规 2 5 7 2 2 2 3" xfId="36638"/>
    <cellStyle name="常规 2 5 7 2 2 2 4" xfId="36639"/>
    <cellStyle name="常规 2 5 7 2 2 2 5" xfId="36640"/>
    <cellStyle name="常规 2 5 7 2 2 3" xfId="36641"/>
    <cellStyle name="常规 2 5 7 2 2 3 2" xfId="36642"/>
    <cellStyle name="常规 2 5 7 2 2 3 2 2" xfId="36643"/>
    <cellStyle name="常规 2 5 7 2 2 3 2 3" xfId="36644"/>
    <cellStyle name="常规 2 5 7 2 2 3 2 4" xfId="36645"/>
    <cellStyle name="常规 2 5 7 2 2 3 3" xfId="36646"/>
    <cellStyle name="常规 2 5 7 2 2 3 4" xfId="36647"/>
    <cellStyle name="常规 2 5 7 2 2 3 5" xfId="36648"/>
    <cellStyle name="常规 2 5 7 2 2 4" xfId="36649"/>
    <cellStyle name="常规 2 5 7 2 2 4 2" xfId="36650"/>
    <cellStyle name="常规 2 5 7 2 2 4 3" xfId="36651"/>
    <cellStyle name="常规 2 5 7 2 2 4 4" xfId="36652"/>
    <cellStyle name="常规 2 5 7 2 2 5" xfId="36653"/>
    <cellStyle name="常规 2 5 7 2 2 6" xfId="36654"/>
    <cellStyle name="常规 2 5 7 2 2 7" xfId="36655"/>
    <cellStyle name="常规 2 5 7 2 3" xfId="36656"/>
    <cellStyle name="常规 2 5 7 2 3 2" xfId="36657"/>
    <cellStyle name="常规 2 5 7 2 3 2 2" xfId="36658"/>
    <cellStyle name="常规 2 5 7 2 3 2 3" xfId="36659"/>
    <cellStyle name="常规 2 5 7 2 3 2 4" xfId="36660"/>
    <cellStyle name="常规 2 5 7 2 3 3" xfId="36661"/>
    <cellStyle name="常规 2 5 7 2 3 4" xfId="36662"/>
    <cellStyle name="常规 2 5 7 2 3 5" xfId="36663"/>
    <cellStyle name="常规 2 5 7 2 4" xfId="36664"/>
    <cellStyle name="常规 2 5 7 2 4 2" xfId="36665"/>
    <cellStyle name="常规 2 5 7 2 4 2 2" xfId="36666"/>
    <cellStyle name="常规 2 5 7 2 4 2 3" xfId="36667"/>
    <cellStyle name="常规 2 5 7 2 4 2 4" xfId="36668"/>
    <cellStyle name="常规 2 5 7 2 4 3" xfId="36669"/>
    <cellStyle name="常规 2 5 7 2 4 4" xfId="36670"/>
    <cellStyle name="常规 2 5 7 2 4 5" xfId="36671"/>
    <cellStyle name="常规 2 5 7 2 5" xfId="36672"/>
    <cellStyle name="常规 2 5 7 2 5 2" xfId="36673"/>
    <cellStyle name="常规 2 5 7 2 5 3" xfId="36674"/>
    <cellStyle name="常规 2 5 7 2 5 4" xfId="36675"/>
    <cellStyle name="常规 2 5 7 2 6" xfId="36676"/>
    <cellStyle name="常规 2 5 7 2 7" xfId="36677"/>
    <cellStyle name="常规 2 5 7 2 8" xfId="36678"/>
    <cellStyle name="常规 2 5 7 3" xfId="36679"/>
    <cellStyle name="常规 2 5 7 3 2" xfId="36680"/>
    <cellStyle name="常规 2 5 7 3 2 2" xfId="36681"/>
    <cellStyle name="常规 2 5 7 3 2 3" xfId="36682"/>
    <cellStyle name="常规 2 5 7 3 2 4" xfId="36683"/>
    <cellStyle name="常规 2 5 7 3 3" xfId="36684"/>
    <cellStyle name="常规 2 5 7 3 4" xfId="36685"/>
    <cellStyle name="常规 2 5 7 3 5" xfId="36686"/>
    <cellStyle name="常规 2 5 7 4" xfId="36687"/>
    <cellStyle name="常规 2 5 7 4 2" xfId="36688"/>
    <cellStyle name="常规 2 5 7 4 2 2" xfId="36689"/>
    <cellStyle name="常规 2 5 7 4 2 3" xfId="36690"/>
    <cellStyle name="常规 2 5 7 4 2 4" xfId="36691"/>
    <cellStyle name="常规 2 5 7 4 3" xfId="36692"/>
    <cellStyle name="常规 2 5 7 4 4" xfId="36693"/>
    <cellStyle name="常规 2 5 7 4 5" xfId="36694"/>
    <cellStyle name="常规 2 5 7 5" xfId="36695"/>
    <cellStyle name="常规 2 5 7 5 2" xfId="36696"/>
    <cellStyle name="常规 2 5 7 5 3" xfId="36697"/>
    <cellStyle name="常规 2 5 7 5 4" xfId="36698"/>
    <cellStyle name="常规 2 5 7 6" xfId="36699"/>
    <cellStyle name="常规 2 5 7 7" xfId="36700"/>
    <cellStyle name="常规 2 5 7 8" xfId="36701"/>
    <cellStyle name="常规 2 5 7 9" xfId="36702"/>
    <cellStyle name="常规 2 5 7 9 2" xfId="36703"/>
    <cellStyle name="常规 2 5 8" xfId="36704"/>
    <cellStyle name="常规 2 5 8 2" xfId="36705"/>
    <cellStyle name="常规 2 5 8 2 2" xfId="36706"/>
    <cellStyle name="常规 2 5 8 2 2 2" xfId="36707"/>
    <cellStyle name="常规 2 5 8 2 2 2 2" xfId="36708"/>
    <cellStyle name="常规 2 5 8 2 2 2 2 2" xfId="36709"/>
    <cellStyle name="常规 2 5 8 2 2 2 2 3" xfId="36710"/>
    <cellStyle name="常规 2 5 8 2 2 2 2 4" xfId="36711"/>
    <cellStyle name="常规 2 5 8 2 2 2 3" xfId="36712"/>
    <cellStyle name="常规 2 5 8 2 2 2 4" xfId="36713"/>
    <cellStyle name="常规 2 5 8 2 2 2 5" xfId="36714"/>
    <cellStyle name="常规 2 5 8 2 2 3" xfId="36715"/>
    <cellStyle name="常规 2 5 8 2 2 3 2" xfId="36716"/>
    <cellStyle name="常规 2 5 8 2 2 3 2 2" xfId="36717"/>
    <cellStyle name="常规 2 5 8 2 2 3 2 3" xfId="36718"/>
    <cellStyle name="常规 2 5 8 2 2 3 2 4" xfId="36719"/>
    <cellStyle name="常规 2 5 8 2 2 3 3" xfId="36720"/>
    <cellStyle name="常规 2 5 8 2 2 3 4" xfId="36721"/>
    <cellStyle name="常规 2 5 8 2 2 3 5" xfId="36722"/>
    <cellStyle name="常规 2 5 8 2 2 4" xfId="36723"/>
    <cellStyle name="常规 2 5 8 2 2 4 2" xfId="36724"/>
    <cellStyle name="常规 2 5 8 2 2 4 3" xfId="36725"/>
    <cellStyle name="常规 2 5 8 2 2 4 4" xfId="36726"/>
    <cellStyle name="常规 2 5 8 2 2 5" xfId="36727"/>
    <cellStyle name="常规 2 5 8 2 2 6" xfId="36728"/>
    <cellStyle name="常规 2 5 8 2 2 7" xfId="36729"/>
    <cellStyle name="常规 2 5 8 2 3" xfId="36730"/>
    <cellStyle name="常规 2 5 8 2 3 2" xfId="36731"/>
    <cellStyle name="常规 2 5 8 2 3 2 2" xfId="36732"/>
    <cellStyle name="常规 2 5 8 2 3 2 3" xfId="36733"/>
    <cellStyle name="常规 2 5 8 2 3 2 4" xfId="36734"/>
    <cellStyle name="常规 2 5 8 2 3 3" xfId="36735"/>
    <cellStyle name="常规 2 5 8 2 3 4" xfId="36736"/>
    <cellStyle name="常规 2 5 8 2 3 5" xfId="36737"/>
    <cellStyle name="常规 2 5 8 2 4" xfId="36738"/>
    <cellStyle name="常规 2 5 8 2 4 2" xfId="36739"/>
    <cellStyle name="常规 2 5 8 2 4 2 2" xfId="36740"/>
    <cellStyle name="常规 2 5 8 2 4 2 3" xfId="36741"/>
    <cellStyle name="常规 2 5 8 2 4 2 4" xfId="36742"/>
    <cellStyle name="常规 2 5 8 2 4 3" xfId="36743"/>
    <cellStyle name="常规 2 5 8 2 4 4" xfId="36744"/>
    <cellStyle name="常规 2 5 8 2 4 5" xfId="36745"/>
    <cellStyle name="常规 2 5 8 2 5" xfId="36746"/>
    <cellStyle name="常规 2 5 8 2 5 2" xfId="36747"/>
    <cellStyle name="常规 2 5 8 2 5 3" xfId="36748"/>
    <cellStyle name="常规 2 5 8 2 5 4" xfId="36749"/>
    <cellStyle name="常规 2 5 8 2 6" xfId="36750"/>
    <cellStyle name="常规 2 5 8 2 7" xfId="36751"/>
    <cellStyle name="常规 2 5 8 2 8" xfId="36752"/>
    <cellStyle name="常规 2 5 8 3" xfId="36753"/>
    <cellStyle name="常规 2 5 8 3 2" xfId="36754"/>
    <cellStyle name="常规 2 5 8 3 2 2" xfId="36755"/>
    <cellStyle name="常规 2 5 8 3 2 3" xfId="36756"/>
    <cellStyle name="常规 2 5 8 3 2 4" xfId="36757"/>
    <cellStyle name="常规 2 5 8 3 3" xfId="36758"/>
    <cellStyle name="常规 2 5 8 3 4" xfId="36759"/>
    <cellStyle name="常规 2 5 8 3 5" xfId="36760"/>
    <cellStyle name="常规 2 5 8 4" xfId="36761"/>
    <cellStyle name="常规 2 5 8 4 2" xfId="36762"/>
    <cellStyle name="常规 2 5 8 4 2 2" xfId="36763"/>
    <cellStyle name="常规 2 5 8 4 2 3" xfId="36764"/>
    <cellStyle name="常规 2 5 8 4 2 4" xfId="36765"/>
    <cellStyle name="常规 2 5 8 4 3" xfId="36766"/>
    <cellStyle name="常规 2 5 8 4 4" xfId="36767"/>
    <cellStyle name="常规 2 5 8 4 5" xfId="36768"/>
    <cellStyle name="常规 2 5 8 5" xfId="36769"/>
    <cellStyle name="常规 2 5 8 5 2" xfId="36770"/>
    <cellStyle name="常规 2 5 8 5 3" xfId="36771"/>
    <cellStyle name="常规 2 5 8 5 4" xfId="36772"/>
    <cellStyle name="常规 2 5 8 6" xfId="36773"/>
    <cellStyle name="常规 2 5 8 7" xfId="36774"/>
    <cellStyle name="常规 2 5 8 8" xfId="36775"/>
    <cellStyle name="常规 2 5 8 9" xfId="36776"/>
    <cellStyle name="常规 2 5 8 9 2" xfId="36777"/>
    <cellStyle name="常规 2 5 9" xfId="36778"/>
    <cellStyle name="常规 2 5 9 2" xfId="36779"/>
    <cellStyle name="常规 2 5 9 2 2" xfId="36780"/>
    <cellStyle name="常规 2 5 9 2 2 2" xfId="36781"/>
    <cellStyle name="常规 2 5 9 2 2 2 2" xfId="36782"/>
    <cellStyle name="常规 2 5 9 2 2 2 3" xfId="36783"/>
    <cellStyle name="常规 2 5 9 2 2 2 4" xfId="36784"/>
    <cellStyle name="常规 2 5 9 2 2 3" xfId="36785"/>
    <cellStyle name="常规 2 5 9 2 2 4" xfId="36786"/>
    <cellStyle name="常规 2 5 9 2 2 5" xfId="36787"/>
    <cellStyle name="常规 2 5 9 2 3" xfId="36788"/>
    <cellStyle name="常规 2 5 9 2 3 2" xfId="36789"/>
    <cellStyle name="常规 2 5 9 2 3 2 2" xfId="36790"/>
    <cellStyle name="常规 2 5 9 2 3 2 3" xfId="36791"/>
    <cellStyle name="常规 2 5 9 2 3 2 4" xfId="36792"/>
    <cellStyle name="常规 2 5 9 2 3 3" xfId="36793"/>
    <cellStyle name="常规 2 5 9 2 3 4" xfId="36794"/>
    <cellStyle name="常规 2 5 9 2 3 5" xfId="36795"/>
    <cellStyle name="常规 2 5 9 2 4" xfId="36796"/>
    <cellStyle name="常规 2 5 9 2 4 2" xfId="36797"/>
    <cellStyle name="常规 2 5 9 2 4 3" xfId="36798"/>
    <cellStyle name="常规 2 5 9 2 4 4" xfId="36799"/>
    <cellStyle name="常规 2 5 9 2 5" xfId="36800"/>
    <cellStyle name="常规 2 5 9 2 6" xfId="36801"/>
    <cellStyle name="常规 2 5 9 2 7" xfId="36802"/>
    <cellStyle name="常规 2 5 9 3" xfId="36803"/>
    <cellStyle name="常规 2 5 9 3 2" xfId="36804"/>
    <cellStyle name="常规 2 5 9 3 2 2" xfId="36805"/>
    <cellStyle name="常规 2 5 9 3 2 3" xfId="36806"/>
    <cellStyle name="常规 2 5 9 3 2 4" xfId="36807"/>
    <cellStyle name="常规 2 5 9 3 3" xfId="36808"/>
    <cellStyle name="常规 2 5 9 3 4" xfId="36809"/>
    <cellStyle name="常规 2 5 9 3 5" xfId="36810"/>
    <cellStyle name="常规 2 5 9 4" xfId="36811"/>
    <cellStyle name="常规 2 5 9 4 2" xfId="36812"/>
    <cellStyle name="常规 2 5 9 4 2 2" xfId="36813"/>
    <cellStyle name="常规 2 5 9 4 2 3" xfId="36814"/>
    <cellStyle name="常规 2 5 9 4 2 4" xfId="36815"/>
    <cellStyle name="常规 2 5 9 4 3" xfId="36816"/>
    <cellStyle name="常规 2 5 9 4 4" xfId="36817"/>
    <cellStyle name="常规 2 5 9 4 5" xfId="36818"/>
    <cellStyle name="常规 2 5 9 5" xfId="36819"/>
    <cellStyle name="常规 2 5 9 5 2" xfId="36820"/>
    <cellStyle name="常规 2 5 9 5 3" xfId="36821"/>
    <cellStyle name="常规 2 5 9 5 4" xfId="36822"/>
    <cellStyle name="常规 2 5 9 6" xfId="36823"/>
    <cellStyle name="常规 2 5 9 7" xfId="36824"/>
    <cellStyle name="常规 2 5 9 8" xfId="36825"/>
    <cellStyle name="常规 2 5 9 9" xfId="36826"/>
    <cellStyle name="常规 2 5 9 9 2" xfId="36827"/>
    <cellStyle name="常规 2 6" xfId="36828"/>
    <cellStyle name="常规 2 6 10" xfId="36829"/>
    <cellStyle name="常规 2 6 10 2" xfId="36830"/>
    <cellStyle name="常规 2 6 10 2 2" xfId="36831"/>
    <cellStyle name="常规 2 6 10 3" xfId="36832"/>
    <cellStyle name="常规 2 6 10 4" xfId="36833"/>
    <cellStyle name="常规 2 6 10 5" xfId="36834"/>
    <cellStyle name="常规 2 6 11" xfId="36835"/>
    <cellStyle name="常规 2 6 12" xfId="36836"/>
    <cellStyle name="常规 2 6 13" xfId="36837"/>
    <cellStyle name="常规 2 6 14" xfId="36838"/>
    <cellStyle name="常规 2 6 14 2" xfId="36839"/>
    <cellStyle name="常规 2 6 15" xfId="36840"/>
    <cellStyle name="常规 2 6 2" xfId="36841"/>
    <cellStyle name="常规 2 6 2 10" xfId="36842"/>
    <cellStyle name="常规 2 6 2 10 2" xfId="36843"/>
    <cellStyle name="常规 2 6 2 2" xfId="36844"/>
    <cellStyle name="常规 2 6 2 2 10" xfId="36845"/>
    <cellStyle name="常规 2 6 2 2 2" xfId="36846"/>
    <cellStyle name="常规 2 6 2 2 2 2" xfId="36847"/>
    <cellStyle name="常规 2 6 2 2 2 2 2" xfId="36848"/>
    <cellStyle name="常规 2 6 2 2 2 2 2 2" xfId="36849"/>
    <cellStyle name="常规 2 6 2 2 2 2 2 3" xfId="36850"/>
    <cellStyle name="常规 2 6 2 2 2 2 2 4" xfId="36851"/>
    <cellStyle name="常规 2 6 2 2 2 2 2 5" xfId="36852"/>
    <cellStyle name="常规 2 6 2 2 2 2 2 5 2" xfId="36853"/>
    <cellStyle name="常规 2 6 2 2 2 2 3" xfId="36854"/>
    <cellStyle name="常规 2 6 2 2 2 2 3 2" xfId="36855"/>
    <cellStyle name="常规 2 6 2 2 2 2 3 2 2" xfId="36856"/>
    <cellStyle name="常规 2 6 2 2 2 2 4" xfId="36857"/>
    <cellStyle name="常规 2 6 2 2 2 2 4 2" xfId="36858"/>
    <cellStyle name="常规 2 6 2 2 2 2 4 2 2" xfId="36859"/>
    <cellStyle name="常规 2 6 2 2 2 2 5" xfId="36860"/>
    <cellStyle name="常规 2 6 2 2 2 2 5 2" xfId="36861"/>
    <cellStyle name="常规 2 6 2 2 2 2 5 3" xfId="36862"/>
    <cellStyle name="常规 2 6 2 2 2 2 6" xfId="36863"/>
    <cellStyle name="常规 2 6 2 2 2 2 6 2" xfId="36864"/>
    <cellStyle name="常规 2 6 2 2 2 2 7" xfId="36865"/>
    <cellStyle name="常规 2 6 2 2 2 3" xfId="36866"/>
    <cellStyle name="常规 2 6 2 2 2 3 2" xfId="36867"/>
    <cellStyle name="常规 2 6 2 2 2 3 2 2" xfId="36868"/>
    <cellStyle name="常规 2 6 2 2 2 3 2 2 2" xfId="36869"/>
    <cellStyle name="常规 2 6 2 2 2 3 2 3" xfId="36870"/>
    <cellStyle name="常规 2 6 2 2 2 3 2 4" xfId="36871"/>
    <cellStyle name="常规 2 6 2 2 2 3 2 5" xfId="36872"/>
    <cellStyle name="常规 2 6 2 2 2 3 2 5 2" xfId="36873"/>
    <cellStyle name="常规 2 6 2 2 2 3 2 6" xfId="36874"/>
    <cellStyle name="常规 2 6 2 2 2 3 3" xfId="36875"/>
    <cellStyle name="常规 2 6 2 2 2 3 3 2" xfId="36876"/>
    <cellStyle name="常规 2 6 2 2 2 3 3 2 2" xfId="36877"/>
    <cellStyle name="常规 2 6 2 2 2 3 4" xfId="36878"/>
    <cellStyle name="常规 2 6 2 2 2 3 4 2" xfId="36879"/>
    <cellStyle name="常规 2 6 2 2 2 3 4 3" xfId="36880"/>
    <cellStyle name="常规 2 6 2 2 2 3 5" xfId="36881"/>
    <cellStyle name="常规 2 6 2 2 2 3 5 2" xfId="36882"/>
    <cellStyle name="常规 2 6 2 2 2 3 6" xfId="36883"/>
    <cellStyle name="常规 2 6 2 2 2 3 6 2" xfId="36884"/>
    <cellStyle name="常规 2 6 2 2 2 3 7" xfId="36885"/>
    <cellStyle name="常规 2 6 2 2 2 4" xfId="36886"/>
    <cellStyle name="常规 2 6 2 2 2 4 2" xfId="36887"/>
    <cellStyle name="常规 2 6 2 2 2 4 3" xfId="36888"/>
    <cellStyle name="常规 2 6 2 2 2 4 4" xfId="36889"/>
    <cellStyle name="常规 2 6 2 2 2 4 5" xfId="36890"/>
    <cellStyle name="常规 2 6 2 2 2 4 5 2" xfId="36891"/>
    <cellStyle name="常规 2 6 2 2 2 5" xfId="36892"/>
    <cellStyle name="常规 2 6 2 2 2 5 2" xfId="36893"/>
    <cellStyle name="常规 2 6 2 2 2 5 2 2" xfId="36894"/>
    <cellStyle name="常规 2 6 2 2 2 6" xfId="36895"/>
    <cellStyle name="常规 2 6 2 2 2 6 2" xfId="36896"/>
    <cellStyle name="常规 2 6 2 2 2 6 2 2" xfId="36897"/>
    <cellStyle name="常规 2 6 2 2 2 7" xfId="36898"/>
    <cellStyle name="常规 2 6 2 2 2 7 2" xfId="36899"/>
    <cellStyle name="常规 2 6 2 2 2 7 2 2" xfId="36900"/>
    <cellStyle name="常规 2 6 2 2 2 8" xfId="36901"/>
    <cellStyle name="常规 2 6 2 2 2 8 2" xfId="36902"/>
    <cellStyle name="常规 2 6 2 2 2 8 3" xfId="36903"/>
    <cellStyle name="常规 2 6 2 2 2 9" xfId="36904"/>
    <cellStyle name="常规 2 6 2 2 3" xfId="36905"/>
    <cellStyle name="常规 2 6 2 2 3 2" xfId="36906"/>
    <cellStyle name="常规 2 6 2 2 3 2 2" xfId="36907"/>
    <cellStyle name="常规 2 6 2 2 3 2 3" xfId="36908"/>
    <cellStyle name="常规 2 6 2 2 3 2 4" xfId="36909"/>
    <cellStyle name="常规 2 6 2 2 3 2 5" xfId="36910"/>
    <cellStyle name="常规 2 6 2 2 3 2 5 2" xfId="36911"/>
    <cellStyle name="常规 2 6 2 2 3 3" xfId="36912"/>
    <cellStyle name="常规 2 6 2 2 3 3 2" xfId="36913"/>
    <cellStyle name="常规 2 6 2 2 3 3 2 2" xfId="36914"/>
    <cellStyle name="常规 2 6 2 2 3 4" xfId="36915"/>
    <cellStyle name="常规 2 6 2 2 3 4 2" xfId="36916"/>
    <cellStyle name="常规 2 6 2 2 3 4 2 2" xfId="36917"/>
    <cellStyle name="常规 2 6 2 2 3 5" xfId="36918"/>
    <cellStyle name="常规 2 6 2 2 3 5 2" xfId="36919"/>
    <cellStyle name="常规 2 6 2 2 3 5 3" xfId="36920"/>
    <cellStyle name="常规 2 6 2 2 3 6" xfId="36921"/>
    <cellStyle name="常规 2 6 2 2 3 6 2" xfId="36922"/>
    <cellStyle name="常规 2 6 2 2 3 7" xfId="36923"/>
    <cellStyle name="常规 2 6 2 2 4" xfId="36924"/>
    <cellStyle name="常规 2 6 2 2 4 2" xfId="36925"/>
    <cellStyle name="常规 2 6 2 2 4 2 2" xfId="36926"/>
    <cellStyle name="常规 2 6 2 2 4 2 3" xfId="36927"/>
    <cellStyle name="常规 2 6 2 2 4 2 4" xfId="36928"/>
    <cellStyle name="常规 2 6 2 2 4 3" xfId="36929"/>
    <cellStyle name="常规 2 6 2 2 4 4" xfId="36930"/>
    <cellStyle name="常规 2 6 2 2 4 5" xfId="36931"/>
    <cellStyle name="常规 2 6 2 2 4 6" xfId="36932"/>
    <cellStyle name="常规 2 6 2 2 4 6 2" xfId="36933"/>
    <cellStyle name="常规 2 6 2 2 5" xfId="36934"/>
    <cellStyle name="常规 2 6 2 2 5 2" xfId="36935"/>
    <cellStyle name="常规 2 6 2 2 5 3" xfId="36936"/>
    <cellStyle name="常规 2 6 2 2 5 4" xfId="36937"/>
    <cellStyle name="常规 2 6 2 2 5 5" xfId="36938"/>
    <cellStyle name="常规 2 6 2 2 5 5 2" xfId="36939"/>
    <cellStyle name="常规 2 6 2 2 6" xfId="36940"/>
    <cellStyle name="常规 2 6 2 2 6 2" xfId="36941"/>
    <cellStyle name="常规 2 6 2 2 6 2 2" xfId="36942"/>
    <cellStyle name="常规 2 6 2 2 7" xfId="36943"/>
    <cellStyle name="常规 2 6 2 2 7 2" xfId="36944"/>
    <cellStyle name="常规 2 6 2 2 7 2 2" xfId="36945"/>
    <cellStyle name="常规 2 6 2 2 8" xfId="36946"/>
    <cellStyle name="常规 2 6 2 2 8 2" xfId="36947"/>
    <cellStyle name="常规 2 6 2 2 8 2 2" xfId="36948"/>
    <cellStyle name="常规 2 6 2 2 9" xfId="36949"/>
    <cellStyle name="常规 2 6 2 2 9 2" xfId="36950"/>
    <cellStyle name="常规 2 6 2 2 9 3" xfId="36951"/>
    <cellStyle name="常规 2 6 2 3" xfId="36952"/>
    <cellStyle name="常规 2 6 2 3 2" xfId="36953"/>
    <cellStyle name="常规 2 6 2 3 2 2" xfId="36954"/>
    <cellStyle name="常规 2 6 2 3 2 2 2" xfId="36955"/>
    <cellStyle name="常规 2 6 2 3 2 2 2 2" xfId="36956"/>
    <cellStyle name="常规 2 6 2 3 2 3" xfId="36957"/>
    <cellStyle name="常规 2 6 2 3 2 3 2" xfId="36958"/>
    <cellStyle name="常规 2 6 2 3 2 3 2 2" xfId="36959"/>
    <cellStyle name="常规 2 6 2 3 2 4" xfId="36960"/>
    <cellStyle name="常规 2 6 2 3 2 4 2" xfId="36961"/>
    <cellStyle name="常规 2 6 2 3 2 4 2 2" xfId="36962"/>
    <cellStyle name="常规 2 6 2 3 2 5" xfId="36963"/>
    <cellStyle name="常规 2 6 2 3 2 5 2" xfId="36964"/>
    <cellStyle name="常规 2 6 2 3 2 5 3" xfId="36965"/>
    <cellStyle name="常规 2 6 2 3 2 6" xfId="36966"/>
    <cellStyle name="常规 2 6 2 3 3" xfId="36967"/>
    <cellStyle name="常规 2 6 2 3 3 2" xfId="36968"/>
    <cellStyle name="常规 2 6 2 3 3 2 2" xfId="36969"/>
    <cellStyle name="常规 2 6 2 3 3 2 2 2" xfId="36970"/>
    <cellStyle name="常规 2 6 2 3 3 3" xfId="36971"/>
    <cellStyle name="常规 2 6 2 3 3 3 2" xfId="36972"/>
    <cellStyle name="常规 2 6 2 3 3 3 2 2" xfId="36973"/>
    <cellStyle name="常规 2 6 2 3 3 4" xfId="36974"/>
    <cellStyle name="常规 2 6 2 3 3 4 2" xfId="36975"/>
    <cellStyle name="常规 2 6 2 3 3 5" xfId="36976"/>
    <cellStyle name="常规 2 6 2 3 4" xfId="36977"/>
    <cellStyle name="常规 2 6 2 3 4 2" xfId="36978"/>
    <cellStyle name="常规 2 6 2 3 4 2 2" xfId="36979"/>
    <cellStyle name="常规 2 6 2 3 5" xfId="36980"/>
    <cellStyle name="常规 2 6 2 3 5 2" xfId="36981"/>
    <cellStyle name="常规 2 6 2 3 5 2 2" xfId="36982"/>
    <cellStyle name="常规 2 6 2 3 6" xfId="36983"/>
    <cellStyle name="常规 2 6 2 3 7" xfId="36984"/>
    <cellStyle name="常规 2 6 2 3 7 2" xfId="36985"/>
    <cellStyle name="常规 2 6 2 3 7 3" xfId="36986"/>
    <cellStyle name="常规 2 6 2 3 8" xfId="36987"/>
    <cellStyle name="常规 2 6 2 3 8 2" xfId="36988"/>
    <cellStyle name="常规 2 6 2 4" xfId="36989"/>
    <cellStyle name="常规 2 6 2 4 2" xfId="36990"/>
    <cellStyle name="常规 2 6 2 4 2 2" xfId="36991"/>
    <cellStyle name="常规 2 6 2 4 2 3" xfId="36992"/>
    <cellStyle name="常规 2 6 2 4 2 4" xfId="36993"/>
    <cellStyle name="常规 2 6 2 4 2 5" xfId="36994"/>
    <cellStyle name="常规 2 6 2 4 2 5 2" xfId="36995"/>
    <cellStyle name="常规 2 6 2 4 3" xfId="36996"/>
    <cellStyle name="常规 2 6 2 4 3 2" xfId="36997"/>
    <cellStyle name="常规 2 6 2 4 3 2 2" xfId="36998"/>
    <cellStyle name="常规 2 6 2 4 4" xfId="36999"/>
    <cellStyle name="常规 2 6 2 4 4 2" xfId="37000"/>
    <cellStyle name="常规 2 6 2 4 4 2 2" xfId="37001"/>
    <cellStyle name="常规 2 6 2 4 5" xfId="37002"/>
    <cellStyle name="常规 2 6 2 4 5 2" xfId="37003"/>
    <cellStyle name="常规 2 6 2 4 5 3" xfId="37004"/>
    <cellStyle name="常规 2 6 2 4 6" xfId="37005"/>
    <cellStyle name="常规 2 6 2 4 6 2" xfId="37006"/>
    <cellStyle name="常规 2 6 2 4 7" xfId="37007"/>
    <cellStyle name="常规 2 6 2 5" xfId="37008"/>
    <cellStyle name="常规 2 6 2 5 2" xfId="37009"/>
    <cellStyle name="常规 2 6 2 5 3" xfId="37010"/>
    <cellStyle name="常规 2 6 2 5 4" xfId="37011"/>
    <cellStyle name="常规 2 6 2 5 5" xfId="37012"/>
    <cellStyle name="常规 2 6 2 5 5 2" xfId="37013"/>
    <cellStyle name="常规 2 6 2 6" xfId="37014"/>
    <cellStyle name="常规 2 6 2 6 2" xfId="37015"/>
    <cellStyle name="常规 2 6 2 6 2 2" xfId="37016"/>
    <cellStyle name="常规 2 6 2 7" xfId="37017"/>
    <cellStyle name="常规 2 6 2 7 2" xfId="37018"/>
    <cellStyle name="常规 2 6 2 7 2 2" xfId="37019"/>
    <cellStyle name="常规 2 6 2 8" xfId="37020"/>
    <cellStyle name="常规 2 6 2 8 2" xfId="37021"/>
    <cellStyle name="常规 2 6 2 8 2 2" xfId="37022"/>
    <cellStyle name="常规 2 6 2 9" xfId="37023"/>
    <cellStyle name="常规 2 6 2 9 2" xfId="37024"/>
    <cellStyle name="常规 2 6 2 9 3" xfId="37025"/>
    <cellStyle name="常规 2 6 3" xfId="37026"/>
    <cellStyle name="常规 2 6 3 10" xfId="37027"/>
    <cellStyle name="常规 2 6 3 2" xfId="37028"/>
    <cellStyle name="常规 2 6 3 2 10" xfId="37029"/>
    <cellStyle name="常规 2 6 3 2 2" xfId="37030"/>
    <cellStyle name="常规 2 6 3 2 2 2" xfId="37031"/>
    <cellStyle name="常规 2 6 3 2 2 2 2" xfId="37032"/>
    <cellStyle name="常规 2 6 3 2 2 2 2 2" xfId="37033"/>
    <cellStyle name="常规 2 6 3 2 2 2 2 3" xfId="37034"/>
    <cellStyle name="常规 2 6 3 2 2 2 2 4" xfId="37035"/>
    <cellStyle name="常规 2 6 3 2 2 2 3" xfId="37036"/>
    <cellStyle name="常规 2 6 3 2 2 2 4" xfId="37037"/>
    <cellStyle name="常规 2 6 3 2 2 2 5" xfId="37038"/>
    <cellStyle name="常规 2 6 3 2 2 3" xfId="37039"/>
    <cellStyle name="常规 2 6 3 2 2 3 2" xfId="37040"/>
    <cellStyle name="常规 2 6 3 2 2 3 2 2" xfId="37041"/>
    <cellStyle name="常规 2 6 3 2 2 3 2 3" xfId="37042"/>
    <cellStyle name="常规 2 6 3 2 2 3 2 4" xfId="37043"/>
    <cellStyle name="常规 2 6 3 2 2 3 3" xfId="37044"/>
    <cellStyle name="常规 2 6 3 2 2 3 4" xfId="37045"/>
    <cellStyle name="常规 2 6 3 2 2 3 5" xfId="37046"/>
    <cellStyle name="常规 2 6 3 2 2 4" xfId="37047"/>
    <cellStyle name="常规 2 6 3 2 2 4 2" xfId="37048"/>
    <cellStyle name="常规 2 6 3 2 2 4 3" xfId="37049"/>
    <cellStyle name="常规 2 6 3 2 2 4 4" xfId="37050"/>
    <cellStyle name="常规 2 6 3 2 2 5" xfId="37051"/>
    <cellStyle name="常规 2 6 3 2 2 6" xfId="37052"/>
    <cellStyle name="常规 2 6 3 2 2 7" xfId="37053"/>
    <cellStyle name="常规 2 6 3 2 2 8" xfId="37054"/>
    <cellStyle name="常规 2 6 3 2 2 8 2" xfId="37055"/>
    <cellStyle name="常规 2 6 3 2 3" xfId="37056"/>
    <cellStyle name="常规 2 6 3 2 3 2" xfId="37057"/>
    <cellStyle name="常规 2 6 3 2 3 2 2" xfId="37058"/>
    <cellStyle name="常规 2 6 3 2 3 2 3" xfId="37059"/>
    <cellStyle name="常规 2 6 3 2 3 2 4" xfId="37060"/>
    <cellStyle name="常规 2 6 3 2 3 3" xfId="37061"/>
    <cellStyle name="常规 2 6 3 2 3 4" xfId="37062"/>
    <cellStyle name="常规 2 6 3 2 3 5" xfId="37063"/>
    <cellStyle name="常规 2 6 3 2 3 6" xfId="37064"/>
    <cellStyle name="常规 2 6 3 2 3 6 2" xfId="37065"/>
    <cellStyle name="常规 2 6 3 2 4" xfId="37066"/>
    <cellStyle name="常规 2 6 3 2 4 2" xfId="37067"/>
    <cellStyle name="常规 2 6 3 2 4 2 2" xfId="37068"/>
    <cellStyle name="常规 2 6 3 2 4 2 3" xfId="37069"/>
    <cellStyle name="常规 2 6 3 2 4 2 4" xfId="37070"/>
    <cellStyle name="常规 2 6 3 2 4 2 5" xfId="37071"/>
    <cellStyle name="常规 2 6 3 2 4 3" xfId="37072"/>
    <cellStyle name="常规 2 6 3 2 4 4" xfId="37073"/>
    <cellStyle name="常规 2 6 3 2 4 5" xfId="37074"/>
    <cellStyle name="常规 2 6 3 2 4 6" xfId="37075"/>
    <cellStyle name="常规 2 6 3 2 5" xfId="37076"/>
    <cellStyle name="常规 2 6 3 2 5 2" xfId="37077"/>
    <cellStyle name="常规 2 6 3 2 5 2 2" xfId="37078"/>
    <cellStyle name="常规 2 6 3 2 5 3" xfId="37079"/>
    <cellStyle name="常规 2 6 3 2 5 4" xfId="37080"/>
    <cellStyle name="常规 2 6 3 2 5 5" xfId="37081"/>
    <cellStyle name="常规 2 6 3 2 6" xfId="37082"/>
    <cellStyle name="常规 2 6 3 2 7" xfId="37083"/>
    <cellStyle name="常规 2 6 3 2 8" xfId="37084"/>
    <cellStyle name="常规 2 6 3 2 9" xfId="37085"/>
    <cellStyle name="常规 2 6 3 2 9 2" xfId="37086"/>
    <cellStyle name="常规 2 6 3 3" xfId="37087"/>
    <cellStyle name="常规 2 6 3 3 2" xfId="37088"/>
    <cellStyle name="常规 2 6 3 3 2 2" xfId="37089"/>
    <cellStyle name="常规 2 6 3 3 2 2 2" xfId="37090"/>
    <cellStyle name="常规 2 6 3 3 2 3" xfId="37091"/>
    <cellStyle name="常规 2 6 3 3 2 4" xfId="37092"/>
    <cellStyle name="常规 2 6 3 3 2 5" xfId="37093"/>
    <cellStyle name="常规 2 6 3 3 2 5 2" xfId="37094"/>
    <cellStyle name="常规 2 6 3 3 2 6" xfId="37095"/>
    <cellStyle name="常规 2 6 3 3 3" xfId="37096"/>
    <cellStyle name="常规 2 6 3 3 3 2" xfId="37097"/>
    <cellStyle name="常规 2 6 3 3 3 2 2" xfId="37098"/>
    <cellStyle name="常规 2 6 3 3 4" xfId="37099"/>
    <cellStyle name="常规 2 6 3 3 4 2" xfId="37100"/>
    <cellStyle name="常规 2 6 3 3 4 3" xfId="37101"/>
    <cellStyle name="常规 2 6 3 3 5" xfId="37102"/>
    <cellStyle name="常规 2 6 3 3 5 2" xfId="37103"/>
    <cellStyle name="常规 2 6 3 3 6" xfId="37104"/>
    <cellStyle name="常规 2 6 3 3 6 2" xfId="37105"/>
    <cellStyle name="常规 2 6 3 3 7" xfId="37106"/>
    <cellStyle name="常规 2 6 3 4" xfId="37107"/>
    <cellStyle name="常规 2 6 3 4 2" xfId="37108"/>
    <cellStyle name="常规 2 6 3 4 2 2" xfId="37109"/>
    <cellStyle name="常规 2 6 3 4 2 3" xfId="37110"/>
    <cellStyle name="常规 2 6 3 4 2 4" xfId="37111"/>
    <cellStyle name="常规 2 6 3 4 3" xfId="37112"/>
    <cellStyle name="常规 2 6 3 4 4" xfId="37113"/>
    <cellStyle name="常规 2 6 3 4 5" xfId="37114"/>
    <cellStyle name="常规 2 6 3 4 6" xfId="37115"/>
    <cellStyle name="常规 2 6 3 4 6 2" xfId="37116"/>
    <cellStyle name="常规 2 6 3 5" xfId="37117"/>
    <cellStyle name="常规 2 6 3 5 2" xfId="37118"/>
    <cellStyle name="常规 2 6 3 5 3" xfId="37119"/>
    <cellStyle name="常规 2 6 3 5 4" xfId="37120"/>
    <cellStyle name="常规 2 6 3 5 5" xfId="37121"/>
    <cellStyle name="常规 2 6 3 5 5 2" xfId="37122"/>
    <cellStyle name="常规 2 6 3 6" xfId="37123"/>
    <cellStyle name="常规 2 6 3 6 2" xfId="37124"/>
    <cellStyle name="常规 2 6 3 6 2 2" xfId="37125"/>
    <cellStyle name="常规 2 6 3 7" xfId="37126"/>
    <cellStyle name="常规 2 6 3 7 2" xfId="37127"/>
    <cellStyle name="常规 2 6 3 7 2 2" xfId="37128"/>
    <cellStyle name="常规 2 6 3 8" xfId="37129"/>
    <cellStyle name="常规 2 6 3 8 2" xfId="37130"/>
    <cellStyle name="常规 2 6 3 8 3" xfId="37131"/>
    <cellStyle name="常规 2 6 3 9" xfId="37132"/>
    <cellStyle name="常规 2 6 3 9 2" xfId="37133"/>
    <cellStyle name="常规 2 6 4" xfId="37134"/>
    <cellStyle name="常规 2 6 4 10" xfId="37135"/>
    <cellStyle name="常规 2 6 4 2" xfId="37136"/>
    <cellStyle name="常规 2 6 4 2 10" xfId="37137"/>
    <cellStyle name="常规 2 6 4 2 2" xfId="37138"/>
    <cellStyle name="常规 2 6 4 2 2 2" xfId="37139"/>
    <cellStyle name="常规 2 6 4 2 2 2 2" xfId="37140"/>
    <cellStyle name="常规 2 6 4 2 2 2 2 2" xfId="37141"/>
    <cellStyle name="常规 2 6 4 2 2 2 2 3" xfId="37142"/>
    <cellStyle name="常规 2 6 4 2 2 2 2 4" xfId="37143"/>
    <cellStyle name="常规 2 6 4 2 2 2 3" xfId="37144"/>
    <cellStyle name="常规 2 6 4 2 2 2 4" xfId="37145"/>
    <cellStyle name="常规 2 6 4 2 2 2 5" xfId="37146"/>
    <cellStyle name="常规 2 6 4 2 2 3" xfId="37147"/>
    <cellStyle name="常规 2 6 4 2 2 3 2" xfId="37148"/>
    <cellStyle name="常规 2 6 4 2 2 3 2 2" xfId="37149"/>
    <cellStyle name="常规 2 6 4 2 2 3 2 3" xfId="37150"/>
    <cellStyle name="常规 2 6 4 2 2 3 2 4" xfId="37151"/>
    <cellStyle name="常规 2 6 4 2 2 3 3" xfId="37152"/>
    <cellStyle name="常规 2 6 4 2 2 3 4" xfId="37153"/>
    <cellStyle name="常规 2 6 4 2 2 3 5" xfId="37154"/>
    <cellStyle name="常规 2 6 4 2 2 4" xfId="37155"/>
    <cellStyle name="常规 2 6 4 2 2 4 2" xfId="37156"/>
    <cellStyle name="常规 2 6 4 2 2 4 3" xfId="37157"/>
    <cellStyle name="常规 2 6 4 2 2 4 4" xfId="37158"/>
    <cellStyle name="常规 2 6 4 2 2 5" xfId="37159"/>
    <cellStyle name="常规 2 6 4 2 2 6" xfId="37160"/>
    <cellStyle name="常规 2 6 4 2 2 7" xfId="37161"/>
    <cellStyle name="常规 2 6 4 2 2 8" xfId="37162"/>
    <cellStyle name="常规 2 6 4 2 2 8 2" xfId="37163"/>
    <cellStyle name="常规 2 6 4 2 3" xfId="37164"/>
    <cellStyle name="常规 2 6 4 2 3 2" xfId="37165"/>
    <cellStyle name="常规 2 6 4 2 3 2 2" xfId="37166"/>
    <cellStyle name="常规 2 6 4 2 3 2 3" xfId="37167"/>
    <cellStyle name="常规 2 6 4 2 3 2 4" xfId="37168"/>
    <cellStyle name="常规 2 6 4 2 3 3" xfId="37169"/>
    <cellStyle name="常规 2 6 4 2 3 4" xfId="37170"/>
    <cellStyle name="常规 2 6 4 2 3 5" xfId="37171"/>
    <cellStyle name="常规 2 6 4 2 3 6" xfId="37172"/>
    <cellStyle name="常规 2 6 4 2 3 6 2" xfId="37173"/>
    <cellStyle name="常规 2 6 4 2 4" xfId="37174"/>
    <cellStyle name="常规 2 6 4 2 4 2" xfId="37175"/>
    <cellStyle name="常规 2 6 4 2 4 2 2" xfId="37176"/>
    <cellStyle name="常规 2 6 4 2 4 2 3" xfId="37177"/>
    <cellStyle name="常规 2 6 4 2 4 2 4" xfId="37178"/>
    <cellStyle name="常规 2 6 4 2 4 2 5" xfId="37179"/>
    <cellStyle name="常规 2 6 4 2 4 3" xfId="37180"/>
    <cellStyle name="常规 2 6 4 2 4 4" xfId="37181"/>
    <cellStyle name="常规 2 6 4 2 4 5" xfId="37182"/>
    <cellStyle name="常规 2 6 4 2 4 6" xfId="37183"/>
    <cellStyle name="常规 2 6 4 2 5" xfId="37184"/>
    <cellStyle name="常规 2 6 4 2 5 2" xfId="37185"/>
    <cellStyle name="常规 2 6 4 2 5 2 2" xfId="37186"/>
    <cellStyle name="常规 2 6 4 2 5 3" xfId="37187"/>
    <cellStyle name="常规 2 6 4 2 5 4" xfId="37188"/>
    <cellStyle name="常规 2 6 4 2 5 5" xfId="37189"/>
    <cellStyle name="常规 2 6 4 2 6" xfId="37190"/>
    <cellStyle name="常规 2 6 4 2 7" xfId="37191"/>
    <cellStyle name="常规 2 6 4 2 8" xfId="37192"/>
    <cellStyle name="常规 2 6 4 2 9" xfId="37193"/>
    <cellStyle name="常规 2 6 4 2 9 2" xfId="37194"/>
    <cellStyle name="常规 2 6 4 3" xfId="37195"/>
    <cellStyle name="常规 2 6 4 3 2" xfId="37196"/>
    <cellStyle name="常规 2 6 4 3 2 2" xfId="37197"/>
    <cellStyle name="常规 2 6 4 3 2 3" xfId="37198"/>
    <cellStyle name="常规 2 6 4 3 2 4" xfId="37199"/>
    <cellStyle name="常规 2 6 4 3 3" xfId="37200"/>
    <cellStyle name="常规 2 6 4 3 4" xfId="37201"/>
    <cellStyle name="常规 2 6 4 3 5" xfId="37202"/>
    <cellStyle name="常规 2 6 4 3 6" xfId="37203"/>
    <cellStyle name="常规 2 6 4 3 6 2" xfId="37204"/>
    <cellStyle name="常规 2 6 4 4" xfId="37205"/>
    <cellStyle name="常规 2 6 4 4 2" xfId="37206"/>
    <cellStyle name="常规 2 6 4 4 2 2" xfId="37207"/>
    <cellStyle name="常规 2 6 4 4 2 3" xfId="37208"/>
    <cellStyle name="常规 2 6 4 4 2 4" xfId="37209"/>
    <cellStyle name="常规 2 6 4 4 3" xfId="37210"/>
    <cellStyle name="常规 2 6 4 4 4" xfId="37211"/>
    <cellStyle name="常规 2 6 4 4 5" xfId="37212"/>
    <cellStyle name="常规 2 6 4 4 6" xfId="37213"/>
    <cellStyle name="常规 2 6 4 4 6 2" xfId="37214"/>
    <cellStyle name="常规 2 6 4 5" xfId="37215"/>
    <cellStyle name="常规 2 6 4 5 2" xfId="37216"/>
    <cellStyle name="常规 2 6 4 5 3" xfId="37217"/>
    <cellStyle name="常规 2 6 4 5 4" xfId="37218"/>
    <cellStyle name="常规 2 6 4 5 5" xfId="37219"/>
    <cellStyle name="常规 2 6 4 5 5 2" xfId="37220"/>
    <cellStyle name="常规 2 6 4 6" xfId="37221"/>
    <cellStyle name="常规 2 6 4 6 2" xfId="37222"/>
    <cellStyle name="常规 2 6 4 6 2 2" xfId="37223"/>
    <cellStyle name="常规 2 6 4 7" xfId="37224"/>
    <cellStyle name="常规 2 6 4 7 2" xfId="37225"/>
    <cellStyle name="常规 2 6 4 7 2 2" xfId="37226"/>
    <cellStyle name="常规 2 6 4 8" xfId="37227"/>
    <cellStyle name="常规 2 6 4 8 2" xfId="37228"/>
    <cellStyle name="常规 2 6 4 8 3" xfId="37229"/>
    <cellStyle name="常规 2 6 4 9" xfId="37230"/>
    <cellStyle name="常规 2 6 4 9 2" xfId="37231"/>
    <cellStyle name="常规 2 6 5" xfId="37232"/>
    <cellStyle name="常规 2 6 5 10" xfId="37233"/>
    <cellStyle name="常规 2 6 5 2" xfId="37234"/>
    <cellStyle name="常规 2 6 5 2 10" xfId="37235"/>
    <cellStyle name="常规 2 6 5 2 2" xfId="37236"/>
    <cellStyle name="常规 2 6 5 2 2 2" xfId="37237"/>
    <cellStyle name="常规 2 6 5 2 2 2 2" xfId="37238"/>
    <cellStyle name="常规 2 6 5 2 2 2 2 2" xfId="37239"/>
    <cellStyle name="常规 2 6 5 2 2 2 2 3" xfId="37240"/>
    <cellStyle name="常规 2 6 5 2 2 2 2 4" xfId="37241"/>
    <cellStyle name="常规 2 6 5 2 2 2 3" xfId="37242"/>
    <cellStyle name="常规 2 6 5 2 2 2 4" xfId="37243"/>
    <cellStyle name="常规 2 6 5 2 2 2 5" xfId="37244"/>
    <cellStyle name="常规 2 6 5 2 2 2 6" xfId="37245"/>
    <cellStyle name="常规 2 6 5 2 2 3" xfId="37246"/>
    <cellStyle name="常规 2 6 5 2 2 3 2" xfId="37247"/>
    <cellStyle name="常规 2 6 5 2 2 3 2 2" xfId="37248"/>
    <cellStyle name="常规 2 6 5 2 2 3 2 3" xfId="37249"/>
    <cellStyle name="常规 2 6 5 2 2 3 2 4" xfId="37250"/>
    <cellStyle name="常规 2 6 5 2 2 3 3" xfId="37251"/>
    <cellStyle name="常规 2 6 5 2 2 3 4" xfId="37252"/>
    <cellStyle name="常规 2 6 5 2 2 3 5" xfId="37253"/>
    <cellStyle name="常规 2 6 5 2 2 4" xfId="37254"/>
    <cellStyle name="常规 2 6 5 2 2 4 2" xfId="37255"/>
    <cellStyle name="常规 2 6 5 2 2 4 3" xfId="37256"/>
    <cellStyle name="常规 2 6 5 2 2 4 4" xfId="37257"/>
    <cellStyle name="常规 2 6 5 2 2 5" xfId="37258"/>
    <cellStyle name="常规 2 6 5 2 2 6" xfId="37259"/>
    <cellStyle name="常规 2 6 5 2 2 7" xfId="37260"/>
    <cellStyle name="常规 2 6 5 2 2 8" xfId="37261"/>
    <cellStyle name="常规 2 6 5 2 2 8 2" xfId="37262"/>
    <cellStyle name="常规 2 6 5 2 2 9" xfId="37263"/>
    <cellStyle name="常规 2 6 5 2 3" xfId="37264"/>
    <cellStyle name="常规 2 6 5 2 3 2" xfId="37265"/>
    <cellStyle name="常规 2 6 5 2 3 2 2" xfId="37266"/>
    <cellStyle name="常规 2 6 5 2 3 2 3" xfId="37267"/>
    <cellStyle name="常规 2 6 5 2 3 2 4" xfId="37268"/>
    <cellStyle name="常规 2 6 5 2 3 2 5" xfId="37269"/>
    <cellStyle name="常规 2 6 5 2 3 3" xfId="37270"/>
    <cellStyle name="常规 2 6 5 2 3 4" xfId="37271"/>
    <cellStyle name="常规 2 6 5 2 3 5" xfId="37272"/>
    <cellStyle name="常规 2 6 5 2 3 6" xfId="37273"/>
    <cellStyle name="常规 2 6 5 2 4" xfId="37274"/>
    <cellStyle name="常规 2 6 5 2 4 2" xfId="37275"/>
    <cellStyle name="常规 2 6 5 2 4 2 2" xfId="37276"/>
    <cellStyle name="常规 2 6 5 2 4 2 3" xfId="37277"/>
    <cellStyle name="常规 2 6 5 2 4 2 4" xfId="37278"/>
    <cellStyle name="常规 2 6 5 2 4 2 5" xfId="37279"/>
    <cellStyle name="常规 2 6 5 2 4 3" xfId="37280"/>
    <cellStyle name="常规 2 6 5 2 4 4" xfId="37281"/>
    <cellStyle name="常规 2 6 5 2 4 5" xfId="37282"/>
    <cellStyle name="常规 2 6 5 2 4 6" xfId="37283"/>
    <cellStyle name="常规 2 6 5 2 5" xfId="37284"/>
    <cellStyle name="常规 2 6 5 2 5 2" xfId="37285"/>
    <cellStyle name="常规 2 6 5 2 5 3" xfId="37286"/>
    <cellStyle name="常规 2 6 5 2 5 4" xfId="37287"/>
    <cellStyle name="常规 2 6 5 2 5 5" xfId="37288"/>
    <cellStyle name="常规 2 6 5 2 6" xfId="37289"/>
    <cellStyle name="常规 2 6 5 2 7" xfId="37290"/>
    <cellStyle name="常规 2 6 5 2 8" xfId="37291"/>
    <cellStyle name="常规 2 6 5 2 9" xfId="37292"/>
    <cellStyle name="常规 2 6 5 2 9 2" xfId="37293"/>
    <cellStyle name="常规 2 6 5 3" xfId="37294"/>
    <cellStyle name="常规 2 6 5 3 2" xfId="37295"/>
    <cellStyle name="常规 2 6 5 3 2 2" xfId="37296"/>
    <cellStyle name="常规 2 6 5 3 2 3" xfId="37297"/>
    <cellStyle name="常规 2 6 5 3 2 4" xfId="37298"/>
    <cellStyle name="常规 2 6 5 3 3" xfId="37299"/>
    <cellStyle name="常规 2 6 5 3 4" xfId="37300"/>
    <cellStyle name="常规 2 6 5 3 5" xfId="37301"/>
    <cellStyle name="常规 2 6 5 3 6" xfId="37302"/>
    <cellStyle name="常规 2 6 5 3 6 2" xfId="37303"/>
    <cellStyle name="常规 2 6 5 4" xfId="37304"/>
    <cellStyle name="常规 2 6 5 4 2" xfId="37305"/>
    <cellStyle name="常规 2 6 5 4 2 2" xfId="37306"/>
    <cellStyle name="常规 2 6 5 4 2 3" xfId="37307"/>
    <cellStyle name="常规 2 6 5 4 2 4" xfId="37308"/>
    <cellStyle name="常规 2 6 5 4 2 5" xfId="37309"/>
    <cellStyle name="常规 2 6 5 4 3" xfId="37310"/>
    <cellStyle name="常规 2 6 5 4 4" xfId="37311"/>
    <cellStyle name="常规 2 6 5 4 5" xfId="37312"/>
    <cellStyle name="常规 2 6 5 4 6" xfId="37313"/>
    <cellStyle name="常规 2 6 5 5" xfId="37314"/>
    <cellStyle name="常规 2 6 5 5 2" xfId="37315"/>
    <cellStyle name="常规 2 6 5 5 2 2" xfId="37316"/>
    <cellStyle name="常规 2 6 5 5 3" xfId="37317"/>
    <cellStyle name="常规 2 6 5 5 4" xfId="37318"/>
    <cellStyle name="常规 2 6 5 5 5" xfId="37319"/>
    <cellStyle name="常规 2 6 5 6" xfId="37320"/>
    <cellStyle name="常规 2 6 5 7" xfId="37321"/>
    <cellStyle name="常规 2 6 5 8" xfId="37322"/>
    <cellStyle name="常规 2 6 5 9" xfId="37323"/>
    <cellStyle name="常规 2 6 5 9 2" xfId="37324"/>
    <cellStyle name="常规 2 6 6" xfId="37325"/>
    <cellStyle name="常规 2 6 6 10" xfId="37326"/>
    <cellStyle name="常规 2 6 6 2" xfId="37327"/>
    <cellStyle name="常规 2 6 6 2 10" xfId="37328"/>
    <cellStyle name="常规 2 6 6 2 2" xfId="37329"/>
    <cellStyle name="常规 2 6 6 2 2 2" xfId="37330"/>
    <cellStyle name="常规 2 6 6 2 2 2 2" xfId="37331"/>
    <cellStyle name="常规 2 6 6 2 2 2 2 2" xfId="37332"/>
    <cellStyle name="常规 2 6 6 2 2 2 2 3" xfId="37333"/>
    <cellStyle name="常规 2 6 6 2 2 2 2 4" xfId="37334"/>
    <cellStyle name="常规 2 6 6 2 2 2 3" xfId="37335"/>
    <cellStyle name="常规 2 6 6 2 2 2 4" xfId="37336"/>
    <cellStyle name="常规 2 6 6 2 2 2 5" xfId="37337"/>
    <cellStyle name="常规 2 6 6 2 2 3" xfId="37338"/>
    <cellStyle name="常规 2 6 6 2 2 3 2" xfId="37339"/>
    <cellStyle name="常规 2 6 6 2 2 3 2 2" xfId="37340"/>
    <cellStyle name="常规 2 6 6 2 2 3 2 3" xfId="37341"/>
    <cellStyle name="常规 2 6 6 2 2 3 2 4" xfId="37342"/>
    <cellStyle name="常规 2 6 6 2 2 3 3" xfId="37343"/>
    <cellStyle name="常规 2 6 6 2 2 3 4" xfId="37344"/>
    <cellStyle name="常规 2 6 6 2 2 3 5" xfId="37345"/>
    <cellStyle name="常规 2 6 6 2 2 4" xfId="37346"/>
    <cellStyle name="常规 2 6 6 2 2 4 2" xfId="37347"/>
    <cellStyle name="常规 2 6 6 2 2 4 3" xfId="37348"/>
    <cellStyle name="常规 2 6 6 2 2 4 4" xfId="37349"/>
    <cellStyle name="常规 2 6 6 2 2 5" xfId="37350"/>
    <cellStyle name="常规 2 6 6 2 2 6" xfId="37351"/>
    <cellStyle name="常规 2 6 6 2 2 7" xfId="37352"/>
    <cellStyle name="常规 2 6 6 2 2 8" xfId="37353"/>
    <cellStyle name="常规 2 6 6 2 3" xfId="37354"/>
    <cellStyle name="常规 2 6 6 2 3 2" xfId="37355"/>
    <cellStyle name="常规 2 6 6 2 3 2 2" xfId="37356"/>
    <cellStyle name="常规 2 6 6 2 3 2 3" xfId="37357"/>
    <cellStyle name="常规 2 6 6 2 3 2 4" xfId="37358"/>
    <cellStyle name="常规 2 6 6 2 3 3" xfId="37359"/>
    <cellStyle name="常规 2 6 6 2 3 4" xfId="37360"/>
    <cellStyle name="常规 2 6 6 2 3 5" xfId="37361"/>
    <cellStyle name="常规 2 6 6 2 4" xfId="37362"/>
    <cellStyle name="常规 2 6 6 2 4 2" xfId="37363"/>
    <cellStyle name="常规 2 6 6 2 4 2 2" xfId="37364"/>
    <cellStyle name="常规 2 6 6 2 4 2 3" xfId="37365"/>
    <cellStyle name="常规 2 6 6 2 4 2 4" xfId="37366"/>
    <cellStyle name="常规 2 6 6 2 4 3" xfId="37367"/>
    <cellStyle name="常规 2 6 6 2 4 4" xfId="37368"/>
    <cellStyle name="常规 2 6 6 2 4 5" xfId="37369"/>
    <cellStyle name="常规 2 6 6 2 5" xfId="37370"/>
    <cellStyle name="常规 2 6 6 2 5 2" xfId="37371"/>
    <cellStyle name="常规 2 6 6 2 5 3" xfId="37372"/>
    <cellStyle name="常规 2 6 6 2 5 4" xfId="37373"/>
    <cellStyle name="常规 2 6 6 2 6" xfId="37374"/>
    <cellStyle name="常规 2 6 6 2 7" xfId="37375"/>
    <cellStyle name="常规 2 6 6 2 8" xfId="37376"/>
    <cellStyle name="常规 2 6 6 2 9" xfId="37377"/>
    <cellStyle name="常规 2 6 6 2 9 2" xfId="37378"/>
    <cellStyle name="常规 2 6 6 3" xfId="37379"/>
    <cellStyle name="常规 2 6 6 3 2" xfId="37380"/>
    <cellStyle name="常规 2 6 6 3 2 2" xfId="37381"/>
    <cellStyle name="常规 2 6 6 3 2 3" xfId="37382"/>
    <cellStyle name="常规 2 6 6 3 2 4" xfId="37383"/>
    <cellStyle name="常规 2 6 6 3 2 5" xfId="37384"/>
    <cellStyle name="常规 2 6 6 3 3" xfId="37385"/>
    <cellStyle name="常规 2 6 6 3 4" xfId="37386"/>
    <cellStyle name="常规 2 6 6 3 5" xfId="37387"/>
    <cellStyle name="常规 2 6 6 3 6" xfId="37388"/>
    <cellStyle name="常规 2 6 6 4" xfId="37389"/>
    <cellStyle name="常规 2 6 6 4 2" xfId="37390"/>
    <cellStyle name="常规 2 6 6 4 2 2" xfId="37391"/>
    <cellStyle name="常规 2 6 6 4 2 3" xfId="37392"/>
    <cellStyle name="常规 2 6 6 4 2 4" xfId="37393"/>
    <cellStyle name="常规 2 6 6 4 2 5" xfId="37394"/>
    <cellStyle name="常规 2 6 6 4 3" xfId="37395"/>
    <cellStyle name="常规 2 6 6 4 4" xfId="37396"/>
    <cellStyle name="常规 2 6 6 4 5" xfId="37397"/>
    <cellStyle name="常规 2 6 6 4 6" xfId="37398"/>
    <cellStyle name="常规 2 6 6 5" xfId="37399"/>
    <cellStyle name="常规 2 6 6 5 2" xfId="37400"/>
    <cellStyle name="常规 2 6 6 5 3" xfId="37401"/>
    <cellStyle name="常规 2 6 6 5 4" xfId="37402"/>
    <cellStyle name="常规 2 6 6 5 5" xfId="37403"/>
    <cellStyle name="常规 2 6 6 6" xfId="37404"/>
    <cellStyle name="常规 2 6 6 7" xfId="37405"/>
    <cellStyle name="常规 2 6 6 8" xfId="37406"/>
    <cellStyle name="常规 2 6 6 9" xfId="37407"/>
    <cellStyle name="常规 2 6 6 9 2" xfId="37408"/>
    <cellStyle name="常规 2 6 7" xfId="37409"/>
    <cellStyle name="常规 2 6 7 2" xfId="37410"/>
    <cellStyle name="常规 2 6 7 2 2" xfId="37411"/>
    <cellStyle name="常规 2 6 7 2 2 2" xfId="37412"/>
    <cellStyle name="常规 2 6 7 2 2 2 2" xfId="37413"/>
    <cellStyle name="常规 2 6 7 2 2 2 3" xfId="37414"/>
    <cellStyle name="常规 2 6 7 2 2 2 4" xfId="37415"/>
    <cellStyle name="常规 2 6 7 2 2 3" xfId="37416"/>
    <cellStyle name="常规 2 6 7 2 2 4" xfId="37417"/>
    <cellStyle name="常规 2 6 7 2 2 5" xfId="37418"/>
    <cellStyle name="常规 2 6 7 2 3" xfId="37419"/>
    <cellStyle name="常规 2 6 7 2 3 2" xfId="37420"/>
    <cellStyle name="常规 2 6 7 2 3 2 2" xfId="37421"/>
    <cellStyle name="常规 2 6 7 2 3 2 3" xfId="37422"/>
    <cellStyle name="常规 2 6 7 2 3 2 4" xfId="37423"/>
    <cellStyle name="常规 2 6 7 2 3 3" xfId="37424"/>
    <cellStyle name="常规 2 6 7 2 3 4" xfId="37425"/>
    <cellStyle name="常规 2 6 7 2 3 5" xfId="37426"/>
    <cellStyle name="常规 2 6 7 2 4" xfId="37427"/>
    <cellStyle name="常规 2 6 7 2 4 2" xfId="37428"/>
    <cellStyle name="常规 2 6 7 2 4 3" xfId="37429"/>
    <cellStyle name="常规 2 6 7 2 4 4" xfId="37430"/>
    <cellStyle name="常规 2 6 7 2 5" xfId="37431"/>
    <cellStyle name="常规 2 6 7 2 6" xfId="37432"/>
    <cellStyle name="常规 2 6 7 2 7" xfId="37433"/>
    <cellStyle name="常规 2 6 7 3" xfId="37434"/>
    <cellStyle name="常规 2 6 7 3 2" xfId="37435"/>
    <cellStyle name="常规 2 6 7 3 2 2" xfId="37436"/>
    <cellStyle name="常规 2 6 7 3 2 3" xfId="37437"/>
    <cellStyle name="常规 2 6 7 3 2 4" xfId="37438"/>
    <cellStyle name="常规 2 6 7 3 3" xfId="37439"/>
    <cellStyle name="常规 2 6 7 3 4" xfId="37440"/>
    <cellStyle name="常规 2 6 7 3 5" xfId="37441"/>
    <cellStyle name="常规 2 6 7 4" xfId="37442"/>
    <cellStyle name="常规 2 6 7 4 2" xfId="37443"/>
    <cellStyle name="常规 2 6 7 4 2 2" xfId="37444"/>
    <cellStyle name="常规 2 6 7 4 2 3" xfId="37445"/>
    <cellStyle name="常规 2 6 7 4 2 4" xfId="37446"/>
    <cellStyle name="常规 2 6 7 4 3" xfId="37447"/>
    <cellStyle name="常规 2 6 7 4 4" xfId="37448"/>
    <cellStyle name="常规 2 6 7 4 5" xfId="37449"/>
    <cellStyle name="常规 2 6 7 5" xfId="37450"/>
    <cellStyle name="常规 2 6 7 5 2" xfId="37451"/>
    <cellStyle name="常规 2 6 7 5 3" xfId="37452"/>
    <cellStyle name="常规 2 6 7 5 4" xfId="37453"/>
    <cellStyle name="常规 2 6 7 6" xfId="37454"/>
    <cellStyle name="常规 2 6 7 7" xfId="37455"/>
    <cellStyle name="常规 2 6 7 8" xfId="37456"/>
    <cellStyle name="常规 2 6 7 9" xfId="37457"/>
    <cellStyle name="常规 2 6 7 9 2" xfId="37458"/>
    <cellStyle name="常规 2 6 8" xfId="37459"/>
    <cellStyle name="常规 2 6 8 2" xfId="37460"/>
    <cellStyle name="常规 2 6 8 2 2" xfId="37461"/>
    <cellStyle name="常规 2 6 8 2 3" xfId="37462"/>
    <cellStyle name="常规 2 6 8 2 4" xfId="37463"/>
    <cellStyle name="常规 2 6 8 3" xfId="37464"/>
    <cellStyle name="常规 2 6 8 4" xfId="37465"/>
    <cellStyle name="常规 2 6 8 5" xfId="37466"/>
    <cellStyle name="常规 2 6 8 6" xfId="37467"/>
    <cellStyle name="常规 2 6 8 6 2" xfId="37468"/>
    <cellStyle name="常规 2 6 9" xfId="37469"/>
    <cellStyle name="常规 2 6 9 2" xfId="37470"/>
    <cellStyle name="常规 2 6 9 2 2" xfId="37471"/>
    <cellStyle name="常规 2 6 9 2 3" xfId="37472"/>
    <cellStyle name="常规 2 6 9 2 4" xfId="37473"/>
    <cellStyle name="常规 2 6 9 2 5" xfId="37474"/>
    <cellStyle name="常规 2 6 9 3" xfId="37475"/>
    <cellStyle name="常规 2 6 9 4" xfId="37476"/>
    <cellStyle name="常规 2 6 9 5" xfId="37477"/>
    <cellStyle name="常规 2 6 9 6" xfId="37478"/>
    <cellStyle name="常规 2 7" xfId="37479"/>
    <cellStyle name="常规 2 7 10" xfId="37480"/>
    <cellStyle name="常规 2 7 10 2" xfId="37481"/>
    <cellStyle name="常规 2 7 10 3" xfId="37482"/>
    <cellStyle name="常规 2 7 11" xfId="37483"/>
    <cellStyle name="常规 2 7 11 2" xfId="37484"/>
    <cellStyle name="常规 2 7 2" xfId="37485"/>
    <cellStyle name="常规 2 7 2 10" xfId="37486"/>
    <cellStyle name="常规 2 7 2 10 2" xfId="37487"/>
    <cellStyle name="常规 2 7 2 2" xfId="37488"/>
    <cellStyle name="常规 2 7 2 2 2" xfId="37489"/>
    <cellStyle name="常规 2 7 2 2 2 2" xfId="37490"/>
    <cellStyle name="常规 2 7 2 2 2 2 2" xfId="37491"/>
    <cellStyle name="常规 2 7 2 2 2 2 3" xfId="37492"/>
    <cellStyle name="常规 2 7 2 2 2 2 4" xfId="37493"/>
    <cellStyle name="常规 2 7 2 2 2 2 4 2" xfId="37494"/>
    <cellStyle name="常规 2 7 2 2 2 2 4 3" xfId="37495"/>
    <cellStyle name="常规 2 7 2 2 2 2 5" xfId="37496"/>
    <cellStyle name="常规 2 7 2 2 2 2 5 2" xfId="37497"/>
    <cellStyle name="常规 2 7 2 2 2 3" xfId="37498"/>
    <cellStyle name="常规 2 7 2 2 2 3 2" xfId="37499"/>
    <cellStyle name="常规 2 7 2 2 2 3 2 2" xfId="37500"/>
    <cellStyle name="常规 2 7 2 2 2 3 2 2 2" xfId="37501"/>
    <cellStyle name="常规 2 7 2 2 2 3 3" xfId="37502"/>
    <cellStyle name="常规 2 7 2 2 2 3 3 2" xfId="37503"/>
    <cellStyle name="常规 2 7 2 2 2 3 3 2 2" xfId="37504"/>
    <cellStyle name="常规 2 7 2 2 2 3 4" xfId="37505"/>
    <cellStyle name="常规 2 7 2 2 2 3 4 2" xfId="37506"/>
    <cellStyle name="常规 2 7 2 2 2 3 5" xfId="37507"/>
    <cellStyle name="常规 2 7 2 2 2 4" xfId="37508"/>
    <cellStyle name="常规 2 7 2 2 2 4 2" xfId="37509"/>
    <cellStyle name="常规 2 7 2 2 2 4 2 2" xfId="37510"/>
    <cellStyle name="常规 2 7 2 2 2 5" xfId="37511"/>
    <cellStyle name="常规 2 7 2 2 2 6" xfId="37512"/>
    <cellStyle name="常规 2 7 2 2 2 7" xfId="37513"/>
    <cellStyle name="常规 2 7 2 2 2 7 2" xfId="37514"/>
    <cellStyle name="常规 2 7 2 2 2 7 3" xfId="37515"/>
    <cellStyle name="常规 2 7 2 2 2 8" xfId="37516"/>
    <cellStyle name="常规 2 7 2 2 2 8 2" xfId="37517"/>
    <cellStyle name="常规 2 7 2 2 3" xfId="37518"/>
    <cellStyle name="常规 2 7 2 2 3 2" xfId="37519"/>
    <cellStyle name="常规 2 7 2 2 3 3" xfId="37520"/>
    <cellStyle name="常规 2 7 2 2 3 4" xfId="37521"/>
    <cellStyle name="常规 2 7 2 2 3 4 2" xfId="37522"/>
    <cellStyle name="常规 2 7 2 2 3 4 3" xfId="37523"/>
    <cellStyle name="常规 2 7 2 2 3 5" xfId="37524"/>
    <cellStyle name="常规 2 7 2 2 3 5 2" xfId="37525"/>
    <cellStyle name="常规 2 7 2 2 4" xfId="37526"/>
    <cellStyle name="常规 2 7 2 2 4 2" xfId="37527"/>
    <cellStyle name="常规 2 7 2 2 4 2 2" xfId="37528"/>
    <cellStyle name="常规 2 7 2 2 5" xfId="37529"/>
    <cellStyle name="常规 2 7 2 2 5 2" xfId="37530"/>
    <cellStyle name="常规 2 7 2 2 5 2 2" xfId="37531"/>
    <cellStyle name="常规 2 7 2 2 6" xfId="37532"/>
    <cellStyle name="常规 2 7 2 2 7" xfId="37533"/>
    <cellStyle name="常规 2 7 2 2 8" xfId="37534"/>
    <cellStyle name="常规 2 7 2 2 8 2" xfId="37535"/>
    <cellStyle name="常规 2 7 2 2 8 3" xfId="37536"/>
    <cellStyle name="常规 2 7 2 2 9" xfId="37537"/>
    <cellStyle name="常规 2 7 2 2 9 2" xfId="37538"/>
    <cellStyle name="常规 2 7 2 3" xfId="37539"/>
    <cellStyle name="常规 2 7 2 3 2" xfId="37540"/>
    <cellStyle name="常规 2 7 2 3 2 2" xfId="37541"/>
    <cellStyle name="常规 2 7 2 3 2 2 2" xfId="37542"/>
    <cellStyle name="常规 2 7 2 3 2 2 2 2" xfId="37543"/>
    <cellStyle name="常规 2 7 2 3 2 3" xfId="37544"/>
    <cellStyle name="常规 2 7 2 3 2 3 2" xfId="37545"/>
    <cellStyle name="常规 2 7 2 3 2 3 2 2" xfId="37546"/>
    <cellStyle name="常规 2 7 2 3 2 4" xfId="37547"/>
    <cellStyle name="常规 2 7 2 3 2 4 2" xfId="37548"/>
    <cellStyle name="常规 2 7 2 3 2 4 2 2" xfId="37549"/>
    <cellStyle name="常规 2 7 2 3 2 5" xfId="37550"/>
    <cellStyle name="常规 2 7 2 3 2 5 2" xfId="37551"/>
    <cellStyle name="常规 2 7 2 3 2 5 3" xfId="37552"/>
    <cellStyle name="常规 2 7 2 3 2 6" xfId="37553"/>
    <cellStyle name="常规 2 7 2 3 3" xfId="37554"/>
    <cellStyle name="常规 2 7 2 3 3 2" xfId="37555"/>
    <cellStyle name="常规 2 7 2 3 3 2 2" xfId="37556"/>
    <cellStyle name="常规 2 7 2 3 3 2 2 2" xfId="37557"/>
    <cellStyle name="常规 2 7 2 3 3 3" xfId="37558"/>
    <cellStyle name="常规 2 7 2 3 3 3 2" xfId="37559"/>
    <cellStyle name="常规 2 7 2 3 3 3 2 2" xfId="37560"/>
    <cellStyle name="常规 2 7 2 3 3 4" xfId="37561"/>
    <cellStyle name="常规 2 7 2 3 3 4 2" xfId="37562"/>
    <cellStyle name="常规 2 7 2 3 3 5" xfId="37563"/>
    <cellStyle name="常规 2 7 2 3 4" xfId="37564"/>
    <cellStyle name="常规 2 7 2 3 4 2" xfId="37565"/>
    <cellStyle name="常规 2 7 2 3 4 2 2" xfId="37566"/>
    <cellStyle name="常规 2 7 2 3 5" xfId="37567"/>
    <cellStyle name="常规 2 7 2 3 5 2" xfId="37568"/>
    <cellStyle name="常规 2 7 2 3 5 2 2" xfId="37569"/>
    <cellStyle name="常规 2 7 2 3 6" xfId="37570"/>
    <cellStyle name="常规 2 7 2 3 7" xfId="37571"/>
    <cellStyle name="常规 2 7 2 3 7 2" xfId="37572"/>
    <cellStyle name="常规 2 7 2 3 7 3" xfId="37573"/>
    <cellStyle name="常规 2 7 2 3 8" xfId="37574"/>
    <cellStyle name="常规 2 7 2 3 8 2" xfId="37575"/>
    <cellStyle name="常规 2 7 2 4" xfId="37576"/>
    <cellStyle name="常规 2 7 2 4 2" xfId="37577"/>
    <cellStyle name="常规 2 7 2 4 2 2" xfId="37578"/>
    <cellStyle name="常规 2 7 2 4 2 2 2" xfId="37579"/>
    <cellStyle name="常规 2 7 2 4 3" xfId="37580"/>
    <cellStyle name="常规 2 7 2 4 3 2" xfId="37581"/>
    <cellStyle name="常规 2 7 2 4 3 2 2" xfId="37582"/>
    <cellStyle name="常规 2 7 2 4 4" xfId="37583"/>
    <cellStyle name="常规 2 7 2 4 4 2" xfId="37584"/>
    <cellStyle name="常规 2 7 2 4 4 2 2" xfId="37585"/>
    <cellStyle name="常规 2 7 2 4 5" xfId="37586"/>
    <cellStyle name="常规 2 7 2 4 5 2" xfId="37587"/>
    <cellStyle name="常规 2 7 2 4 5 3" xfId="37588"/>
    <cellStyle name="常规 2 7 2 4 6" xfId="37589"/>
    <cellStyle name="常规 2 7 2 5" xfId="37590"/>
    <cellStyle name="常规 2 7 2 5 2" xfId="37591"/>
    <cellStyle name="常规 2 7 2 5 2 2" xfId="37592"/>
    <cellStyle name="常规 2 7 2 6" xfId="37593"/>
    <cellStyle name="常规 2 7 2 6 2" xfId="37594"/>
    <cellStyle name="常规 2 7 2 6 2 2" xfId="37595"/>
    <cellStyle name="常规 2 7 2 7" xfId="37596"/>
    <cellStyle name="常规 2 7 2 7 2" xfId="37597"/>
    <cellStyle name="常规 2 7 2 7 2 2" xfId="37598"/>
    <cellStyle name="常规 2 7 2 8" xfId="37599"/>
    <cellStyle name="常规 2 7 2 9" xfId="37600"/>
    <cellStyle name="常规 2 7 2 9 2" xfId="37601"/>
    <cellStyle name="常规 2 7 2 9 3" xfId="37602"/>
    <cellStyle name="常规 2 7 3" xfId="37603"/>
    <cellStyle name="常规 2 7 3 2" xfId="37604"/>
    <cellStyle name="常规 2 7 3 2 2" xfId="37605"/>
    <cellStyle name="常规 2 7 3 2 2 2" xfId="37606"/>
    <cellStyle name="常规 2 7 3 2 2 2 2" xfId="37607"/>
    <cellStyle name="常规 2 7 3 2 3" xfId="37608"/>
    <cellStyle name="常规 2 7 3 2 3 2" xfId="37609"/>
    <cellStyle name="常规 2 7 3 2 3 2 2" xfId="37610"/>
    <cellStyle name="常规 2 7 3 2 4" xfId="37611"/>
    <cellStyle name="常规 2 7 3 2 4 2" xfId="37612"/>
    <cellStyle name="常规 2 7 3 2 4 2 2" xfId="37613"/>
    <cellStyle name="常规 2 7 3 2 5" xfId="37614"/>
    <cellStyle name="常规 2 7 3 2 5 2" xfId="37615"/>
    <cellStyle name="常规 2 7 3 2 5 3" xfId="37616"/>
    <cellStyle name="常规 2 7 3 2 6" xfId="37617"/>
    <cellStyle name="常规 2 7 3 3" xfId="37618"/>
    <cellStyle name="常规 2 7 3 3 2" xfId="37619"/>
    <cellStyle name="常规 2 7 3 3 2 2" xfId="37620"/>
    <cellStyle name="常规 2 7 3 3 2 2 2" xfId="37621"/>
    <cellStyle name="常规 2 7 3 3 3" xfId="37622"/>
    <cellStyle name="常规 2 7 3 3 3 2" xfId="37623"/>
    <cellStyle name="常规 2 7 3 3 3 2 2" xfId="37624"/>
    <cellStyle name="常规 2 7 3 3 4" xfId="37625"/>
    <cellStyle name="常规 2 7 3 3 4 2" xfId="37626"/>
    <cellStyle name="常规 2 7 3 3 5" xfId="37627"/>
    <cellStyle name="常规 2 7 3 4" xfId="37628"/>
    <cellStyle name="常规 2 7 3 4 2" xfId="37629"/>
    <cellStyle name="常规 2 7 3 4 2 2" xfId="37630"/>
    <cellStyle name="常规 2 7 3 5" xfId="37631"/>
    <cellStyle name="常规 2 7 3 5 2" xfId="37632"/>
    <cellStyle name="常规 2 7 3 5 2 2" xfId="37633"/>
    <cellStyle name="常规 2 7 3 6" xfId="37634"/>
    <cellStyle name="常规 2 7 3 7" xfId="37635"/>
    <cellStyle name="常规 2 7 3 7 2" xfId="37636"/>
    <cellStyle name="常规 2 7 3 7 3" xfId="37637"/>
    <cellStyle name="常规 2 7 3 8" xfId="37638"/>
    <cellStyle name="常规 2 7 3 8 2" xfId="37639"/>
    <cellStyle name="常规 2 7 4" xfId="37640"/>
    <cellStyle name="常规 2 7 4 2" xfId="37641"/>
    <cellStyle name="常规 2 7 4 2 2" xfId="37642"/>
    <cellStyle name="常规 2 7 4 2 2 2" xfId="37643"/>
    <cellStyle name="常规 2 7 4 2 2 2 2" xfId="37644"/>
    <cellStyle name="常规 2 7 4 2 3" xfId="37645"/>
    <cellStyle name="常规 2 7 4 2 3 2" xfId="37646"/>
    <cellStyle name="常规 2 7 4 2 3 2 2" xfId="37647"/>
    <cellStyle name="常规 2 7 4 2 4" xfId="37648"/>
    <cellStyle name="常规 2 7 4 2 4 2" xfId="37649"/>
    <cellStyle name="常规 2 7 4 2 4 2 2" xfId="37650"/>
    <cellStyle name="常规 2 7 4 2 5" xfId="37651"/>
    <cellStyle name="常规 2 7 4 2 5 2" xfId="37652"/>
    <cellStyle name="常规 2 7 4 2 5 3" xfId="37653"/>
    <cellStyle name="常规 2 7 4 2 6" xfId="37654"/>
    <cellStyle name="常规 2 7 4 3" xfId="37655"/>
    <cellStyle name="常规 2 7 4 3 2" xfId="37656"/>
    <cellStyle name="常规 2 7 4 3 2 2" xfId="37657"/>
    <cellStyle name="常规 2 7 4 4" xfId="37658"/>
    <cellStyle name="常规 2 7 4 4 2" xfId="37659"/>
    <cellStyle name="常规 2 7 4 4 2 2" xfId="37660"/>
    <cellStyle name="常规 2 7 4 5" xfId="37661"/>
    <cellStyle name="常规 2 7 4 5 2" xfId="37662"/>
    <cellStyle name="常规 2 7 4 5 2 2" xfId="37663"/>
    <cellStyle name="常规 2 7 4 6" xfId="37664"/>
    <cellStyle name="常规 2 7 4 7" xfId="37665"/>
    <cellStyle name="常规 2 7 4 7 2" xfId="37666"/>
    <cellStyle name="常规 2 7 4 7 3" xfId="37667"/>
    <cellStyle name="常规 2 7 4 8" xfId="37668"/>
    <cellStyle name="常规 2 7 4 8 2" xfId="37669"/>
    <cellStyle name="常规 2 7 5" xfId="37670"/>
    <cellStyle name="常规 2 7 5 2" xfId="37671"/>
    <cellStyle name="常规 2 7 5 2 2" xfId="37672"/>
    <cellStyle name="常规 2 7 5 2 2 2" xfId="37673"/>
    <cellStyle name="常规 2 7 5 2 2 2 2" xfId="37674"/>
    <cellStyle name="常规 2 7 5 2 3" xfId="37675"/>
    <cellStyle name="常规 2 7 5 2 3 2" xfId="37676"/>
    <cellStyle name="常规 2 7 5 2 3 2 2" xfId="37677"/>
    <cellStyle name="常规 2 7 5 2 4" xfId="37678"/>
    <cellStyle name="常规 2 7 5 2 4 2" xfId="37679"/>
    <cellStyle name="常规 2 7 5 2 5" xfId="37680"/>
    <cellStyle name="常规 2 7 5 3" xfId="37681"/>
    <cellStyle name="常规 2 7 5 3 2" xfId="37682"/>
    <cellStyle name="常规 2 7 5 3 2 2" xfId="37683"/>
    <cellStyle name="常规 2 7 5 4" xfId="37684"/>
    <cellStyle name="常规 2 7 5 4 2" xfId="37685"/>
    <cellStyle name="常规 2 7 5 4 2 2" xfId="37686"/>
    <cellStyle name="常规 2 7 5 5" xfId="37687"/>
    <cellStyle name="常规 2 7 5 5 2" xfId="37688"/>
    <cellStyle name="常规 2 7 5 5 3" xfId="37689"/>
    <cellStyle name="常规 2 7 5 6" xfId="37690"/>
    <cellStyle name="常规 2 7 6" xfId="37691"/>
    <cellStyle name="常规 2 7 6 2" xfId="37692"/>
    <cellStyle name="常规 2 7 6 2 2" xfId="37693"/>
    <cellStyle name="常规 2 7 6 2 2 2" xfId="37694"/>
    <cellStyle name="常规 2 7 6 3" xfId="37695"/>
    <cellStyle name="常规 2 7 6 3 2" xfId="37696"/>
    <cellStyle name="常规 2 7 6 3 2 2" xfId="37697"/>
    <cellStyle name="常规 2 7 6 4" xfId="37698"/>
    <cellStyle name="常规 2 7 6 4 2" xfId="37699"/>
    <cellStyle name="常规 2 7 6 5" xfId="37700"/>
    <cellStyle name="常规 2 7 7" xfId="37701"/>
    <cellStyle name="常规 2 7 7 2" xfId="37702"/>
    <cellStyle name="常规 2 7 7 2 2" xfId="37703"/>
    <cellStyle name="常规 2 7 8" xfId="37704"/>
    <cellStyle name="常规 2 7 8 2" xfId="37705"/>
    <cellStyle name="常规 2 7 8 2 2" xfId="37706"/>
    <cellStyle name="常规 2 7 9" xfId="37707"/>
    <cellStyle name="常规 2 8" xfId="37708"/>
    <cellStyle name="常规 2 8 10" xfId="37709"/>
    <cellStyle name="常规 2 8 10 2" xfId="37710"/>
    <cellStyle name="常规 2 8 2" xfId="37711"/>
    <cellStyle name="常规 2 8 2 2" xfId="37712"/>
    <cellStyle name="常规 2 8 2 2 2" xfId="37713"/>
    <cellStyle name="常规 2 8 2 2 2 2" xfId="37714"/>
    <cellStyle name="常规 2 8 2 2 2 3" xfId="37715"/>
    <cellStyle name="常规 2 8 2 2 2 4" xfId="37716"/>
    <cellStyle name="常规 2 8 2 2 2 5" xfId="37717"/>
    <cellStyle name="常规 2 8 2 2 2 5 2" xfId="37718"/>
    <cellStyle name="常规 2 8 2 2 3" xfId="37719"/>
    <cellStyle name="常规 2 8 2 2 3 2" xfId="37720"/>
    <cellStyle name="常规 2 8 2 2 3 2 2" xfId="37721"/>
    <cellStyle name="常规 2 8 2 2 4" xfId="37722"/>
    <cellStyle name="常规 2 8 2 2 4 2" xfId="37723"/>
    <cellStyle name="常规 2 8 2 2 4 2 2" xfId="37724"/>
    <cellStyle name="常规 2 8 2 2 5" xfId="37725"/>
    <cellStyle name="常规 2 8 2 2 5 2" xfId="37726"/>
    <cellStyle name="常规 2 8 2 2 5 3" xfId="37727"/>
    <cellStyle name="常规 2 8 2 2 6" xfId="37728"/>
    <cellStyle name="常规 2 8 2 2 6 2" xfId="37729"/>
    <cellStyle name="常规 2 8 2 2 7" xfId="37730"/>
    <cellStyle name="常规 2 8 2 3" xfId="37731"/>
    <cellStyle name="常规 2 8 2 3 2" xfId="37732"/>
    <cellStyle name="常规 2 8 2 3 2 2" xfId="37733"/>
    <cellStyle name="常规 2 8 2 3 2 3" xfId="37734"/>
    <cellStyle name="常规 2 8 2 3 2 4" xfId="37735"/>
    <cellStyle name="常规 2 8 2 3 3" xfId="37736"/>
    <cellStyle name="常规 2 8 2 3 4" xfId="37737"/>
    <cellStyle name="常规 2 8 2 3 5" xfId="37738"/>
    <cellStyle name="常规 2 8 2 3 6" xfId="37739"/>
    <cellStyle name="常规 2 8 2 3 6 2" xfId="37740"/>
    <cellStyle name="常规 2 8 2 4" xfId="37741"/>
    <cellStyle name="常规 2 8 2 4 2" xfId="37742"/>
    <cellStyle name="常规 2 8 2 4 3" xfId="37743"/>
    <cellStyle name="常规 2 8 2 4 4" xfId="37744"/>
    <cellStyle name="常规 2 8 2 4 5" xfId="37745"/>
    <cellStyle name="常规 2 8 2 4 5 2" xfId="37746"/>
    <cellStyle name="常规 2 8 2 5" xfId="37747"/>
    <cellStyle name="常规 2 8 2 5 2" xfId="37748"/>
    <cellStyle name="常规 2 8 2 5 2 2" xfId="37749"/>
    <cellStyle name="常规 2 8 2 6" xfId="37750"/>
    <cellStyle name="常规 2 8 2 6 2" xfId="37751"/>
    <cellStyle name="常规 2 8 2 6 2 2" xfId="37752"/>
    <cellStyle name="常规 2 8 2 7" xfId="37753"/>
    <cellStyle name="常规 2 8 2 7 2" xfId="37754"/>
    <cellStyle name="常规 2 8 2 7 2 2" xfId="37755"/>
    <cellStyle name="常规 2 8 2 8" xfId="37756"/>
    <cellStyle name="常规 2 8 2 8 2" xfId="37757"/>
    <cellStyle name="常规 2 8 2 8 3" xfId="37758"/>
    <cellStyle name="常规 2 8 2 9" xfId="37759"/>
    <cellStyle name="常规 2 8 3" xfId="37760"/>
    <cellStyle name="常规 2 8 3 2" xfId="37761"/>
    <cellStyle name="常规 2 8 3 2 2" xfId="37762"/>
    <cellStyle name="常规 2 8 3 2 2 2" xfId="37763"/>
    <cellStyle name="常规 2 8 3 2 2 2 2" xfId="37764"/>
    <cellStyle name="常规 2 8 3 2 3" xfId="37765"/>
    <cellStyle name="常规 2 8 3 2 3 2" xfId="37766"/>
    <cellStyle name="常规 2 8 3 2 3 2 2" xfId="37767"/>
    <cellStyle name="常规 2 8 3 2 4" xfId="37768"/>
    <cellStyle name="常规 2 8 3 2 4 2" xfId="37769"/>
    <cellStyle name="常规 2 8 3 2 4 2 2" xfId="37770"/>
    <cellStyle name="常规 2 8 3 2 5" xfId="37771"/>
    <cellStyle name="常规 2 8 3 2 5 2" xfId="37772"/>
    <cellStyle name="常规 2 8 3 2 5 3" xfId="37773"/>
    <cellStyle name="常规 2 8 3 2 6" xfId="37774"/>
    <cellStyle name="常规 2 8 3 3" xfId="37775"/>
    <cellStyle name="常规 2 8 3 3 2" xfId="37776"/>
    <cellStyle name="常规 2 8 3 3 2 2" xfId="37777"/>
    <cellStyle name="常规 2 8 3 3 2 2 2" xfId="37778"/>
    <cellStyle name="常规 2 8 3 3 3" xfId="37779"/>
    <cellStyle name="常规 2 8 3 3 3 2" xfId="37780"/>
    <cellStyle name="常规 2 8 3 3 3 2 2" xfId="37781"/>
    <cellStyle name="常规 2 8 3 3 4" xfId="37782"/>
    <cellStyle name="常规 2 8 3 3 4 2" xfId="37783"/>
    <cellStyle name="常规 2 8 3 3 5" xfId="37784"/>
    <cellStyle name="常规 2 8 3 4" xfId="37785"/>
    <cellStyle name="常规 2 8 3 4 2" xfId="37786"/>
    <cellStyle name="常规 2 8 3 4 2 2" xfId="37787"/>
    <cellStyle name="常规 2 8 3 5" xfId="37788"/>
    <cellStyle name="常规 2 8 3 5 2" xfId="37789"/>
    <cellStyle name="常规 2 8 3 5 2 2" xfId="37790"/>
    <cellStyle name="常规 2 8 3 6" xfId="37791"/>
    <cellStyle name="常规 2 8 3 7" xfId="37792"/>
    <cellStyle name="常规 2 8 3 7 2" xfId="37793"/>
    <cellStyle name="常规 2 8 3 7 3" xfId="37794"/>
    <cellStyle name="常规 2 8 3 8" xfId="37795"/>
    <cellStyle name="常规 2 8 3 8 2" xfId="37796"/>
    <cellStyle name="常规 2 8 4" xfId="37797"/>
    <cellStyle name="常规 2 8 4 2" xfId="37798"/>
    <cellStyle name="常规 2 8 4 2 2" xfId="37799"/>
    <cellStyle name="常规 2 8 4 2 3" xfId="37800"/>
    <cellStyle name="常规 2 8 4 2 4" xfId="37801"/>
    <cellStyle name="常规 2 8 4 2 5" xfId="37802"/>
    <cellStyle name="常规 2 8 4 2 5 2" xfId="37803"/>
    <cellStyle name="常规 2 8 4 3" xfId="37804"/>
    <cellStyle name="常规 2 8 4 3 2" xfId="37805"/>
    <cellStyle name="常规 2 8 4 3 2 2" xfId="37806"/>
    <cellStyle name="常规 2 8 4 4" xfId="37807"/>
    <cellStyle name="常规 2 8 4 4 2" xfId="37808"/>
    <cellStyle name="常规 2 8 4 4 2 2" xfId="37809"/>
    <cellStyle name="常规 2 8 4 5" xfId="37810"/>
    <cellStyle name="常规 2 8 4 5 2" xfId="37811"/>
    <cellStyle name="常规 2 8 4 5 3" xfId="37812"/>
    <cellStyle name="常规 2 8 4 6" xfId="37813"/>
    <cellStyle name="常规 2 8 4 6 2" xfId="37814"/>
    <cellStyle name="常规 2 8 4 7" xfId="37815"/>
    <cellStyle name="常规 2 8 5" xfId="37816"/>
    <cellStyle name="常规 2 8 5 2" xfId="37817"/>
    <cellStyle name="常规 2 8 5 3" xfId="37818"/>
    <cellStyle name="常规 2 8 5 4" xfId="37819"/>
    <cellStyle name="常规 2 8 5 5" xfId="37820"/>
    <cellStyle name="常规 2 8 5 5 2" xfId="37821"/>
    <cellStyle name="常规 2 8 6" xfId="37822"/>
    <cellStyle name="常规 2 8 6 2" xfId="37823"/>
    <cellStyle name="常规 2 8 6 2 2" xfId="37824"/>
    <cellStyle name="常规 2 8 7" xfId="37825"/>
    <cellStyle name="常规 2 8 7 2" xfId="37826"/>
    <cellStyle name="常规 2 8 7 2 2" xfId="37827"/>
    <cellStyle name="常规 2 8 8" xfId="37828"/>
    <cellStyle name="常规 2 8 8 2" xfId="37829"/>
    <cellStyle name="常规 2 8 8 2 2" xfId="37830"/>
    <cellStyle name="常规 2 8 9" xfId="37831"/>
    <cellStyle name="常规 2 8 9 2" xfId="37832"/>
    <cellStyle name="常规 2 8 9 3" xfId="37833"/>
    <cellStyle name="常规 2 9" xfId="37834"/>
    <cellStyle name="常规 2 9 10" xfId="37835"/>
    <cellStyle name="常规 2 9 10 2" xfId="37836"/>
    <cellStyle name="常规 2 9 2" xfId="37837"/>
    <cellStyle name="常规 2 9 2 2" xfId="37838"/>
    <cellStyle name="常规 2 9 2 2 2" xfId="37839"/>
    <cellStyle name="常规 2 9 2 2 2 2" xfId="37840"/>
    <cellStyle name="常规 2 9 2 2 2 2 2" xfId="37841"/>
    <cellStyle name="常规 2 9 2 2 2 2 2 2" xfId="37842"/>
    <cellStyle name="常规 2 9 2 2 2 3" xfId="37843"/>
    <cellStyle name="常规 2 9 2 2 2 3 2" xfId="37844"/>
    <cellStyle name="常规 2 9 2 2 2 3 2 2" xfId="37845"/>
    <cellStyle name="常规 2 9 2 2 2 4" xfId="37846"/>
    <cellStyle name="常规 2 9 2 2 2 4 2" xfId="37847"/>
    <cellStyle name="常规 2 9 2 2 2 4 2 2" xfId="37848"/>
    <cellStyle name="常规 2 9 2 2 2 5" xfId="37849"/>
    <cellStyle name="常规 2 9 2 2 2 5 2" xfId="37850"/>
    <cellStyle name="常规 2 9 2 2 2 5 3" xfId="37851"/>
    <cellStyle name="常规 2 9 2 2 2 6" xfId="37852"/>
    <cellStyle name="常规 2 9 2 2 3" xfId="37853"/>
    <cellStyle name="常规 2 9 2 2 3 2" xfId="37854"/>
    <cellStyle name="常规 2 9 2 2 3 2 2" xfId="37855"/>
    <cellStyle name="常规 2 9 2 2 3 2 2 2" xfId="37856"/>
    <cellStyle name="常规 2 9 2 2 3 3" xfId="37857"/>
    <cellStyle name="常规 2 9 2 2 3 3 2" xfId="37858"/>
    <cellStyle name="常规 2 9 2 2 3 3 2 2" xfId="37859"/>
    <cellStyle name="常规 2 9 2 2 3 4" xfId="37860"/>
    <cellStyle name="常规 2 9 2 2 3 4 2" xfId="37861"/>
    <cellStyle name="常规 2 9 2 2 3 5" xfId="37862"/>
    <cellStyle name="常规 2 9 2 2 4" xfId="37863"/>
    <cellStyle name="常规 2 9 2 2 4 2" xfId="37864"/>
    <cellStyle name="常规 2 9 2 2 4 2 2" xfId="37865"/>
    <cellStyle name="常规 2 9 2 2 5" xfId="37866"/>
    <cellStyle name="常规 2 9 2 2 5 2" xfId="37867"/>
    <cellStyle name="常规 2 9 2 2 5 2 2" xfId="37868"/>
    <cellStyle name="常规 2 9 2 2 6" xfId="37869"/>
    <cellStyle name="常规 2 9 2 2 7" xfId="37870"/>
    <cellStyle name="常规 2 9 2 2 7 2" xfId="37871"/>
    <cellStyle name="常规 2 9 2 2 7 3" xfId="37872"/>
    <cellStyle name="常规 2 9 2 2 8" xfId="37873"/>
    <cellStyle name="常规 2 9 2 2 8 2" xfId="37874"/>
    <cellStyle name="常规 2 9 2 3" xfId="37875"/>
    <cellStyle name="常规 2 9 2 3 2" xfId="37876"/>
    <cellStyle name="常规 2 9 2 3 2 2" xfId="37877"/>
    <cellStyle name="常规 2 9 2 3 2 3" xfId="37878"/>
    <cellStyle name="常规 2 9 2 3 2 4" xfId="37879"/>
    <cellStyle name="常规 2 9 2 3 2 5" xfId="37880"/>
    <cellStyle name="常规 2 9 2 3 2 5 2" xfId="37881"/>
    <cellStyle name="常规 2 9 2 3 3" xfId="37882"/>
    <cellStyle name="常规 2 9 2 3 3 2" xfId="37883"/>
    <cellStyle name="常规 2 9 2 3 3 2 2" xfId="37884"/>
    <cellStyle name="常规 2 9 2 3 4" xfId="37885"/>
    <cellStyle name="常规 2 9 2 3 4 2" xfId="37886"/>
    <cellStyle name="常规 2 9 2 3 4 2 2" xfId="37887"/>
    <cellStyle name="常规 2 9 2 3 5" xfId="37888"/>
    <cellStyle name="常规 2 9 2 3 5 2" xfId="37889"/>
    <cellStyle name="常规 2 9 2 3 5 3" xfId="37890"/>
    <cellStyle name="常规 2 9 2 3 6" xfId="37891"/>
    <cellStyle name="常规 2 9 2 3 6 2" xfId="37892"/>
    <cellStyle name="常规 2 9 2 3 7" xfId="37893"/>
    <cellStyle name="常规 2 9 2 4" xfId="37894"/>
    <cellStyle name="常规 2 9 2 4 2" xfId="37895"/>
    <cellStyle name="常规 2 9 2 4 3" xfId="37896"/>
    <cellStyle name="常规 2 9 2 4 4" xfId="37897"/>
    <cellStyle name="常规 2 9 2 4 5" xfId="37898"/>
    <cellStyle name="常规 2 9 2 4 5 2" xfId="37899"/>
    <cellStyle name="常规 2 9 2 5" xfId="37900"/>
    <cellStyle name="常规 2 9 2 5 2" xfId="37901"/>
    <cellStyle name="常规 2 9 2 5 2 2" xfId="37902"/>
    <cellStyle name="常规 2 9 2 6" xfId="37903"/>
    <cellStyle name="常规 2 9 2 6 2" xfId="37904"/>
    <cellStyle name="常规 2 9 2 6 2 2" xfId="37905"/>
    <cellStyle name="常规 2 9 2 7" xfId="37906"/>
    <cellStyle name="常规 2 9 2 7 2" xfId="37907"/>
    <cellStyle name="常规 2 9 2 7 2 2" xfId="37908"/>
    <cellStyle name="常规 2 9 2 8" xfId="37909"/>
    <cellStyle name="常规 2 9 2 8 2" xfId="37910"/>
    <cellStyle name="常规 2 9 2 8 3" xfId="37911"/>
    <cellStyle name="常规 2 9 2 9" xfId="37912"/>
    <cellStyle name="常规 2 9 2 9 2" xfId="37913"/>
    <cellStyle name="常规 2 9 3" xfId="37914"/>
    <cellStyle name="常规 2 9 3 2" xfId="37915"/>
    <cellStyle name="常规 2 9 3 2 2" xfId="37916"/>
    <cellStyle name="常规 2 9 3 2 2 2" xfId="37917"/>
    <cellStyle name="常规 2 9 3 2 2 2 2" xfId="37918"/>
    <cellStyle name="常规 2 9 3 2 3" xfId="37919"/>
    <cellStyle name="常规 2 9 3 2 3 2" xfId="37920"/>
    <cellStyle name="常规 2 9 3 2 3 2 2" xfId="37921"/>
    <cellStyle name="常规 2 9 3 2 4" xfId="37922"/>
    <cellStyle name="常规 2 9 3 2 4 2" xfId="37923"/>
    <cellStyle name="常规 2 9 3 2 4 2 2" xfId="37924"/>
    <cellStyle name="常规 2 9 3 2 5" xfId="37925"/>
    <cellStyle name="常规 2 9 3 2 5 2" xfId="37926"/>
    <cellStyle name="常规 2 9 3 2 5 3" xfId="37927"/>
    <cellStyle name="常规 2 9 3 2 6" xfId="37928"/>
    <cellStyle name="常规 2 9 3 3" xfId="37929"/>
    <cellStyle name="常规 2 9 3 3 2" xfId="37930"/>
    <cellStyle name="常规 2 9 3 3 2 2" xfId="37931"/>
    <cellStyle name="常规 2 9 3 3 2 2 2" xfId="37932"/>
    <cellStyle name="常规 2 9 3 3 3" xfId="37933"/>
    <cellStyle name="常规 2 9 3 3 3 2" xfId="37934"/>
    <cellStyle name="常规 2 9 3 3 3 2 2" xfId="37935"/>
    <cellStyle name="常规 2 9 3 3 4" xfId="37936"/>
    <cellStyle name="常规 2 9 3 3 4 2" xfId="37937"/>
    <cellStyle name="常规 2 9 3 3 5" xfId="37938"/>
    <cellStyle name="常规 2 9 3 4" xfId="37939"/>
    <cellStyle name="常规 2 9 3 4 2" xfId="37940"/>
    <cellStyle name="常规 2 9 3 4 2 2" xfId="37941"/>
    <cellStyle name="常规 2 9 3 5" xfId="37942"/>
    <cellStyle name="常规 2 9 3 5 2" xfId="37943"/>
    <cellStyle name="常规 2 9 3 5 2 2" xfId="37944"/>
    <cellStyle name="常规 2 9 3 6" xfId="37945"/>
    <cellStyle name="常规 2 9 3 7" xfId="37946"/>
    <cellStyle name="常规 2 9 3 7 2" xfId="37947"/>
    <cellStyle name="常规 2 9 3 7 3" xfId="37948"/>
    <cellStyle name="常规 2 9 3 8" xfId="37949"/>
    <cellStyle name="常规 2 9 3 8 2" xfId="37950"/>
    <cellStyle name="常规 2 9 4" xfId="37951"/>
    <cellStyle name="常规 2 9 4 2" xfId="37952"/>
    <cellStyle name="常规 2 9 4 2 2" xfId="37953"/>
    <cellStyle name="常规 2 9 4 2 3" xfId="37954"/>
    <cellStyle name="常规 2 9 4 2 4" xfId="37955"/>
    <cellStyle name="常规 2 9 4 2 5" xfId="37956"/>
    <cellStyle name="常规 2 9 4 2 5 2" xfId="37957"/>
    <cellStyle name="常规 2 9 4 3" xfId="37958"/>
    <cellStyle name="常规 2 9 4 3 2" xfId="37959"/>
    <cellStyle name="常规 2 9 4 3 2 2" xfId="37960"/>
    <cellStyle name="常规 2 9 4 4" xfId="37961"/>
    <cellStyle name="常规 2 9 4 4 2" xfId="37962"/>
    <cellStyle name="常规 2 9 4 4 2 2" xfId="37963"/>
    <cellStyle name="常规 2 9 4 5" xfId="37964"/>
    <cellStyle name="常规 2 9 4 5 2" xfId="37965"/>
    <cellStyle name="常规 2 9 4 5 3" xfId="37966"/>
    <cellStyle name="常规 2 9 4 6" xfId="37967"/>
    <cellStyle name="常规 2 9 4 6 2" xfId="37968"/>
    <cellStyle name="常规 2 9 4 7" xfId="37969"/>
    <cellStyle name="常规 2 9 5" xfId="37970"/>
    <cellStyle name="常规 2 9 5 2" xfId="37971"/>
    <cellStyle name="常规 2 9 5 3" xfId="37972"/>
    <cellStyle name="常规 2 9 5 4" xfId="37973"/>
    <cellStyle name="常规 2 9 5 5" xfId="37974"/>
    <cellStyle name="常规 2 9 5 5 2" xfId="37975"/>
    <cellStyle name="常规 2 9 6" xfId="37976"/>
    <cellStyle name="常规 2 9 6 2" xfId="37977"/>
    <cellStyle name="常规 2 9 6 2 2" xfId="37978"/>
    <cellStyle name="常规 2 9 7" xfId="37979"/>
    <cellStyle name="常规 2 9 7 2" xfId="37980"/>
    <cellStyle name="常规 2 9 7 2 2" xfId="37981"/>
    <cellStyle name="常规 2 9 8" xfId="37982"/>
    <cellStyle name="常规 2 9 8 2" xfId="37983"/>
    <cellStyle name="常规 2 9 8 2 2" xfId="37984"/>
    <cellStyle name="常规 2 9 9" xfId="37985"/>
    <cellStyle name="常规 2 9 9 2" xfId="37986"/>
    <cellStyle name="常规 2 9 9 3" xfId="37987"/>
    <cellStyle name="常规 20" xfId="37988"/>
    <cellStyle name="常规 20 2" xfId="37989"/>
    <cellStyle name="常规 20 3" xfId="37990"/>
    <cellStyle name="常规 20 3 2" xfId="37991"/>
    <cellStyle name="常规 20 3 2 2" xfId="37992"/>
    <cellStyle name="常规 20 3 3" xfId="37993"/>
    <cellStyle name="常规 20 4" xfId="37994"/>
    <cellStyle name="常规 20 4 2" xfId="37995"/>
    <cellStyle name="常规 20 4 2 2" xfId="37996"/>
    <cellStyle name="常规 20 5" xfId="37997"/>
    <cellStyle name="常规 20 5 2" xfId="37998"/>
    <cellStyle name="常规 20 6" xfId="37999"/>
    <cellStyle name="常规 21" xfId="38000"/>
    <cellStyle name="常规 21 2" xfId="38001"/>
    <cellStyle name="常规 21 2 2" xfId="38002"/>
    <cellStyle name="常规 22" xfId="38003"/>
    <cellStyle name="常规 22 10" xfId="38004"/>
    <cellStyle name="常规 22 10 2" xfId="38005"/>
    <cellStyle name="常规 22 11" xfId="38006"/>
    <cellStyle name="常规 22 11 2" xfId="38007"/>
    <cellStyle name="常规 22 12" xfId="38008"/>
    <cellStyle name="常规 22 12 2" xfId="38009"/>
    <cellStyle name="常规 22 13" xfId="38010"/>
    <cellStyle name="常规 22 14" xfId="38011"/>
    <cellStyle name="常规 22 2" xfId="38012"/>
    <cellStyle name="常规 22 2 10" xfId="38013"/>
    <cellStyle name="常规 22 2 11" xfId="38014"/>
    <cellStyle name="常规 22 2 2" xfId="38015"/>
    <cellStyle name="常规 22 2 2 2" xfId="38016"/>
    <cellStyle name="常规 22 2 2 3" xfId="38017"/>
    <cellStyle name="常规 22 2 3" xfId="38018"/>
    <cellStyle name="常规 22 2 3 2" xfId="38019"/>
    <cellStyle name="常规 22 2 3 3" xfId="38020"/>
    <cellStyle name="常规 22 2 4" xfId="38021"/>
    <cellStyle name="常规 22 2 4 2" xfId="38022"/>
    <cellStyle name="常规 22 2 4 3" xfId="38023"/>
    <cellStyle name="常规 22 2 5" xfId="38024"/>
    <cellStyle name="常规 22 2 5 2" xfId="38025"/>
    <cellStyle name="常规 22 2 6" xfId="38026"/>
    <cellStyle name="常规 22 2 6 2" xfId="38027"/>
    <cellStyle name="常规 22 2 7" xfId="38028"/>
    <cellStyle name="常规 22 2 7 2" xfId="38029"/>
    <cellStyle name="常规 22 2 8" xfId="38030"/>
    <cellStyle name="常规 22 2 8 2" xfId="38031"/>
    <cellStyle name="常规 22 2 9" xfId="38032"/>
    <cellStyle name="常规 22 2 9 2" xfId="38033"/>
    <cellStyle name="常规 22 3" xfId="38034"/>
    <cellStyle name="常规 22 3 2" xfId="38035"/>
    <cellStyle name="常规 22 3 2 2" xfId="38036"/>
    <cellStyle name="常规 22 3 3" xfId="38037"/>
    <cellStyle name="常规 22 3 3 2" xfId="38038"/>
    <cellStyle name="常规 22 3 4" xfId="38039"/>
    <cellStyle name="常规 22 3 5" xfId="38040"/>
    <cellStyle name="常规 22 4" xfId="38041"/>
    <cellStyle name="常规 22 4 2" xfId="38042"/>
    <cellStyle name="常规 22 4 2 2" xfId="38043"/>
    <cellStyle name="常规 22 4 3" xfId="38044"/>
    <cellStyle name="常规 22 4 4" xfId="38045"/>
    <cellStyle name="常规 22 5" xfId="38046"/>
    <cellStyle name="常规 22 5 2" xfId="38047"/>
    <cellStyle name="常规 22 5 2 2" xfId="38048"/>
    <cellStyle name="常规 22 5 3" xfId="38049"/>
    <cellStyle name="常规 22 5 4" xfId="38050"/>
    <cellStyle name="常规 22 6" xfId="38051"/>
    <cellStyle name="常规 22 6 2" xfId="38052"/>
    <cellStyle name="常规 22 6 3" xfId="38053"/>
    <cellStyle name="常规 22 7" xfId="38054"/>
    <cellStyle name="常规 22 7 2" xfId="38055"/>
    <cellStyle name="常规 22 7 3" xfId="38056"/>
    <cellStyle name="常规 22 8" xfId="38057"/>
    <cellStyle name="常规 22 8 2" xfId="38058"/>
    <cellStyle name="常规 22 9" xfId="38059"/>
    <cellStyle name="常规 22 9 2" xfId="38060"/>
    <cellStyle name="常规 23" xfId="38061"/>
    <cellStyle name="常规 23 2" xfId="38062"/>
    <cellStyle name="常规 24" xfId="38063"/>
    <cellStyle name="常规 24 2" xfId="38064"/>
    <cellStyle name="常规 24 3" xfId="38065"/>
    <cellStyle name="常规 29" xfId="38066"/>
    <cellStyle name="常规 3" xfId="38067"/>
    <cellStyle name="常规 3 10" xfId="38068"/>
    <cellStyle name="常规 3 10 2" xfId="38069"/>
    <cellStyle name="常规 3 10 2 2" xfId="38070"/>
    <cellStyle name="常规 3 10 2 3" xfId="38071"/>
    <cellStyle name="常规 3 10 2 4" xfId="38072"/>
    <cellStyle name="常规 3 10 2 4 2" xfId="38073"/>
    <cellStyle name="常规 3 10 2 4 3" xfId="38074"/>
    <cellStyle name="常规 3 10 2 5" xfId="38075"/>
    <cellStyle name="常规 3 10 2 5 2" xfId="38076"/>
    <cellStyle name="常规 3 10 3" xfId="38077"/>
    <cellStyle name="常规 3 10 3 2" xfId="38078"/>
    <cellStyle name="常规 3 10 3 2 2" xfId="38079"/>
    <cellStyle name="常规 3 10 4" xfId="38080"/>
    <cellStyle name="常规 3 10 4 2" xfId="38081"/>
    <cellStyle name="常规 3 10 4 2 2" xfId="38082"/>
    <cellStyle name="常规 3 10 5" xfId="38083"/>
    <cellStyle name="常规 3 10 6" xfId="38084"/>
    <cellStyle name="常规 3 10 7" xfId="38085"/>
    <cellStyle name="常规 3 10 7 2" xfId="38086"/>
    <cellStyle name="常规 3 10 7 3" xfId="38087"/>
    <cellStyle name="常规 3 10 8" xfId="38088"/>
    <cellStyle name="常规 3 10 8 2" xfId="38089"/>
    <cellStyle name="常规 3 11" xfId="38090"/>
    <cellStyle name="常规 3 11 2" xfId="38091"/>
    <cellStyle name="常规 3 11 2 2" xfId="38092"/>
    <cellStyle name="常规 3 11 2 3" xfId="38093"/>
    <cellStyle name="常规 3 11 2 4" xfId="38094"/>
    <cellStyle name="常规 3 11 2 4 2" xfId="38095"/>
    <cellStyle name="常规 3 11 2 5" xfId="38096"/>
    <cellStyle name="常规 3 11 2 5 2" xfId="38097"/>
    <cellStyle name="常规 3 11 3" xfId="38098"/>
    <cellStyle name="常规 3 11 4" xfId="38099"/>
    <cellStyle name="常规 3 11 5" xfId="38100"/>
    <cellStyle name="常规 3 11 6" xfId="38101"/>
    <cellStyle name="常规 3 11 7" xfId="38102"/>
    <cellStyle name="常规 3 11 7 2" xfId="38103"/>
    <cellStyle name="常规 3 11 7 3" xfId="38104"/>
    <cellStyle name="常规 3 11 8" xfId="38105"/>
    <cellStyle name="常规 3 11 8 2" xfId="38106"/>
    <cellStyle name="常规 3 12" xfId="38107"/>
    <cellStyle name="常规 3 12 2" xfId="38108"/>
    <cellStyle name="常规 3 12 2 2" xfId="38109"/>
    <cellStyle name="常规 3 12 2 3" xfId="38110"/>
    <cellStyle name="常规 3 12 2 4" xfId="38111"/>
    <cellStyle name="常规 3 12 2 4 2" xfId="38112"/>
    <cellStyle name="常规 3 12 2 5" xfId="38113"/>
    <cellStyle name="常规 3 12 2 5 2" xfId="38114"/>
    <cellStyle name="常规 3 12 3" xfId="38115"/>
    <cellStyle name="常规 3 12 4" xfId="38116"/>
    <cellStyle name="常规 3 12 5" xfId="38117"/>
    <cellStyle name="常规 3 12 6" xfId="38118"/>
    <cellStyle name="常规 3 12 6 2" xfId="38119"/>
    <cellStyle name="常规 3 12 6 3" xfId="38120"/>
    <cellStyle name="常规 3 12 7" xfId="38121"/>
    <cellStyle name="常规 3 12 7 2" xfId="38122"/>
    <cellStyle name="常规 3 13" xfId="38123"/>
    <cellStyle name="常规 3 13 2" xfId="38124"/>
    <cellStyle name="常规 3 13 2 2" xfId="38125"/>
    <cellStyle name="常规 3 13 2 3" xfId="38126"/>
    <cellStyle name="常规 3 13 2 4" xfId="38127"/>
    <cellStyle name="常规 3 13 2 4 2" xfId="38128"/>
    <cellStyle name="常规 3 13 2 5" xfId="38129"/>
    <cellStyle name="常规 3 13 2 5 2" xfId="38130"/>
    <cellStyle name="常规 3 13 3" xfId="38131"/>
    <cellStyle name="常规 3 13 4" xfId="38132"/>
    <cellStyle name="常规 3 13 5" xfId="38133"/>
    <cellStyle name="常规 3 13 6" xfId="38134"/>
    <cellStyle name="常规 3 13 6 2" xfId="38135"/>
    <cellStyle name="常规 3 13 6 3" xfId="38136"/>
    <cellStyle name="常规 3 13 7" xfId="38137"/>
    <cellStyle name="常规 3 13 7 2" xfId="38138"/>
    <cellStyle name="常规 3 14" xfId="38139"/>
    <cellStyle name="常规 3 14 2" xfId="38140"/>
    <cellStyle name="常规 3 14 2 2" xfId="38141"/>
    <cellStyle name="常规 3 14 2 2 2" xfId="38142"/>
    <cellStyle name="常规 3 14 2 2 2 2" xfId="38143"/>
    <cellStyle name="常规 3 14 2 3" xfId="38144"/>
    <cellStyle name="常规 3 14 2 3 2" xfId="38145"/>
    <cellStyle name="常规 3 14 2 4" xfId="38146"/>
    <cellStyle name="常规 3 14 2 4 2" xfId="38147"/>
    <cellStyle name="常规 3 14 2 5" xfId="38148"/>
    <cellStyle name="常规 3 14 3" xfId="38149"/>
    <cellStyle name="常规 3 14 4" xfId="38150"/>
    <cellStyle name="常规 3 14 4 2" xfId="38151"/>
    <cellStyle name="常规 3 14 4 3" xfId="38152"/>
    <cellStyle name="常规 3 14 5" xfId="38153"/>
    <cellStyle name="常规 3 14 5 2" xfId="38154"/>
    <cellStyle name="常规 3 15" xfId="38155"/>
    <cellStyle name="常规 3 15 2" xfId="38156"/>
    <cellStyle name="常规 3 15 2 2" xfId="38157"/>
    <cellStyle name="常规 3 15 2 2 2" xfId="38158"/>
    <cellStyle name="常规 3 15 2 2 2 2" xfId="38159"/>
    <cellStyle name="常规 3 15 2 3" xfId="38160"/>
    <cellStyle name="常规 3 15 2 3 2" xfId="38161"/>
    <cellStyle name="常规 3 15 2 4" xfId="38162"/>
    <cellStyle name="常规 3 15 2 4 2" xfId="38163"/>
    <cellStyle name="常规 3 15 2 5" xfId="38164"/>
    <cellStyle name="常规 3 15 3" xfId="38165"/>
    <cellStyle name="常规 3 15 3 2" xfId="38166"/>
    <cellStyle name="常规 3 15 3 2 2" xfId="38167"/>
    <cellStyle name="常规 3 15 4" xfId="38168"/>
    <cellStyle name="常规 3 15 4 2" xfId="38169"/>
    <cellStyle name="常规 3 15 4 2 2" xfId="38170"/>
    <cellStyle name="常规 3 15 5" xfId="38171"/>
    <cellStyle name="常规 3 15 5 2" xfId="38172"/>
    <cellStyle name="常规 3 15 6" xfId="38173"/>
    <cellStyle name="常规 3 16" xfId="38174"/>
    <cellStyle name="常规 3 16 2" xfId="38175"/>
    <cellStyle name="常规 3 16 2 2" xfId="38176"/>
    <cellStyle name="常规 3 16 2 2 2" xfId="38177"/>
    <cellStyle name="常规 3 16 2 2 2 2" xfId="38178"/>
    <cellStyle name="常规 3 16 2 3" xfId="38179"/>
    <cellStyle name="常规 3 16 2 3 2" xfId="38180"/>
    <cellStyle name="常规 3 16 2 4" xfId="38181"/>
    <cellStyle name="常规 3 16 2 4 2" xfId="38182"/>
    <cellStyle name="常规 3 16 2 5" xfId="38183"/>
    <cellStyle name="常规 3 16 3" xfId="38184"/>
    <cellStyle name="常规 3 16 3 2" xfId="38185"/>
    <cellStyle name="常规 3 16 3 2 2" xfId="38186"/>
    <cellStyle name="常规 3 16 4" xfId="38187"/>
    <cellStyle name="常规 3 16 4 2" xfId="38188"/>
    <cellStyle name="常规 3 16 5" xfId="38189"/>
    <cellStyle name="常规 3 16 5 2" xfId="38190"/>
    <cellStyle name="常规 3 16 6" xfId="38191"/>
    <cellStyle name="常规 3 17" xfId="38192"/>
    <cellStyle name="常规 3 17 2" xfId="38193"/>
    <cellStyle name="常规 3 17 2 2" xfId="38194"/>
    <cellStyle name="常规 3 17 2 2 2" xfId="38195"/>
    <cellStyle name="常规 3 17 3" xfId="38196"/>
    <cellStyle name="常规 3 17 3 2" xfId="38197"/>
    <cellStyle name="常规 3 17 4" xfId="38198"/>
    <cellStyle name="常规 3 17 4 2" xfId="38199"/>
    <cellStyle name="常规 3 17 5" xfId="38200"/>
    <cellStyle name="常规 3 18" xfId="38201"/>
    <cellStyle name="常规 3 19" xfId="38202"/>
    <cellStyle name="常规 3 19 2" xfId="38203"/>
    <cellStyle name="常规 3 19 2 2" xfId="38204"/>
    <cellStyle name="常规 3 19 3" xfId="38205"/>
    <cellStyle name="常规 3 19 3 2" xfId="38206"/>
    <cellStyle name="常规 3 19 3 3" xfId="38207"/>
    <cellStyle name="常规 3 19 4" xfId="38208"/>
    <cellStyle name="常规 3 19 5" xfId="38209"/>
    <cellStyle name="常规 3 2" xfId="38210"/>
    <cellStyle name="常规 3 2 10" xfId="38211"/>
    <cellStyle name="常规 3 2 10 2" xfId="38212"/>
    <cellStyle name="常规 3 2 10 2 2" xfId="38213"/>
    <cellStyle name="常规 3 2 10 2 2 2" xfId="38214"/>
    <cellStyle name="常规 3 2 10 2 2 2 2" xfId="38215"/>
    <cellStyle name="常规 3 2 10 2 3" xfId="38216"/>
    <cellStyle name="常规 3 2 10 2 3 2" xfId="38217"/>
    <cellStyle name="常规 3 2 10 2 4" xfId="38218"/>
    <cellStyle name="常规 3 2 10 2 4 2" xfId="38219"/>
    <cellStyle name="常规 3 2 10 2 5" xfId="38220"/>
    <cellStyle name="常规 3 2 10 3" xfId="38221"/>
    <cellStyle name="常规 3 2 10 3 2" xfId="38222"/>
    <cellStyle name="常规 3 2 10 3 2 2" xfId="38223"/>
    <cellStyle name="常规 3 2 10 4" xfId="38224"/>
    <cellStyle name="常规 3 2 10 4 2" xfId="38225"/>
    <cellStyle name="常规 3 2 10 5" xfId="38226"/>
    <cellStyle name="常规 3 2 10 5 2" xfId="38227"/>
    <cellStyle name="常规 3 2 10 6" xfId="38228"/>
    <cellStyle name="常规 3 2 11" xfId="38229"/>
    <cellStyle name="常规 3 2 11 2" xfId="38230"/>
    <cellStyle name="常规 3 2 11 2 2" xfId="38231"/>
    <cellStyle name="常规 3 2 11 2 2 2" xfId="38232"/>
    <cellStyle name="常规 3 2 11 3" xfId="38233"/>
    <cellStyle name="常规 3 2 11 3 2" xfId="38234"/>
    <cellStyle name="常规 3 2 11 4" xfId="38235"/>
    <cellStyle name="常规 3 2 11 4 2" xfId="38236"/>
    <cellStyle name="常规 3 2 11 5" xfId="38237"/>
    <cellStyle name="常规 3 2 12" xfId="38238"/>
    <cellStyle name="常规 3 2 13" xfId="38239"/>
    <cellStyle name="常规 3 2 13 2" xfId="38240"/>
    <cellStyle name="常规 3 2 13 2 2" xfId="38241"/>
    <cellStyle name="常规 3 2 13 3" xfId="38242"/>
    <cellStyle name="常规 3 2 13 3 2" xfId="38243"/>
    <cellStyle name="常规 3 2 14" xfId="38244"/>
    <cellStyle name="常规 3 2 14 2" xfId="38245"/>
    <cellStyle name="常规 3 2 2" xfId="38246"/>
    <cellStyle name="常规 3 2 2 10" xfId="38247"/>
    <cellStyle name="常规 3 2 2 2" xfId="38248"/>
    <cellStyle name="常规 3 2 2 2 2" xfId="38249"/>
    <cellStyle name="常规 3 2 2 2 2 2" xfId="38250"/>
    <cellStyle name="常规 3 2 2 2 2 2 2" xfId="38251"/>
    <cellStyle name="常规 3 2 2 2 2 2 3" xfId="38252"/>
    <cellStyle name="常规 3 2 2 2 2 2 4" xfId="38253"/>
    <cellStyle name="常规 3 2 2 2 2 2 5" xfId="38254"/>
    <cellStyle name="常规 3 2 2 2 2 2 5 2" xfId="38255"/>
    <cellStyle name="常规 3 2 2 2 2 3" xfId="38256"/>
    <cellStyle name="常规 3 2 2 2 2 3 2" xfId="38257"/>
    <cellStyle name="常规 3 2 2 2 2 3 2 2" xfId="38258"/>
    <cellStyle name="常规 3 2 2 2 2 4" xfId="38259"/>
    <cellStyle name="常规 3 2 2 2 2 4 2" xfId="38260"/>
    <cellStyle name="常规 3 2 2 2 2 4 2 2" xfId="38261"/>
    <cellStyle name="常规 3 2 2 2 2 5" xfId="38262"/>
    <cellStyle name="常规 3 2 2 2 2 5 2" xfId="38263"/>
    <cellStyle name="常规 3 2 2 2 2 5 3" xfId="38264"/>
    <cellStyle name="常规 3 2 2 2 2 6" xfId="38265"/>
    <cellStyle name="常规 3 2 2 2 2 6 2" xfId="38266"/>
    <cellStyle name="常规 3 2 2 2 2 7" xfId="38267"/>
    <cellStyle name="常规 3 2 2 2 3" xfId="38268"/>
    <cellStyle name="常规 3 2 2 2 3 2" xfId="38269"/>
    <cellStyle name="常规 3 2 2 2 3 2 2" xfId="38270"/>
    <cellStyle name="常规 3 2 2 2 3 2 2 2" xfId="38271"/>
    <cellStyle name="常规 3 2 2 2 3 2 3" xfId="38272"/>
    <cellStyle name="常规 3 2 2 2 3 2 4" xfId="38273"/>
    <cellStyle name="常规 3 2 2 2 3 2 5" xfId="38274"/>
    <cellStyle name="常规 3 2 2 2 3 2 5 2" xfId="38275"/>
    <cellStyle name="常规 3 2 2 2 3 2 6" xfId="38276"/>
    <cellStyle name="常规 3 2 2 2 3 3" xfId="38277"/>
    <cellStyle name="常规 3 2 2 2 3 3 2" xfId="38278"/>
    <cellStyle name="常规 3 2 2 2 3 3 2 2" xfId="38279"/>
    <cellStyle name="常规 3 2 2 2 3 4" xfId="38280"/>
    <cellStyle name="常规 3 2 2 2 3 4 2" xfId="38281"/>
    <cellStyle name="常规 3 2 2 2 3 4 3" xfId="38282"/>
    <cellStyle name="常规 3 2 2 2 3 5" xfId="38283"/>
    <cellStyle name="常规 3 2 2 2 3 5 2" xfId="38284"/>
    <cellStyle name="常规 3 2 2 2 3 6" xfId="38285"/>
    <cellStyle name="常规 3 2 2 2 3 6 2" xfId="38286"/>
    <cellStyle name="常规 3 2 2 2 3 7" xfId="38287"/>
    <cellStyle name="常规 3 2 2 2 4" xfId="38288"/>
    <cellStyle name="常规 3 2 2 2 4 2" xfId="38289"/>
    <cellStyle name="常规 3 2 2 2 4 3" xfId="38290"/>
    <cellStyle name="常规 3 2 2 2 4 4" xfId="38291"/>
    <cellStyle name="常规 3 2 2 2 4 5" xfId="38292"/>
    <cellStyle name="常规 3 2 2 2 4 5 2" xfId="38293"/>
    <cellStyle name="常规 3 2 2 2 5" xfId="38294"/>
    <cellStyle name="常规 3 2 2 2 5 2" xfId="38295"/>
    <cellStyle name="常规 3 2 2 2 5 2 2" xfId="38296"/>
    <cellStyle name="常规 3 2 2 2 6" xfId="38297"/>
    <cellStyle name="常规 3 2 2 2 6 2" xfId="38298"/>
    <cellStyle name="常规 3 2 2 2 6 2 2" xfId="38299"/>
    <cellStyle name="常规 3 2 2 2 7" xfId="38300"/>
    <cellStyle name="常规 3 2 2 2 7 2" xfId="38301"/>
    <cellStyle name="常规 3 2 2 2 7 2 2" xfId="38302"/>
    <cellStyle name="常规 3 2 2 2 8" xfId="38303"/>
    <cellStyle name="常规 3 2 2 2 8 2" xfId="38304"/>
    <cellStyle name="常规 3 2 2 2 8 3" xfId="38305"/>
    <cellStyle name="常规 3 2 2 2 9" xfId="38306"/>
    <cellStyle name="常规 3 2 2 3" xfId="38307"/>
    <cellStyle name="常规 3 2 2 3 2" xfId="38308"/>
    <cellStyle name="常规 3 2 2 3 2 2" xfId="38309"/>
    <cellStyle name="常规 3 2 2 3 2 3" xfId="38310"/>
    <cellStyle name="常规 3 2 2 3 2 4" xfId="38311"/>
    <cellStyle name="常规 3 2 2 3 2 5" xfId="38312"/>
    <cellStyle name="常规 3 2 2 3 2 5 2" xfId="38313"/>
    <cellStyle name="常规 3 2 2 3 3" xfId="38314"/>
    <cellStyle name="常规 3 2 2 3 3 2" xfId="38315"/>
    <cellStyle name="常规 3 2 2 3 3 2 2" xfId="38316"/>
    <cellStyle name="常规 3 2 2 3 4" xfId="38317"/>
    <cellStyle name="常规 3 2 2 3 4 2" xfId="38318"/>
    <cellStyle name="常规 3 2 2 3 4 2 2" xfId="38319"/>
    <cellStyle name="常规 3 2 2 3 5" xfId="38320"/>
    <cellStyle name="常规 3 2 2 3 5 2" xfId="38321"/>
    <cellStyle name="常规 3 2 2 3 5 3" xfId="38322"/>
    <cellStyle name="常规 3 2 2 3 6" xfId="38323"/>
    <cellStyle name="常规 3 2 2 3 6 2" xfId="38324"/>
    <cellStyle name="常规 3 2 2 3 7" xfId="38325"/>
    <cellStyle name="常规 3 2 2 4" xfId="38326"/>
    <cellStyle name="常规 3 2 2 4 2" xfId="38327"/>
    <cellStyle name="常规 3 2 2 4 2 2" xfId="38328"/>
    <cellStyle name="常规 3 2 2 4 2 3" xfId="38329"/>
    <cellStyle name="常规 3 2 2 4 2 4" xfId="38330"/>
    <cellStyle name="常规 3 2 2 4 3" xfId="38331"/>
    <cellStyle name="常规 3 2 2 4 4" xfId="38332"/>
    <cellStyle name="常规 3 2 2 4 5" xfId="38333"/>
    <cellStyle name="常规 3 2 2 4 6" xfId="38334"/>
    <cellStyle name="常规 3 2 2 4 6 2" xfId="38335"/>
    <cellStyle name="常规 3 2 2 5" xfId="38336"/>
    <cellStyle name="常规 3 2 2 5 2" xfId="38337"/>
    <cellStyle name="常规 3 2 2 5 3" xfId="38338"/>
    <cellStyle name="常规 3 2 2 5 4" xfId="38339"/>
    <cellStyle name="常规 3 2 2 5 5" xfId="38340"/>
    <cellStyle name="常规 3 2 2 5 5 2" xfId="38341"/>
    <cellStyle name="常规 3 2 2 6" xfId="38342"/>
    <cellStyle name="常规 3 2 2 6 2" xfId="38343"/>
    <cellStyle name="常规 3 2 2 6 2 2" xfId="38344"/>
    <cellStyle name="常规 3 2 2 7" xfId="38345"/>
    <cellStyle name="常规 3 2 2 7 2" xfId="38346"/>
    <cellStyle name="常规 3 2 2 7 2 2" xfId="38347"/>
    <cellStyle name="常规 3 2 2 8" xfId="38348"/>
    <cellStyle name="常规 3 2 2 8 2" xfId="38349"/>
    <cellStyle name="常规 3 2 2 8 2 2" xfId="38350"/>
    <cellStyle name="常规 3 2 2 9" xfId="38351"/>
    <cellStyle name="常规 3 2 2 9 2" xfId="38352"/>
    <cellStyle name="常规 3 2 2 9 3" xfId="38353"/>
    <cellStyle name="常规 3 2 3" xfId="38354"/>
    <cellStyle name="常规 3 2 3 10" xfId="38355"/>
    <cellStyle name="常规 3 2 3 2" xfId="38356"/>
    <cellStyle name="常规 3 2 3 2 2" xfId="38357"/>
    <cellStyle name="常规 3 2 3 2 2 2" xfId="38358"/>
    <cellStyle name="常规 3 2 3 2 2 2 2" xfId="38359"/>
    <cellStyle name="常规 3 2 3 2 2 2 3" xfId="38360"/>
    <cellStyle name="常规 3 2 3 2 2 2 4" xfId="38361"/>
    <cellStyle name="常规 3 2 3 2 2 3" xfId="38362"/>
    <cellStyle name="常规 3 2 3 2 2 4" xfId="38363"/>
    <cellStyle name="常规 3 2 3 2 2 5" xfId="38364"/>
    <cellStyle name="常规 3 2 3 2 2 6" xfId="38365"/>
    <cellStyle name="常规 3 2 3 2 2 6 2" xfId="38366"/>
    <cellStyle name="常规 3 2 3 2 3" xfId="38367"/>
    <cellStyle name="常规 3 2 3 2 3 2" xfId="38368"/>
    <cellStyle name="常规 3 2 3 2 3 2 2" xfId="38369"/>
    <cellStyle name="常规 3 2 3 2 3 2 3" xfId="38370"/>
    <cellStyle name="常规 3 2 3 2 3 2 4" xfId="38371"/>
    <cellStyle name="常规 3 2 3 2 3 3" xfId="38372"/>
    <cellStyle name="常规 3 2 3 2 3 4" xfId="38373"/>
    <cellStyle name="常规 3 2 3 2 3 5" xfId="38374"/>
    <cellStyle name="常规 3 2 3 2 3 6" xfId="38375"/>
    <cellStyle name="常规 3 2 3 2 3 6 2" xfId="38376"/>
    <cellStyle name="常规 3 2 3 2 4" xfId="38377"/>
    <cellStyle name="常规 3 2 3 2 4 2" xfId="38378"/>
    <cellStyle name="常规 3 2 3 2 4 2 2" xfId="38379"/>
    <cellStyle name="常规 3 2 3 2 4 3" xfId="38380"/>
    <cellStyle name="常规 3 2 3 2 4 4" xfId="38381"/>
    <cellStyle name="常规 3 2 3 2 4 5" xfId="38382"/>
    <cellStyle name="常规 3 2 3 2 5" xfId="38383"/>
    <cellStyle name="常规 3 2 3 2 5 2" xfId="38384"/>
    <cellStyle name="常规 3 2 3 2 5 3" xfId="38385"/>
    <cellStyle name="常规 3 2 3 2 6" xfId="38386"/>
    <cellStyle name="常规 3 2 3 2 7" xfId="38387"/>
    <cellStyle name="常规 3 2 3 2 8" xfId="38388"/>
    <cellStyle name="常规 3 2 3 2 8 2" xfId="38389"/>
    <cellStyle name="常规 3 2 3 2 9" xfId="38390"/>
    <cellStyle name="常规 3 2 3 3" xfId="38391"/>
    <cellStyle name="常规 3 2 3 3 2" xfId="38392"/>
    <cellStyle name="常规 3 2 3 3 2 2" xfId="38393"/>
    <cellStyle name="常规 3 2 3 3 2 2 2" xfId="38394"/>
    <cellStyle name="常规 3 2 3 3 2 3" xfId="38395"/>
    <cellStyle name="常规 3 2 3 3 2 4" xfId="38396"/>
    <cellStyle name="常规 3 2 3 3 2 5" xfId="38397"/>
    <cellStyle name="常规 3 2 3 3 2 5 2" xfId="38398"/>
    <cellStyle name="常规 3 2 3 3 2 6" xfId="38399"/>
    <cellStyle name="常规 3 2 3 3 3" xfId="38400"/>
    <cellStyle name="常规 3 2 3 3 3 2" xfId="38401"/>
    <cellStyle name="常规 3 2 3 3 3 2 2" xfId="38402"/>
    <cellStyle name="常规 3 2 3 3 4" xfId="38403"/>
    <cellStyle name="常规 3 2 3 3 4 2" xfId="38404"/>
    <cellStyle name="常规 3 2 3 3 4 3" xfId="38405"/>
    <cellStyle name="常规 3 2 3 3 5" xfId="38406"/>
    <cellStyle name="常规 3 2 3 3 5 2" xfId="38407"/>
    <cellStyle name="常规 3 2 3 3 6" xfId="38408"/>
    <cellStyle name="常规 3 2 3 3 6 2" xfId="38409"/>
    <cellStyle name="常规 3 2 3 3 7" xfId="38410"/>
    <cellStyle name="常规 3 2 3 4" xfId="38411"/>
    <cellStyle name="常规 3 2 3 4 2" xfId="38412"/>
    <cellStyle name="常规 3 2 3 4 2 2" xfId="38413"/>
    <cellStyle name="常规 3 2 3 4 2 3" xfId="38414"/>
    <cellStyle name="常规 3 2 3 4 2 4" xfId="38415"/>
    <cellStyle name="常规 3 2 3 4 3" xfId="38416"/>
    <cellStyle name="常规 3 2 3 4 4" xfId="38417"/>
    <cellStyle name="常规 3 2 3 4 5" xfId="38418"/>
    <cellStyle name="常规 3 2 3 4 6" xfId="38419"/>
    <cellStyle name="常规 3 2 3 4 6 2" xfId="38420"/>
    <cellStyle name="常规 3 2 3 5" xfId="38421"/>
    <cellStyle name="常规 3 2 3 5 2" xfId="38422"/>
    <cellStyle name="常规 3 2 3 5 3" xfId="38423"/>
    <cellStyle name="常规 3 2 3 5 4" xfId="38424"/>
    <cellStyle name="常规 3 2 3 5 5" xfId="38425"/>
    <cellStyle name="常规 3 2 3 5 5 2" xfId="38426"/>
    <cellStyle name="常规 3 2 3 6" xfId="38427"/>
    <cellStyle name="常规 3 2 3 6 2" xfId="38428"/>
    <cellStyle name="常规 3 2 3 6 2 2" xfId="38429"/>
    <cellStyle name="常规 3 2 3 7" xfId="38430"/>
    <cellStyle name="常规 3 2 3 7 2" xfId="38431"/>
    <cellStyle name="常规 3 2 3 7 2 2" xfId="38432"/>
    <cellStyle name="常规 3 2 3 8" xfId="38433"/>
    <cellStyle name="常规 3 2 3 8 2" xfId="38434"/>
    <cellStyle name="常规 3 2 3 8 3" xfId="38435"/>
    <cellStyle name="常规 3 2 3 9" xfId="38436"/>
    <cellStyle name="常规 3 2 3 9 2" xfId="38437"/>
    <cellStyle name="常规 3 2 4" xfId="38438"/>
    <cellStyle name="常规 3 2 4 2" xfId="38439"/>
    <cellStyle name="常规 3 2 4 2 2" xfId="38440"/>
    <cellStyle name="常规 3 2 4 2 2 2" xfId="38441"/>
    <cellStyle name="常规 3 2 4 2 2 2 2" xfId="38442"/>
    <cellStyle name="常规 3 2 4 2 3" xfId="38443"/>
    <cellStyle name="常规 3 2 4 2 3 2" xfId="38444"/>
    <cellStyle name="常规 3 2 4 2 3 2 2" xfId="38445"/>
    <cellStyle name="常规 3 2 4 2 4" xfId="38446"/>
    <cellStyle name="常规 3 2 4 2 4 2" xfId="38447"/>
    <cellStyle name="常规 3 2 4 2 4 2 2" xfId="38448"/>
    <cellStyle name="常规 3 2 4 2 5" xfId="38449"/>
    <cellStyle name="常规 3 2 4 2 5 2" xfId="38450"/>
    <cellStyle name="常规 3 2 4 2 5 3" xfId="38451"/>
    <cellStyle name="常规 3 2 4 2 6" xfId="38452"/>
    <cellStyle name="常规 3 2 4 3" xfId="38453"/>
    <cellStyle name="常规 3 2 4 3 2" xfId="38454"/>
    <cellStyle name="常规 3 2 4 3 2 2" xfId="38455"/>
    <cellStyle name="常规 3 2 4 4" xfId="38456"/>
    <cellStyle name="常规 3 2 4 4 2" xfId="38457"/>
    <cellStyle name="常规 3 2 4 4 2 2" xfId="38458"/>
    <cellStyle name="常规 3 2 4 5" xfId="38459"/>
    <cellStyle name="常规 3 2 4 5 2" xfId="38460"/>
    <cellStyle name="常规 3 2 4 5 2 2" xfId="38461"/>
    <cellStyle name="常规 3 2 4 6" xfId="38462"/>
    <cellStyle name="常规 3 2 4 7" xfId="38463"/>
    <cellStyle name="常规 3 2 4 7 2" xfId="38464"/>
    <cellStyle name="常规 3 2 4 7 3" xfId="38465"/>
    <cellStyle name="常规 3 2 4 8" xfId="38466"/>
    <cellStyle name="常规 3 2 4 8 2" xfId="38467"/>
    <cellStyle name="常规 3 2 5" xfId="38468"/>
    <cellStyle name="常规 3 2 5 2" xfId="38469"/>
    <cellStyle name="常规 3 2 5 2 2" xfId="38470"/>
    <cellStyle name="常规 3 2 5 2 2 2" xfId="38471"/>
    <cellStyle name="常规 3 2 5 2 2 2 2" xfId="38472"/>
    <cellStyle name="常规 3 2 5 2 3" xfId="38473"/>
    <cellStyle name="常规 3 2 5 2 3 2" xfId="38474"/>
    <cellStyle name="常规 3 2 5 2 3 2 2" xfId="38475"/>
    <cellStyle name="常规 3 2 5 2 4" xfId="38476"/>
    <cellStyle name="常规 3 2 5 2 4 2" xfId="38477"/>
    <cellStyle name="常规 3 2 5 2 4 2 2" xfId="38478"/>
    <cellStyle name="常规 3 2 5 2 5" xfId="38479"/>
    <cellStyle name="常规 3 2 5 2 5 2" xfId="38480"/>
    <cellStyle name="常规 3 2 5 2 5 3" xfId="38481"/>
    <cellStyle name="常规 3 2 5 2 6" xfId="38482"/>
    <cellStyle name="常规 3 2 5 3" xfId="38483"/>
    <cellStyle name="常规 3 2 5 3 2" xfId="38484"/>
    <cellStyle name="常规 3 2 5 3 2 2" xfId="38485"/>
    <cellStyle name="常规 3 2 5 4" xfId="38486"/>
    <cellStyle name="常规 3 2 5 4 2" xfId="38487"/>
    <cellStyle name="常规 3 2 5 4 2 2" xfId="38488"/>
    <cellStyle name="常规 3 2 5 5" xfId="38489"/>
    <cellStyle name="常规 3 2 5 5 2" xfId="38490"/>
    <cellStyle name="常规 3 2 5 5 2 2" xfId="38491"/>
    <cellStyle name="常规 3 2 5 6" xfId="38492"/>
    <cellStyle name="常规 3 2 5 7" xfId="38493"/>
    <cellStyle name="常规 3 2 5 7 2" xfId="38494"/>
    <cellStyle name="常规 3 2 5 7 3" xfId="38495"/>
    <cellStyle name="常规 3 2 5 8" xfId="38496"/>
    <cellStyle name="常规 3 2 5 8 2" xfId="38497"/>
    <cellStyle name="常规 3 2 6" xfId="38498"/>
    <cellStyle name="常规 3 2 6 2" xfId="38499"/>
    <cellStyle name="常规 3 2 6 2 2" xfId="38500"/>
    <cellStyle name="常规 3 2 6 2 3" xfId="38501"/>
    <cellStyle name="常规 3 2 6 2 3 2" xfId="38502"/>
    <cellStyle name="常规 3 2 6 3" xfId="38503"/>
    <cellStyle name="常规 3 2 6 3 2" xfId="38504"/>
    <cellStyle name="常规 3 2 6 3 2 2" xfId="38505"/>
    <cellStyle name="常规 3 2 6 4" xfId="38506"/>
    <cellStyle name="常规 3 2 6 4 2" xfId="38507"/>
    <cellStyle name="常规 3 2 6 4 2 2" xfId="38508"/>
    <cellStyle name="常规 3 2 6 5" xfId="38509"/>
    <cellStyle name="常规 3 2 6 5 2" xfId="38510"/>
    <cellStyle name="常规 3 2 6 6" xfId="38511"/>
    <cellStyle name="常规 3 2 7" xfId="38512"/>
    <cellStyle name="常规 3 2 7 2" xfId="38513"/>
    <cellStyle name="常规 3 2 7 2 2" xfId="38514"/>
    <cellStyle name="常规 3 2 7 3" xfId="38515"/>
    <cellStyle name="常规 3 2 7 4" xfId="38516"/>
    <cellStyle name="常规 3 2 7 5" xfId="38517"/>
    <cellStyle name="常规 3 2 7 5 2" xfId="38518"/>
    <cellStyle name="常规 3 2 7 6" xfId="38519"/>
    <cellStyle name="常规 3 2 8" xfId="38520"/>
    <cellStyle name="常规 3 2 8 2" xfId="38521"/>
    <cellStyle name="常规 3 2 8 2 2" xfId="38522"/>
    <cellStyle name="常规 3 2 8 2 2 2" xfId="38523"/>
    <cellStyle name="常规 3 2 8 2 2 2 2" xfId="38524"/>
    <cellStyle name="常规 3 2 8 2 3" xfId="38525"/>
    <cellStyle name="常规 3 2 8 2 3 2" xfId="38526"/>
    <cellStyle name="常规 3 2 8 2 4" xfId="38527"/>
    <cellStyle name="常规 3 2 8 2 4 2" xfId="38528"/>
    <cellStyle name="常规 3 2 8 2 5" xfId="38529"/>
    <cellStyle name="常规 3 2 8 3" xfId="38530"/>
    <cellStyle name="常规 3 2 8 4" xfId="38531"/>
    <cellStyle name="常规 3 2 8 4 2" xfId="38532"/>
    <cellStyle name="常规 3 2 8 4 3" xfId="38533"/>
    <cellStyle name="常规 3 2 8 5" xfId="38534"/>
    <cellStyle name="常规 3 2 8 5 2" xfId="38535"/>
    <cellStyle name="常规 3 2 9" xfId="38536"/>
    <cellStyle name="常规 3 2 9 2" xfId="38537"/>
    <cellStyle name="常规 3 2 9 2 2" xfId="38538"/>
    <cellStyle name="常规 3 2 9 2 2 2" xfId="38539"/>
    <cellStyle name="常规 3 2 9 2 2 2 2" xfId="38540"/>
    <cellStyle name="常规 3 2 9 2 3" xfId="38541"/>
    <cellStyle name="常规 3 2 9 2 3 2" xfId="38542"/>
    <cellStyle name="常规 3 2 9 2 4" xfId="38543"/>
    <cellStyle name="常规 3 2 9 2 4 2" xfId="38544"/>
    <cellStyle name="常规 3 2 9 2 5" xfId="38545"/>
    <cellStyle name="常规 3 2 9 3" xfId="38546"/>
    <cellStyle name="常规 3 2 9 3 2" xfId="38547"/>
    <cellStyle name="常规 3 2 9 3 2 2" xfId="38548"/>
    <cellStyle name="常规 3 2 9 4" xfId="38549"/>
    <cellStyle name="常规 3 2 9 4 2" xfId="38550"/>
    <cellStyle name="常规 3 2 9 4 2 2" xfId="38551"/>
    <cellStyle name="常规 3 2 9 5" xfId="38552"/>
    <cellStyle name="常规 3 2 9 5 2" xfId="38553"/>
    <cellStyle name="常规 3 2 9 6" xfId="38554"/>
    <cellStyle name="常规 3 20" xfId="38555"/>
    <cellStyle name="常规 3 20 2" xfId="38556"/>
    <cellStyle name="常规 3 20 3" xfId="38557"/>
    <cellStyle name="常规 3 21" xfId="38558"/>
    <cellStyle name="常规 3 21 2" xfId="38559"/>
    <cellStyle name="常规 3 21 3" xfId="38560"/>
    <cellStyle name="常规 3 3" xfId="38561"/>
    <cellStyle name="常规 3 3 10" xfId="38562"/>
    <cellStyle name="常规 3 3 11" xfId="38563"/>
    <cellStyle name="常规 3 3 11 2" xfId="38564"/>
    <cellStyle name="常规 3 3 11 3" xfId="38565"/>
    <cellStyle name="常规 3 3 12" xfId="38566"/>
    <cellStyle name="常规 3 3 12 2" xfId="38567"/>
    <cellStyle name="常规 3 3 2" xfId="38568"/>
    <cellStyle name="常规 3 3 2 10" xfId="38569"/>
    <cellStyle name="常规 3 3 2 10 2" xfId="38570"/>
    <cellStyle name="常规 3 3 2 2" xfId="38571"/>
    <cellStyle name="常规 3 3 2 2 2" xfId="38572"/>
    <cellStyle name="常规 3 3 2 2 2 2" xfId="38573"/>
    <cellStyle name="常规 3 3 2 2 2 2 2" xfId="38574"/>
    <cellStyle name="常规 3 3 2 2 2 2 2 2" xfId="38575"/>
    <cellStyle name="常规 3 3 2 2 2 2 2 2 2" xfId="38576"/>
    <cellStyle name="常规 3 3 2 2 2 2 3" xfId="38577"/>
    <cellStyle name="常规 3 3 2 2 2 2 3 2" xfId="38578"/>
    <cellStyle name="常规 3 3 2 2 2 2 3 2 2" xfId="38579"/>
    <cellStyle name="常规 3 3 2 2 2 2 4" xfId="38580"/>
    <cellStyle name="常规 3 3 2 2 2 2 4 2" xfId="38581"/>
    <cellStyle name="常规 3 3 2 2 2 2 4 2 2" xfId="38582"/>
    <cellStyle name="常规 3 3 2 2 2 2 5" xfId="38583"/>
    <cellStyle name="常规 3 3 2 2 2 2 5 2" xfId="38584"/>
    <cellStyle name="常规 3 3 2 2 2 2 5 3" xfId="38585"/>
    <cellStyle name="常规 3 3 2 2 2 2 6" xfId="38586"/>
    <cellStyle name="常规 3 3 2 2 2 3" xfId="38587"/>
    <cellStyle name="常规 3 3 2 2 2 3 2" xfId="38588"/>
    <cellStyle name="常规 3 3 2 2 2 3 2 2" xfId="38589"/>
    <cellStyle name="常规 3 3 2 2 2 3 2 2 2" xfId="38590"/>
    <cellStyle name="常规 3 3 2 2 2 3 3" xfId="38591"/>
    <cellStyle name="常规 3 3 2 2 2 3 3 2" xfId="38592"/>
    <cellStyle name="常规 3 3 2 2 2 3 3 2 2" xfId="38593"/>
    <cellStyle name="常规 3 3 2 2 2 3 4" xfId="38594"/>
    <cellStyle name="常规 3 3 2 2 2 3 4 2" xfId="38595"/>
    <cellStyle name="常规 3 3 2 2 2 3 5" xfId="38596"/>
    <cellStyle name="常规 3 3 2 2 2 4" xfId="38597"/>
    <cellStyle name="常规 3 3 2 2 2 4 2" xfId="38598"/>
    <cellStyle name="常规 3 3 2 2 2 4 2 2" xfId="38599"/>
    <cellStyle name="常规 3 3 2 2 2 5" xfId="38600"/>
    <cellStyle name="常规 3 3 2 2 2 5 2" xfId="38601"/>
    <cellStyle name="常规 3 3 2 2 2 5 2 2" xfId="38602"/>
    <cellStyle name="常规 3 3 2 2 2 6" xfId="38603"/>
    <cellStyle name="常规 3 3 2 2 2 7" xfId="38604"/>
    <cellStyle name="常规 3 3 2 2 2 7 2" xfId="38605"/>
    <cellStyle name="常规 3 3 2 2 2 7 3" xfId="38606"/>
    <cellStyle name="常规 3 3 2 2 2 8" xfId="38607"/>
    <cellStyle name="常规 3 3 2 2 2 8 2" xfId="38608"/>
    <cellStyle name="常规 3 3 2 2 3" xfId="38609"/>
    <cellStyle name="常规 3 3 2 2 3 2" xfId="38610"/>
    <cellStyle name="常规 3 3 2 2 3 2 2" xfId="38611"/>
    <cellStyle name="常规 3 3 2 2 3 2 3" xfId="38612"/>
    <cellStyle name="常规 3 3 2 2 3 2 4" xfId="38613"/>
    <cellStyle name="常规 3 3 2 2 3 2 5" xfId="38614"/>
    <cellStyle name="常规 3 3 2 2 3 2 5 2" xfId="38615"/>
    <cellStyle name="常规 3 3 2 2 3 3" xfId="38616"/>
    <cellStyle name="常规 3 3 2 2 3 3 2" xfId="38617"/>
    <cellStyle name="常规 3 3 2 2 3 3 2 2" xfId="38618"/>
    <cellStyle name="常规 3 3 2 2 3 4" xfId="38619"/>
    <cellStyle name="常规 3 3 2 2 3 4 2" xfId="38620"/>
    <cellStyle name="常规 3 3 2 2 3 4 2 2" xfId="38621"/>
    <cellStyle name="常规 3 3 2 2 3 5" xfId="38622"/>
    <cellStyle name="常规 3 3 2 2 3 5 2" xfId="38623"/>
    <cellStyle name="常规 3 3 2 2 3 5 3" xfId="38624"/>
    <cellStyle name="常规 3 3 2 2 3 6" xfId="38625"/>
    <cellStyle name="常规 3 3 2 2 3 6 2" xfId="38626"/>
    <cellStyle name="常规 3 3 2 2 3 7" xfId="38627"/>
    <cellStyle name="常规 3 3 2 2 4" xfId="38628"/>
    <cellStyle name="常规 3 3 2 2 4 2" xfId="38629"/>
    <cellStyle name="常规 3 3 2 2 4 3" xfId="38630"/>
    <cellStyle name="常规 3 3 2 2 4 4" xfId="38631"/>
    <cellStyle name="常规 3 3 2 2 4 5" xfId="38632"/>
    <cellStyle name="常规 3 3 2 2 4 5 2" xfId="38633"/>
    <cellStyle name="常规 3 3 2 2 5" xfId="38634"/>
    <cellStyle name="常规 3 3 2 2 5 2" xfId="38635"/>
    <cellStyle name="常规 3 3 2 2 5 2 2" xfId="38636"/>
    <cellStyle name="常规 3 3 2 2 6" xfId="38637"/>
    <cellStyle name="常规 3 3 2 2 6 2" xfId="38638"/>
    <cellStyle name="常规 3 3 2 2 6 2 2" xfId="38639"/>
    <cellStyle name="常规 3 3 2 2 7" xfId="38640"/>
    <cellStyle name="常规 3 3 2 2 7 2" xfId="38641"/>
    <cellStyle name="常规 3 3 2 2 7 2 2" xfId="38642"/>
    <cellStyle name="常规 3 3 2 2 8" xfId="38643"/>
    <cellStyle name="常规 3 3 2 2 8 2" xfId="38644"/>
    <cellStyle name="常规 3 3 2 2 8 3" xfId="38645"/>
    <cellStyle name="常规 3 3 2 2 9" xfId="38646"/>
    <cellStyle name="常规 3 3 2 2 9 2" xfId="38647"/>
    <cellStyle name="常规 3 3 2 3" xfId="38648"/>
    <cellStyle name="常规 3 3 2 3 2" xfId="38649"/>
    <cellStyle name="常规 3 3 2 3 2 2" xfId="38650"/>
    <cellStyle name="常规 3 3 2 3 2 2 2" xfId="38651"/>
    <cellStyle name="常规 3 3 2 3 2 2 2 2" xfId="38652"/>
    <cellStyle name="常规 3 3 2 3 2 3" xfId="38653"/>
    <cellStyle name="常规 3 3 2 3 2 3 2" xfId="38654"/>
    <cellStyle name="常规 3 3 2 3 2 3 2 2" xfId="38655"/>
    <cellStyle name="常规 3 3 2 3 2 4" xfId="38656"/>
    <cellStyle name="常规 3 3 2 3 2 4 2" xfId="38657"/>
    <cellStyle name="常规 3 3 2 3 2 4 2 2" xfId="38658"/>
    <cellStyle name="常规 3 3 2 3 2 5" xfId="38659"/>
    <cellStyle name="常规 3 3 2 3 2 5 2" xfId="38660"/>
    <cellStyle name="常规 3 3 2 3 2 5 3" xfId="38661"/>
    <cellStyle name="常规 3 3 2 3 2 6" xfId="38662"/>
    <cellStyle name="常规 3 3 2 3 3" xfId="38663"/>
    <cellStyle name="常规 3 3 2 3 3 2" xfId="38664"/>
    <cellStyle name="常规 3 3 2 3 3 2 2" xfId="38665"/>
    <cellStyle name="常规 3 3 2 3 3 2 2 2" xfId="38666"/>
    <cellStyle name="常规 3 3 2 3 3 3" xfId="38667"/>
    <cellStyle name="常规 3 3 2 3 3 3 2" xfId="38668"/>
    <cellStyle name="常规 3 3 2 3 3 3 2 2" xfId="38669"/>
    <cellStyle name="常规 3 3 2 3 3 4" xfId="38670"/>
    <cellStyle name="常规 3 3 2 3 3 4 2" xfId="38671"/>
    <cellStyle name="常规 3 3 2 3 3 5" xfId="38672"/>
    <cellStyle name="常规 3 3 2 3 4" xfId="38673"/>
    <cellStyle name="常规 3 3 2 3 4 2" xfId="38674"/>
    <cellStyle name="常规 3 3 2 3 4 2 2" xfId="38675"/>
    <cellStyle name="常规 3 3 2 3 5" xfId="38676"/>
    <cellStyle name="常规 3 3 2 3 5 2" xfId="38677"/>
    <cellStyle name="常规 3 3 2 3 5 2 2" xfId="38678"/>
    <cellStyle name="常规 3 3 2 3 6" xfId="38679"/>
    <cellStyle name="常规 3 3 2 3 7" xfId="38680"/>
    <cellStyle name="常规 3 3 2 3 7 2" xfId="38681"/>
    <cellStyle name="常规 3 3 2 3 7 3" xfId="38682"/>
    <cellStyle name="常规 3 3 2 3 8" xfId="38683"/>
    <cellStyle name="常规 3 3 2 3 8 2" xfId="38684"/>
    <cellStyle name="常规 3 3 2 4" xfId="38685"/>
    <cellStyle name="常规 3 3 2 4 2" xfId="38686"/>
    <cellStyle name="常规 3 3 2 4 2 2" xfId="38687"/>
    <cellStyle name="常规 3 3 2 4 2 3" xfId="38688"/>
    <cellStyle name="常规 3 3 2 4 2 4" xfId="38689"/>
    <cellStyle name="常规 3 3 2 4 2 5" xfId="38690"/>
    <cellStyle name="常规 3 3 2 4 2 5 2" xfId="38691"/>
    <cellStyle name="常规 3 3 2 4 3" xfId="38692"/>
    <cellStyle name="常规 3 3 2 4 3 2" xfId="38693"/>
    <cellStyle name="常规 3 3 2 4 3 2 2" xfId="38694"/>
    <cellStyle name="常规 3 3 2 4 4" xfId="38695"/>
    <cellStyle name="常规 3 3 2 4 4 2" xfId="38696"/>
    <cellStyle name="常规 3 3 2 4 4 2 2" xfId="38697"/>
    <cellStyle name="常规 3 3 2 4 5" xfId="38698"/>
    <cellStyle name="常规 3 3 2 4 5 2" xfId="38699"/>
    <cellStyle name="常规 3 3 2 4 5 3" xfId="38700"/>
    <cellStyle name="常规 3 3 2 4 6" xfId="38701"/>
    <cellStyle name="常规 3 3 2 4 6 2" xfId="38702"/>
    <cellStyle name="常规 3 3 2 4 7" xfId="38703"/>
    <cellStyle name="常规 3 3 2 5" xfId="38704"/>
    <cellStyle name="常规 3 3 2 5 2" xfId="38705"/>
    <cellStyle name="常规 3 3 2 5 3" xfId="38706"/>
    <cellStyle name="常规 3 3 2 5 4" xfId="38707"/>
    <cellStyle name="常规 3 3 2 5 5" xfId="38708"/>
    <cellStyle name="常规 3 3 2 5 5 2" xfId="38709"/>
    <cellStyle name="常规 3 3 2 6" xfId="38710"/>
    <cellStyle name="常规 3 3 2 6 2" xfId="38711"/>
    <cellStyle name="常规 3 3 2 6 2 2" xfId="38712"/>
    <cellStyle name="常规 3 3 2 7" xfId="38713"/>
    <cellStyle name="常规 3 3 2 7 2" xfId="38714"/>
    <cellStyle name="常规 3 3 2 7 2 2" xfId="38715"/>
    <cellStyle name="常规 3 3 2 8" xfId="38716"/>
    <cellStyle name="常规 3 3 2 8 2" xfId="38717"/>
    <cellStyle name="常规 3 3 2 8 2 2" xfId="38718"/>
    <cellStyle name="常规 3 3 2 9" xfId="38719"/>
    <cellStyle name="常规 3 3 2 9 2" xfId="38720"/>
    <cellStyle name="常规 3 3 2 9 3" xfId="38721"/>
    <cellStyle name="常规 3 3 3" xfId="38722"/>
    <cellStyle name="常规 3 3 3 2" xfId="38723"/>
    <cellStyle name="常规 3 3 3 2 2" xfId="38724"/>
    <cellStyle name="常规 3 3 3 2 2 2" xfId="38725"/>
    <cellStyle name="常规 3 3 3 2 2 2 2" xfId="38726"/>
    <cellStyle name="常规 3 3 3 2 3" xfId="38727"/>
    <cellStyle name="常规 3 3 3 2 3 2" xfId="38728"/>
    <cellStyle name="常规 3 3 3 2 3 2 2" xfId="38729"/>
    <cellStyle name="常规 3 3 3 2 4" xfId="38730"/>
    <cellStyle name="常规 3 3 3 2 4 2" xfId="38731"/>
    <cellStyle name="常规 3 3 3 2 4 2 2" xfId="38732"/>
    <cellStyle name="常规 3 3 3 2 5" xfId="38733"/>
    <cellStyle name="常规 3 3 3 2 5 2" xfId="38734"/>
    <cellStyle name="常规 3 3 3 2 5 3" xfId="38735"/>
    <cellStyle name="常规 3 3 3 2 6" xfId="38736"/>
    <cellStyle name="常规 3 3 3 3" xfId="38737"/>
    <cellStyle name="常规 3 3 3 3 2" xfId="38738"/>
    <cellStyle name="常规 3 3 3 3 2 2" xfId="38739"/>
    <cellStyle name="常规 3 3 3 3 2 2 2" xfId="38740"/>
    <cellStyle name="常规 3 3 3 3 3" xfId="38741"/>
    <cellStyle name="常规 3 3 3 3 3 2" xfId="38742"/>
    <cellStyle name="常规 3 3 3 3 3 2 2" xfId="38743"/>
    <cellStyle name="常规 3 3 3 3 4" xfId="38744"/>
    <cellStyle name="常规 3 3 3 3 4 2" xfId="38745"/>
    <cellStyle name="常规 3 3 3 3 5" xfId="38746"/>
    <cellStyle name="常规 3 3 3 4" xfId="38747"/>
    <cellStyle name="常规 3 3 3 4 2" xfId="38748"/>
    <cellStyle name="常规 3 3 3 4 2 2" xfId="38749"/>
    <cellStyle name="常规 3 3 3 5" xfId="38750"/>
    <cellStyle name="常规 3 3 3 5 2" xfId="38751"/>
    <cellStyle name="常规 3 3 3 5 2 2" xfId="38752"/>
    <cellStyle name="常规 3 3 3 6" xfId="38753"/>
    <cellStyle name="常规 3 3 3 7" xfId="38754"/>
    <cellStyle name="常规 3 3 3 7 2" xfId="38755"/>
    <cellStyle name="常规 3 3 3 7 3" xfId="38756"/>
    <cellStyle name="常规 3 3 3 8" xfId="38757"/>
    <cellStyle name="常规 3 3 3 8 2" xfId="38758"/>
    <cellStyle name="常规 3 3 4" xfId="38759"/>
    <cellStyle name="常规 3 3 4 2" xfId="38760"/>
    <cellStyle name="常规 3 3 4 2 2" xfId="38761"/>
    <cellStyle name="常规 3 3 4 2 2 2" xfId="38762"/>
    <cellStyle name="常规 3 3 4 2 2 2 2" xfId="38763"/>
    <cellStyle name="常规 3 3 4 2 3" xfId="38764"/>
    <cellStyle name="常规 3 3 4 2 3 2" xfId="38765"/>
    <cellStyle name="常规 3 3 4 2 3 2 2" xfId="38766"/>
    <cellStyle name="常规 3 3 4 2 4" xfId="38767"/>
    <cellStyle name="常规 3 3 4 2 4 2" xfId="38768"/>
    <cellStyle name="常规 3 3 4 2 4 2 2" xfId="38769"/>
    <cellStyle name="常规 3 3 4 2 5" xfId="38770"/>
    <cellStyle name="常规 3 3 4 2 5 2" xfId="38771"/>
    <cellStyle name="常规 3 3 4 2 5 3" xfId="38772"/>
    <cellStyle name="常规 3 3 4 2 6" xfId="38773"/>
    <cellStyle name="常规 3 3 4 3" xfId="38774"/>
    <cellStyle name="常规 3 3 4 3 2" xfId="38775"/>
    <cellStyle name="常规 3 3 4 3 2 2" xfId="38776"/>
    <cellStyle name="常规 3 3 4 4" xfId="38777"/>
    <cellStyle name="常规 3 3 4 4 2" xfId="38778"/>
    <cellStyle name="常规 3 3 4 4 2 2" xfId="38779"/>
    <cellStyle name="常规 3 3 4 5" xfId="38780"/>
    <cellStyle name="常规 3 3 4 5 2" xfId="38781"/>
    <cellStyle name="常规 3 3 4 5 2 2" xfId="38782"/>
    <cellStyle name="常规 3 3 4 6" xfId="38783"/>
    <cellStyle name="常规 3 3 4 7" xfId="38784"/>
    <cellStyle name="常规 3 3 4 7 2" xfId="38785"/>
    <cellStyle name="常规 3 3 4 7 3" xfId="38786"/>
    <cellStyle name="常规 3 3 4 8" xfId="38787"/>
    <cellStyle name="常规 3 3 4 8 2" xfId="38788"/>
    <cellStyle name="常规 3 3 5" xfId="38789"/>
    <cellStyle name="常规 3 3 5 2" xfId="38790"/>
    <cellStyle name="常规 3 3 5 2 2" xfId="38791"/>
    <cellStyle name="常规 3 3 5 2 3" xfId="38792"/>
    <cellStyle name="常规 3 3 5 2 4" xfId="38793"/>
    <cellStyle name="常规 3 3 5 2 4 2" xfId="38794"/>
    <cellStyle name="常规 3 3 5 2 4 3" xfId="38795"/>
    <cellStyle name="常规 3 3 5 2 5" xfId="38796"/>
    <cellStyle name="常规 3 3 5 2 5 2" xfId="38797"/>
    <cellStyle name="常规 3 3 5 3" xfId="38798"/>
    <cellStyle name="常规 3 3 5 3 2" xfId="38799"/>
    <cellStyle name="常规 3 3 5 3 2 2" xfId="38800"/>
    <cellStyle name="常规 3 3 5 4" xfId="38801"/>
    <cellStyle name="常规 3 3 5 4 2" xfId="38802"/>
    <cellStyle name="常规 3 3 5 4 2 2" xfId="38803"/>
    <cellStyle name="常规 3 3 5 5" xfId="38804"/>
    <cellStyle name="常规 3 3 5 6" xfId="38805"/>
    <cellStyle name="常规 3 3 5 6 2" xfId="38806"/>
    <cellStyle name="常规 3 3 5 6 3" xfId="38807"/>
    <cellStyle name="常规 3 3 5 7" xfId="38808"/>
    <cellStyle name="常规 3 3 5 7 2" xfId="38809"/>
    <cellStyle name="常规 3 3 6" xfId="38810"/>
    <cellStyle name="常规 3 3 6 2" xfId="38811"/>
    <cellStyle name="常规 3 3 6 2 2" xfId="38812"/>
    <cellStyle name="常规 3 3 6 2 2 2" xfId="38813"/>
    <cellStyle name="常规 3 3 6 2 2 2 2" xfId="38814"/>
    <cellStyle name="常规 3 3 6 2 3" xfId="38815"/>
    <cellStyle name="常规 3 3 6 2 3 2" xfId="38816"/>
    <cellStyle name="常规 3 3 6 2 4" xfId="38817"/>
    <cellStyle name="常规 3 3 6 2 4 2" xfId="38818"/>
    <cellStyle name="常规 3 3 6 2 5" xfId="38819"/>
    <cellStyle name="常规 3 3 6 3" xfId="38820"/>
    <cellStyle name="常规 3 3 6 4" xfId="38821"/>
    <cellStyle name="常规 3 3 6 4 2" xfId="38822"/>
    <cellStyle name="常规 3 3 6 4 3" xfId="38823"/>
    <cellStyle name="常规 3 3 6 5" xfId="38824"/>
    <cellStyle name="常规 3 3 6 5 2" xfId="38825"/>
    <cellStyle name="常规 3 3 7" xfId="38826"/>
    <cellStyle name="常规 3 3 7 2" xfId="38827"/>
    <cellStyle name="常规 3 3 7 2 2" xfId="38828"/>
    <cellStyle name="常规 3 3 7 2 2 2" xfId="38829"/>
    <cellStyle name="常规 3 3 7 3" xfId="38830"/>
    <cellStyle name="常规 3 3 7 3 2" xfId="38831"/>
    <cellStyle name="常规 3 3 7 3 2 2" xfId="38832"/>
    <cellStyle name="常规 3 3 7 4" xfId="38833"/>
    <cellStyle name="常规 3 3 7 4 2" xfId="38834"/>
    <cellStyle name="常规 3 3 7 5" xfId="38835"/>
    <cellStyle name="常规 3 3 8" xfId="38836"/>
    <cellStyle name="常规 3 3 8 2" xfId="38837"/>
    <cellStyle name="常规 3 3 8 2 2" xfId="38838"/>
    <cellStyle name="常规 3 3 9" xfId="38839"/>
    <cellStyle name="常规 3 4" xfId="38840"/>
    <cellStyle name="常规 3 4 10" xfId="38841"/>
    <cellStyle name="常规 3 4 10 2" xfId="38842"/>
    <cellStyle name="常规 3 4 10 3" xfId="38843"/>
    <cellStyle name="常规 3 4 11" xfId="38844"/>
    <cellStyle name="常规 3 4 11 2" xfId="38845"/>
    <cellStyle name="常规 3 4 2" xfId="38846"/>
    <cellStyle name="常规 3 4 2 10" xfId="38847"/>
    <cellStyle name="常规 3 4 2 10 2" xfId="38848"/>
    <cellStyle name="常规 3 4 2 2" xfId="38849"/>
    <cellStyle name="常规 3 4 2 2 2" xfId="38850"/>
    <cellStyle name="常规 3 4 2 2 2 2" xfId="38851"/>
    <cellStyle name="常规 3 4 2 2 2 2 2" xfId="38852"/>
    <cellStyle name="常规 3 4 2 2 2 2 2 2" xfId="38853"/>
    <cellStyle name="常规 3 4 2 2 2 2 2 2 2" xfId="38854"/>
    <cellStyle name="常规 3 4 2 2 2 2 3" xfId="38855"/>
    <cellStyle name="常规 3 4 2 2 2 2 3 2" xfId="38856"/>
    <cellStyle name="常规 3 4 2 2 2 2 3 2 2" xfId="38857"/>
    <cellStyle name="常规 3 4 2 2 2 2 4" xfId="38858"/>
    <cellStyle name="常规 3 4 2 2 2 2 4 2" xfId="38859"/>
    <cellStyle name="常规 3 4 2 2 2 2 4 2 2" xfId="38860"/>
    <cellStyle name="常规 3 4 2 2 2 2 5" xfId="38861"/>
    <cellStyle name="常规 3 4 2 2 2 2 5 2" xfId="38862"/>
    <cellStyle name="常规 3 4 2 2 2 2 5 3" xfId="38863"/>
    <cellStyle name="常规 3 4 2 2 2 2 6" xfId="38864"/>
    <cellStyle name="常规 3 4 2 2 2 3" xfId="38865"/>
    <cellStyle name="常规 3 4 2 2 2 3 2" xfId="38866"/>
    <cellStyle name="常规 3 4 2 2 2 3 2 2" xfId="38867"/>
    <cellStyle name="常规 3 4 2 2 2 3 2 2 2" xfId="38868"/>
    <cellStyle name="常规 3 4 2 2 2 3 3" xfId="38869"/>
    <cellStyle name="常规 3 4 2 2 2 3 3 2" xfId="38870"/>
    <cellStyle name="常规 3 4 2 2 2 3 3 2 2" xfId="38871"/>
    <cellStyle name="常规 3 4 2 2 2 3 4" xfId="38872"/>
    <cellStyle name="常规 3 4 2 2 2 3 4 2" xfId="38873"/>
    <cellStyle name="常规 3 4 2 2 2 3 5" xfId="38874"/>
    <cellStyle name="常规 3 4 2 2 2 4" xfId="38875"/>
    <cellStyle name="常规 3 4 2 2 2 4 2" xfId="38876"/>
    <cellStyle name="常规 3 4 2 2 2 4 2 2" xfId="38877"/>
    <cellStyle name="常规 3 4 2 2 2 5" xfId="38878"/>
    <cellStyle name="常规 3 4 2 2 2 5 2" xfId="38879"/>
    <cellStyle name="常规 3 4 2 2 2 5 2 2" xfId="38880"/>
    <cellStyle name="常规 3 4 2 2 2 6" xfId="38881"/>
    <cellStyle name="常规 3 4 2 2 2 7" xfId="38882"/>
    <cellStyle name="常规 3 4 2 2 2 7 2" xfId="38883"/>
    <cellStyle name="常规 3 4 2 2 2 7 3" xfId="38884"/>
    <cellStyle name="常规 3 4 2 2 2 8" xfId="38885"/>
    <cellStyle name="常规 3 4 2 2 2 8 2" xfId="38886"/>
    <cellStyle name="常规 3 4 2 2 3" xfId="38887"/>
    <cellStyle name="常规 3 4 2 2 3 2" xfId="38888"/>
    <cellStyle name="常规 3 4 2 2 3 2 2" xfId="38889"/>
    <cellStyle name="常规 3 4 2 2 3 2 3" xfId="38890"/>
    <cellStyle name="常规 3 4 2 2 3 2 4" xfId="38891"/>
    <cellStyle name="常规 3 4 2 2 3 2 5" xfId="38892"/>
    <cellStyle name="常规 3 4 2 2 3 2 5 2" xfId="38893"/>
    <cellStyle name="常规 3 4 2 2 3 3" xfId="38894"/>
    <cellStyle name="常规 3 4 2 2 3 3 2" xfId="38895"/>
    <cellStyle name="常规 3 4 2 2 3 3 2 2" xfId="38896"/>
    <cellStyle name="常规 3 4 2 2 3 4" xfId="38897"/>
    <cellStyle name="常规 3 4 2 2 3 4 2" xfId="38898"/>
    <cellStyle name="常规 3 4 2 2 3 4 2 2" xfId="38899"/>
    <cellStyle name="常规 3 4 2 2 3 5" xfId="38900"/>
    <cellStyle name="常规 3 4 2 2 3 5 2" xfId="38901"/>
    <cellStyle name="常规 3 4 2 2 3 5 3" xfId="38902"/>
    <cellStyle name="常规 3 4 2 2 3 6" xfId="38903"/>
    <cellStyle name="常规 3 4 2 2 3 6 2" xfId="38904"/>
    <cellStyle name="常规 3 4 2 2 3 7" xfId="38905"/>
    <cellStyle name="常规 3 4 2 2 4" xfId="38906"/>
    <cellStyle name="常规 3 4 2 2 4 2" xfId="38907"/>
    <cellStyle name="常规 3 4 2 2 4 3" xfId="38908"/>
    <cellStyle name="常规 3 4 2 2 4 4" xfId="38909"/>
    <cellStyle name="常规 3 4 2 2 4 5" xfId="38910"/>
    <cellStyle name="常规 3 4 2 2 4 5 2" xfId="38911"/>
    <cellStyle name="常规 3 4 2 2 5" xfId="38912"/>
    <cellStyle name="常规 3 4 2 2 5 2" xfId="38913"/>
    <cellStyle name="常规 3 4 2 2 5 2 2" xfId="38914"/>
    <cellStyle name="常规 3 4 2 2 6" xfId="38915"/>
    <cellStyle name="常规 3 4 2 2 6 2" xfId="38916"/>
    <cellStyle name="常规 3 4 2 2 6 2 2" xfId="38917"/>
    <cellStyle name="常规 3 4 2 2 7" xfId="38918"/>
    <cellStyle name="常规 3 4 2 2 7 2" xfId="38919"/>
    <cellStyle name="常规 3 4 2 2 7 2 2" xfId="38920"/>
    <cellStyle name="常规 3 4 2 2 8" xfId="38921"/>
    <cellStyle name="常规 3 4 2 2 8 2" xfId="38922"/>
    <cellStyle name="常规 3 4 2 2 8 3" xfId="38923"/>
    <cellStyle name="常规 3 4 2 2 9" xfId="38924"/>
    <cellStyle name="常规 3 4 2 2 9 2" xfId="38925"/>
    <cellStyle name="常规 3 4 2 3" xfId="38926"/>
    <cellStyle name="常规 3 4 2 3 2" xfId="38927"/>
    <cellStyle name="常规 3 4 2 3 2 2" xfId="38928"/>
    <cellStyle name="常规 3 4 2 3 2 2 2" xfId="38929"/>
    <cellStyle name="常规 3 4 2 3 2 2 2 2" xfId="38930"/>
    <cellStyle name="常规 3 4 2 3 2 3" xfId="38931"/>
    <cellStyle name="常规 3 4 2 3 2 3 2" xfId="38932"/>
    <cellStyle name="常规 3 4 2 3 2 3 2 2" xfId="38933"/>
    <cellStyle name="常规 3 4 2 3 2 4" xfId="38934"/>
    <cellStyle name="常规 3 4 2 3 2 4 2" xfId="38935"/>
    <cellStyle name="常规 3 4 2 3 2 4 2 2" xfId="38936"/>
    <cellStyle name="常规 3 4 2 3 2 5" xfId="38937"/>
    <cellStyle name="常规 3 4 2 3 2 5 2" xfId="38938"/>
    <cellStyle name="常规 3 4 2 3 2 5 3" xfId="38939"/>
    <cellStyle name="常规 3 4 2 3 2 6" xfId="38940"/>
    <cellStyle name="常规 3 4 2 3 3" xfId="38941"/>
    <cellStyle name="常规 3 4 2 3 3 2" xfId="38942"/>
    <cellStyle name="常规 3 4 2 3 3 2 2" xfId="38943"/>
    <cellStyle name="常规 3 4 2 3 3 2 2 2" xfId="38944"/>
    <cellStyle name="常规 3 4 2 3 3 3" xfId="38945"/>
    <cellStyle name="常规 3 4 2 3 3 3 2" xfId="38946"/>
    <cellStyle name="常规 3 4 2 3 3 3 2 2" xfId="38947"/>
    <cellStyle name="常规 3 4 2 3 3 4" xfId="38948"/>
    <cellStyle name="常规 3 4 2 3 3 4 2" xfId="38949"/>
    <cellStyle name="常规 3 4 2 3 3 5" xfId="38950"/>
    <cellStyle name="常规 3 4 2 3 4" xfId="38951"/>
    <cellStyle name="常规 3 4 2 3 4 2" xfId="38952"/>
    <cellStyle name="常规 3 4 2 3 4 2 2" xfId="38953"/>
    <cellStyle name="常规 3 4 2 3 5" xfId="38954"/>
    <cellStyle name="常规 3 4 2 3 5 2" xfId="38955"/>
    <cellStyle name="常规 3 4 2 3 5 2 2" xfId="38956"/>
    <cellStyle name="常规 3 4 2 3 6" xfId="38957"/>
    <cellStyle name="常规 3 4 2 3 7" xfId="38958"/>
    <cellStyle name="常规 3 4 2 3 7 2" xfId="38959"/>
    <cellStyle name="常规 3 4 2 3 7 3" xfId="38960"/>
    <cellStyle name="常规 3 4 2 3 8" xfId="38961"/>
    <cellStyle name="常规 3 4 2 3 8 2" xfId="38962"/>
    <cellStyle name="常规 3 4 2 4" xfId="38963"/>
    <cellStyle name="常规 3 4 2 4 2" xfId="38964"/>
    <cellStyle name="常规 3 4 2 4 2 2" xfId="38965"/>
    <cellStyle name="常规 3 4 2 4 2 3" xfId="38966"/>
    <cellStyle name="常规 3 4 2 4 2 4" xfId="38967"/>
    <cellStyle name="常规 3 4 2 4 2 5" xfId="38968"/>
    <cellStyle name="常规 3 4 2 4 2 5 2" xfId="38969"/>
    <cellStyle name="常规 3 4 2 4 3" xfId="38970"/>
    <cellStyle name="常规 3 4 2 4 3 2" xfId="38971"/>
    <cellStyle name="常规 3 4 2 4 3 2 2" xfId="38972"/>
    <cellStyle name="常规 3 4 2 4 4" xfId="38973"/>
    <cellStyle name="常规 3 4 2 4 4 2" xfId="38974"/>
    <cellStyle name="常规 3 4 2 4 4 2 2" xfId="38975"/>
    <cellStyle name="常规 3 4 2 4 5" xfId="38976"/>
    <cellStyle name="常规 3 4 2 4 5 2" xfId="38977"/>
    <cellStyle name="常规 3 4 2 4 5 3" xfId="38978"/>
    <cellStyle name="常规 3 4 2 4 6" xfId="38979"/>
    <cellStyle name="常规 3 4 2 4 6 2" xfId="38980"/>
    <cellStyle name="常规 3 4 2 4 7" xfId="38981"/>
    <cellStyle name="常规 3 4 2 5" xfId="38982"/>
    <cellStyle name="常规 3 4 2 5 2" xfId="38983"/>
    <cellStyle name="常规 3 4 2 5 3" xfId="38984"/>
    <cellStyle name="常规 3 4 2 5 4" xfId="38985"/>
    <cellStyle name="常规 3 4 2 5 5" xfId="38986"/>
    <cellStyle name="常规 3 4 2 5 5 2" xfId="38987"/>
    <cellStyle name="常规 3 4 2 6" xfId="38988"/>
    <cellStyle name="常规 3 4 2 6 2" xfId="38989"/>
    <cellStyle name="常规 3 4 2 6 2 2" xfId="38990"/>
    <cellStyle name="常规 3 4 2 7" xfId="38991"/>
    <cellStyle name="常规 3 4 2 7 2" xfId="38992"/>
    <cellStyle name="常规 3 4 2 7 2 2" xfId="38993"/>
    <cellStyle name="常规 3 4 2 8" xfId="38994"/>
    <cellStyle name="常规 3 4 2 8 2" xfId="38995"/>
    <cellStyle name="常规 3 4 2 8 2 2" xfId="38996"/>
    <cellStyle name="常规 3 4 2 9" xfId="38997"/>
    <cellStyle name="常规 3 4 2 9 2" xfId="38998"/>
    <cellStyle name="常规 3 4 2 9 3" xfId="38999"/>
    <cellStyle name="常规 3 4 3" xfId="39000"/>
    <cellStyle name="常规 3 4 3 2" xfId="39001"/>
    <cellStyle name="常规 3 4 3 2 2" xfId="39002"/>
    <cellStyle name="常规 3 4 3 2 2 2" xfId="39003"/>
    <cellStyle name="常规 3 4 3 2 2 2 2" xfId="39004"/>
    <cellStyle name="常规 3 4 3 2 3" xfId="39005"/>
    <cellStyle name="常规 3 4 3 2 3 2" xfId="39006"/>
    <cellStyle name="常规 3 4 3 2 3 2 2" xfId="39007"/>
    <cellStyle name="常规 3 4 3 2 4" xfId="39008"/>
    <cellStyle name="常规 3 4 3 2 4 2" xfId="39009"/>
    <cellStyle name="常规 3 4 3 2 4 2 2" xfId="39010"/>
    <cellStyle name="常规 3 4 3 2 5" xfId="39011"/>
    <cellStyle name="常规 3 4 3 2 5 2" xfId="39012"/>
    <cellStyle name="常规 3 4 3 2 5 3" xfId="39013"/>
    <cellStyle name="常规 3 4 3 2 6" xfId="39014"/>
    <cellStyle name="常规 3 4 3 3" xfId="39015"/>
    <cellStyle name="常规 3 4 3 3 2" xfId="39016"/>
    <cellStyle name="常规 3 4 3 3 2 2" xfId="39017"/>
    <cellStyle name="常规 3 4 3 3 2 2 2" xfId="39018"/>
    <cellStyle name="常规 3 4 3 3 3" xfId="39019"/>
    <cellStyle name="常规 3 4 3 3 3 2" xfId="39020"/>
    <cellStyle name="常规 3 4 3 3 3 2 2" xfId="39021"/>
    <cellStyle name="常规 3 4 3 3 4" xfId="39022"/>
    <cellStyle name="常规 3 4 3 3 4 2" xfId="39023"/>
    <cellStyle name="常规 3 4 3 3 5" xfId="39024"/>
    <cellStyle name="常规 3 4 3 4" xfId="39025"/>
    <cellStyle name="常规 3 4 3 4 2" xfId="39026"/>
    <cellStyle name="常规 3 4 3 4 2 2" xfId="39027"/>
    <cellStyle name="常规 3 4 3 5" xfId="39028"/>
    <cellStyle name="常规 3 4 3 5 2" xfId="39029"/>
    <cellStyle name="常规 3 4 3 5 2 2" xfId="39030"/>
    <cellStyle name="常规 3 4 3 6" xfId="39031"/>
    <cellStyle name="常规 3 4 3 7" xfId="39032"/>
    <cellStyle name="常规 3 4 3 7 2" xfId="39033"/>
    <cellStyle name="常规 3 4 3 7 3" xfId="39034"/>
    <cellStyle name="常规 3 4 3 8" xfId="39035"/>
    <cellStyle name="常规 3 4 3 8 2" xfId="39036"/>
    <cellStyle name="常规 3 4 4" xfId="39037"/>
    <cellStyle name="常规 3 4 4 2" xfId="39038"/>
    <cellStyle name="常规 3 4 4 2 2" xfId="39039"/>
    <cellStyle name="常规 3 4 4 2 2 2" xfId="39040"/>
    <cellStyle name="常规 3 4 4 2 2 2 2" xfId="39041"/>
    <cellStyle name="常规 3 4 4 2 3" xfId="39042"/>
    <cellStyle name="常规 3 4 4 2 3 2" xfId="39043"/>
    <cellStyle name="常规 3 4 4 2 3 2 2" xfId="39044"/>
    <cellStyle name="常规 3 4 4 2 4" xfId="39045"/>
    <cellStyle name="常规 3 4 4 2 4 2" xfId="39046"/>
    <cellStyle name="常规 3 4 4 2 4 2 2" xfId="39047"/>
    <cellStyle name="常规 3 4 4 2 5" xfId="39048"/>
    <cellStyle name="常规 3 4 4 2 5 2" xfId="39049"/>
    <cellStyle name="常规 3 4 4 2 5 3" xfId="39050"/>
    <cellStyle name="常规 3 4 4 2 6" xfId="39051"/>
    <cellStyle name="常规 3 4 4 3" xfId="39052"/>
    <cellStyle name="常规 3 4 4 3 2" xfId="39053"/>
    <cellStyle name="常规 3 4 4 3 2 2" xfId="39054"/>
    <cellStyle name="常规 3 4 4 4" xfId="39055"/>
    <cellStyle name="常规 3 4 4 4 2" xfId="39056"/>
    <cellStyle name="常规 3 4 4 4 2 2" xfId="39057"/>
    <cellStyle name="常规 3 4 4 5" xfId="39058"/>
    <cellStyle name="常规 3 4 4 5 2" xfId="39059"/>
    <cellStyle name="常规 3 4 4 5 2 2" xfId="39060"/>
    <cellStyle name="常规 3 4 4 6" xfId="39061"/>
    <cellStyle name="常规 3 4 4 7" xfId="39062"/>
    <cellStyle name="常规 3 4 4 7 2" xfId="39063"/>
    <cellStyle name="常规 3 4 4 7 3" xfId="39064"/>
    <cellStyle name="常规 3 4 4 8" xfId="39065"/>
    <cellStyle name="常规 3 4 4 8 2" xfId="39066"/>
    <cellStyle name="常规 3 4 5" xfId="39067"/>
    <cellStyle name="常规 3 4 5 2" xfId="39068"/>
    <cellStyle name="常规 3 4 5 2 2" xfId="39069"/>
    <cellStyle name="常规 3 4 5 2 2 2" xfId="39070"/>
    <cellStyle name="常规 3 4 5 2 2 2 2" xfId="39071"/>
    <cellStyle name="常规 3 4 5 2 3" xfId="39072"/>
    <cellStyle name="常规 3 4 5 2 3 2" xfId="39073"/>
    <cellStyle name="常规 3 4 5 2 3 2 2" xfId="39074"/>
    <cellStyle name="常规 3 4 5 2 4" xfId="39075"/>
    <cellStyle name="常规 3 4 5 2 4 2" xfId="39076"/>
    <cellStyle name="常规 3 4 5 2 5" xfId="39077"/>
    <cellStyle name="常规 3 4 5 3" xfId="39078"/>
    <cellStyle name="常规 3 4 5 3 2" xfId="39079"/>
    <cellStyle name="常规 3 4 5 3 2 2" xfId="39080"/>
    <cellStyle name="常规 3 4 5 4" xfId="39081"/>
    <cellStyle name="常规 3 4 5 4 2" xfId="39082"/>
    <cellStyle name="常规 3 4 5 4 2 2" xfId="39083"/>
    <cellStyle name="常规 3 4 5 5" xfId="39084"/>
    <cellStyle name="常规 3 4 5 5 2" xfId="39085"/>
    <cellStyle name="常规 3 4 5 5 3" xfId="39086"/>
    <cellStyle name="常规 3 4 5 6" xfId="39087"/>
    <cellStyle name="常规 3 4 6" xfId="39088"/>
    <cellStyle name="常规 3 4 6 2" xfId="39089"/>
    <cellStyle name="常规 3 4 6 2 2" xfId="39090"/>
    <cellStyle name="常规 3 4 6 2 2 2" xfId="39091"/>
    <cellStyle name="常规 3 4 6 3" xfId="39092"/>
    <cellStyle name="常规 3 4 6 3 2" xfId="39093"/>
    <cellStyle name="常规 3 4 6 3 2 2" xfId="39094"/>
    <cellStyle name="常规 3 4 6 4" xfId="39095"/>
    <cellStyle name="常规 3 4 6 4 2" xfId="39096"/>
    <cellStyle name="常规 3 4 6 5" xfId="39097"/>
    <cellStyle name="常规 3 4 7" xfId="39098"/>
    <cellStyle name="常规 3 4 7 2" xfId="39099"/>
    <cellStyle name="常规 3 4 7 2 2" xfId="39100"/>
    <cellStyle name="常规 3 4 8" xfId="39101"/>
    <cellStyle name="常规 3 4 8 2" xfId="39102"/>
    <cellStyle name="常规 3 4 8 2 2" xfId="39103"/>
    <cellStyle name="常规 3 4 9" xfId="39104"/>
    <cellStyle name="常规 3 5" xfId="39105"/>
    <cellStyle name="常规 3 5 10" xfId="39106"/>
    <cellStyle name="常规 3 5 10 2" xfId="39107"/>
    <cellStyle name="常规 3 5 2" xfId="39108"/>
    <cellStyle name="常规 3 5 2 10" xfId="39109"/>
    <cellStyle name="常规 3 5 2 10 2" xfId="39110"/>
    <cellStyle name="常规 3 5 2 2" xfId="39111"/>
    <cellStyle name="常规 3 5 2 2 2" xfId="39112"/>
    <cellStyle name="常规 3 5 2 2 2 2" xfId="39113"/>
    <cellStyle name="常规 3 5 2 2 2 2 2" xfId="39114"/>
    <cellStyle name="常规 3 5 2 2 2 2 2 2" xfId="39115"/>
    <cellStyle name="常规 3 5 2 2 2 2 2 2 2" xfId="39116"/>
    <cellStyle name="常规 3 5 2 2 2 2 3" xfId="39117"/>
    <cellStyle name="常规 3 5 2 2 2 2 3 2" xfId="39118"/>
    <cellStyle name="常规 3 5 2 2 2 2 3 2 2" xfId="39119"/>
    <cellStyle name="常规 3 5 2 2 2 2 4" xfId="39120"/>
    <cellStyle name="常规 3 5 2 2 2 2 4 2" xfId="39121"/>
    <cellStyle name="常规 3 5 2 2 2 2 4 2 2" xfId="39122"/>
    <cellStyle name="常规 3 5 2 2 2 2 5" xfId="39123"/>
    <cellStyle name="常规 3 5 2 2 2 2 5 2" xfId="39124"/>
    <cellStyle name="常规 3 5 2 2 2 2 5 3" xfId="39125"/>
    <cellStyle name="常规 3 5 2 2 2 2 6" xfId="39126"/>
    <cellStyle name="常规 3 5 2 2 2 3" xfId="39127"/>
    <cellStyle name="常规 3 5 2 2 2 3 2" xfId="39128"/>
    <cellStyle name="常规 3 5 2 2 2 3 2 2" xfId="39129"/>
    <cellStyle name="常规 3 5 2 2 2 3 2 2 2" xfId="39130"/>
    <cellStyle name="常规 3 5 2 2 2 3 3" xfId="39131"/>
    <cellStyle name="常规 3 5 2 2 2 3 3 2" xfId="39132"/>
    <cellStyle name="常规 3 5 2 2 2 3 3 2 2" xfId="39133"/>
    <cellStyle name="常规 3 5 2 2 2 3 4" xfId="39134"/>
    <cellStyle name="常规 3 5 2 2 2 3 4 2" xfId="39135"/>
    <cellStyle name="常规 3 5 2 2 2 3 5" xfId="39136"/>
    <cellStyle name="常规 3 5 2 2 2 4" xfId="39137"/>
    <cellStyle name="常规 3 5 2 2 2 4 2" xfId="39138"/>
    <cellStyle name="常规 3 5 2 2 2 4 2 2" xfId="39139"/>
    <cellStyle name="常规 3 5 2 2 2 5" xfId="39140"/>
    <cellStyle name="常规 3 5 2 2 2 5 2" xfId="39141"/>
    <cellStyle name="常规 3 5 2 2 2 5 2 2" xfId="39142"/>
    <cellStyle name="常规 3 5 2 2 2 6" xfId="39143"/>
    <cellStyle name="常规 3 5 2 2 2 7" xfId="39144"/>
    <cellStyle name="常规 3 5 2 2 2 7 2" xfId="39145"/>
    <cellStyle name="常规 3 5 2 2 2 7 3" xfId="39146"/>
    <cellStyle name="常规 3 5 2 2 2 8" xfId="39147"/>
    <cellStyle name="常规 3 5 2 2 2 8 2" xfId="39148"/>
    <cellStyle name="常规 3 5 2 2 3" xfId="39149"/>
    <cellStyle name="常规 3 5 2 2 3 2" xfId="39150"/>
    <cellStyle name="常规 3 5 2 2 3 2 2" xfId="39151"/>
    <cellStyle name="常规 3 5 2 2 3 2 3" xfId="39152"/>
    <cellStyle name="常规 3 5 2 2 3 2 4" xfId="39153"/>
    <cellStyle name="常规 3 5 2 2 3 2 5" xfId="39154"/>
    <cellStyle name="常规 3 5 2 2 3 2 5 2" xfId="39155"/>
    <cellStyle name="常规 3 5 2 2 3 3" xfId="39156"/>
    <cellStyle name="常规 3 5 2 2 3 3 2" xfId="39157"/>
    <cellStyle name="常规 3 5 2 2 3 3 2 2" xfId="39158"/>
    <cellStyle name="常规 3 5 2 2 3 4" xfId="39159"/>
    <cellStyle name="常规 3 5 2 2 3 4 2" xfId="39160"/>
    <cellStyle name="常规 3 5 2 2 3 4 2 2" xfId="39161"/>
    <cellStyle name="常规 3 5 2 2 3 5" xfId="39162"/>
    <cellStyle name="常规 3 5 2 2 3 5 2" xfId="39163"/>
    <cellStyle name="常规 3 5 2 2 3 5 3" xfId="39164"/>
    <cellStyle name="常规 3 5 2 2 3 6" xfId="39165"/>
    <cellStyle name="常规 3 5 2 2 3 6 2" xfId="39166"/>
    <cellStyle name="常规 3 5 2 2 3 7" xfId="39167"/>
    <cellStyle name="常规 3 5 2 2 4" xfId="39168"/>
    <cellStyle name="常规 3 5 2 2 4 2" xfId="39169"/>
    <cellStyle name="常规 3 5 2 2 4 3" xfId="39170"/>
    <cellStyle name="常规 3 5 2 2 4 4" xfId="39171"/>
    <cellStyle name="常规 3 5 2 2 4 5" xfId="39172"/>
    <cellStyle name="常规 3 5 2 2 4 5 2" xfId="39173"/>
    <cellStyle name="常规 3 5 2 2 5" xfId="39174"/>
    <cellStyle name="常规 3 5 2 2 5 2" xfId="39175"/>
    <cellStyle name="常规 3 5 2 2 5 2 2" xfId="39176"/>
    <cellStyle name="常规 3 5 2 2 6" xfId="39177"/>
    <cellStyle name="常规 3 5 2 2 6 2" xfId="39178"/>
    <cellStyle name="常规 3 5 2 2 6 2 2" xfId="39179"/>
    <cellStyle name="常规 3 5 2 2 7" xfId="39180"/>
    <cellStyle name="常规 3 5 2 2 7 2" xfId="39181"/>
    <cellStyle name="常规 3 5 2 2 7 2 2" xfId="39182"/>
    <cellStyle name="常规 3 5 2 2 8" xfId="39183"/>
    <cellStyle name="常规 3 5 2 2 8 2" xfId="39184"/>
    <cellStyle name="常规 3 5 2 2 8 3" xfId="39185"/>
    <cellStyle name="常规 3 5 2 2 9" xfId="39186"/>
    <cellStyle name="常规 3 5 2 2 9 2" xfId="39187"/>
    <cellStyle name="常规 3 5 2 3" xfId="39188"/>
    <cellStyle name="常规 3 5 2 3 2" xfId="39189"/>
    <cellStyle name="常规 3 5 2 3 2 2" xfId="39190"/>
    <cellStyle name="常规 3 5 2 3 2 2 2" xfId="39191"/>
    <cellStyle name="常规 3 5 2 3 2 2 2 2" xfId="39192"/>
    <cellStyle name="常规 3 5 2 3 2 3" xfId="39193"/>
    <cellStyle name="常规 3 5 2 3 2 3 2" xfId="39194"/>
    <cellStyle name="常规 3 5 2 3 2 3 2 2" xfId="39195"/>
    <cellStyle name="常规 3 5 2 3 2 4" xfId="39196"/>
    <cellStyle name="常规 3 5 2 3 2 4 2" xfId="39197"/>
    <cellStyle name="常规 3 5 2 3 2 4 2 2" xfId="39198"/>
    <cellStyle name="常规 3 5 2 3 2 5" xfId="39199"/>
    <cellStyle name="常规 3 5 2 3 2 5 2" xfId="39200"/>
    <cellStyle name="常规 3 5 2 3 2 5 3" xfId="39201"/>
    <cellStyle name="常规 3 5 2 3 2 6" xfId="39202"/>
    <cellStyle name="常规 3 5 2 3 3" xfId="39203"/>
    <cellStyle name="常规 3 5 2 3 3 2" xfId="39204"/>
    <cellStyle name="常规 3 5 2 3 3 2 2" xfId="39205"/>
    <cellStyle name="常规 3 5 2 3 3 2 2 2" xfId="39206"/>
    <cellStyle name="常规 3 5 2 3 3 3" xfId="39207"/>
    <cellStyle name="常规 3 5 2 3 3 3 2" xfId="39208"/>
    <cellStyle name="常规 3 5 2 3 3 3 2 2" xfId="39209"/>
    <cellStyle name="常规 3 5 2 3 3 4" xfId="39210"/>
    <cellStyle name="常规 3 5 2 3 3 4 2" xfId="39211"/>
    <cellStyle name="常规 3 5 2 3 3 5" xfId="39212"/>
    <cellStyle name="常规 3 5 2 3 4" xfId="39213"/>
    <cellStyle name="常规 3 5 2 3 4 2" xfId="39214"/>
    <cellStyle name="常规 3 5 2 3 4 2 2" xfId="39215"/>
    <cellStyle name="常规 3 5 2 3 5" xfId="39216"/>
    <cellStyle name="常规 3 5 2 3 5 2" xfId="39217"/>
    <cellStyle name="常规 3 5 2 3 5 2 2" xfId="39218"/>
    <cellStyle name="常规 3 5 2 3 6" xfId="39219"/>
    <cellStyle name="常规 3 5 2 3 7" xfId="39220"/>
    <cellStyle name="常规 3 5 2 3 7 2" xfId="39221"/>
    <cellStyle name="常规 3 5 2 3 7 3" xfId="39222"/>
    <cellStyle name="常规 3 5 2 3 8" xfId="39223"/>
    <cellStyle name="常规 3 5 2 3 8 2" xfId="39224"/>
    <cellStyle name="常规 3 5 2 4" xfId="39225"/>
    <cellStyle name="常规 3 5 2 4 2" xfId="39226"/>
    <cellStyle name="常规 3 5 2 4 2 2" xfId="39227"/>
    <cellStyle name="常规 3 5 2 4 2 3" xfId="39228"/>
    <cellStyle name="常规 3 5 2 4 2 4" xfId="39229"/>
    <cellStyle name="常规 3 5 2 4 2 5" xfId="39230"/>
    <cellStyle name="常规 3 5 2 4 2 5 2" xfId="39231"/>
    <cellStyle name="常规 3 5 2 4 3" xfId="39232"/>
    <cellStyle name="常规 3 5 2 4 3 2" xfId="39233"/>
    <cellStyle name="常规 3 5 2 4 3 2 2" xfId="39234"/>
    <cellStyle name="常规 3 5 2 4 4" xfId="39235"/>
    <cellStyle name="常规 3 5 2 4 4 2" xfId="39236"/>
    <cellStyle name="常规 3 5 2 4 4 2 2" xfId="39237"/>
    <cellStyle name="常规 3 5 2 4 5" xfId="39238"/>
    <cellStyle name="常规 3 5 2 4 5 2" xfId="39239"/>
    <cellStyle name="常规 3 5 2 4 5 3" xfId="39240"/>
    <cellStyle name="常规 3 5 2 4 6" xfId="39241"/>
    <cellStyle name="常规 3 5 2 4 6 2" xfId="39242"/>
    <cellStyle name="常规 3 5 2 4 7" xfId="39243"/>
    <cellStyle name="常规 3 5 2 5" xfId="39244"/>
    <cellStyle name="常规 3 5 2 5 2" xfId="39245"/>
    <cellStyle name="常规 3 5 2 5 3" xfId="39246"/>
    <cellStyle name="常规 3 5 2 5 4" xfId="39247"/>
    <cellStyle name="常规 3 5 2 5 5" xfId="39248"/>
    <cellStyle name="常规 3 5 2 5 5 2" xfId="39249"/>
    <cellStyle name="常规 3 5 2 6" xfId="39250"/>
    <cellStyle name="常规 3 5 2 6 2" xfId="39251"/>
    <cellStyle name="常规 3 5 2 6 2 2" xfId="39252"/>
    <cellStyle name="常规 3 5 2 7" xfId="39253"/>
    <cellStyle name="常规 3 5 2 7 2" xfId="39254"/>
    <cellStyle name="常规 3 5 2 7 2 2" xfId="39255"/>
    <cellStyle name="常规 3 5 2 8" xfId="39256"/>
    <cellStyle name="常规 3 5 2 8 2" xfId="39257"/>
    <cellStyle name="常规 3 5 2 8 2 2" xfId="39258"/>
    <cellStyle name="常规 3 5 2 9" xfId="39259"/>
    <cellStyle name="常规 3 5 2 9 2" xfId="39260"/>
    <cellStyle name="常规 3 5 2 9 3" xfId="39261"/>
    <cellStyle name="常规 3 5 3" xfId="39262"/>
    <cellStyle name="常规 3 5 3 2" xfId="39263"/>
    <cellStyle name="常规 3 5 3 2 2" xfId="39264"/>
    <cellStyle name="常规 3 5 3 2 2 2" xfId="39265"/>
    <cellStyle name="常规 3 5 3 2 2 2 2" xfId="39266"/>
    <cellStyle name="常规 3 5 3 2 3" xfId="39267"/>
    <cellStyle name="常规 3 5 3 2 3 2" xfId="39268"/>
    <cellStyle name="常规 3 5 3 2 3 2 2" xfId="39269"/>
    <cellStyle name="常规 3 5 3 2 4" xfId="39270"/>
    <cellStyle name="常规 3 5 3 2 4 2" xfId="39271"/>
    <cellStyle name="常规 3 5 3 2 4 2 2" xfId="39272"/>
    <cellStyle name="常规 3 5 3 2 5" xfId="39273"/>
    <cellStyle name="常规 3 5 3 2 5 2" xfId="39274"/>
    <cellStyle name="常规 3 5 3 2 5 3" xfId="39275"/>
    <cellStyle name="常规 3 5 3 2 6" xfId="39276"/>
    <cellStyle name="常规 3 5 3 3" xfId="39277"/>
    <cellStyle name="常规 3 5 3 3 2" xfId="39278"/>
    <cellStyle name="常规 3 5 3 3 2 2" xfId="39279"/>
    <cellStyle name="常规 3 5 3 3 2 2 2" xfId="39280"/>
    <cellStyle name="常规 3 5 3 3 3" xfId="39281"/>
    <cellStyle name="常规 3 5 3 3 3 2" xfId="39282"/>
    <cellStyle name="常规 3 5 3 3 3 2 2" xfId="39283"/>
    <cellStyle name="常规 3 5 3 3 4" xfId="39284"/>
    <cellStyle name="常规 3 5 3 3 4 2" xfId="39285"/>
    <cellStyle name="常规 3 5 3 3 5" xfId="39286"/>
    <cellStyle name="常规 3 5 3 4" xfId="39287"/>
    <cellStyle name="常规 3 5 3 4 2" xfId="39288"/>
    <cellStyle name="常规 3 5 3 4 2 2" xfId="39289"/>
    <cellStyle name="常规 3 5 3 5" xfId="39290"/>
    <cellStyle name="常规 3 5 3 5 2" xfId="39291"/>
    <cellStyle name="常规 3 5 3 5 2 2" xfId="39292"/>
    <cellStyle name="常规 3 5 3 6" xfId="39293"/>
    <cellStyle name="常规 3 5 3 7" xfId="39294"/>
    <cellStyle name="常规 3 5 3 7 2" xfId="39295"/>
    <cellStyle name="常规 3 5 3 7 3" xfId="39296"/>
    <cellStyle name="常规 3 5 3 8" xfId="39297"/>
    <cellStyle name="常规 3 5 3 8 2" xfId="39298"/>
    <cellStyle name="常规 3 5 4" xfId="39299"/>
    <cellStyle name="常规 3 5 4 2" xfId="39300"/>
    <cellStyle name="常规 3 5 4 2 2" xfId="39301"/>
    <cellStyle name="常规 3 5 4 2 2 2" xfId="39302"/>
    <cellStyle name="常规 3 5 4 2 2 2 2" xfId="39303"/>
    <cellStyle name="常规 3 5 4 2 3" xfId="39304"/>
    <cellStyle name="常规 3 5 4 2 3 2" xfId="39305"/>
    <cellStyle name="常规 3 5 4 2 3 2 2" xfId="39306"/>
    <cellStyle name="常规 3 5 4 2 4" xfId="39307"/>
    <cellStyle name="常规 3 5 4 2 4 2" xfId="39308"/>
    <cellStyle name="常规 3 5 4 2 4 2 2" xfId="39309"/>
    <cellStyle name="常规 3 5 4 2 5" xfId="39310"/>
    <cellStyle name="常规 3 5 4 2 5 2" xfId="39311"/>
    <cellStyle name="常规 3 5 4 2 5 3" xfId="39312"/>
    <cellStyle name="常规 3 5 4 2 6" xfId="39313"/>
    <cellStyle name="常规 3 5 4 3" xfId="39314"/>
    <cellStyle name="常规 3 5 4 3 2" xfId="39315"/>
    <cellStyle name="常规 3 5 4 3 2 2" xfId="39316"/>
    <cellStyle name="常规 3 5 4 4" xfId="39317"/>
    <cellStyle name="常规 3 5 4 4 2" xfId="39318"/>
    <cellStyle name="常规 3 5 4 4 2 2" xfId="39319"/>
    <cellStyle name="常规 3 5 4 5" xfId="39320"/>
    <cellStyle name="常规 3 5 4 5 2" xfId="39321"/>
    <cellStyle name="常规 3 5 4 5 2 2" xfId="39322"/>
    <cellStyle name="常规 3 5 4 6" xfId="39323"/>
    <cellStyle name="常规 3 5 4 7" xfId="39324"/>
    <cellStyle name="常规 3 5 4 7 2" xfId="39325"/>
    <cellStyle name="常规 3 5 4 7 3" xfId="39326"/>
    <cellStyle name="常规 3 5 4 8" xfId="39327"/>
    <cellStyle name="常规 3 5 4 8 2" xfId="39328"/>
    <cellStyle name="常规 3 5 5" xfId="39329"/>
    <cellStyle name="常规 3 5 5 2" xfId="39330"/>
    <cellStyle name="常规 3 5 5 2 2" xfId="39331"/>
    <cellStyle name="常规 3 5 5 2 2 2" xfId="39332"/>
    <cellStyle name="常规 3 5 5 2 2 2 2" xfId="39333"/>
    <cellStyle name="常规 3 5 5 2 3" xfId="39334"/>
    <cellStyle name="常规 3 5 5 2 3 2" xfId="39335"/>
    <cellStyle name="常规 3 5 5 2 3 2 2" xfId="39336"/>
    <cellStyle name="常规 3 5 5 2 4" xfId="39337"/>
    <cellStyle name="常规 3 5 5 2 4 2" xfId="39338"/>
    <cellStyle name="常规 3 5 5 2 5" xfId="39339"/>
    <cellStyle name="常规 3 5 5 3" xfId="39340"/>
    <cellStyle name="常规 3 5 5 3 2" xfId="39341"/>
    <cellStyle name="常规 3 5 5 3 2 2" xfId="39342"/>
    <cellStyle name="常规 3 5 5 4" xfId="39343"/>
    <cellStyle name="常规 3 5 5 4 2" xfId="39344"/>
    <cellStyle name="常规 3 5 5 4 2 2" xfId="39345"/>
    <cellStyle name="常规 3 5 5 5" xfId="39346"/>
    <cellStyle name="常规 3 5 5 5 2" xfId="39347"/>
    <cellStyle name="常规 3 5 5 5 3" xfId="39348"/>
    <cellStyle name="常规 3 5 5 6" xfId="39349"/>
    <cellStyle name="常规 3 5 6" xfId="39350"/>
    <cellStyle name="常规 3 5 6 2" xfId="39351"/>
    <cellStyle name="常规 3 5 6 2 2" xfId="39352"/>
    <cellStyle name="常规 3 5 6 2 2 2" xfId="39353"/>
    <cellStyle name="常规 3 5 6 3" xfId="39354"/>
    <cellStyle name="常规 3 5 6 3 2" xfId="39355"/>
    <cellStyle name="常规 3 5 6 3 2 2" xfId="39356"/>
    <cellStyle name="常规 3 5 6 4" xfId="39357"/>
    <cellStyle name="常规 3 5 6 4 2" xfId="39358"/>
    <cellStyle name="常规 3 5 6 5" xfId="39359"/>
    <cellStyle name="常规 3 5 7" xfId="39360"/>
    <cellStyle name="常规 3 5 7 2" xfId="39361"/>
    <cellStyle name="常规 3 5 7 2 2" xfId="39362"/>
    <cellStyle name="常规 3 5 8" xfId="39363"/>
    <cellStyle name="常规 3 5 8 2" xfId="39364"/>
    <cellStyle name="常规 3 5 8 2 2" xfId="39365"/>
    <cellStyle name="常规 3 5 9" xfId="39366"/>
    <cellStyle name="常规 3 5 9 2" xfId="39367"/>
    <cellStyle name="常规 3 5 9 3" xfId="39368"/>
    <cellStyle name="常规 3 6" xfId="39369"/>
    <cellStyle name="常规 3 6 10" xfId="39370"/>
    <cellStyle name="常规 3 6 10 2" xfId="39371"/>
    <cellStyle name="常规 3 6 10 3" xfId="39372"/>
    <cellStyle name="常规 3 6 11" xfId="39373"/>
    <cellStyle name="常规 3 6 11 2" xfId="39374"/>
    <cellStyle name="常规 3 6 2" xfId="39375"/>
    <cellStyle name="常规 3 6 2 10" xfId="39376"/>
    <cellStyle name="常规 3 6 2 10 2" xfId="39377"/>
    <cellStyle name="常规 3 6 2 2" xfId="39378"/>
    <cellStyle name="常规 3 6 2 2 2" xfId="39379"/>
    <cellStyle name="常规 3 6 2 2 2 2" xfId="39380"/>
    <cellStyle name="常规 3 6 2 2 2 2 2" xfId="39381"/>
    <cellStyle name="常规 3 6 2 2 2 2 2 2" xfId="39382"/>
    <cellStyle name="常规 3 6 2 2 2 2 2 2 2" xfId="39383"/>
    <cellStyle name="常规 3 6 2 2 2 2 3" xfId="39384"/>
    <cellStyle name="常规 3 6 2 2 2 2 3 2" xfId="39385"/>
    <cellStyle name="常规 3 6 2 2 2 2 3 2 2" xfId="39386"/>
    <cellStyle name="常规 3 6 2 2 2 2 4" xfId="39387"/>
    <cellStyle name="常规 3 6 2 2 2 2 4 2" xfId="39388"/>
    <cellStyle name="常规 3 6 2 2 2 2 4 2 2" xfId="39389"/>
    <cellStyle name="常规 3 6 2 2 2 2 5" xfId="39390"/>
    <cellStyle name="常规 3 6 2 2 2 2 5 2" xfId="39391"/>
    <cellStyle name="常规 3 6 2 2 2 2 5 3" xfId="39392"/>
    <cellStyle name="常规 3 6 2 2 2 2 6" xfId="39393"/>
    <cellStyle name="常规 3 6 2 2 2 3" xfId="39394"/>
    <cellStyle name="常规 3 6 2 2 2 3 2" xfId="39395"/>
    <cellStyle name="常规 3 6 2 2 2 3 2 2" xfId="39396"/>
    <cellStyle name="常规 3 6 2 2 2 3 2 2 2" xfId="39397"/>
    <cellStyle name="常规 3 6 2 2 2 3 3" xfId="39398"/>
    <cellStyle name="常规 3 6 2 2 2 3 3 2" xfId="39399"/>
    <cellStyle name="常规 3 6 2 2 2 3 3 2 2" xfId="39400"/>
    <cellStyle name="常规 3 6 2 2 2 3 4" xfId="39401"/>
    <cellStyle name="常规 3 6 2 2 2 3 4 2" xfId="39402"/>
    <cellStyle name="常规 3 6 2 2 2 3 5" xfId="39403"/>
    <cellStyle name="常规 3 6 2 2 2 4" xfId="39404"/>
    <cellStyle name="常规 3 6 2 2 2 4 2" xfId="39405"/>
    <cellStyle name="常规 3 6 2 2 2 4 2 2" xfId="39406"/>
    <cellStyle name="常规 3 6 2 2 2 5" xfId="39407"/>
    <cellStyle name="常规 3 6 2 2 2 5 2" xfId="39408"/>
    <cellStyle name="常规 3 6 2 2 2 5 2 2" xfId="39409"/>
    <cellStyle name="常规 3 6 2 2 2 6" xfId="39410"/>
    <cellStyle name="常规 3 6 2 2 2 7" xfId="39411"/>
    <cellStyle name="常规 3 6 2 2 2 7 2" xfId="39412"/>
    <cellStyle name="常规 3 6 2 2 2 7 3" xfId="39413"/>
    <cellStyle name="常规 3 6 2 2 2 8" xfId="39414"/>
    <cellStyle name="常规 3 6 2 2 2 8 2" xfId="39415"/>
    <cellStyle name="常规 3 6 2 2 3" xfId="39416"/>
    <cellStyle name="常规 3 6 2 2 3 2" xfId="39417"/>
    <cellStyle name="常规 3 6 2 2 3 2 2" xfId="39418"/>
    <cellStyle name="常规 3 6 2 2 3 2 3" xfId="39419"/>
    <cellStyle name="常规 3 6 2 2 3 2 4" xfId="39420"/>
    <cellStyle name="常规 3 6 2 2 3 2 5" xfId="39421"/>
    <cellStyle name="常规 3 6 2 2 3 2 5 2" xfId="39422"/>
    <cellStyle name="常规 3 6 2 2 3 3" xfId="39423"/>
    <cellStyle name="常规 3 6 2 2 3 3 2" xfId="39424"/>
    <cellStyle name="常规 3 6 2 2 3 3 2 2" xfId="39425"/>
    <cellStyle name="常规 3 6 2 2 3 4" xfId="39426"/>
    <cellStyle name="常规 3 6 2 2 3 4 2" xfId="39427"/>
    <cellStyle name="常规 3 6 2 2 3 4 2 2" xfId="39428"/>
    <cellStyle name="常规 3 6 2 2 3 5" xfId="39429"/>
    <cellStyle name="常规 3 6 2 2 3 5 2" xfId="39430"/>
    <cellStyle name="常规 3 6 2 2 3 5 3" xfId="39431"/>
    <cellStyle name="常规 3 6 2 2 3 6" xfId="39432"/>
    <cellStyle name="常规 3 6 2 2 3 6 2" xfId="39433"/>
    <cellStyle name="常规 3 6 2 2 3 7" xfId="39434"/>
    <cellStyle name="常规 3 6 2 2 4" xfId="39435"/>
    <cellStyle name="常规 3 6 2 2 4 2" xfId="39436"/>
    <cellStyle name="常规 3 6 2 2 4 3" xfId="39437"/>
    <cellStyle name="常规 3 6 2 2 4 4" xfId="39438"/>
    <cellStyle name="常规 3 6 2 2 4 5" xfId="39439"/>
    <cellStyle name="常规 3 6 2 2 4 5 2" xfId="39440"/>
    <cellStyle name="常规 3 6 2 2 5" xfId="39441"/>
    <cellStyle name="常规 3 6 2 2 5 2" xfId="39442"/>
    <cellStyle name="常规 3 6 2 2 5 2 2" xfId="39443"/>
    <cellStyle name="常规 3 6 2 2 6" xfId="39444"/>
    <cellStyle name="常规 3 6 2 2 6 2" xfId="39445"/>
    <cellStyle name="常规 3 6 2 2 6 2 2" xfId="39446"/>
    <cellStyle name="常规 3 6 2 2 7" xfId="39447"/>
    <cellStyle name="常规 3 6 2 2 7 2" xfId="39448"/>
    <cellStyle name="常规 3 6 2 2 7 2 2" xfId="39449"/>
    <cellStyle name="常规 3 6 2 2 8" xfId="39450"/>
    <cellStyle name="常规 3 6 2 2 8 2" xfId="39451"/>
    <cellStyle name="常规 3 6 2 2 8 3" xfId="39452"/>
    <cellStyle name="常规 3 6 2 2 9" xfId="39453"/>
    <cellStyle name="常规 3 6 2 2 9 2" xfId="39454"/>
    <cellStyle name="常规 3 6 2 3" xfId="39455"/>
    <cellStyle name="常规 3 6 2 3 2" xfId="39456"/>
    <cellStyle name="常规 3 6 2 3 2 2" xfId="39457"/>
    <cellStyle name="常规 3 6 2 3 2 2 2" xfId="39458"/>
    <cellStyle name="常规 3 6 2 3 2 2 2 2" xfId="39459"/>
    <cellStyle name="常规 3 6 2 3 2 3" xfId="39460"/>
    <cellStyle name="常规 3 6 2 3 2 3 2" xfId="39461"/>
    <cellStyle name="常规 3 6 2 3 2 3 2 2" xfId="39462"/>
    <cellStyle name="常规 3 6 2 3 2 4" xfId="39463"/>
    <cellStyle name="常规 3 6 2 3 2 4 2" xfId="39464"/>
    <cellStyle name="常规 3 6 2 3 2 4 2 2" xfId="39465"/>
    <cellStyle name="常规 3 6 2 3 2 5" xfId="39466"/>
    <cellStyle name="常规 3 6 2 3 2 5 2" xfId="39467"/>
    <cellStyle name="常规 3 6 2 3 2 5 3" xfId="39468"/>
    <cellStyle name="常规 3 6 2 3 2 6" xfId="39469"/>
    <cellStyle name="常规 3 6 2 3 3" xfId="39470"/>
    <cellStyle name="常规 3 6 2 3 3 2" xfId="39471"/>
    <cellStyle name="常规 3 6 2 3 3 2 2" xfId="39472"/>
    <cellStyle name="常规 3 6 2 3 3 2 2 2" xfId="39473"/>
    <cellStyle name="常规 3 6 2 3 3 3" xfId="39474"/>
    <cellStyle name="常规 3 6 2 3 3 3 2" xfId="39475"/>
    <cellStyle name="常规 3 6 2 3 3 3 2 2" xfId="39476"/>
    <cellStyle name="常规 3 6 2 3 3 4" xfId="39477"/>
    <cellStyle name="常规 3 6 2 3 3 4 2" xfId="39478"/>
    <cellStyle name="常规 3 6 2 3 3 5" xfId="39479"/>
    <cellStyle name="常规 3 6 2 3 4" xfId="39480"/>
    <cellStyle name="常规 3 6 2 3 4 2" xfId="39481"/>
    <cellStyle name="常规 3 6 2 3 4 2 2" xfId="39482"/>
    <cellStyle name="常规 3 6 2 3 5" xfId="39483"/>
    <cellStyle name="常规 3 6 2 3 5 2" xfId="39484"/>
    <cellStyle name="常规 3 6 2 3 5 2 2" xfId="39485"/>
    <cellStyle name="常规 3 6 2 3 6" xfId="39486"/>
    <cellStyle name="常规 3 6 2 3 7" xfId="39487"/>
    <cellStyle name="常规 3 6 2 3 7 2" xfId="39488"/>
    <cellStyle name="常规 3 6 2 3 7 3" xfId="39489"/>
    <cellStyle name="常规 3 6 2 3 8" xfId="39490"/>
    <cellStyle name="常规 3 6 2 3 8 2" xfId="39491"/>
    <cellStyle name="常规 3 6 2 4" xfId="39492"/>
    <cellStyle name="常规 3 6 2 4 2" xfId="39493"/>
    <cellStyle name="常规 3 6 2 4 2 2" xfId="39494"/>
    <cellStyle name="常规 3 6 2 4 2 3" xfId="39495"/>
    <cellStyle name="常规 3 6 2 4 2 4" xfId="39496"/>
    <cellStyle name="常规 3 6 2 4 2 5" xfId="39497"/>
    <cellStyle name="常规 3 6 2 4 2 5 2" xfId="39498"/>
    <cellStyle name="常规 3 6 2 4 3" xfId="39499"/>
    <cellStyle name="常规 3 6 2 4 3 2" xfId="39500"/>
    <cellStyle name="常规 3 6 2 4 3 2 2" xfId="39501"/>
    <cellStyle name="常规 3 6 2 4 4" xfId="39502"/>
    <cellStyle name="常规 3 6 2 4 4 2" xfId="39503"/>
    <cellStyle name="常规 3 6 2 4 4 2 2" xfId="39504"/>
    <cellStyle name="常规 3 6 2 4 5" xfId="39505"/>
    <cellStyle name="常规 3 6 2 4 5 2" xfId="39506"/>
    <cellStyle name="常规 3 6 2 4 5 3" xfId="39507"/>
    <cellStyle name="常规 3 6 2 4 6" xfId="39508"/>
    <cellStyle name="常规 3 6 2 4 6 2" xfId="39509"/>
    <cellStyle name="常规 3 6 2 4 7" xfId="39510"/>
    <cellStyle name="常规 3 6 2 5" xfId="39511"/>
    <cellStyle name="常规 3 6 2 5 2" xfId="39512"/>
    <cellStyle name="常规 3 6 2 5 3" xfId="39513"/>
    <cellStyle name="常规 3 6 2 5 4" xfId="39514"/>
    <cellStyle name="常规 3 6 2 5 5" xfId="39515"/>
    <cellStyle name="常规 3 6 2 5 5 2" xfId="39516"/>
    <cellStyle name="常规 3 6 2 6" xfId="39517"/>
    <cellStyle name="常规 3 6 2 6 2" xfId="39518"/>
    <cellStyle name="常规 3 6 2 6 2 2" xfId="39519"/>
    <cellStyle name="常规 3 6 2 7" xfId="39520"/>
    <cellStyle name="常规 3 6 2 7 2" xfId="39521"/>
    <cellStyle name="常规 3 6 2 7 2 2" xfId="39522"/>
    <cellStyle name="常规 3 6 2 8" xfId="39523"/>
    <cellStyle name="常规 3 6 2 8 2" xfId="39524"/>
    <cellStyle name="常规 3 6 2 8 2 2" xfId="39525"/>
    <cellStyle name="常规 3 6 2 9" xfId="39526"/>
    <cellStyle name="常规 3 6 2 9 2" xfId="39527"/>
    <cellStyle name="常规 3 6 2 9 3" xfId="39528"/>
    <cellStyle name="常规 3 6 3" xfId="39529"/>
    <cellStyle name="常规 3 6 3 2" xfId="39530"/>
    <cellStyle name="常规 3 6 3 2 2" xfId="39531"/>
    <cellStyle name="常规 3 6 3 2 2 2" xfId="39532"/>
    <cellStyle name="常规 3 6 3 2 2 2 2" xfId="39533"/>
    <cellStyle name="常规 3 6 3 2 3" xfId="39534"/>
    <cellStyle name="常规 3 6 3 2 3 2" xfId="39535"/>
    <cellStyle name="常规 3 6 3 2 3 2 2" xfId="39536"/>
    <cellStyle name="常规 3 6 3 2 4" xfId="39537"/>
    <cellStyle name="常规 3 6 3 2 4 2" xfId="39538"/>
    <cellStyle name="常规 3 6 3 2 4 2 2" xfId="39539"/>
    <cellStyle name="常规 3 6 3 2 5" xfId="39540"/>
    <cellStyle name="常规 3 6 3 2 5 2" xfId="39541"/>
    <cellStyle name="常规 3 6 3 2 5 3" xfId="39542"/>
    <cellStyle name="常规 3 6 3 2 6" xfId="39543"/>
    <cellStyle name="常规 3 6 3 3" xfId="39544"/>
    <cellStyle name="常规 3 6 3 3 2" xfId="39545"/>
    <cellStyle name="常规 3 6 3 3 2 2" xfId="39546"/>
    <cellStyle name="常规 3 6 3 3 2 2 2" xfId="39547"/>
    <cellStyle name="常规 3 6 3 3 3" xfId="39548"/>
    <cellStyle name="常规 3 6 3 3 3 2" xfId="39549"/>
    <cellStyle name="常规 3 6 3 3 3 2 2" xfId="39550"/>
    <cellStyle name="常规 3 6 3 3 4" xfId="39551"/>
    <cellStyle name="常规 3 6 3 3 4 2" xfId="39552"/>
    <cellStyle name="常规 3 6 3 3 5" xfId="39553"/>
    <cellStyle name="常规 3 6 3 4" xfId="39554"/>
    <cellStyle name="常规 3 6 3 4 2" xfId="39555"/>
    <cellStyle name="常规 3 6 3 4 2 2" xfId="39556"/>
    <cellStyle name="常规 3 6 3 5" xfId="39557"/>
    <cellStyle name="常规 3 6 3 5 2" xfId="39558"/>
    <cellStyle name="常规 3 6 3 5 2 2" xfId="39559"/>
    <cellStyle name="常规 3 6 3 6" xfId="39560"/>
    <cellStyle name="常规 3 6 3 7" xfId="39561"/>
    <cellStyle name="常规 3 6 3 7 2" xfId="39562"/>
    <cellStyle name="常规 3 6 3 7 3" xfId="39563"/>
    <cellStyle name="常规 3 6 3 8" xfId="39564"/>
    <cellStyle name="常规 3 6 3 8 2" xfId="39565"/>
    <cellStyle name="常规 3 6 4" xfId="39566"/>
    <cellStyle name="常规 3 6 4 2" xfId="39567"/>
    <cellStyle name="常规 3 6 4 2 2" xfId="39568"/>
    <cellStyle name="常规 3 6 4 2 2 2" xfId="39569"/>
    <cellStyle name="常规 3 6 4 2 2 2 2" xfId="39570"/>
    <cellStyle name="常规 3 6 4 2 3" xfId="39571"/>
    <cellStyle name="常规 3 6 4 2 3 2" xfId="39572"/>
    <cellStyle name="常规 3 6 4 2 3 2 2" xfId="39573"/>
    <cellStyle name="常规 3 6 4 2 4" xfId="39574"/>
    <cellStyle name="常规 3 6 4 2 4 2" xfId="39575"/>
    <cellStyle name="常规 3 6 4 2 4 2 2" xfId="39576"/>
    <cellStyle name="常规 3 6 4 2 5" xfId="39577"/>
    <cellStyle name="常规 3 6 4 2 5 2" xfId="39578"/>
    <cellStyle name="常规 3 6 4 2 5 3" xfId="39579"/>
    <cellStyle name="常规 3 6 4 2 6" xfId="39580"/>
    <cellStyle name="常规 3 6 4 3" xfId="39581"/>
    <cellStyle name="常规 3 6 4 3 2" xfId="39582"/>
    <cellStyle name="常规 3 6 4 3 2 2" xfId="39583"/>
    <cellStyle name="常规 3 6 4 4" xfId="39584"/>
    <cellStyle name="常规 3 6 4 4 2" xfId="39585"/>
    <cellStyle name="常规 3 6 4 4 2 2" xfId="39586"/>
    <cellStyle name="常规 3 6 4 5" xfId="39587"/>
    <cellStyle name="常规 3 6 4 5 2" xfId="39588"/>
    <cellStyle name="常规 3 6 4 5 2 2" xfId="39589"/>
    <cellStyle name="常规 3 6 4 6" xfId="39590"/>
    <cellStyle name="常规 3 6 4 7" xfId="39591"/>
    <cellStyle name="常规 3 6 4 7 2" xfId="39592"/>
    <cellStyle name="常规 3 6 4 7 3" xfId="39593"/>
    <cellStyle name="常规 3 6 4 8" xfId="39594"/>
    <cellStyle name="常规 3 6 4 8 2" xfId="39595"/>
    <cellStyle name="常规 3 6 5" xfId="39596"/>
    <cellStyle name="常规 3 6 5 2" xfId="39597"/>
    <cellStyle name="常规 3 6 5 2 2" xfId="39598"/>
    <cellStyle name="常规 3 6 5 2 2 2" xfId="39599"/>
    <cellStyle name="常规 3 6 5 2 2 2 2" xfId="39600"/>
    <cellStyle name="常规 3 6 5 2 3" xfId="39601"/>
    <cellStyle name="常规 3 6 5 2 3 2" xfId="39602"/>
    <cellStyle name="常规 3 6 5 2 3 2 2" xfId="39603"/>
    <cellStyle name="常规 3 6 5 2 4" xfId="39604"/>
    <cellStyle name="常规 3 6 5 2 4 2" xfId="39605"/>
    <cellStyle name="常规 3 6 5 2 5" xfId="39606"/>
    <cellStyle name="常规 3 6 5 3" xfId="39607"/>
    <cellStyle name="常规 3 6 5 3 2" xfId="39608"/>
    <cellStyle name="常规 3 6 5 3 2 2" xfId="39609"/>
    <cellStyle name="常规 3 6 5 4" xfId="39610"/>
    <cellStyle name="常规 3 6 5 4 2" xfId="39611"/>
    <cellStyle name="常规 3 6 5 4 2 2" xfId="39612"/>
    <cellStyle name="常规 3 6 5 5" xfId="39613"/>
    <cellStyle name="常规 3 6 5 5 2" xfId="39614"/>
    <cellStyle name="常规 3 6 5 5 3" xfId="39615"/>
    <cellStyle name="常规 3 6 5 6" xfId="39616"/>
    <cellStyle name="常规 3 6 6" xfId="39617"/>
    <cellStyle name="常规 3 6 6 2" xfId="39618"/>
    <cellStyle name="常规 3 6 6 2 2" xfId="39619"/>
    <cellStyle name="常规 3 6 6 2 2 2" xfId="39620"/>
    <cellStyle name="常规 3 6 6 3" xfId="39621"/>
    <cellStyle name="常规 3 6 6 3 2" xfId="39622"/>
    <cellStyle name="常规 3 6 6 3 2 2" xfId="39623"/>
    <cellStyle name="常规 3 6 6 4" xfId="39624"/>
    <cellStyle name="常规 3 6 6 4 2" xfId="39625"/>
    <cellStyle name="常规 3 6 6 5" xfId="39626"/>
    <cellStyle name="常规 3 6 7" xfId="39627"/>
    <cellStyle name="常规 3 6 7 2" xfId="39628"/>
    <cellStyle name="常规 3 6 7 2 2" xfId="39629"/>
    <cellStyle name="常规 3 6 8" xfId="39630"/>
    <cellStyle name="常规 3 6 8 2" xfId="39631"/>
    <cellStyle name="常规 3 6 8 2 2" xfId="39632"/>
    <cellStyle name="常规 3 6 9" xfId="39633"/>
    <cellStyle name="常规 3 7" xfId="39634"/>
    <cellStyle name="常规 3 7 10" xfId="39635"/>
    <cellStyle name="常规 3 7 10 2" xfId="39636"/>
    <cellStyle name="常规 3 7 2" xfId="39637"/>
    <cellStyle name="常规 3 7 2 2" xfId="39638"/>
    <cellStyle name="常规 3 7 2 2 2" xfId="39639"/>
    <cellStyle name="常规 3 7 2 2 2 2" xfId="39640"/>
    <cellStyle name="常规 3 7 2 2 2 2 2" xfId="39641"/>
    <cellStyle name="常规 3 7 2 2 3" xfId="39642"/>
    <cellStyle name="常规 3 7 2 2 3 2" xfId="39643"/>
    <cellStyle name="常规 3 7 2 2 3 2 2" xfId="39644"/>
    <cellStyle name="常规 3 7 2 2 4" xfId="39645"/>
    <cellStyle name="常规 3 7 2 2 4 2" xfId="39646"/>
    <cellStyle name="常规 3 7 2 2 4 2 2" xfId="39647"/>
    <cellStyle name="常规 3 7 2 2 5" xfId="39648"/>
    <cellStyle name="常规 3 7 2 2 5 2" xfId="39649"/>
    <cellStyle name="常规 3 7 2 2 5 3" xfId="39650"/>
    <cellStyle name="常规 3 7 2 2 6" xfId="39651"/>
    <cellStyle name="常规 3 7 2 3" xfId="39652"/>
    <cellStyle name="常规 3 7 2 3 2" xfId="39653"/>
    <cellStyle name="常规 3 7 2 3 2 2" xfId="39654"/>
    <cellStyle name="常规 3 7 2 4" xfId="39655"/>
    <cellStyle name="常规 3 7 2 4 2" xfId="39656"/>
    <cellStyle name="常规 3 7 2 4 2 2" xfId="39657"/>
    <cellStyle name="常规 3 7 2 5" xfId="39658"/>
    <cellStyle name="常规 3 7 2 5 2" xfId="39659"/>
    <cellStyle name="常规 3 7 2 5 2 2" xfId="39660"/>
    <cellStyle name="常规 3 7 2 6" xfId="39661"/>
    <cellStyle name="常规 3 7 2 7" xfId="39662"/>
    <cellStyle name="常规 3 7 2 7 2" xfId="39663"/>
    <cellStyle name="常规 3 7 2 7 3" xfId="39664"/>
    <cellStyle name="常规 3 7 2 8" xfId="39665"/>
    <cellStyle name="常规 3 7 2 8 2" xfId="39666"/>
    <cellStyle name="常规 3 7 3" xfId="39667"/>
    <cellStyle name="常规 3 7 3 2" xfId="39668"/>
    <cellStyle name="常规 3 7 3 2 2" xfId="39669"/>
    <cellStyle name="常规 3 7 3 2 2 2" xfId="39670"/>
    <cellStyle name="常规 3 7 3 2 2 2 2" xfId="39671"/>
    <cellStyle name="常规 3 7 3 2 3" xfId="39672"/>
    <cellStyle name="常规 3 7 3 2 3 2" xfId="39673"/>
    <cellStyle name="常规 3 7 3 2 3 2 2" xfId="39674"/>
    <cellStyle name="常规 3 7 3 2 4" xfId="39675"/>
    <cellStyle name="常规 3 7 3 2 4 2" xfId="39676"/>
    <cellStyle name="常规 3 7 3 2 4 2 2" xfId="39677"/>
    <cellStyle name="常规 3 7 3 2 5" xfId="39678"/>
    <cellStyle name="常规 3 7 3 2 5 2" xfId="39679"/>
    <cellStyle name="常规 3 7 3 2 5 3" xfId="39680"/>
    <cellStyle name="常规 3 7 3 2 6" xfId="39681"/>
    <cellStyle name="常规 3 7 3 3" xfId="39682"/>
    <cellStyle name="常规 3 7 3 3 2" xfId="39683"/>
    <cellStyle name="常规 3 7 3 3 2 2" xfId="39684"/>
    <cellStyle name="常规 3 7 3 3 2 2 2" xfId="39685"/>
    <cellStyle name="常规 3 7 3 3 3" xfId="39686"/>
    <cellStyle name="常规 3 7 3 3 3 2" xfId="39687"/>
    <cellStyle name="常规 3 7 3 3 3 2 2" xfId="39688"/>
    <cellStyle name="常规 3 7 3 3 4" xfId="39689"/>
    <cellStyle name="常规 3 7 3 3 4 2" xfId="39690"/>
    <cellStyle name="常规 3 7 3 3 5" xfId="39691"/>
    <cellStyle name="常规 3 7 3 4" xfId="39692"/>
    <cellStyle name="常规 3 7 3 4 2" xfId="39693"/>
    <cellStyle name="常规 3 7 3 4 2 2" xfId="39694"/>
    <cellStyle name="常规 3 7 3 5" xfId="39695"/>
    <cellStyle name="常规 3 7 3 5 2" xfId="39696"/>
    <cellStyle name="常规 3 7 3 5 2 2" xfId="39697"/>
    <cellStyle name="常规 3 7 3 6" xfId="39698"/>
    <cellStyle name="常规 3 7 3 7" xfId="39699"/>
    <cellStyle name="常规 3 7 3 7 2" xfId="39700"/>
    <cellStyle name="常规 3 7 3 7 3" xfId="39701"/>
    <cellStyle name="常规 3 7 3 8" xfId="39702"/>
    <cellStyle name="常规 3 7 3 8 2" xfId="39703"/>
    <cellStyle name="常规 3 7 4" xfId="39704"/>
    <cellStyle name="常规 3 7 4 2" xfId="39705"/>
    <cellStyle name="常规 3 7 4 2 2" xfId="39706"/>
    <cellStyle name="常规 3 7 4 2 2 2" xfId="39707"/>
    <cellStyle name="常规 3 7 4 3" xfId="39708"/>
    <cellStyle name="常规 3 7 4 3 2" xfId="39709"/>
    <cellStyle name="常规 3 7 4 3 2 2" xfId="39710"/>
    <cellStyle name="常规 3 7 4 4" xfId="39711"/>
    <cellStyle name="常规 3 7 4 4 2" xfId="39712"/>
    <cellStyle name="常规 3 7 4 4 2 2" xfId="39713"/>
    <cellStyle name="常规 3 7 4 5" xfId="39714"/>
    <cellStyle name="常规 3 7 4 5 2" xfId="39715"/>
    <cellStyle name="常规 3 7 4 5 3" xfId="39716"/>
    <cellStyle name="常规 3 7 4 6" xfId="39717"/>
    <cellStyle name="常规 3 7 5" xfId="39718"/>
    <cellStyle name="常规 3 7 5 2" xfId="39719"/>
    <cellStyle name="常规 3 7 5 2 2" xfId="39720"/>
    <cellStyle name="常规 3 7 6" xfId="39721"/>
    <cellStyle name="常规 3 7 6 2" xfId="39722"/>
    <cellStyle name="常规 3 7 6 2 2" xfId="39723"/>
    <cellStyle name="常规 3 7 7" xfId="39724"/>
    <cellStyle name="常规 3 7 7 2" xfId="39725"/>
    <cellStyle name="常规 3 7 7 2 2" xfId="39726"/>
    <cellStyle name="常规 3 7 8" xfId="39727"/>
    <cellStyle name="常规 3 7 9" xfId="39728"/>
    <cellStyle name="常规 3 7 9 2" xfId="39729"/>
    <cellStyle name="常规 3 7 9 3" xfId="39730"/>
    <cellStyle name="常规 3 8" xfId="39731"/>
    <cellStyle name="常规 3 8 2" xfId="39732"/>
    <cellStyle name="常规 3 8 2 2" xfId="39733"/>
    <cellStyle name="常规 3 8 2 2 2" xfId="39734"/>
    <cellStyle name="常规 3 8 2 2 3" xfId="39735"/>
    <cellStyle name="常规 3 8 2 2 4" xfId="39736"/>
    <cellStyle name="常规 3 8 2 2 4 2" xfId="39737"/>
    <cellStyle name="常规 3 8 2 2 4 3" xfId="39738"/>
    <cellStyle name="常规 3 8 2 2 5" xfId="39739"/>
    <cellStyle name="常规 3 8 2 2 5 2" xfId="39740"/>
    <cellStyle name="常规 3 8 2 3" xfId="39741"/>
    <cellStyle name="常规 3 8 2 3 2" xfId="39742"/>
    <cellStyle name="常规 3 8 2 3 2 2" xfId="39743"/>
    <cellStyle name="常规 3 8 2 3 2 2 2" xfId="39744"/>
    <cellStyle name="常规 3 8 2 3 3" xfId="39745"/>
    <cellStyle name="常规 3 8 2 3 3 2" xfId="39746"/>
    <cellStyle name="常规 3 8 2 3 3 2 2" xfId="39747"/>
    <cellStyle name="常规 3 8 2 3 4" xfId="39748"/>
    <cellStyle name="常规 3 8 2 3 4 2" xfId="39749"/>
    <cellStyle name="常规 3 8 2 3 5" xfId="39750"/>
    <cellStyle name="常规 3 8 2 4" xfId="39751"/>
    <cellStyle name="常规 3 8 2 4 2" xfId="39752"/>
    <cellStyle name="常规 3 8 2 4 2 2" xfId="39753"/>
    <cellStyle name="常规 3 8 2 5" xfId="39754"/>
    <cellStyle name="常规 3 8 2 6" xfId="39755"/>
    <cellStyle name="常规 3 8 2 7" xfId="39756"/>
    <cellStyle name="常规 3 8 2 7 2" xfId="39757"/>
    <cellStyle name="常规 3 8 2 7 3" xfId="39758"/>
    <cellStyle name="常规 3 8 2 8" xfId="39759"/>
    <cellStyle name="常规 3 8 2 8 2" xfId="39760"/>
    <cellStyle name="常规 3 8 3" xfId="39761"/>
    <cellStyle name="常规 3 8 3 2" xfId="39762"/>
    <cellStyle name="常规 3 8 3 3" xfId="39763"/>
    <cellStyle name="常规 3 8 3 4" xfId="39764"/>
    <cellStyle name="常规 3 8 3 4 2" xfId="39765"/>
    <cellStyle name="常规 3 8 3 4 3" xfId="39766"/>
    <cellStyle name="常规 3 8 3 5" xfId="39767"/>
    <cellStyle name="常规 3 8 3 5 2" xfId="39768"/>
    <cellStyle name="常规 3 8 4" xfId="39769"/>
    <cellStyle name="常规 3 8 4 2" xfId="39770"/>
    <cellStyle name="常规 3 8 4 2 2" xfId="39771"/>
    <cellStyle name="常规 3 8 5" xfId="39772"/>
    <cellStyle name="常规 3 8 5 2" xfId="39773"/>
    <cellStyle name="常规 3 8 5 2 2" xfId="39774"/>
    <cellStyle name="常规 3 8 6" xfId="39775"/>
    <cellStyle name="常规 3 8 7" xfId="39776"/>
    <cellStyle name="常规 3 8 8" xfId="39777"/>
    <cellStyle name="常规 3 8 8 2" xfId="39778"/>
    <cellStyle name="常规 3 8 8 3" xfId="39779"/>
    <cellStyle name="常规 3 8 9" xfId="39780"/>
    <cellStyle name="常规 3 8 9 2" xfId="39781"/>
    <cellStyle name="常规 3 9" xfId="39782"/>
    <cellStyle name="常规 3 9 2" xfId="39783"/>
    <cellStyle name="常规 3 9 2 2" xfId="39784"/>
    <cellStyle name="常规 3 9 2 2 2" xfId="39785"/>
    <cellStyle name="常规 3 9 2 2 2 2" xfId="39786"/>
    <cellStyle name="常规 3 9 2 3" xfId="39787"/>
    <cellStyle name="常规 3 9 2 3 2" xfId="39788"/>
    <cellStyle name="常规 3 9 2 3 2 2" xfId="39789"/>
    <cellStyle name="常规 3 9 2 4" xfId="39790"/>
    <cellStyle name="常规 3 9 2 4 2" xfId="39791"/>
    <cellStyle name="常规 3 9 2 4 2 2" xfId="39792"/>
    <cellStyle name="常规 3 9 2 5" xfId="39793"/>
    <cellStyle name="常规 3 9 2 5 2" xfId="39794"/>
    <cellStyle name="常规 3 9 2 5 3" xfId="39795"/>
    <cellStyle name="常规 3 9 2 6" xfId="39796"/>
    <cellStyle name="常规 3 9 3" xfId="39797"/>
    <cellStyle name="常规 3 9 3 2" xfId="39798"/>
    <cellStyle name="常规 3 9 3 2 2" xfId="39799"/>
    <cellStyle name="常规 3 9 3 2 2 2" xfId="39800"/>
    <cellStyle name="常规 3 9 3 3" xfId="39801"/>
    <cellStyle name="常规 3 9 3 3 2" xfId="39802"/>
    <cellStyle name="常规 3 9 3 3 2 2" xfId="39803"/>
    <cellStyle name="常规 3 9 3 4" xfId="39804"/>
    <cellStyle name="常规 3 9 3 4 2" xfId="39805"/>
    <cellStyle name="常规 3 9 3 5" xfId="39806"/>
    <cellStyle name="常规 3 9 4" xfId="39807"/>
    <cellStyle name="常规 3 9 4 2" xfId="39808"/>
    <cellStyle name="常规 3 9 4 2 2" xfId="39809"/>
    <cellStyle name="常规 3 9 5" xfId="39810"/>
    <cellStyle name="常规 3 9 5 2" xfId="39811"/>
    <cellStyle name="常规 3 9 5 2 2" xfId="39812"/>
    <cellStyle name="常规 3 9 6" xfId="39813"/>
    <cellStyle name="常规 3 9 7" xfId="39814"/>
    <cellStyle name="常规 3 9 7 2" xfId="39815"/>
    <cellStyle name="常规 3 9 7 3" xfId="39816"/>
    <cellStyle name="常规 3 9 8" xfId="39817"/>
    <cellStyle name="常规 3 9 8 2" xfId="39818"/>
    <cellStyle name="常规 4" xfId="39819"/>
    <cellStyle name="常规 4 10" xfId="39820"/>
    <cellStyle name="常规 4 10 2" xfId="39821"/>
    <cellStyle name="常规 4 10 2 2" xfId="39822"/>
    <cellStyle name="常规 4 10 2 2 2" xfId="39823"/>
    <cellStyle name="常规 4 10 2 2 2 2" xfId="39824"/>
    <cellStyle name="常规 4 10 2 2 3" xfId="39825"/>
    <cellStyle name="常规 4 10 2 3" xfId="39826"/>
    <cellStyle name="常规 4 10 2 3 2" xfId="39827"/>
    <cellStyle name="常规 4 10 2 3 2 2" xfId="39828"/>
    <cellStyle name="常规 4 10 2 4" xfId="39829"/>
    <cellStyle name="常规 4 10 2 4 2" xfId="39830"/>
    <cellStyle name="常规 4 10 2 4 3" xfId="39831"/>
    <cellStyle name="常规 4 10 2 5" xfId="39832"/>
    <cellStyle name="常规 4 10 2 5 2" xfId="39833"/>
    <cellStyle name="常规 4 10 2 6" xfId="39834"/>
    <cellStyle name="常规 4 10 3" xfId="39835"/>
    <cellStyle name="常规 4 10 3 2" xfId="39836"/>
    <cellStyle name="常规 4 10 3 2 2" xfId="39837"/>
    <cellStyle name="常规 4 10 3 3" xfId="39838"/>
    <cellStyle name="常规 4 10 4" xfId="39839"/>
    <cellStyle name="常规 4 10 4 2" xfId="39840"/>
    <cellStyle name="常规 4 10 4 2 2" xfId="39841"/>
    <cellStyle name="常规 4 10 5" xfId="39842"/>
    <cellStyle name="常规 4 10 5 2" xfId="39843"/>
    <cellStyle name="常规 4 10 5 3" xfId="39844"/>
    <cellStyle name="常规 4 10 6" xfId="39845"/>
    <cellStyle name="常规 4 10 6 2" xfId="39846"/>
    <cellStyle name="常规 4 10 7" xfId="39847"/>
    <cellStyle name="常规 4 11" xfId="39848"/>
    <cellStyle name="常规 4 11 2" xfId="39849"/>
    <cellStyle name="常规 4 11 2 2" xfId="39850"/>
    <cellStyle name="常规 4 11 2 2 2" xfId="39851"/>
    <cellStyle name="常规 4 11 2 2 2 2" xfId="39852"/>
    <cellStyle name="常规 4 11 2 2 3" xfId="39853"/>
    <cellStyle name="常规 4 11 2 3" xfId="39854"/>
    <cellStyle name="常规 4 11 2 3 2" xfId="39855"/>
    <cellStyle name="常规 4 11 2 3 2 2" xfId="39856"/>
    <cellStyle name="常规 4 11 2 4" xfId="39857"/>
    <cellStyle name="常规 4 11 2 4 2" xfId="39858"/>
    <cellStyle name="常规 4 11 2 4 3" xfId="39859"/>
    <cellStyle name="常规 4 11 2 5" xfId="39860"/>
    <cellStyle name="常规 4 11 2 5 2" xfId="39861"/>
    <cellStyle name="常规 4 11 2 6" xfId="39862"/>
    <cellStyle name="常规 4 11 3" xfId="39863"/>
    <cellStyle name="常规 4 11 3 2" xfId="39864"/>
    <cellStyle name="常规 4 11 3 2 2" xfId="39865"/>
    <cellStyle name="常规 4 11 3 3" xfId="39866"/>
    <cellStyle name="常规 4 11 4" xfId="39867"/>
    <cellStyle name="常规 4 11 4 2" xfId="39868"/>
    <cellStyle name="常规 4 11 4 2 2" xfId="39869"/>
    <cellStyle name="常规 4 11 5" xfId="39870"/>
    <cellStyle name="常规 4 11 5 2" xfId="39871"/>
    <cellStyle name="常规 4 11 5 3" xfId="39872"/>
    <cellStyle name="常规 4 11 6" xfId="39873"/>
    <cellStyle name="常规 4 11 6 2" xfId="39874"/>
    <cellStyle name="常规 4 11 7" xfId="39875"/>
    <cellStyle name="常规 4 12" xfId="39876"/>
    <cellStyle name="常规 4 12 2" xfId="39877"/>
    <cellStyle name="常规 4 12 2 2" xfId="39878"/>
    <cellStyle name="常规 4 12 2 2 2" xfId="39879"/>
    <cellStyle name="常规 4 12 2 2 2 2" xfId="39880"/>
    <cellStyle name="常规 4 12 2 3" xfId="39881"/>
    <cellStyle name="常规 4 12 2 3 2" xfId="39882"/>
    <cellStyle name="常规 4 12 2 3 2 2" xfId="39883"/>
    <cellStyle name="常规 4 12 2 4" xfId="39884"/>
    <cellStyle name="常规 4 12 2 4 2" xfId="39885"/>
    <cellStyle name="常规 4 12 2 5" xfId="39886"/>
    <cellStyle name="常规 4 12 3" xfId="39887"/>
    <cellStyle name="常规 4 12 3 2" xfId="39888"/>
    <cellStyle name="常规 4 12 3 2 2" xfId="39889"/>
    <cellStyle name="常规 4 12 3 3" xfId="39890"/>
    <cellStyle name="常规 4 12 4" xfId="39891"/>
    <cellStyle name="常规 4 12 4 2" xfId="39892"/>
    <cellStyle name="常规 4 12 4 2 2" xfId="39893"/>
    <cellStyle name="常规 4 12 5" xfId="39894"/>
    <cellStyle name="常规 4 12 5 2" xfId="39895"/>
    <cellStyle name="常规 4 12 5 3" xfId="39896"/>
    <cellStyle name="常规 4 12 6" xfId="39897"/>
    <cellStyle name="常规 4 12 6 2" xfId="39898"/>
    <cellStyle name="常规 4 13" xfId="39899"/>
    <cellStyle name="常规 4 13 2" xfId="39900"/>
    <cellStyle name="常规 4 13 2 2" xfId="39901"/>
    <cellStyle name="常规 4 13 2 2 2" xfId="39902"/>
    <cellStyle name="常规 4 13 3" xfId="39903"/>
    <cellStyle name="常规 4 13 3 2" xfId="39904"/>
    <cellStyle name="常规 4 13 3 2 2" xfId="39905"/>
    <cellStyle name="常规 4 13 4" xfId="39906"/>
    <cellStyle name="常规 4 13 4 2" xfId="39907"/>
    <cellStyle name="常规 4 13 5" xfId="39908"/>
    <cellStyle name="常规 4 14" xfId="39909"/>
    <cellStyle name="常规 4 14 2" xfId="39910"/>
    <cellStyle name="常规 4 14 2 2" xfId="39911"/>
    <cellStyle name="常规 4 14 2 2 2" xfId="39912"/>
    <cellStyle name="常规 4 14 3" xfId="39913"/>
    <cellStyle name="常规 4 14 3 2" xfId="39914"/>
    <cellStyle name="常规 4 14 3 2 2" xfId="39915"/>
    <cellStyle name="常规 4 14 4" xfId="39916"/>
    <cellStyle name="常规 4 14 4 2" xfId="39917"/>
    <cellStyle name="常规 4 14 5" xfId="39918"/>
    <cellStyle name="常规 4 15" xfId="39919"/>
    <cellStyle name="常规 4 15 2" xfId="39920"/>
    <cellStyle name="常规 4 15 2 2" xfId="39921"/>
    <cellStyle name="常规 4 15 2 3" xfId="39922"/>
    <cellStyle name="常规 4 15 3" xfId="39923"/>
    <cellStyle name="常规 4 15 3 2" xfId="39924"/>
    <cellStyle name="常规 4 15 4" xfId="39925"/>
    <cellStyle name="常规 4 15 5" xfId="39926"/>
    <cellStyle name="常规 4 16" xfId="39927"/>
    <cellStyle name="常规 4 16 2" xfId="39928"/>
    <cellStyle name="常规 4 16 2 2" xfId="39929"/>
    <cellStyle name="常规 4 16 3" xfId="39930"/>
    <cellStyle name="常规 4 17" xfId="39931"/>
    <cellStyle name="常规 4 17 2" xfId="39932"/>
    <cellStyle name="常规 4 18" xfId="39933"/>
    <cellStyle name="常规 4 2" xfId="39934"/>
    <cellStyle name="常规 4 2 10" xfId="39935"/>
    <cellStyle name="常规 4 2 10 2" xfId="39936"/>
    <cellStyle name="常规 4 2 10 2 2" xfId="39937"/>
    <cellStyle name="常规 4 2 11" xfId="39938"/>
    <cellStyle name="常规 4 2 11 2" xfId="39939"/>
    <cellStyle name="常规 4 2 11 3" xfId="39940"/>
    <cellStyle name="常规 4 2 12" xfId="39941"/>
    <cellStyle name="常规 4 2 2" xfId="39942"/>
    <cellStyle name="常规 4 2 2 10" xfId="39943"/>
    <cellStyle name="常规 4 2 2 10 2" xfId="39944"/>
    <cellStyle name="常规 4 2 2 2" xfId="39945"/>
    <cellStyle name="常规 4 2 2 2 2" xfId="39946"/>
    <cellStyle name="常规 4 2 2 2 2 2" xfId="39947"/>
    <cellStyle name="常规 4 2 2 2 2 2 2" xfId="39948"/>
    <cellStyle name="常规 4 2 2 2 2 2 3" xfId="39949"/>
    <cellStyle name="常规 4 2 2 2 2 2 4" xfId="39950"/>
    <cellStyle name="常规 4 2 2 2 2 2 4 2" xfId="39951"/>
    <cellStyle name="常规 4 2 2 2 2 2 4 3" xfId="39952"/>
    <cellStyle name="常规 4 2 2 2 2 2 5" xfId="39953"/>
    <cellStyle name="常规 4 2 2 2 2 2 5 2" xfId="39954"/>
    <cellStyle name="常规 4 2 2 2 2 3" xfId="39955"/>
    <cellStyle name="常规 4 2 2 2 2 3 2" xfId="39956"/>
    <cellStyle name="常规 4 2 2 2 2 3 2 2" xfId="39957"/>
    <cellStyle name="常规 4 2 2 2 2 3 2 2 2" xfId="39958"/>
    <cellStyle name="常规 4 2 2 2 2 3 3" xfId="39959"/>
    <cellStyle name="常规 4 2 2 2 2 3 3 2" xfId="39960"/>
    <cellStyle name="常规 4 2 2 2 2 3 3 2 2" xfId="39961"/>
    <cellStyle name="常规 4 2 2 2 2 3 4" xfId="39962"/>
    <cellStyle name="常规 4 2 2 2 2 3 4 2" xfId="39963"/>
    <cellStyle name="常规 4 2 2 2 2 3 5" xfId="39964"/>
    <cellStyle name="常规 4 2 2 2 2 4" xfId="39965"/>
    <cellStyle name="常规 4 2 2 2 2 4 2" xfId="39966"/>
    <cellStyle name="常规 4 2 2 2 2 4 2 2" xfId="39967"/>
    <cellStyle name="常规 4 2 2 2 2 5" xfId="39968"/>
    <cellStyle name="常规 4 2 2 2 2 6" xfId="39969"/>
    <cellStyle name="常规 4 2 2 2 2 7" xfId="39970"/>
    <cellStyle name="常规 4 2 2 2 2 7 2" xfId="39971"/>
    <cellStyle name="常规 4 2 2 2 2 7 3" xfId="39972"/>
    <cellStyle name="常规 4 2 2 2 2 8" xfId="39973"/>
    <cellStyle name="常规 4 2 2 2 2 8 2" xfId="39974"/>
    <cellStyle name="常规 4 2 2 2 3" xfId="39975"/>
    <cellStyle name="常规 4 2 2 2 3 2" xfId="39976"/>
    <cellStyle name="常规 4 2 2 2 3 3" xfId="39977"/>
    <cellStyle name="常规 4 2 2 2 3 4" xfId="39978"/>
    <cellStyle name="常规 4 2 2 2 3 4 2" xfId="39979"/>
    <cellStyle name="常规 4 2 2 2 3 4 3" xfId="39980"/>
    <cellStyle name="常规 4 2 2 2 3 5" xfId="39981"/>
    <cellStyle name="常规 4 2 2 2 3 5 2" xfId="39982"/>
    <cellStyle name="常规 4 2 2 2 4" xfId="39983"/>
    <cellStyle name="常规 4 2 2 2 4 2" xfId="39984"/>
    <cellStyle name="常规 4 2 2 2 4 2 2" xfId="39985"/>
    <cellStyle name="常规 4 2 2 2 5" xfId="39986"/>
    <cellStyle name="常规 4 2 2 2 5 2" xfId="39987"/>
    <cellStyle name="常规 4 2 2 2 5 2 2" xfId="39988"/>
    <cellStyle name="常规 4 2 2 2 6" xfId="39989"/>
    <cellStyle name="常规 4 2 2 2 7" xfId="39990"/>
    <cellStyle name="常规 4 2 2 2 8" xfId="39991"/>
    <cellStyle name="常规 4 2 2 2 8 2" xfId="39992"/>
    <cellStyle name="常规 4 2 2 2 8 3" xfId="39993"/>
    <cellStyle name="常规 4 2 2 2 9" xfId="39994"/>
    <cellStyle name="常规 4 2 2 2 9 2" xfId="39995"/>
    <cellStyle name="常规 4 2 2 3" xfId="39996"/>
    <cellStyle name="常规 4 2 2 3 2" xfId="39997"/>
    <cellStyle name="常规 4 2 2 3 2 2" xfId="39998"/>
    <cellStyle name="常规 4 2 2 3 2 2 2" xfId="39999"/>
    <cellStyle name="常规 4 2 2 3 2 2 2 2" xfId="40000"/>
    <cellStyle name="常规 4 2 2 3 2 3" xfId="40001"/>
    <cellStyle name="常规 4 2 2 3 2 3 2" xfId="40002"/>
    <cellStyle name="常规 4 2 2 3 2 3 2 2" xfId="40003"/>
    <cellStyle name="常规 4 2 2 3 2 4" xfId="40004"/>
    <cellStyle name="常规 4 2 2 3 2 4 2" xfId="40005"/>
    <cellStyle name="常规 4 2 2 3 2 4 2 2" xfId="40006"/>
    <cellStyle name="常规 4 2 2 3 2 5" xfId="40007"/>
    <cellStyle name="常规 4 2 2 3 2 5 2" xfId="40008"/>
    <cellStyle name="常规 4 2 2 3 2 5 3" xfId="40009"/>
    <cellStyle name="常规 4 2 2 3 2 6" xfId="40010"/>
    <cellStyle name="常规 4 2 2 3 3" xfId="40011"/>
    <cellStyle name="常规 4 2 2 3 3 2" xfId="40012"/>
    <cellStyle name="常规 4 2 2 3 3 2 2" xfId="40013"/>
    <cellStyle name="常规 4 2 2 3 3 2 2 2" xfId="40014"/>
    <cellStyle name="常规 4 2 2 3 3 3" xfId="40015"/>
    <cellStyle name="常规 4 2 2 3 3 3 2" xfId="40016"/>
    <cellStyle name="常规 4 2 2 3 3 3 2 2" xfId="40017"/>
    <cellStyle name="常规 4 2 2 3 3 4" xfId="40018"/>
    <cellStyle name="常规 4 2 2 3 3 4 2" xfId="40019"/>
    <cellStyle name="常规 4 2 2 3 3 5" xfId="40020"/>
    <cellStyle name="常规 4 2 2 3 4" xfId="40021"/>
    <cellStyle name="常规 4 2 2 3 4 2" xfId="40022"/>
    <cellStyle name="常规 4 2 2 3 4 2 2" xfId="40023"/>
    <cellStyle name="常规 4 2 2 3 5" xfId="40024"/>
    <cellStyle name="常规 4 2 2 3 5 2" xfId="40025"/>
    <cellStyle name="常规 4 2 2 3 5 2 2" xfId="40026"/>
    <cellStyle name="常规 4 2 2 3 6" xfId="40027"/>
    <cellStyle name="常规 4 2 2 3 7" xfId="40028"/>
    <cellStyle name="常规 4 2 2 3 7 2" xfId="40029"/>
    <cellStyle name="常规 4 2 2 3 7 3" xfId="40030"/>
    <cellStyle name="常规 4 2 2 3 8" xfId="40031"/>
    <cellStyle name="常规 4 2 2 3 8 2" xfId="40032"/>
    <cellStyle name="常规 4 2 2 4" xfId="40033"/>
    <cellStyle name="常规 4 2 2 4 2" xfId="40034"/>
    <cellStyle name="常规 4 2 2 4 2 2" xfId="40035"/>
    <cellStyle name="常规 4 2 2 4 2 2 2" xfId="40036"/>
    <cellStyle name="常规 4 2 2 4 3" xfId="40037"/>
    <cellStyle name="常规 4 2 2 4 3 2" xfId="40038"/>
    <cellStyle name="常规 4 2 2 4 3 2 2" xfId="40039"/>
    <cellStyle name="常规 4 2 2 4 4" xfId="40040"/>
    <cellStyle name="常规 4 2 2 4 4 2" xfId="40041"/>
    <cellStyle name="常规 4 2 2 4 4 2 2" xfId="40042"/>
    <cellStyle name="常规 4 2 2 4 5" xfId="40043"/>
    <cellStyle name="常规 4 2 2 4 5 2" xfId="40044"/>
    <cellStyle name="常规 4 2 2 4 5 3" xfId="40045"/>
    <cellStyle name="常规 4 2 2 4 6" xfId="40046"/>
    <cellStyle name="常规 4 2 2 5" xfId="40047"/>
    <cellStyle name="常规 4 2 2 5 2" xfId="40048"/>
    <cellStyle name="常规 4 2 2 5 2 2" xfId="40049"/>
    <cellStyle name="常规 4 2 2 6" xfId="40050"/>
    <cellStyle name="常规 4 2 2 6 2" xfId="40051"/>
    <cellStyle name="常规 4 2 2 6 2 2" xfId="40052"/>
    <cellStyle name="常规 4 2 2 7" xfId="40053"/>
    <cellStyle name="常规 4 2 2 7 2" xfId="40054"/>
    <cellStyle name="常规 4 2 2 7 2 2" xfId="40055"/>
    <cellStyle name="常规 4 2 2 8" xfId="40056"/>
    <cellStyle name="常规 4 2 2 9" xfId="40057"/>
    <cellStyle name="常规 4 2 2 9 2" xfId="40058"/>
    <cellStyle name="常规 4 2 2 9 3" xfId="40059"/>
    <cellStyle name="常规 4 2 3" xfId="40060"/>
    <cellStyle name="常规 4 2 3 2" xfId="40061"/>
    <cellStyle name="常规 4 2 3 2 2" xfId="40062"/>
    <cellStyle name="常规 4 2 3 2 2 2" xfId="40063"/>
    <cellStyle name="常规 4 2 3 2 2 3" xfId="40064"/>
    <cellStyle name="常规 4 2 3 2 2 4" xfId="40065"/>
    <cellStyle name="常规 4 2 3 2 2 5" xfId="40066"/>
    <cellStyle name="常规 4 2 3 2 2 5 2" xfId="40067"/>
    <cellStyle name="常规 4 2 3 2 3" xfId="40068"/>
    <cellStyle name="常规 4 2 3 2 3 2" xfId="40069"/>
    <cellStyle name="常规 4 2 3 2 3 2 2" xfId="40070"/>
    <cellStyle name="常规 4 2 3 2 4" xfId="40071"/>
    <cellStyle name="常规 4 2 3 2 4 2" xfId="40072"/>
    <cellStyle name="常规 4 2 3 2 4 2 2" xfId="40073"/>
    <cellStyle name="常规 4 2 3 2 5" xfId="40074"/>
    <cellStyle name="常规 4 2 3 2 5 2" xfId="40075"/>
    <cellStyle name="常规 4 2 3 2 5 3" xfId="40076"/>
    <cellStyle name="常规 4 2 3 2 6" xfId="40077"/>
    <cellStyle name="常规 4 2 3 2 6 2" xfId="40078"/>
    <cellStyle name="常规 4 2 3 2 7" xfId="40079"/>
    <cellStyle name="常规 4 2 3 3" xfId="40080"/>
    <cellStyle name="常规 4 2 3 3 2" xfId="40081"/>
    <cellStyle name="常规 4 2 3 3 2 2" xfId="40082"/>
    <cellStyle name="常规 4 2 3 3 2 2 2" xfId="40083"/>
    <cellStyle name="常规 4 2 3 3 2 3" xfId="40084"/>
    <cellStyle name="常规 4 2 3 3 2 4" xfId="40085"/>
    <cellStyle name="常规 4 2 3 3 2 5" xfId="40086"/>
    <cellStyle name="常规 4 2 3 3 2 5 2" xfId="40087"/>
    <cellStyle name="常规 4 2 3 3 2 6" xfId="40088"/>
    <cellStyle name="常规 4 2 3 3 3" xfId="40089"/>
    <cellStyle name="常规 4 2 3 3 3 2" xfId="40090"/>
    <cellStyle name="常规 4 2 3 3 3 2 2" xfId="40091"/>
    <cellStyle name="常规 4 2 3 3 4" xfId="40092"/>
    <cellStyle name="常规 4 2 3 3 4 2" xfId="40093"/>
    <cellStyle name="常规 4 2 3 3 4 3" xfId="40094"/>
    <cellStyle name="常规 4 2 3 3 5" xfId="40095"/>
    <cellStyle name="常规 4 2 3 3 5 2" xfId="40096"/>
    <cellStyle name="常规 4 2 3 3 6" xfId="40097"/>
    <cellStyle name="常规 4 2 3 3 6 2" xfId="40098"/>
    <cellStyle name="常规 4 2 3 3 7" xfId="40099"/>
    <cellStyle name="常规 4 2 3 4" xfId="40100"/>
    <cellStyle name="常规 4 2 3 4 2" xfId="40101"/>
    <cellStyle name="常规 4 2 3 4 3" xfId="40102"/>
    <cellStyle name="常规 4 2 3 4 4" xfId="40103"/>
    <cellStyle name="常规 4 2 3 4 5" xfId="40104"/>
    <cellStyle name="常规 4 2 3 4 5 2" xfId="40105"/>
    <cellStyle name="常规 4 2 3 5" xfId="40106"/>
    <cellStyle name="常规 4 2 3 5 2" xfId="40107"/>
    <cellStyle name="常规 4 2 3 5 2 2" xfId="40108"/>
    <cellStyle name="常规 4 2 3 6" xfId="40109"/>
    <cellStyle name="常规 4 2 3 6 2" xfId="40110"/>
    <cellStyle name="常规 4 2 3 6 2 2" xfId="40111"/>
    <cellStyle name="常规 4 2 3 7" xfId="40112"/>
    <cellStyle name="常规 4 2 3 7 2" xfId="40113"/>
    <cellStyle name="常规 4 2 3 7 2 2" xfId="40114"/>
    <cellStyle name="常规 4 2 3 8" xfId="40115"/>
    <cellStyle name="常规 4 2 3 8 2" xfId="40116"/>
    <cellStyle name="常规 4 2 3 8 3" xfId="40117"/>
    <cellStyle name="常规 4 2 3 9" xfId="40118"/>
    <cellStyle name="常规 4 2 4" xfId="40119"/>
    <cellStyle name="常规 4 2 4 10" xfId="40120"/>
    <cellStyle name="常规 4 2 4 2" xfId="40121"/>
    <cellStyle name="常规 4 2 4 2 2" xfId="40122"/>
    <cellStyle name="常规 4 2 4 2 2 2" xfId="40123"/>
    <cellStyle name="常规 4 2 4 2 2 2 2" xfId="40124"/>
    <cellStyle name="常规 4 2 4 2 2 2 3" xfId="40125"/>
    <cellStyle name="常规 4 2 4 2 2 2 4" xfId="40126"/>
    <cellStyle name="常规 4 2 4 2 2 3" xfId="40127"/>
    <cellStyle name="常规 4 2 4 2 2 4" xfId="40128"/>
    <cellStyle name="常规 4 2 4 2 2 5" xfId="40129"/>
    <cellStyle name="常规 4 2 4 2 2 6" xfId="40130"/>
    <cellStyle name="常规 4 2 4 2 2 6 2" xfId="40131"/>
    <cellStyle name="常规 4 2 4 2 3" xfId="40132"/>
    <cellStyle name="常规 4 2 4 2 3 2" xfId="40133"/>
    <cellStyle name="常规 4 2 4 2 3 2 2" xfId="40134"/>
    <cellStyle name="常规 4 2 4 2 3 2 3" xfId="40135"/>
    <cellStyle name="常规 4 2 4 2 3 2 4" xfId="40136"/>
    <cellStyle name="常规 4 2 4 2 3 3" xfId="40137"/>
    <cellStyle name="常规 4 2 4 2 3 4" xfId="40138"/>
    <cellStyle name="常规 4 2 4 2 3 5" xfId="40139"/>
    <cellStyle name="常规 4 2 4 2 3 6" xfId="40140"/>
    <cellStyle name="常规 4 2 4 2 3 6 2" xfId="40141"/>
    <cellStyle name="常规 4 2 4 2 4" xfId="40142"/>
    <cellStyle name="常规 4 2 4 2 4 2" xfId="40143"/>
    <cellStyle name="常规 4 2 4 2 4 2 2" xfId="40144"/>
    <cellStyle name="常规 4 2 4 2 4 3" xfId="40145"/>
    <cellStyle name="常规 4 2 4 2 4 4" xfId="40146"/>
    <cellStyle name="常规 4 2 4 2 4 5" xfId="40147"/>
    <cellStyle name="常规 4 2 4 2 5" xfId="40148"/>
    <cellStyle name="常规 4 2 4 2 5 2" xfId="40149"/>
    <cellStyle name="常规 4 2 4 2 5 3" xfId="40150"/>
    <cellStyle name="常规 4 2 4 2 6" xfId="40151"/>
    <cellStyle name="常规 4 2 4 2 7" xfId="40152"/>
    <cellStyle name="常规 4 2 4 2 8" xfId="40153"/>
    <cellStyle name="常规 4 2 4 2 8 2" xfId="40154"/>
    <cellStyle name="常规 4 2 4 2 9" xfId="40155"/>
    <cellStyle name="常规 4 2 4 3" xfId="40156"/>
    <cellStyle name="常规 4 2 4 3 2" xfId="40157"/>
    <cellStyle name="常规 4 2 4 3 2 2" xfId="40158"/>
    <cellStyle name="常规 4 2 4 3 2 3" xfId="40159"/>
    <cellStyle name="常规 4 2 4 3 2 4" xfId="40160"/>
    <cellStyle name="常规 4 2 4 3 3" xfId="40161"/>
    <cellStyle name="常规 4 2 4 3 4" xfId="40162"/>
    <cellStyle name="常规 4 2 4 3 5" xfId="40163"/>
    <cellStyle name="常规 4 2 4 3 6" xfId="40164"/>
    <cellStyle name="常规 4 2 4 3 6 2" xfId="40165"/>
    <cellStyle name="常规 4 2 4 4" xfId="40166"/>
    <cellStyle name="常规 4 2 4 4 2" xfId="40167"/>
    <cellStyle name="常规 4 2 4 4 2 2" xfId="40168"/>
    <cellStyle name="常规 4 2 4 4 2 3" xfId="40169"/>
    <cellStyle name="常规 4 2 4 4 2 4" xfId="40170"/>
    <cellStyle name="常规 4 2 4 4 3" xfId="40171"/>
    <cellStyle name="常规 4 2 4 4 4" xfId="40172"/>
    <cellStyle name="常规 4 2 4 4 5" xfId="40173"/>
    <cellStyle name="常规 4 2 4 4 6" xfId="40174"/>
    <cellStyle name="常规 4 2 4 4 6 2" xfId="40175"/>
    <cellStyle name="常规 4 2 4 5" xfId="40176"/>
    <cellStyle name="常规 4 2 4 5 2" xfId="40177"/>
    <cellStyle name="常规 4 2 4 5 3" xfId="40178"/>
    <cellStyle name="常规 4 2 4 5 4" xfId="40179"/>
    <cellStyle name="常规 4 2 4 5 5" xfId="40180"/>
    <cellStyle name="常规 4 2 4 5 5 2" xfId="40181"/>
    <cellStyle name="常规 4 2 4 6" xfId="40182"/>
    <cellStyle name="常规 4 2 4 6 2" xfId="40183"/>
    <cellStyle name="常规 4 2 4 6 2 2" xfId="40184"/>
    <cellStyle name="常规 4 2 4 7" xfId="40185"/>
    <cellStyle name="常规 4 2 4 7 2" xfId="40186"/>
    <cellStyle name="常规 4 2 4 7 2 2" xfId="40187"/>
    <cellStyle name="常规 4 2 4 8" xfId="40188"/>
    <cellStyle name="常规 4 2 4 8 2" xfId="40189"/>
    <cellStyle name="常规 4 2 4 8 3" xfId="40190"/>
    <cellStyle name="常规 4 2 4 9" xfId="40191"/>
    <cellStyle name="常规 4 2 4 9 2" xfId="40192"/>
    <cellStyle name="常规 4 2 5" xfId="40193"/>
    <cellStyle name="常规 4 2 5 2" xfId="40194"/>
    <cellStyle name="常规 4 2 5 2 2" xfId="40195"/>
    <cellStyle name="常规 4 2 5 2 2 2" xfId="40196"/>
    <cellStyle name="常规 4 2 5 2 2 2 2" xfId="40197"/>
    <cellStyle name="常规 4 2 5 2 2 3" xfId="40198"/>
    <cellStyle name="常规 4 2 5 2 3" xfId="40199"/>
    <cellStyle name="常规 4 2 5 2 3 2" xfId="40200"/>
    <cellStyle name="常规 4 2 5 2 3 2 2" xfId="40201"/>
    <cellStyle name="常规 4 2 5 2 4" xfId="40202"/>
    <cellStyle name="常规 4 2 5 2 4 2" xfId="40203"/>
    <cellStyle name="常规 4 2 5 2 4 3" xfId="40204"/>
    <cellStyle name="常规 4 2 5 2 5" xfId="40205"/>
    <cellStyle name="常规 4 2 5 2 5 2" xfId="40206"/>
    <cellStyle name="常规 4 2 5 2 6" xfId="40207"/>
    <cellStyle name="常规 4 2 5 3" xfId="40208"/>
    <cellStyle name="常规 4 2 5 3 2" xfId="40209"/>
    <cellStyle name="常规 4 2 5 3 2 2" xfId="40210"/>
    <cellStyle name="常规 4 2 5 4" xfId="40211"/>
    <cellStyle name="常规 4 2 5 4 2" xfId="40212"/>
    <cellStyle name="常规 4 2 5 4 2 2" xfId="40213"/>
    <cellStyle name="常规 4 2 5 5" xfId="40214"/>
    <cellStyle name="常规 4 2 5 5 2" xfId="40215"/>
    <cellStyle name="常规 4 2 5 5 3" xfId="40216"/>
    <cellStyle name="常规 4 2 5 6" xfId="40217"/>
    <cellStyle name="常规 4 2 5 6 2" xfId="40218"/>
    <cellStyle name="常规 4 2 5 7" xfId="40219"/>
    <cellStyle name="常规 4 2 6" xfId="40220"/>
    <cellStyle name="常规 4 2 6 2" xfId="40221"/>
    <cellStyle name="常规 4 2 6 2 2" xfId="40222"/>
    <cellStyle name="常规 4 2 6 2 2 2" xfId="40223"/>
    <cellStyle name="常规 4 2 6 2 2 2 2" xfId="40224"/>
    <cellStyle name="常规 4 2 6 2 2 3" xfId="40225"/>
    <cellStyle name="常规 4 2 6 2 3" xfId="40226"/>
    <cellStyle name="常规 4 2 6 2 3 2" xfId="40227"/>
    <cellStyle name="常规 4 2 6 2 3 2 2" xfId="40228"/>
    <cellStyle name="常规 4 2 6 2 4" xfId="40229"/>
    <cellStyle name="常规 4 2 6 2 4 2" xfId="40230"/>
    <cellStyle name="常规 4 2 6 2 4 3" xfId="40231"/>
    <cellStyle name="常规 4 2 6 2 5" xfId="40232"/>
    <cellStyle name="常规 4 2 6 2 5 2" xfId="40233"/>
    <cellStyle name="常规 4 2 6 2 6" xfId="40234"/>
    <cellStyle name="常规 4 2 6 3" xfId="40235"/>
    <cellStyle name="常规 4 2 6 3 2" xfId="40236"/>
    <cellStyle name="常规 4 2 6 3 2 2" xfId="40237"/>
    <cellStyle name="常规 4 2 6 3 3" xfId="40238"/>
    <cellStyle name="常规 4 2 6 4" xfId="40239"/>
    <cellStyle name="常规 4 2 6 4 2" xfId="40240"/>
    <cellStyle name="常规 4 2 6 4 2 2" xfId="40241"/>
    <cellStyle name="常规 4 2 6 5" xfId="40242"/>
    <cellStyle name="常规 4 2 6 5 2" xfId="40243"/>
    <cellStyle name="常规 4 2 6 5 3" xfId="40244"/>
    <cellStyle name="常规 4 2 6 6" xfId="40245"/>
    <cellStyle name="常规 4 2 6 6 2" xfId="40246"/>
    <cellStyle name="常规 4 2 6 7" xfId="40247"/>
    <cellStyle name="常规 4 2 7" xfId="40248"/>
    <cellStyle name="常规 4 2 7 2" xfId="40249"/>
    <cellStyle name="常规 4 2 7 2 2" xfId="40250"/>
    <cellStyle name="常规 4 2 7 2 2 2" xfId="40251"/>
    <cellStyle name="常规 4 2 7 2 2 2 2" xfId="40252"/>
    <cellStyle name="常规 4 2 7 2 3" xfId="40253"/>
    <cellStyle name="常规 4 2 7 2 3 2" xfId="40254"/>
    <cellStyle name="常规 4 2 7 2 3 2 2" xfId="40255"/>
    <cellStyle name="常规 4 2 7 2 4" xfId="40256"/>
    <cellStyle name="常规 4 2 7 2 4 2" xfId="40257"/>
    <cellStyle name="常规 4 2 7 2 5" xfId="40258"/>
    <cellStyle name="常规 4 2 7 3" xfId="40259"/>
    <cellStyle name="常规 4 2 7 3 2" xfId="40260"/>
    <cellStyle name="常规 4 2 7 3 2 2" xfId="40261"/>
    <cellStyle name="常规 4 2 7 3 3" xfId="40262"/>
    <cellStyle name="常规 4 2 7 4" xfId="40263"/>
    <cellStyle name="常规 4 2 7 4 2" xfId="40264"/>
    <cellStyle name="常规 4 2 7 4 2 2" xfId="40265"/>
    <cellStyle name="常规 4 2 7 5" xfId="40266"/>
    <cellStyle name="常规 4 2 7 5 2" xfId="40267"/>
    <cellStyle name="常规 4 2 7 5 3" xfId="40268"/>
    <cellStyle name="常规 4 2 7 6" xfId="40269"/>
    <cellStyle name="常规 4 2 7 6 2" xfId="40270"/>
    <cellStyle name="常规 4 2 8" xfId="40271"/>
    <cellStyle name="常规 4 2 8 2" xfId="40272"/>
    <cellStyle name="常规 4 2 8 2 2" xfId="40273"/>
    <cellStyle name="常规 4 2 8 2 2 2" xfId="40274"/>
    <cellStyle name="常规 4 2 8 3" xfId="40275"/>
    <cellStyle name="常规 4 2 8 3 2" xfId="40276"/>
    <cellStyle name="常规 4 2 8 3 2 2" xfId="40277"/>
    <cellStyle name="常规 4 2 8 4" xfId="40278"/>
    <cellStyle name="常规 4 2 8 4 2" xfId="40279"/>
    <cellStyle name="常规 4 2 8 5" xfId="40280"/>
    <cellStyle name="常规 4 2 9" xfId="40281"/>
    <cellStyle name="常规 4 2 9 2" xfId="40282"/>
    <cellStyle name="常规 4 2 9 2 2" xfId="40283"/>
    <cellStyle name="常规 4 3" xfId="40284"/>
    <cellStyle name="常规 4 3 10" xfId="40285"/>
    <cellStyle name="常规 4 3 10 2" xfId="40286"/>
    <cellStyle name="常规 4 3 10 3" xfId="40287"/>
    <cellStyle name="常规 4 3 10 4" xfId="40288"/>
    <cellStyle name="常规 4 3 11" xfId="40289"/>
    <cellStyle name="常规 4 3 12" xfId="40290"/>
    <cellStyle name="常规 4 3 13" xfId="40291"/>
    <cellStyle name="常规 4 3 14" xfId="40292"/>
    <cellStyle name="常规 4 3 14 2" xfId="40293"/>
    <cellStyle name="常规 4 3 2" xfId="40294"/>
    <cellStyle name="常规 4 3 2 2" xfId="40295"/>
    <cellStyle name="常规 4 3 2 2 2" xfId="40296"/>
    <cellStyle name="常规 4 3 2 2 2 2" xfId="40297"/>
    <cellStyle name="常规 4 3 2 2 2 3" xfId="40298"/>
    <cellStyle name="常规 4 3 2 2 2 4" xfId="40299"/>
    <cellStyle name="常规 4 3 2 2 3" xfId="40300"/>
    <cellStyle name="常规 4 3 2 2 4" xfId="40301"/>
    <cellStyle name="常规 4 3 2 2 5" xfId="40302"/>
    <cellStyle name="常规 4 3 2 3" xfId="40303"/>
    <cellStyle name="常规 4 3 2 3 2" xfId="40304"/>
    <cellStyle name="常规 4 3 2 3 2 2" xfId="40305"/>
    <cellStyle name="常规 4 3 2 3 2 3" xfId="40306"/>
    <cellStyle name="常规 4 3 2 3 2 4" xfId="40307"/>
    <cellStyle name="常规 4 3 2 3 3" xfId="40308"/>
    <cellStyle name="常规 4 3 2 3 4" xfId="40309"/>
    <cellStyle name="常规 4 3 2 3 5" xfId="40310"/>
    <cellStyle name="常规 4 3 2 4" xfId="40311"/>
    <cellStyle name="常规 4 3 2 4 2" xfId="40312"/>
    <cellStyle name="常规 4 3 2 4 3" xfId="40313"/>
    <cellStyle name="常规 4 3 2 4 4" xfId="40314"/>
    <cellStyle name="常规 4 3 2 5" xfId="40315"/>
    <cellStyle name="常规 4 3 2 6" xfId="40316"/>
    <cellStyle name="常规 4 3 2 7" xfId="40317"/>
    <cellStyle name="常规 4 3 3" xfId="40318"/>
    <cellStyle name="常规 4 3 3 2" xfId="40319"/>
    <cellStyle name="常规 4 3 3 2 2" xfId="40320"/>
    <cellStyle name="常规 4 3 3 2 2 2" xfId="40321"/>
    <cellStyle name="常规 4 3 3 2 2 3" xfId="40322"/>
    <cellStyle name="常规 4 3 3 2 2 4" xfId="40323"/>
    <cellStyle name="常规 4 3 3 2 3" xfId="40324"/>
    <cellStyle name="常规 4 3 3 2 4" xfId="40325"/>
    <cellStyle name="常规 4 3 3 2 5" xfId="40326"/>
    <cellStyle name="常规 4 3 3 3" xfId="40327"/>
    <cellStyle name="常规 4 3 3 3 2" xfId="40328"/>
    <cellStyle name="常规 4 3 3 3 2 2" xfId="40329"/>
    <cellStyle name="常规 4 3 3 3 2 3" xfId="40330"/>
    <cellStyle name="常规 4 3 3 3 2 4" xfId="40331"/>
    <cellStyle name="常规 4 3 3 3 3" xfId="40332"/>
    <cellStyle name="常规 4 3 3 3 4" xfId="40333"/>
    <cellStyle name="常规 4 3 3 3 5" xfId="40334"/>
    <cellStyle name="常规 4 3 3 4" xfId="40335"/>
    <cellStyle name="常规 4 3 3 4 2" xfId="40336"/>
    <cellStyle name="常规 4 3 3 4 3" xfId="40337"/>
    <cellStyle name="常规 4 3 3 4 4" xfId="40338"/>
    <cellStyle name="常规 4 3 3 5" xfId="40339"/>
    <cellStyle name="常规 4 3 3 6" xfId="40340"/>
    <cellStyle name="常规 4 3 3 7" xfId="40341"/>
    <cellStyle name="常规 4 3 4" xfId="40342"/>
    <cellStyle name="常规 4 3 4 2" xfId="40343"/>
    <cellStyle name="常规 4 3 4 2 2" xfId="40344"/>
    <cellStyle name="常规 4 3 4 2 2 2" xfId="40345"/>
    <cellStyle name="常规 4 3 4 2 2 3" xfId="40346"/>
    <cellStyle name="常规 4 3 4 2 2 4" xfId="40347"/>
    <cellStyle name="常规 4 3 4 2 3" xfId="40348"/>
    <cellStyle name="常规 4 3 4 2 4" xfId="40349"/>
    <cellStyle name="常规 4 3 4 2 5" xfId="40350"/>
    <cellStyle name="常规 4 3 4 3" xfId="40351"/>
    <cellStyle name="常规 4 3 4 3 2" xfId="40352"/>
    <cellStyle name="常规 4 3 4 3 2 2" xfId="40353"/>
    <cellStyle name="常规 4 3 4 3 2 3" xfId="40354"/>
    <cellStyle name="常规 4 3 4 3 2 4" xfId="40355"/>
    <cellStyle name="常规 4 3 4 3 3" xfId="40356"/>
    <cellStyle name="常规 4 3 4 3 4" xfId="40357"/>
    <cellStyle name="常规 4 3 4 3 5" xfId="40358"/>
    <cellStyle name="常规 4 3 4 4" xfId="40359"/>
    <cellStyle name="常规 4 3 4 4 2" xfId="40360"/>
    <cellStyle name="常规 4 3 4 4 3" xfId="40361"/>
    <cellStyle name="常规 4 3 4 4 4" xfId="40362"/>
    <cellStyle name="常规 4 3 4 5" xfId="40363"/>
    <cellStyle name="常规 4 3 4 6" xfId="40364"/>
    <cellStyle name="常规 4 3 4 7" xfId="40365"/>
    <cellStyle name="常规 4 3 5" xfId="40366"/>
    <cellStyle name="常规 4 3 5 2" xfId="40367"/>
    <cellStyle name="常规 4 3 5 2 2" xfId="40368"/>
    <cellStyle name="常规 4 3 5 2 2 2" xfId="40369"/>
    <cellStyle name="常规 4 3 5 2 2 3" xfId="40370"/>
    <cellStyle name="常规 4 3 5 2 2 4" xfId="40371"/>
    <cellStyle name="常规 4 3 5 2 3" xfId="40372"/>
    <cellStyle name="常规 4 3 5 2 4" xfId="40373"/>
    <cellStyle name="常规 4 3 5 2 5" xfId="40374"/>
    <cellStyle name="常规 4 3 5 3" xfId="40375"/>
    <cellStyle name="常规 4 3 5 3 2" xfId="40376"/>
    <cellStyle name="常规 4 3 5 3 2 2" xfId="40377"/>
    <cellStyle name="常规 4 3 5 3 2 3" xfId="40378"/>
    <cellStyle name="常规 4 3 5 3 2 4" xfId="40379"/>
    <cellStyle name="常规 4 3 5 3 3" xfId="40380"/>
    <cellStyle name="常规 4 3 5 3 4" xfId="40381"/>
    <cellStyle name="常规 4 3 5 3 5" xfId="40382"/>
    <cellStyle name="常规 4 3 5 4" xfId="40383"/>
    <cellStyle name="常规 4 3 5 4 2" xfId="40384"/>
    <cellStyle name="常规 4 3 5 4 3" xfId="40385"/>
    <cellStyle name="常规 4 3 5 4 4" xfId="40386"/>
    <cellStyle name="常规 4 3 5 5" xfId="40387"/>
    <cellStyle name="常规 4 3 5 6" xfId="40388"/>
    <cellStyle name="常规 4 3 5 7" xfId="40389"/>
    <cellStyle name="常规 4 3 6" xfId="40390"/>
    <cellStyle name="常规 4 3 6 2" xfId="40391"/>
    <cellStyle name="常规 4 3 6 2 2" xfId="40392"/>
    <cellStyle name="常规 4 3 6 2 2 2" xfId="40393"/>
    <cellStyle name="常规 4 3 6 2 2 3" xfId="40394"/>
    <cellStyle name="常规 4 3 6 2 2 4" xfId="40395"/>
    <cellStyle name="常规 4 3 6 2 3" xfId="40396"/>
    <cellStyle name="常规 4 3 6 2 4" xfId="40397"/>
    <cellStyle name="常规 4 3 6 2 5" xfId="40398"/>
    <cellStyle name="常规 4 3 6 3" xfId="40399"/>
    <cellStyle name="常规 4 3 6 3 2" xfId="40400"/>
    <cellStyle name="常规 4 3 6 3 2 2" xfId="40401"/>
    <cellStyle name="常规 4 3 6 3 2 3" xfId="40402"/>
    <cellStyle name="常规 4 3 6 3 2 4" xfId="40403"/>
    <cellStyle name="常规 4 3 6 3 3" xfId="40404"/>
    <cellStyle name="常规 4 3 6 3 4" xfId="40405"/>
    <cellStyle name="常规 4 3 6 3 5" xfId="40406"/>
    <cellStyle name="常规 4 3 6 4" xfId="40407"/>
    <cellStyle name="常规 4 3 6 4 2" xfId="40408"/>
    <cellStyle name="常规 4 3 6 4 3" xfId="40409"/>
    <cellStyle name="常规 4 3 6 4 4" xfId="40410"/>
    <cellStyle name="常规 4 3 6 5" xfId="40411"/>
    <cellStyle name="常规 4 3 6 6" xfId="40412"/>
    <cellStyle name="常规 4 3 6 7" xfId="40413"/>
    <cellStyle name="常规 4 3 7" xfId="40414"/>
    <cellStyle name="常规 4 3 7 2" xfId="40415"/>
    <cellStyle name="常规 4 3 7 2 2" xfId="40416"/>
    <cellStyle name="常规 4 3 7 2 2 2" xfId="40417"/>
    <cellStyle name="常规 4 3 7 2 2 2 2" xfId="40418"/>
    <cellStyle name="常规 4 3 7 2 2 2 3" xfId="40419"/>
    <cellStyle name="常规 4 3 7 2 2 2 4" xfId="40420"/>
    <cellStyle name="常规 4 3 7 2 2 3" xfId="40421"/>
    <cellStyle name="常规 4 3 7 2 2 4" xfId="40422"/>
    <cellStyle name="常规 4 3 7 2 2 5" xfId="40423"/>
    <cellStyle name="常规 4 3 7 2 3" xfId="40424"/>
    <cellStyle name="常规 4 3 7 2 3 2" xfId="40425"/>
    <cellStyle name="常规 4 3 7 2 3 2 2" xfId="40426"/>
    <cellStyle name="常规 4 3 7 2 3 2 3" xfId="40427"/>
    <cellStyle name="常规 4 3 7 2 3 2 4" xfId="40428"/>
    <cellStyle name="常规 4 3 7 2 3 3" xfId="40429"/>
    <cellStyle name="常规 4 3 7 2 3 4" xfId="40430"/>
    <cellStyle name="常规 4 3 7 2 3 5" xfId="40431"/>
    <cellStyle name="常规 4 3 7 2 4" xfId="40432"/>
    <cellStyle name="常规 4 3 7 2 4 2" xfId="40433"/>
    <cellStyle name="常规 4 3 7 2 4 3" xfId="40434"/>
    <cellStyle name="常规 4 3 7 2 4 4" xfId="40435"/>
    <cellStyle name="常规 4 3 7 2 5" xfId="40436"/>
    <cellStyle name="常规 4 3 7 2 6" xfId="40437"/>
    <cellStyle name="常规 4 3 7 2 7" xfId="40438"/>
    <cellStyle name="常规 4 3 7 3" xfId="40439"/>
    <cellStyle name="常规 4 3 7 3 2" xfId="40440"/>
    <cellStyle name="常规 4 3 7 3 2 2" xfId="40441"/>
    <cellStyle name="常规 4 3 7 3 2 3" xfId="40442"/>
    <cellStyle name="常规 4 3 7 3 2 4" xfId="40443"/>
    <cellStyle name="常规 4 3 7 3 3" xfId="40444"/>
    <cellStyle name="常规 4 3 7 3 4" xfId="40445"/>
    <cellStyle name="常规 4 3 7 3 5" xfId="40446"/>
    <cellStyle name="常规 4 3 7 4" xfId="40447"/>
    <cellStyle name="常规 4 3 7 4 2" xfId="40448"/>
    <cellStyle name="常规 4 3 7 4 2 2" xfId="40449"/>
    <cellStyle name="常规 4 3 7 4 2 3" xfId="40450"/>
    <cellStyle name="常规 4 3 7 4 2 4" xfId="40451"/>
    <cellStyle name="常规 4 3 7 4 3" xfId="40452"/>
    <cellStyle name="常规 4 3 7 4 4" xfId="40453"/>
    <cellStyle name="常规 4 3 7 4 5" xfId="40454"/>
    <cellStyle name="常规 4 3 7 5" xfId="40455"/>
    <cellStyle name="常规 4 3 7 5 2" xfId="40456"/>
    <cellStyle name="常规 4 3 7 5 3" xfId="40457"/>
    <cellStyle name="常规 4 3 7 5 4" xfId="40458"/>
    <cellStyle name="常规 4 3 7 6" xfId="40459"/>
    <cellStyle name="常规 4 3 7 7" xfId="40460"/>
    <cellStyle name="常规 4 3 7 8" xfId="40461"/>
    <cellStyle name="常规 4 3 8" xfId="40462"/>
    <cellStyle name="常规 4 3 8 2" xfId="40463"/>
    <cellStyle name="常规 4 3 8 2 2" xfId="40464"/>
    <cellStyle name="常规 4 3 8 2 3" xfId="40465"/>
    <cellStyle name="常规 4 3 8 2 4" xfId="40466"/>
    <cellStyle name="常规 4 3 8 3" xfId="40467"/>
    <cellStyle name="常规 4 3 8 4" xfId="40468"/>
    <cellStyle name="常规 4 3 8 5" xfId="40469"/>
    <cellStyle name="常规 4 3 9" xfId="40470"/>
    <cellStyle name="常规 4 3 9 2" xfId="40471"/>
    <cellStyle name="常规 4 3 9 2 2" xfId="40472"/>
    <cellStyle name="常规 4 3 9 2 3" xfId="40473"/>
    <cellStyle name="常规 4 3 9 2 4" xfId="40474"/>
    <cellStyle name="常规 4 3 9 3" xfId="40475"/>
    <cellStyle name="常规 4 3 9 4" xfId="40476"/>
    <cellStyle name="常规 4 3 9 5" xfId="40477"/>
    <cellStyle name="常规 4 4" xfId="40478"/>
    <cellStyle name="常规 4 4 10" xfId="40479"/>
    <cellStyle name="常规 4 4 10 2" xfId="40480"/>
    <cellStyle name="常规 4 4 10 3" xfId="40481"/>
    <cellStyle name="常规 4 4 11" xfId="40482"/>
    <cellStyle name="常规 4 4 2" xfId="40483"/>
    <cellStyle name="常规 4 4 2 2" xfId="40484"/>
    <cellStyle name="常规 4 4 2 2 2" xfId="40485"/>
    <cellStyle name="常规 4 4 2 2 2 2" xfId="40486"/>
    <cellStyle name="常规 4 4 2 2 2 2 2" xfId="40487"/>
    <cellStyle name="常规 4 4 2 2 2 2 2 2" xfId="40488"/>
    <cellStyle name="常规 4 4 2 2 2 3" xfId="40489"/>
    <cellStyle name="常规 4 4 2 2 2 3 2" xfId="40490"/>
    <cellStyle name="常规 4 4 2 2 2 3 2 2" xfId="40491"/>
    <cellStyle name="常规 4 4 2 2 2 4" xfId="40492"/>
    <cellStyle name="常规 4 4 2 2 2 4 2" xfId="40493"/>
    <cellStyle name="常规 4 4 2 2 2 4 2 2" xfId="40494"/>
    <cellStyle name="常规 4 4 2 2 2 5" xfId="40495"/>
    <cellStyle name="常规 4 4 2 2 2 5 2" xfId="40496"/>
    <cellStyle name="常规 4 4 2 2 2 5 3" xfId="40497"/>
    <cellStyle name="常规 4 4 2 2 2 6" xfId="40498"/>
    <cellStyle name="常规 4 4 2 2 3" xfId="40499"/>
    <cellStyle name="常规 4 4 2 2 3 2" xfId="40500"/>
    <cellStyle name="常规 4 4 2 2 3 2 2" xfId="40501"/>
    <cellStyle name="常规 4 4 2 2 3 2 2 2" xfId="40502"/>
    <cellStyle name="常规 4 4 2 2 3 3" xfId="40503"/>
    <cellStyle name="常规 4 4 2 2 3 3 2" xfId="40504"/>
    <cellStyle name="常规 4 4 2 2 3 3 2 2" xfId="40505"/>
    <cellStyle name="常规 4 4 2 2 3 4" xfId="40506"/>
    <cellStyle name="常规 4 4 2 2 3 4 2" xfId="40507"/>
    <cellStyle name="常规 4 4 2 2 3 5" xfId="40508"/>
    <cellStyle name="常规 4 4 2 2 4" xfId="40509"/>
    <cellStyle name="常规 4 4 2 2 4 2" xfId="40510"/>
    <cellStyle name="常规 4 4 2 2 4 2 2" xfId="40511"/>
    <cellStyle name="常规 4 4 2 2 5" xfId="40512"/>
    <cellStyle name="常规 4 4 2 2 5 2" xfId="40513"/>
    <cellStyle name="常规 4 4 2 2 5 2 2" xfId="40514"/>
    <cellStyle name="常规 4 4 2 2 6" xfId="40515"/>
    <cellStyle name="常规 4 4 2 2 7" xfId="40516"/>
    <cellStyle name="常规 4 4 2 2 7 2" xfId="40517"/>
    <cellStyle name="常规 4 4 2 2 7 3" xfId="40518"/>
    <cellStyle name="常规 4 4 2 2 8" xfId="40519"/>
    <cellStyle name="常规 4 4 2 2 8 2" xfId="40520"/>
    <cellStyle name="常规 4 4 2 3" xfId="40521"/>
    <cellStyle name="常规 4 4 2 3 2" xfId="40522"/>
    <cellStyle name="常规 4 4 2 3 2 2" xfId="40523"/>
    <cellStyle name="常规 4 4 2 3 2 3" xfId="40524"/>
    <cellStyle name="常规 4 4 2 3 2 4" xfId="40525"/>
    <cellStyle name="常规 4 4 2 3 2 5" xfId="40526"/>
    <cellStyle name="常规 4 4 2 3 2 5 2" xfId="40527"/>
    <cellStyle name="常规 4 4 2 3 3" xfId="40528"/>
    <cellStyle name="常规 4 4 2 3 3 2" xfId="40529"/>
    <cellStyle name="常规 4 4 2 3 3 2 2" xfId="40530"/>
    <cellStyle name="常规 4 4 2 3 4" xfId="40531"/>
    <cellStyle name="常规 4 4 2 3 4 2" xfId="40532"/>
    <cellStyle name="常规 4 4 2 3 4 2 2" xfId="40533"/>
    <cellStyle name="常规 4 4 2 3 5" xfId="40534"/>
    <cellStyle name="常规 4 4 2 3 5 2" xfId="40535"/>
    <cellStyle name="常规 4 4 2 3 5 3" xfId="40536"/>
    <cellStyle name="常规 4 4 2 3 6" xfId="40537"/>
    <cellStyle name="常规 4 4 2 3 6 2" xfId="40538"/>
    <cellStyle name="常规 4 4 2 3 7" xfId="40539"/>
    <cellStyle name="常规 4 4 2 4" xfId="40540"/>
    <cellStyle name="常规 4 4 2 4 2" xfId="40541"/>
    <cellStyle name="常规 4 4 2 4 3" xfId="40542"/>
    <cellStyle name="常规 4 4 2 4 4" xfId="40543"/>
    <cellStyle name="常规 4 4 2 4 5" xfId="40544"/>
    <cellStyle name="常规 4 4 2 4 5 2" xfId="40545"/>
    <cellStyle name="常规 4 4 2 5" xfId="40546"/>
    <cellStyle name="常规 4 4 2 5 2" xfId="40547"/>
    <cellStyle name="常规 4 4 2 5 2 2" xfId="40548"/>
    <cellStyle name="常规 4 4 2 6" xfId="40549"/>
    <cellStyle name="常规 4 4 2 6 2" xfId="40550"/>
    <cellStyle name="常规 4 4 2 6 2 2" xfId="40551"/>
    <cellStyle name="常规 4 4 2 7" xfId="40552"/>
    <cellStyle name="常规 4 4 2 7 2" xfId="40553"/>
    <cellStyle name="常规 4 4 2 7 2 2" xfId="40554"/>
    <cellStyle name="常规 4 4 2 8" xfId="40555"/>
    <cellStyle name="常规 4 4 2 8 2" xfId="40556"/>
    <cellStyle name="常规 4 4 2 8 3" xfId="40557"/>
    <cellStyle name="常规 4 4 2 9" xfId="40558"/>
    <cellStyle name="常规 4 4 2 9 2" xfId="40559"/>
    <cellStyle name="常规 4 4 3" xfId="40560"/>
    <cellStyle name="常规 4 4 3 10" xfId="40561"/>
    <cellStyle name="常规 4 4 3 2" xfId="40562"/>
    <cellStyle name="常规 4 4 3 2 2" xfId="40563"/>
    <cellStyle name="常规 4 4 3 2 2 2" xfId="40564"/>
    <cellStyle name="常规 4 4 3 2 2 2 2" xfId="40565"/>
    <cellStyle name="常规 4 4 3 2 2 2 3" xfId="40566"/>
    <cellStyle name="常规 4 4 3 2 2 2 4" xfId="40567"/>
    <cellStyle name="常规 4 4 3 2 2 3" xfId="40568"/>
    <cellStyle name="常规 4 4 3 2 2 4" xfId="40569"/>
    <cellStyle name="常规 4 4 3 2 2 5" xfId="40570"/>
    <cellStyle name="常规 4 4 3 2 2 6" xfId="40571"/>
    <cellStyle name="常规 4 4 3 2 2 6 2" xfId="40572"/>
    <cellStyle name="常规 4 4 3 2 3" xfId="40573"/>
    <cellStyle name="常规 4 4 3 2 3 2" xfId="40574"/>
    <cellStyle name="常规 4 4 3 2 3 2 2" xfId="40575"/>
    <cellStyle name="常规 4 4 3 2 3 2 3" xfId="40576"/>
    <cellStyle name="常规 4 4 3 2 3 2 4" xfId="40577"/>
    <cellStyle name="常规 4 4 3 2 3 3" xfId="40578"/>
    <cellStyle name="常规 4 4 3 2 3 4" xfId="40579"/>
    <cellStyle name="常规 4 4 3 2 3 5" xfId="40580"/>
    <cellStyle name="常规 4 4 3 2 3 6" xfId="40581"/>
    <cellStyle name="常规 4 4 3 2 3 6 2" xfId="40582"/>
    <cellStyle name="常规 4 4 3 2 4" xfId="40583"/>
    <cellStyle name="常规 4 4 3 2 4 2" xfId="40584"/>
    <cellStyle name="常规 4 4 3 2 4 2 2" xfId="40585"/>
    <cellStyle name="常规 4 4 3 2 4 3" xfId="40586"/>
    <cellStyle name="常规 4 4 3 2 4 4" xfId="40587"/>
    <cellStyle name="常规 4 4 3 2 4 5" xfId="40588"/>
    <cellStyle name="常规 4 4 3 2 5" xfId="40589"/>
    <cellStyle name="常规 4 4 3 2 5 2" xfId="40590"/>
    <cellStyle name="常规 4 4 3 2 5 3" xfId="40591"/>
    <cellStyle name="常规 4 4 3 2 6" xfId="40592"/>
    <cellStyle name="常规 4 4 3 2 7" xfId="40593"/>
    <cellStyle name="常规 4 4 3 2 8" xfId="40594"/>
    <cellStyle name="常规 4 4 3 2 8 2" xfId="40595"/>
    <cellStyle name="常规 4 4 3 2 9" xfId="40596"/>
    <cellStyle name="常规 4 4 3 3" xfId="40597"/>
    <cellStyle name="常规 4 4 3 3 2" xfId="40598"/>
    <cellStyle name="常规 4 4 3 3 2 2" xfId="40599"/>
    <cellStyle name="常规 4 4 3 3 2 2 2" xfId="40600"/>
    <cellStyle name="常规 4 4 3 3 2 3" xfId="40601"/>
    <cellStyle name="常规 4 4 3 3 2 4" xfId="40602"/>
    <cellStyle name="常规 4 4 3 3 2 5" xfId="40603"/>
    <cellStyle name="常规 4 4 3 3 2 5 2" xfId="40604"/>
    <cellStyle name="常规 4 4 3 3 2 6" xfId="40605"/>
    <cellStyle name="常规 4 4 3 3 3" xfId="40606"/>
    <cellStyle name="常规 4 4 3 3 3 2" xfId="40607"/>
    <cellStyle name="常规 4 4 3 3 3 2 2" xfId="40608"/>
    <cellStyle name="常规 4 4 3 3 4" xfId="40609"/>
    <cellStyle name="常规 4 4 3 3 4 2" xfId="40610"/>
    <cellStyle name="常规 4 4 3 3 4 3" xfId="40611"/>
    <cellStyle name="常规 4 4 3 3 5" xfId="40612"/>
    <cellStyle name="常规 4 4 3 3 5 2" xfId="40613"/>
    <cellStyle name="常规 4 4 3 3 6" xfId="40614"/>
    <cellStyle name="常规 4 4 3 3 6 2" xfId="40615"/>
    <cellStyle name="常规 4 4 3 3 7" xfId="40616"/>
    <cellStyle name="常规 4 4 3 4" xfId="40617"/>
    <cellStyle name="常规 4 4 3 4 2" xfId="40618"/>
    <cellStyle name="常规 4 4 3 4 2 2" xfId="40619"/>
    <cellStyle name="常规 4 4 3 4 2 3" xfId="40620"/>
    <cellStyle name="常规 4 4 3 4 2 4" xfId="40621"/>
    <cellStyle name="常规 4 4 3 4 3" xfId="40622"/>
    <cellStyle name="常规 4 4 3 4 4" xfId="40623"/>
    <cellStyle name="常规 4 4 3 4 5" xfId="40624"/>
    <cellStyle name="常规 4 4 3 4 6" xfId="40625"/>
    <cellStyle name="常规 4 4 3 4 6 2" xfId="40626"/>
    <cellStyle name="常规 4 4 3 5" xfId="40627"/>
    <cellStyle name="常规 4 4 3 5 2" xfId="40628"/>
    <cellStyle name="常规 4 4 3 5 3" xfId="40629"/>
    <cellStyle name="常规 4 4 3 5 4" xfId="40630"/>
    <cellStyle name="常规 4 4 3 5 5" xfId="40631"/>
    <cellStyle name="常规 4 4 3 5 5 2" xfId="40632"/>
    <cellStyle name="常规 4 4 3 6" xfId="40633"/>
    <cellStyle name="常规 4 4 3 6 2" xfId="40634"/>
    <cellStyle name="常规 4 4 3 6 2 2" xfId="40635"/>
    <cellStyle name="常规 4 4 3 7" xfId="40636"/>
    <cellStyle name="常规 4 4 3 7 2" xfId="40637"/>
    <cellStyle name="常规 4 4 3 7 2 2" xfId="40638"/>
    <cellStyle name="常规 4 4 3 8" xfId="40639"/>
    <cellStyle name="常规 4 4 3 8 2" xfId="40640"/>
    <cellStyle name="常规 4 4 3 8 3" xfId="40641"/>
    <cellStyle name="常规 4 4 3 9" xfId="40642"/>
    <cellStyle name="常规 4 4 3 9 2" xfId="40643"/>
    <cellStyle name="常规 4 4 4" xfId="40644"/>
    <cellStyle name="常规 4 4 4 2" xfId="40645"/>
    <cellStyle name="常规 4 4 4 2 2" xfId="40646"/>
    <cellStyle name="常规 4 4 4 2 3" xfId="40647"/>
    <cellStyle name="常规 4 4 4 2 4" xfId="40648"/>
    <cellStyle name="常规 4 4 4 2 5" xfId="40649"/>
    <cellStyle name="常规 4 4 4 2 5 2" xfId="40650"/>
    <cellStyle name="常规 4 4 4 3" xfId="40651"/>
    <cellStyle name="常规 4 4 4 3 2" xfId="40652"/>
    <cellStyle name="常规 4 4 4 3 2 2" xfId="40653"/>
    <cellStyle name="常规 4 4 4 4" xfId="40654"/>
    <cellStyle name="常规 4 4 4 4 2" xfId="40655"/>
    <cellStyle name="常规 4 4 4 4 2 2" xfId="40656"/>
    <cellStyle name="常规 4 4 4 5" xfId="40657"/>
    <cellStyle name="常规 4 4 4 5 2" xfId="40658"/>
    <cellStyle name="常规 4 4 4 5 3" xfId="40659"/>
    <cellStyle name="常规 4 4 4 6" xfId="40660"/>
    <cellStyle name="常规 4 4 4 6 2" xfId="40661"/>
    <cellStyle name="常规 4 4 4 7" xfId="40662"/>
    <cellStyle name="常规 4 4 5" xfId="40663"/>
    <cellStyle name="常规 4 4 5 2" xfId="40664"/>
    <cellStyle name="常规 4 4 5 2 2" xfId="40665"/>
    <cellStyle name="常规 4 4 5 2 3" xfId="40666"/>
    <cellStyle name="常规 4 4 5 2 4" xfId="40667"/>
    <cellStyle name="常规 4 4 5 3" xfId="40668"/>
    <cellStyle name="常规 4 4 5 4" xfId="40669"/>
    <cellStyle name="常规 4 4 5 5" xfId="40670"/>
    <cellStyle name="常规 4 4 5 6" xfId="40671"/>
    <cellStyle name="常规 4 4 5 6 2" xfId="40672"/>
    <cellStyle name="常规 4 4 6" xfId="40673"/>
    <cellStyle name="常规 4 4 6 2" xfId="40674"/>
    <cellStyle name="常规 4 4 6 3" xfId="40675"/>
    <cellStyle name="常规 4 4 6 4" xfId="40676"/>
    <cellStyle name="常规 4 4 6 5" xfId="40677"/>
    <cellStyle name="常规 4 4 6 5 2" xfId="40678"/>
    <cellStyle name="常规 4 4 7" xfId="40679"/>
    <cellStyle name="常规 4 4 7 2" xfId="40680"/>
    <cellStyle name="常规 4 4 7 2 2" xfId="40681"/>
    <cellStyle name="常规 4 4 8" xfId="40682"/>
    <cellStyle name="常规 4 4 8 2" xfId="40683"/>
    <cellStyle name="常规 4 4 8 2 2" xfId="40684"/>
    <cellStyle name="常规 4 4 9" xfId="40685"/>
    <cellStyle name="常规 4 4 9 2" xfId="40686"/>
    <cellStyle name="常规 4 4 9 2 2" xfId="40687"/>
    <cellStyle name="常规 4 5" xfId="40688"/>
    <cellStyle name="常规 4 5 10" xfId="40689"/>
    <cellStyle name="常规 4 5 10 2" xfId="40690"/>
    <cellStyle name="常规 4 5 2" xfId="40691"/>
    <cellStyle name="常规 4 5 2 10" xfId="40692"/>
    <cellStyle name="常规 4 5 2 2" xfId="40693"/>
    <cellStyle name="常规 4 5 2 2 2" xfId="40694"/>
    <cellStyle name="常规 4 5 2 2 2 2" xfId="40695"/>
    <cellStyle name="常规 4 5 2 2 2 2 2" xfId="40696"/>
    <cellStyle name="常规 4 5 2 2 2 2 3" xfId="40697"/>
    <cellStyle name="常规 4 5 2 2 2 2 4" xfId="40698"/>
    <cellStyle name="常规 4 5 2 2 2 3" xfId="40699"/>
    <cellStyle name="常规 4 5 2 2 2 4" xfId="40700"/>
    <cellStyle name="常规 4 5 2 2 2 5" xfId="40701"/>
    <cellStyle name="常规 4 5 2 2 2 6" xfId="40702"/>
    <cellStyle name="常规 4 5 2 2 2 6 2" xfId="40703"/>
    <cellStyle name="常规 4 5 2 2 3" xfId="40704"/>
    <cellStyle name="常规 4 5 2 2 3 2" xfId="40705"/>
    <cellStyle name="常规 4 5 2 2 3 2 2" xfId="40706"/>
    <cellStyle name="常规 4 5 2 2 3 2 3" xfId="40707"/>
    <cellStyle name="常规 4 5 2 2 3 2 4" xfId="40708"/>
    <cellStyle name="常规 4 5 2 2 3 3" xfId="40709"/>
    <cellStyle name="常规 4 5 2 2 3 4" xfId="40710"/>
    <cellStyle name="常规 4 5 2 2 3 5" xfId="40711"/>
    <cellStyle name="常规 4 5 2 2 3 6" xfId="40712"/>
    <cellStyle name="常规 4 5 2 2 3 6 2" xfId="40713"/>
    <cellStyle name="常规 4 5 2 2 4" xfId="40714"/>
    <cellStyle name="常规 4 5 2 2 4 2" xfId="40715"/>
    <cellStyle name="常规 4 5 2 2 4 2 2" xfId="40716"/>
    <cellStyle name="常规 4 5 2 2 4 3" xfId="40717"/>
    <cellStyle name="常规 4 5 2 2 4 4" xfId="40718"/>
    <cellStyle name="常规 4 5 2 2 4 5" xfId="40719"/>
    <cellStyle name="常规 4 5 2 2 5" xfId="40720"/>
    <cellStyle name="常规 4 5 2 2 5 2" xfId="40721"/>
    <cellStyle name="常规 4 5 2 2 5 3" xfId="40722"/>
    <cellStyle name="常规 4 5 2 2 6" xfId="40723"/>
    <cellStyle name="常规 4 5 2 2 7" xfId="40724"/>
    <cellStyle name="常规 4 5 2 2 8" xfId="40725"/>
    <cellStyle name="常规 4 5 2 2 8 2" xfId="40726"/>
    <cellStyle name="常规 4 5 2 2 9" xfId="40727"/>
    <cellStyle name="常规 4 5 2 3" xfId="40728"/>
    <cellStyle name="常规 4 5 2 3 2" xfId="40729"/>
    <cellStyle name="常规 4 5 2 3 2 2" xfId="40730"/>
    <cellStyle name="常规 4 5 2 3 2 3" xfId="40731"/>
    <cellStyle name="常规 4 5 2 3 2 4" xfId="40732"/>
    <cellStyle name="常规 4 5 2 3 3" xfId="40733"/>
    <cellStyle name="常规 4 5 2 3 4" xfId="40734"/>
    <cellStyle name="常规 4 5 2 3 5" xfId="40735"/>
    <cellStyle name="常规 4 5 2 3 6" xfId="40736"/>
    <cellStyle name="常规 4 5 2 3 6 2" xfId="40737"/>
    <cellStyle name="常规 4 5 2 4" xfId="40738"/>
    <cellStyle name="常规 4 5 2 4 2" xfId="40739"/>
    <cellStyle name="常规 4 5 2 4 2 2" xfId="40740"/>
    <cellStyle name="常规 4 5 2 4 2 3" xfId="40741"/>
    <cellStyle name="常规 4 5 2 4 2 4" xfId="40742"/>
    <cellStyle name="常规 4 5 2 4 3" xfId="40743"/>
    <cellStyle name="常规 4 5 2 4 4" xfId="40744"/>
    <cellStyle name="常规 4 5 2 4 5" xfId="40745"/>
    <cellStyle name="常规 4 5 2 4 6" xfId="40746"/>
    <cellStyle name="常规 4 5 2 4 6 2" xfId="40747"/>
    <cellStyle name="常规 4 5 2 5" xfId="40748"/>
    <cellStyle name="常规 4 5 2 5 2" xfId="40749"/>
    <cellStyle name="常规 4 5 2 5 3" xfId="40750"/>
    <cellStyle name="常规 4 5 2 5 4" xfId="40751"/>
    <cellStyle name="常规 4 5 2 5 5" xfId="40752"/>
    <cellStyle name="常规 4 5 2 5 5 2" xfId="40753"/>
    <cellStyle name="常规 4 5 2 6" xfId="40754"/>
    <cellStyle name="常规 4 5 2 6 2" xfId="40755"/>
    <cellStyle name="常规 4 5 2 6 2 2" xfId="40756"/>
    <cellStyle name="常规 4 5 2 7" xfId="40757"/>
    <cellStyle name="常规 4 5 2 7 2" xfId="40758"/>
    <cellStyle name="常规 4 5 2 7 2 2" xfId="40759"/>
    <cellStyle name="常规 4 5 2 8" xfId="40760"/>
    <cellStyle name="常规 4 5 2 8 2" xfId="40761"/>
    <cellStyle name="常规 4 5 2 8 3" xfId="40762"/>
    <cellStyle name="常规 4 5 2 9" xfId="40763"/>
    <cellStyle name="常规 4 5 2 9 2" xfId="40764"/>
    <cellStyle name="常规 4 5 3" xfId="40765"/>
    <cellStyle name="常规 4 5 3 2" xfId="40766"/>
    <cellStyle name="常规 4 5 3 2 2" xfId="40767"/>
    <cellStyle name="常规 4 5 3 2 2 2" xfId="40768"/>
    <cellStyle name="常规 4 5 3 2 2 2 2" xfId="40769"/>
    <cellStyle name="常规 4 5 3 2 3" xfId="40770"/>
    <cellStyle name="常规 4 5 3 2 3 2" xfId="40771"/>
    <cellStyle name="常规 4 5 3 2 3 2 2" xfId="40772"/>
    <cellStyle name="常规 4 5 3 2 4" xfId="40773"/>
    <cellStyle name="常规 4 5 3 2 4 2" xfId="40774"/>
    <cellStyle name="常规 4 5 3 2 4 2 2" xfId="40775"/>
    <cellStyle name="常规 4 5 3 2 5" xfId="40776"/>
    <cellStyle name="常规 4 5 3 2 5 2" xfId="40777"/>
    <cellStyle name="常规 4 5 3 2 5 3" xfId="40778"/>
    <cellStyle name="常规 4 5 3 2 6" xfId="40779"/>
    <cellStyle name="常规 4 5 3 3" xfId="40780"/>
    <cellStyle name="常规 4 5 3 3 2" xfId="40781"/>
    <cellStyle name="常规 4 5 3 3 2 2" xfId="40782"/>
    <cellStyle name="常规 4 5 3 3 2 2 2" xfId="40783"/>
    <cellStyle name="常规 4 5 3 3 3" xfId="40784"/>
    <cellStyle name="常规 4 5 3 3 3 2" xfId="40785"/>
    <cellStyle name="常规 4 5 3 3 3 2 2" xfId="40786"/>
    <cellStyle name="常规 4 5 3 3 4" xfId="40787"/>
    <cellStyle name="常规 4 5 3 3 4 2" xfId="40788"/>
    <cellStyle name="常规 4 5 3 3 5" xfId="40789"/>
    <cellStyle name="常规 4 5 3 4" xfId="40790"/>
    <cellStyle name="常规 4 5 3 4 2" xfId="40791"/>
    <cellStyle name="常规 4 5 3 4 2 2" xfId="40792"/>
    <cellStyle name="常规 4 5 3 5" xfId="40793"/>
    <cellStyle name="常规 4 5 3 5 2" xfId="40794"/>
    <cellStyle name="常规 4 5 3 5 2 2" xfId="40795"/>
    <cellStyle name="常规 4 5 3 6" xfId="40796"/>
    <cellStyle name="常规 4 5 3 7" xfId="40797"/>
    <cellStyle name="常规 4 5 3 7 2" xfId="40798"/>
    <cellStyle name="常规 4 5 3 7 3" xfId="40799"/>
    <cellStyle name="常规 4 5 3 8" xfId="40800"/>
    <cellStyle name="常规 4 5 3 8 2" xfId="40801"/>
    <cellStyle name="常规 4 5 4" xfId="40802"/>
    <cellStyle name="常规 4 5 4 2" xfId="40803"/>
    <cellStyle name="常规 4 5 4 2 2" xfId="40804"/>
    <cellStyle name="常规 4 5 4 2 3" xfId="40805"/>
    <cellStyle name="常规 4 5 4 2 4" xfId="40806"/>
    <cellStyle name="常规 4 5 4 2 5" xfId="40807"/>
    <cellStyle name="常规 4 5 4 2 5 2" xfId="40808"/>
    <cellStyle name="常规 4 5 4 3" xfId="40809"/>
    <cellStyle name="常规 4 5 4 3 2" xfId="40810"/>
    <cellStyle name="常规 4 5 4 3 2 2" xfId="40811"/>
    <cellStyle name="常规 4 5 4 4" xfId="40812"/>
    <cellStyle name="常规 4 5 4 4 2" xfId="40813"/>
    <cellStyle name="常规 4 5 4 4 2 2" xfId="40814"/>
    <cellStyle name="常规 4 5 4 5" xfId="40815"/>
    <cellStyle name="常规 4 5 4 5 2" xfId="40816"/>
    <cellStyle name="常规 4 5 4 5 3" xfId="40817"/>
    <cellStyle name="常规 4 5 4 6" xfId="40818"/>
    <cellStyle name="常规 4 5 4 6 2" xfId="40819"/>
    <cellStyle name="常规 4 5 4 7" xfId="40820"/>
    <cellStyle name="常规 4 5 5" xfId="40821"/>
    <cellStyle name="常规 4 5 5 2" xfId="40822"/>
    <cellStyle name="常规 4 5 5 3" xfId="40823"/>
    <cellStyle name="常规 4 5 5 4" xfId="40824"/>
    <cellStyle name="常规 4 5 5 5" xfId="40825"/>
    <cellStyle name="常规 4 5 5 5 2" xfId="40826"/>
    <cellStyle name="常规 4 5 6" xfId="40827"/>
    <cellStyle name="常规 4 5 6 2" xfId="40828"/>
    <cellStyle name="常规 4 5 6 2 2" xfId="40829"/>
    <cellStyle name="常规 4 5 7" xfId="40830"/>
    <cellStyle name="常规 4 5 7 2" xfId="40831"/>
    <cellStyle name="常规 4 5 7 2 2" xfId="40832"/>
    <cellStyle name="常规 4 5 8" xfId="40833"/>
    <cellStyle name="常规 4 5 8 2" xfId="40834"/>
    <cellStyle name="常规 4 5 8 2 2" xfId="40835"/>
    <cellStyle name="常规 4 5 9" xfId="40836"/>
    <cellStyle name="常规 4 5 9 2" xfId="40837"/>
    <cellStyle name="常规 4 5 9 3" xfId="40838"/>
    <cellStyle name="常规 4 6" xfId="40839"/>
    <cellStyle name="常规 4 6 10" xfId="40840"/>
    <cellStyle name="常规 4 6 2" xfId="40841"/>
    <cellStyle name="常规 4 6 2 10" xfId="40842"/>
    <cellStyle name="常规 4 6 2 2" xfId="40843"/>
    <cellStyle name="常规 4 6 2 2 2" xfId="40844"/>
    <cellStyle name="常规 4 6 2 2 2 2" xfId="40845"/>
    <cellStyle name="常规 4 6 2 2 2 2 2" xfId="40846"/>
    <cellStyle name="常规 4 6 2 2 2 2 3" xfId="40847"/>
    <cellStyle name="常规 4 6 2 2 2 2 4" xfId="40848"/>
    <cellStyle name="常规 4 6 2 2 2 3" xfId="40849"/>
    <cellStyle name="常规 4 6 2 2 2 4" xfId="40850"/>
    <cellStyle name="常规 4 6 2 2 2 5" xfId="40851"/>
    <cellStyle name="常规 4 6 2 2 3" xfId="40852"/>
    <cellStyle name="常规 4 6 2 2 3 2" xfId="40853"/>
    <cellStyle name="常规 4 6 2 2 3 2 2" xfId="40854"/>
    <cellStyle name="常规 4 6 2 2 3 2 3" xfId="40855"/>
    <cellStyle name="常规 4 6 2 2 3 2 4" xfId="40856"/>
    <cellStyle name="常规 4 6 2 2 3 3" xfId="40857"/>
    <cellStyle name="常规 4 6 2 2 3 4" xfId="40858"/>
    <cellStyle name="常规 4 6 2 2 3 5" xfId="40859"/>
    <cellStyle name="常规 4 6 2 2 4" xfId="40860"/>
    <cellStyle name="常规 4 6 2 2 4 2" xfId="40861"/>
    <cellStyle name="常规 4 6 2 2 4 3" xfId="40862"/>
    <cellStyle name="常规 4 6 2 2 4 4" xfId="40863"/>
    <cellStyle name="常规 4 6 2 2 5" xfId="40864"/>
    <cellStyle name="常规 4 6 2 2 6" xfId="40865"/>
    <cellStyle name="常规 4 6 2 2 7" xfId="40866"/>
    <cellStyle name="常规 4 6 2 2 8" xfId="40867"/>
    <cellStyle name="常规 4 6 2 2 8 2" xfId="40868"/>
    <cellStyle name="常规 4 6 2 3" xfId="40869"/>
    <cellStyle name="常规 4 6 2 3 2" xfId="40870"/>
    <cellStyle name="常规 4 6 2 3 2 2" xfId="40871"/>
    <cellStyle name="常规 4 6 2 3 2 3" xfId="40872"/>
    <cellStyle name="常规 4 6 2 3 2 4" xfId="40873"/>
    <cellStyle name="常规 4 6 2 3 3" xfId="40874"/>
    <cellStyle name="常规 4 6 2 3 4" xfId="40875"/>
    <cellStyle name="常规 4 6 2 3 5" xfId="40876"/>
    <cellStyle name="常规 4 6 2 3 6" xfId="40877"/>
    <cellStyle name="常规 4 6 2 3 6 2" xfId="40878"/>
    <cellStyle name="常规 4 6 2 4" xfId="40879"/>
    <cellStyle name="常规 4 6 2 4 2" xfId="40880"/>
    <cellStyle name="常规 4 6 2 4 2 2" xfId="40881"/>
    <cellStyle name="常规 4 6 2 4 2 3" xfId="40882"/>
    <cellStyle name="常规 4 6 2 4 2 4" xfId="40883"/>
    <cellStyle name="常规 4 6 2 4 2 5" xfId="40884"/>
    <cellStyle name="常规 4 6 2 4 3" xfId="40885"/>
    <cellStyle name="常规 4 6 2 4 4" xfId="40886"/>
    <cellStyle name="常规 4 6 2 4 5" xfId="40887"/>
    <cellStyle name="常规 4 6 2 4 6" xfId="40888"/>
    <cellStyle name="常规 4 6 2 5" xfId="40889"/>
    <cellStyle name="常规 4 6 2 5 2" xfId="40890"/>
    <cellStyle name="常规 4 6 2 5 2 2" xfId="40891"/>
    <cellStyle name="常规 4 6 2 5 3" xfId="40892"/>
    <cellStyle name="常规 4 6 2 5 4" xfId="40893"/>
    <cellStyle name="常规 4 6 2 5 5" xfId="40894"/>
    <cellStyle name="常规 4 6 2 6" xfId="40895"/>
    <cellStyle name="常规 4 6 2 7" xfId="40896"/>
    <cellStyle name="常规 4 6 2 8" xfId="40897"/>
    <cellStyle name="常规 4 6 2 9" xfId="40898"/>
    <cellStyle name="常规 4 6 2 9 2" xfId="40899"/>
    <cellStyle name="常规 4 6 3" xfId="40900"/>
    <cellStyle name="常规 4 6 3 2" xfId="40901"/>
    <cellStyle name="常规 4 6 3 2 2" xfId="40902"/>
    <cellStyle name="常规 4 6 3 2 2 2" xfId="40903"/>
    <cellStyle name="常规 4 6 3 2 3" xfId="40904"/>
    <cellStyle name="常规 4 6 3 2 4" xfId="40905"/>
    <cellStyle name="常规 4 6 3 2 5" xfId="40906"/>
    <cellStyle name="常规 4 6 3 2 5 2" xfId="40907"/>
    <cellStyle name="常规 4 6 3 2 6" xfId="40908"/>
    <cellStyle name="常规 4 6 3 3" xfId="40909"/>
    <cellStyle name="常规 4 6 3 3 2" xfId="40910"/>
    <cellStyle name="常规 4 6 3 3 2 2" xfId="40911"/>
    <cellStyle name="常规 4 6 3 4" xfId="40912"/>
    <cellStyle name="常规 4 6 3 4 2" xfId="40913"/>
    <cellStyle name="常规 4 6 3 4 3" xfId="40914"/>
    <cellStyle name="常规 4 6 3 5" xfId="40915"/>
    <cellStyle name="常规 4 6 3 5 2" xfId="40916"/>
    <cellStyle name="常规 4 6 3 6" xfId="40917"/>
    <cellStyle name="常规 4 6 3 6 2" xfId="40918"/>
    <cellStyle name="常规 4 6 3 7" xfId="40919"/>
    <cellStyle name="常规 4 6 4" xfId="40920"/>
    <cellStyle name="常规 4 6 4 2" xfId="40921"/>
    <cellStyle name="常规 4 6 4 2 2" xfId="40922"/>
    <cellStyle name="常规 4 6 4 2 3" xfId="40923"/>
    <cellStyle name="常规 4 6 4 2 4" xfId="40924"/>
    <cellStyle name="常规 4 6 4 3" xfId="40925"/>
    <cellStyle name="常规 4 6 4 4" xfId="40926"/>
    <cellStyle name="常规 4 6 4 5" xfId="40927"/>
    <cellStyle name="常规 4 6 4 6" xfId="40928"/>
    <cellStyle name="常规 4 6 4 6 2" xfId="40929"/>
    <cellStyle name="常规 4 6 5" xfId="40930"/>
    <cellStyle name="常规 4 6 5 2" xfId="40931"/>
    <cellStyle name="常规 4 6 5 3" xfId="40932"/>
    <cellStyle name="常规 4 6 5 4" xfId="40933"/>
    <cellStyle name="常规 4 6 5 5" xfId="40934"/>
    <cellStyle name="常规 4 6 5 5 2" xfId="40935"/>
    <cellStyle name="常规 4 6 6" xfId="40936"/>
    <cellStyle name="常规 4 6 6 2" xfId="40937"/>
    <cellStyle name="常规 4 6 6 2 2" xfId="40938"/>
    <cellStyle name="常规 4 6 7" xfId="40939"/>
    <cellStyle name="常规 4 6 7 2" xfId="40940"/>
    <cellStyle name="常规 4 6 7 2 2" xfId="40941"/>
    <cellStyle name="常规 4 6 8" xfId="40942"/>
    <cellStyle name="常规 4 6 8 2" xfId="40943"/>
    <cellStyle name="常规 4 6 8 3" xfId="40944"/>
    <cellStyle name="常规 4 6 9" xfId="40945"/>
    <cellStyle name="常规 4 6 9 2" xfId="40946"/>
    <cellStyle name="常规 4 7" xfId="40947"/>
    <cellStyle name="常规 4 7 10" xfId="40948"/>
    <cellStyle name="常规 4 7 2" xfId="40949"/>
    <cellStyle name="常规 4 7 2 2" xfId="40950"/>
    <cellStyle name="常规 4 7 2 2 2" xfId="40951"/>
    <cellStyle name="常规 4 7 2 2 2 2" xfId="40952"/>
    <cellStyle name="常规 4 7 2 2 2 3" xfId="40953"/>
    <cellStyle name="常规 4 7 2 2 2 4" xfId="40954"/>
    <cellStyle name="常规 4 7 2 2 3" xfId="40955"/>
    <cellStyle name="常规 4 7 2 2 4" xfId="40956"/>
    <cellStyle name="常规 4 7 2 2 5" xfId="40957"/>
    <cellStyle name="常规 4 7 2 2 6" xfId="40958"/>
    <cellStyle name="常规 4 7 2 2 6 2" xfId="40959"/>
    <cellStyle name="常规 4 7 2 3" xfId="40960"/>
    <cellStyle name="常规 4 7 2 3 2" xfId="40961"/>
    <cellStyle name="常规 4 7 2 3 2 2" xfId="40962"/>
    <cellStyle name="常规 4 7 2 3 2 3" xfId="40963"/>
    <cellStyle name="常规 4 7 2 3 2 4" xfId="40964"/>
    <cellStyle name="常规 4 7 2 3 3" xfId="40965"/>
    <cellStyle name="常规 4 7 2 3 4" xfId="40966"/>
    <cellStyle name="常规 4 7 2 3 5" xfId="40967"/>
    <cellStyle name="常规 4 7 2 3 6" xfId="40968"/>
    <cellStyle name="常规 4 7 2 3 6 2" xfId="40969"/>
    <cellStyle name="常规 4 7 2 4" xfId="40970"/>
    <cellStyle name="常规 4 7 2 4 2" xfId="40971"/>
    <cellStyle name="常规 4 7 2 4 2 2" xfId="40972"/>
    <cellStyle name="常规 4 7 2 4 3" xfId="40973"/>
    <cellStyle name="常规 4 7 2 4 4" xfId="40974"/>
    <cellStyle name="常规 4 7 2 4 5" xfId="40975"/>
    <cellStyle name="常规 4 7 2 5" xfId="40976"/>
    <cellStyle name="常规 4 7 2 5 2" xfId="40977"/>
    <cellStyle name="常规 4 7 2 5 3" xfId="40978"/>
    <cellStyle name="常规 4 7 2 6" xfId="40979"/>
    <cellStyle name="常规 4 7 2 7" xfId="40980"/>
    <cellStyle name="常规 4 7 2 8" xfId="40981"/>
    <cellStyle name="常规 4 7 2 8 2" xfId="40982"/>
    <cellStyle name="常规 4 7 2 9" xfId="40983"/>
    <cellStyle name="常规 4 7 3" xfId="40984"/>
    <cellStyle name="常规 4 7 3 2" xfId="40985"/>
    <cellStyle name="常规 4 7 3 2 2" xfId="40986"/>
    <cellStyle name="常规 4 7 3 2 3" xfId="40987"/>
    <cellStyle name="常规 4 7 3 2 4" xfId="40988"/>
    <cellStyle name="常规 4 7 3 3" xfId="40989"/>
    <cellStyle name="常规 4 7 3 4" xfId="40990"/>
    <cellStyle name="常规 4 7 3 5" xfId="40991"/>
    <cellStyle name="常规 4 7 3 6" xfId="40992"/>
    <cellStyle name="常规 4 7 3 6 2" xfId="40993"/>
    <cellStyle name="常规 4 7 4" xfId="40994"/>
    <cellStyle name="常规 4 7 4 2" xfId="40995"/>
    <cellStyle name="常规 4 7 4 2 2" xfId="40996"/>
    <cellStyle name="常规 4 7 4 2 3" xfId="40997"/>
    <cellStyle name="常规 4 7 4 2 4" xfId="40998"/>
    <cellStyle name="常规 4 7 4 3" xfId="40999"/>
    <cellStyle name="常规 4 7 4 4" xfId="41000"/>
    <cellStyle name="常规 4 7 4 5" xfId="41001"/>
    <cellStyle name="常规 4 7 4 6" xfId="41002"/>
    <cellStyle name="常规 4 7 4 6 2" xfId="41003"/>
    <cellStyle name="常规 4 7 5" xfId="41004"/>
    <cellStyle name="常规 4 7 5 2" xfId="41005"/>
    <cellStyle name="常规 4 7 5 3" xfId="41006"/>
    <cellStyle name="常规 4 7 5 4" xfId="41007"/>
    <cellStyle name="常规 4 7 5 5" xfId="41008"/>
    <cellStyle name="常规 4 7 5 5 2" xfId="41009"/>
    <cellStyle name="常规 4 7 6" xfId="41010"/>
    <cellStyle name="常规 4 7 6 2" xfId="41011"/>
    <cellStyle name="常规 4 7 6 2 2" xfId="41012"/>
    <cellStyle name="常规 4 7 7" xfId="41013"/>
    <cellStyle name="常规 4 7 7 2" xfId="41014"/>
    <cellStyle name="常规 4 7 7 2 2" xfId="41015"/>
    <cellStyle name="常规 4 7 8" xfId="41016"/>
    <cellStyle name="常规 4 7 8 2" xfId="41017"/>
    <cellStyle name="常规 4 7 8 3" xfId="41018"/>
    <cellStyle name="常规 4 7 9" xfId="41019"/>
    <cellStyle name="常规 4 7 9 2" xfId="41020"/>
    <cellStyle name="常规 4 8" xfId="41021"/>
    <cellStyle name="常规 4 8 2" xfId="41022"/>
    <cellStyle name="常规 4 8 2 2" xfId="41023"/>
    <cellStyle name="常规 4 8 2 2 2" xfId="41024"/>
    <cellStyle name="常规 4 8 2 2 3" xfId="41025"/>
    <cellStyle name="常规 4 8 2 2 4" xfId="41026"/>
    <cellStyle name="常规 4 8 2 2 5" xfId="41027"/>
    <cellStyle name="常规 4 8 2 2 5 2" xfId="41028"/>
    <cellStyle name="常规 4 8 2 3" xfId="41029"/>
    <cellStyle name="常规 4 8 2 3 2" xfId="41030"/>
    <cellStyle name="常规 4 8 2 3 2 2" xfId="41031"/>
    <cellStyle name="常规 4 8 2 4" xfId="41032"/>
    <cellStyle name="常规 4 8 2 4 2" xfId="41033"/>
    <cellStyle name="常规 4 8 2 4 2 2" xfId="41034"/>
    <cellStyle name="常规 4 8 2 5" xfId="41035"/>
    <cellStyle name="常规 4 8 2 5 2" xfId="41036"/>
    <cellStyle name="常规 4 8 2 5 3" xfId="41037"/>
    <cellStyle name="常规 4 8 2 6" xfId="41038"/>
    <cellStyle name="常规 4 8 2 6 2" xfId="41039"/>
    <cellStyle name="常规 4 8 2 7" xfId="41040"/>
    <cellStyle name="常规 4 8 3" xfId="41041"/>
    <cellStyle name="常规 4 8 3 2" xfId="41042"/>
    <cellStyle name="常规 4 8 3 2 2" xfId="41043"/>
    <cellStyle name="常规 4 8 3 2 3" xfId="41044"/>
    <cellStyle name="常规 4 8 3 2 4" xfId="41045"/>
    <cellStyle name="常规 4 8 3 3" xfId="41046"/>
    <cellStyle name="常规 4 8 3 4" xfId="41047"/>
    <cellStyle name="常规 4 8 3 5" xfId="41048"/>
    <cellStyle name="常规 4 8 3 6" xfId="41049"/>
    <cellStyle name="常规 4 8 3 6 2" xfId="41050"/>
    <cellStyle name="常规 4 8 4" xfId="41051"/>
    <cellStyle name="常规 4 8 4 2" xfId="41052"/>
    <cellStyle name="常规 4 8 4 3" xfId="41053"/>
    <cellStyle name="常规 4 8 4 4" xfId="41054"/>
    <cellStyle name="常规 4 8 4 5" xfId="41055"/>
    <cellStyle name="常规 4 8 4 5 2" xfId="41056"/>
    <cellStyle name="常规 4 8 5" xfId="41057"/>
    <cellStyle name="常规 4 8 5 2" xfId="41058"/>
    <cellStyle name="常规 4 8 5 2 2" xfId="41059"/>
    <cellStyle name="常规 4 8 6" xfId="41060"/>
    <cellStyle name="常规 4 8 6 2" xfId="41061"/>
    <cellStyle name="常规 4 8 6 2 2" xfId="41062"/>
    <cellStyle name="常规 4 8 7" xfId="41063"/>
    <cellStyle name="常规 4 8 7 2" xfId="41064"/>
    <cellStyle name="常规 4 8 7 3" xfId="41065"/>
    <cellStyle name="常规 4 8 8" xfId="41066"/>
    <cellStyle name="常规 4 8 8 2" xfId="41067"/>
    <cellStyle name="常规 4 8 9" xfId="41068"/>
    <cellStyle name="常规 4 9" xfId="41069"/>
    <cellStyle name="常规 4 9 2" xfId="41070"/>
    <cellStyle name="常规 4 9 2 2" xfId="41071"/>
    <cellStyle name="常规 4 9 2 2 2" xfId="41072"/>
    <cellStyle name="常规 4 9 2 2 2 2" xfId="41073"/>
    <cellStyle name="常规 4 9 2 2 3" xfId="41074"/>
    <cellStyle name="常规 4 9 2 2 4" xfId="41075"/>
    <cellStyle name="常规 4 9 2 2 5" xfId="41076"/>
    <cellStyle name="常规 4 9 2 2 5 2" xfId="41077"/>
    <cellStyle name="常规 4 9 2 2 6" xfId="41078"/>
    <cellStyle name="常规 4 9 2 3" xfId="41079"/>
    <cellStyle name="常规 4 9 2 3 2" xfId="41080"/>
    <cellStyle name="常规 4 9 2 3 2 2" xfId="41081"/>
    <cellStyle name="常规 4 9 2 4" xfId="41082"/>
    <cellStyle name="常规 4 9 2 4 2" xfId="41083"/>
    <cellStyle name="常规 4 9 2 4 3" xfId="41084"/>
    <cellStyle name="常规 4 9 2 5" xfId="41085"/>
    <cellStyle name="常规 4 9 2 5 2" xfId="41086"/>
    <cellStyle name="常规 4 9 2 6" xfId="41087"/>
    <cellStyle name="常规 4 9 2 6 2" xfId="41088"/>
    <cellStyle name="常规 4 9 2 7" xfId="41089"/>
    <cellStyle name="常规 4 9 3" xfId="41090"/>
    <cellStyle name="常规 4 9 3 2" xfId="41091"/>
    <cellStyle name="常规 4 9 3 2 2" xfId="41092"/>
    <cellStyle name="常规 4 9 3 2 3" xfId="41093"/>
    <cellStyle name="常规 4 9 3 2 4" xfId="41094"/>
    <cellStyle name="常规 4 9 3 3" xfId="41095"/>
    <cellStyle name="常规 4 9 3 4" xfId="41096"/>
    <cellStyle name="常规 4 9 3 5" xfId="41097"/>
    <cellStyle name="常规 4 9 3 6" xfId="41098"/>
    <cellStyle name="常规 4 9 3 6 2" xfId="41099"/>
    <cellStyle name="常规 4 9 4" xfId="41100"/>
    <cellStyle name="常规 4 9 4 2" xfId="41101"/>
    <cellStyle name="常规 4 9 4 2 2" xfId="41102"/>
    <cellStyle name="常规 4 9 4 3" xfId="41103"/>
    <cellStyle name="常规 4 9 4 4" xfId="41104"/>
    <cellStyle name="常规 4 9 4 5" xfId="41105"/>
    <cellStyle name="常规 4 9 5" xfId="41106"/>
    <cellStyle name="常规 4 9 5 2" xfId="41107"/>
    <cellStyle name="常规 4 9 5 3" xfId="41108"/>
    <cellStyle name="常规 4 9 6" xfId="41109"/>
    <cellStyle name="常规 4 9 7" xfId="41110"/>
    <cellStyle name="常规 4 9 8" xfId="41111"/>
    <cellStyle name="常规 4 9 8 2" xfId="41112"/>
    <cellStyle name="常规 4 9 9" xfId="41113"/>
    <cellStyle name="常规 5" xfId="41114"/>
    <cellStyle name="常规 5 10" xfId="41115"/>
    <cellStyle name="常规 5 10 2" xfId="41116"/>
    <cellStyle name="常规 5 10 2 2" xfId="41117"/>
    <cellStyle name="常规 5 10 2 2 2" xfId="41118"/>
    <cellStyle name="常规 5 10 3" xfId="41119"/>
    <cellStyle name="常规 5 10 3 2" xfId="41120"/>
    <cellStyle name="常规 5 10 4" xfId="41121"/>
    <cellStyle name="常规 5 10 4 2" xfId="41122"/>
    <cellStyle name="常规 5 10 5" xfId="41123"/>
    <cellStyle name="常规 5 11" xfId="41124"/>
    <cellStyle name="常规 5 12" xfId="41125"/>
    <cellStyle name="常规 5 12 2" xfId="41126"/>
    <cellStyle name="常规 5 12 2 2" xfId="41127"/>
    <cellStyle name="常规 5 12 3" xfId="41128"/>
    <cellStyle name="常规 5 12 3 2" xfId="41129"/>
    <cellStyle name="常规 5 13" xfId="41130"/>
    <cellStyle name="常规 5 13 2" xfId="41131"/>
    <cellStyle name="常规 5 2" xfId="41132"/>
    <cellStyle name="常规 5 2 10" xfId="41133"/>
    <cellStyle name="常规 5 2 10 2" xfId="41134"/>
    <cellStyle name="常规 5 2 2" xfId="41135"/>
    <cellStyle name="常规 5 2 2 2" xfId="41136"/>
    <cellStyle name="常规 5 2 2 2 2" xfId="41137"/>
    <cellStyle name="常规 5 2 2 2 2 2" xfId="41138"/>
    <cellStyle name="常规 5 2 2 2 2 2 2" xfId="41139"/>
    <cellStyle name="常规 5 2 2 2 2 2 2 2" xfId="41140"/>
    <cellStyle name="常规 5 2 2 2 2 3" xfId="41141"/>
    <cellStyle name="常规 5 2 2 2 2 3 2" xfId="41142"/>
    <cellStyle name="常规 5 2 2 2 2 3 2 2" xfId="41143"/>
    <cellStyle name="常规 5 2 2 2 2 4" xfId="41144"/>
    <cellStyle name="常规 5 2 2 2 2 4 2" xfId="41145"/>
    <cellStyle name="常规 5 2 2 2 2 4 2 2" xfId="41146"/>
    <cellStyle name="常规 5 2 2 2 2 5" xfId="41147"/>
    <cellStyle name="常规 5 2 2 2 2 5 2" xfId="41148"/>
    <cellStyle name="常规 5 2 2 2 2 5 3" xfId="41149"/>
    <cellStyle name="常规 5 2 2 2 2 6" xfId="41150"/>
    <cellStyle name="常规 5 2 2 2 3" xfId="41151"/>
    <cellStyle name="常规 5 2 2 2 3 2" xfId="41152"/>
    <cellStyle name="常规 5 2 2 2 3 2 2" xfId="41153"/>
    <cellStyle name="常规 5 2 2 2 3 2 2 2" xfId="41154"/>
    <cellStyle name="常规 5 2 2 2 3 3" xfId="41155"/>
    <cellStyle name="常规 5 2 2 2 3 3 2" xfId="41156"/>
    <cellStyle name="常规 5 2 2 2 3 3 2 2" xfId="41157"/>
    <cellStyle name="常规 5 2 2 2 3 4" xfId="41158"/>
    <cellStyle name="常规 5 2 2 2 3 4 2" xfId="41159"/>
    <cellStyle name="常规 5 2 2 2 3 5" xfId="41160"/>
    <cellStyle name="常规 5 2 2 2 4" xfId="41161"/>
    <cellStyle name="常规 5 2 2 2 4 2" xfId="41162"/>
    <cellStyle name="常规 5 2 2 2 4 2 2" xfId="41163"/>
    <cellStyle name="常规 5 2 2 2 5" xfId="41164"/>
    <cellStyle name="常规 5 2 2 2 5 2" xfId="41165"/>
    <cellStyle name="常规 5 2 2 2 5 2 2" xfId="41166"/>
    <cellStyle name="常规 5 2 2 2 6" xfId="41167"/>
    <cellStyle name="常规 5 2 2 2 7" xfId="41168"/>
    <cellStyle name="常规 5 2 2 2 7 2" xfId="41169"/>
    <cellStyle name="常规 5 2 2 2 7 3" xfId="41170"/>
    <cellStyle name="常规 5 2 2 2 8" xfId="41171"/>
    <cellStyle name="常规 5 2 2 2 8 2" xfId="41172"/>
    <cellStyle name="常规 5 2 2 3" xfId="41173"/>
    <cellStyle name="常规 5 2 2 3 2" xfId="41174"/>
    <cellStyle name="常规 5 2 2 3 2 2" xfId="41175"/>
    <cellStyle name="常规 5 2 2 3 2 3" xfId="41176"/>
    <cellStyle name="常规 5 2 2 3 2 4" xfId="41177"/>
    <cellStyle name="常规 5 2 2 3 2 5" xfId="41178"/>
    <cellStyle name="常规 5 2 2 3 2 5 2" xfId="41179"/>
    <cellStyle name="常规 5 2 2 3 3" xfId="41180"/>
    <cellStyle name="常规 5 2 2 3 3 2" xfId="41181"/>
    <cellStyle name="常规 5 2 2 3 3 2 2" xfId="41182"/>
    <cellStyle name="常规 5 2 2 3 4" xfId="41183"/>
    <cellStyle name="常规 5 2 2 3 4 2" xfId="41184"/>
    <cellStyle name="常规 5 2 2 3 4 2 2" xfId="41185"/>
    <cellStyle name="常规 5 2 2 3 5" xfId="41186"/>
    <cellStyle name="常规 5 2 2 3 5 2" xfId="41187"/>
    <cellStyle name="常规 5 2 2 3 5 3" xfId="41188"/>
    <cellStyle name="常规 5 2 2 3 6" xfId="41189"/>
    <cellStyle name="常规 5 2 2 3 6 2" xfId="41190"/>
    <cellStyle name="常规 5 2 2 3 7" xfId="41191"/>
    <cellStyle name="常规 5 2 2 4" xfId="41192"/>
    <cellStyle name="常规 5 2 2 4 2" xfId="41193"/>
    <cellStyle name="常规 5 2 2 4 3" xfId="41194"/>
    <cellStyle name="常规 5 2 2 4 4" xfId="41195"/>
    <cellStyle name="常规 5 2 2 4 5" xfId="41196"/>
    <cellStyle name="常规 5 2 2 4 5 2" xfId="41197"/>
    <cellStyle name="常规 5 2 2 5" xfId="41198"/>
    <cellStyle name="常规 5 2 2 5 2" xfId="41199"/>
    <cellStyle name="常规 5 2 2 5 2 2" xfId="41200"/>
    <cellStyle name="常规 5 2 2 6" xfId="41201"/>
    <cellStyle name="常规 5 2 2 6 2" xfId="41202"/>
    <cellStyle name="常规 5 2 2 6 2 2" xfId="41203"/>
    <cellStyle name="常规 5 2 2 7" xfId="41204"/>
    <cellStyle name="常规 5 2 2 7 2" xfId="41205"/>
    <cellStyle name="常规 5 2 2 7 2 2" xfId="41206"/>
    <cellStyle name="常规 5 2 2 8" xfId="41207"/>
    <cellStyle name="常规 5 2 2 8 2" xfId="41208"/>
    <cellStyle name="常规 5 2 2 8 3" xfId="41209"/>
    <cellStyle name="常规 5 2 2 9" xfId="41210"/>
    <cellStyle name="常规 5 2 2 9 2" xfId="41211"/>
    <cellStyle name="常规 5 2 3" xfId="41212"/>
    <cellStyle name="常规 5 2 3 2" xfId="41213"/>
    <cellStyle name="常规 5 2 3 2 2" xfId="41214"/>
    <cellStyle name="常规 5 2 3 2 2 2" xfId="41215"/>
    <cellStyle name="常规 5 2 3 2 2 2 2" xfId="41216"/>
    <cellStyle name="常规 5 2 3 2 3" xfId="41217"/>
    <cellStyle name="常规 5 2 3 2 3 2" xfId="41218"/>
    <cellStyle name="常规 5 2 3 2 3 2 2" xfId="41219"/>
    <cellStyle name="常规 5 2 3 2 4" xfId="41220"/>
    <cellStyle name="常规 5 2 3 2 4 2" xfId="41221"/>
    <cellStyle name="常规 5 2 3 2 4 2 2" xfId="41222"/>
    <cellStyle name="常规 5 2 3 2 5" xfId="41223"/>
    <cellStyle name="常规 5 2 3 2 5 2" xfId="41224"/>
    <cellStyle name="常规 5 2 3 2 5 3" xfId="41225"/>
    <cellStyle name="常规 5 2 3 2 6" xfId="41226"/>
    <cellStyle name="常规 5 2 3 3" xfId="41227"/>
    <cellStyle name="常规 5 2 3 3 2" xfId="41228"/>
    <cellStyle name="常规 5 2 3 3 2 2" xfId="41229"/>
    <cellStyle name="常规 5 2 3 3 2 2 2" xfId="41230"/>
    <cellStyle name="常规 5 2 3 3 3" xfId="41231"/>
    <cellStyle name="常规 5 2 3 3 3 2" xfId="41232"/>
    <cellStyle name="常规 5 2 3 3 3 2 2" xfId="41233"/>
    <cellStyle name="常规 5 2 3 3 4" xfId="41234"/>
    <cellStyle name="常规 5 2 3 3 4 2" xfId="41235"/>
    <cellStyle name="常规 5 2 3 3 5" xfId="41236"/>
    <cellStyle name="常规 5 2 3 4" xfId="41237"/>
    <cellStyle name="常规 5 2 3 4 2" xfId="41238"/>
    <cellStyle name="常规 5 2 3 4 2 2" xfId="41239"/>
    <cellStyle name="常规 5 2 3 5" xfId="41240"/>
    <cellStyle name="常规 5 2 3 5 2" xfId="41241"/>
    <cellStyle name="常规 5 2 3 5 2 2" xfId="41242"/>
    <cellStyle name="常规 5 2 3 6" xfId="41243"/>
    <cellStyle name="常规 5 2 3 7" xfId="41244"/>
    <cellStyle name="常规 5 2 3 7 2" xfId="41245"/>
    <cellStyle name="常规 5 2 3 7 3" xfId="41246"/>
    <cellStyle name="常规 5 2 3 8" xfId="41247"/>
    <cellStyle name="常规 5 2 3 8 2" xfId="41248"/>
    <cellStyle name="常规 5 2 4" xfId="41249"/>
    <cellStyle name="常规 5 2 4 2" xfId="41250"/>
    <cellStyle name="常规 5 2 4 2 2" xfId="41251"/>
    <cellStyle name="常规 5 2 4 2 3" xfId="41252"/>
    <cellStyle name="常规 5 2 4 2 4" xfId="41253"/>
    <cellStyle name="常规 5 2 4 2 5" xfId="41254"/>
    <cellStyle name="常规 5 2 4 2 5 2" xfId="41255"/>
    <cellStyle name="常规 5 2 4 3" xfId="41256"/>
    <cellStyle name="常规 5 2 4 3 2" xfId="41257"/>
    <cellStyle name="常规 5 2 4 3 2 2" xfId="41258"/>
    <cellStyle name="常规 5 2 4 4" xfId="41259"/>
    <cellStyle name="常规 5 2 4 4 2" xfId="41260"/>
    <cellStyle name="常规 5 2 4 4 2 2" xfId="41261"/>
    <cellStyle name="常规 5 2 4 5" xfId="41262"/>
    <cellStyle name="常规 5 2 4 5 2" xfId="41263"/>
    <cellStyle name="常规 5 2 4 5 3" xfId="41264"/>
    <cellStyle name="常规 5 2 4 6" xfId="41265"/>
    <cellStyle name="常规 5 2 4 6 2" xfId="41266"/>
    <cellStyle name="常规 5 2 4 7" xfId="41267"/>
    <cellStyle name="常规 5 2 5" xfId="41268"/>
    <cellStyle name="常规 5 2 5 2" xfId="41269"/>
    <cellStyle name="常规 5 2 5 3" xfId="41270"/>
    <cellStyle name="常规 5 2 5 4" xfId="41271"/>
    <cellStyle name="常规 5 2 5 5" xfId="41272"/>
    <cellStyle name="常规 5 2 5 5 2" xfId="41273"/>
    <cellStyle name="常规 5 2 6" xfId="41274"/>
    <cellStyle name="常规 5 2 6 2" xfId="41275"/>
    <cellStyle name="常规 5 2 6 2 2" xfId="41276"/>
    <cellStyle name="常规 5 2 7" xfId="41277"/>
    <cellStyle name="常规 5 2 7 2" xfId="41278"/>
    <cellStyle name="常规 5 2 7 2 2" xfId="41279"/>
    <cellStyle name="常规 5 2 8" xfId="41280"/>
    <cellStyle name="常规 5 2 8 2" xfId="41281"/>
    <cellStyle name="常规 5 2 8 2 2" xfId="41282"/>
    <cellStyle name="常规 5 2 9" xfId="41283"/>
    <cellStyle name="常规 5 2 9 2" xfId="41284"/>
    <cellStyle name="常规 5 2 9 3" xfId="41285"/>
    <cellStyle name="常规 5 3" xfId="41286"/>
    <cellStyle name="常规 5 3 2" xfId="41287"/>
    <cellStyle name="常规 5 3 2 2" xfId="41288"/>
    <cellStyle name="常规 5 3 2 2 2" xfId="41289"/>
    <cellStyle name="常规 5 3 2 2 2 2" xfId="41290"/>
    <cellStyle name="常规 5 3 2 3" xfId="41291"/>
    <cellStyle name="常规 5 3 2 3 2" xfId="41292"/>
    <cellStyle name="常规 5 3 2 3 2 2" xfId="41293"/>
    <cellStyle name="常规 5 3 2 4" xfId="41294"/>
    <cellStyle name="常规 5 3 2 4 2" xfId="41295"/>
    <cellStyle name="常规 5 3 2 4 2 2" xfId="41296"/>
    <cellStyle name="常规 5 3 2 5" xfId="41297"/>
    <cellStyle name="常规 5 3 2 5 2" xfId="41298"/>
    <cellStyle name="常规 5 3 2 5 3" xfId="41299"/>
    <cellStyle name="常规 5 3 2 6" xfId="41300"/>
    <cellStyle name="常规 5 3 3" xfId="41301"/>
    <cellStyle name="常规 5 3 3 2" xfId="41302"/>
    <cellStyle name="常规 5 3 3 2 2" xfId="41303"/>
    <cellStyle name="常规 5 3 3 2 2 2" xfId="41304"/>
    <cellStyle name="常规 5 3 3 3" xfId="41305"/>
    <cellStyle name="常规 5 3 3 3 2" xfId="41306"/>
    <cellStyle name="常规 5 3 3 3 2 2" xfId="41307"/>
    <cellStyle name="常规 5 3 3 4" xfId="41308"/>
    <cellStyle name="常规 5 3 3 4 2" xfId="41309"/>
    <cellStyle name="常规 5 3 3 5" xfId="41310"/>
    <cellStyle name="常规 5 3 4" xfId="41311"/>
    <cellStyle name="常规 5 3 4 2" xfId="41312"/>
    <cellStyle name="常规 5 3 4 2 2" xfId="41313"/>
    <cellStyle name="常规 5 3 5" xfId="41314"/>
    <cellStyle name="常规 5 3 5 2" xfId="41315"/>
    <cellStyle name="常规 5 3 5 2 2" xfId="41316"/>
    <cellStyle name="常规 5 3 6" xfId="41317"/>
    <cellStyle name="常规 5 3 7" xfId="41318"/>
    <cellStyle name="常规 5 3 7 2" xfId="41319"/>
    <cellStyle name="常规 5 3 7 3" xfId="41320"/>
    <cellStyle name="常规 5 3 8" xfId="41321"/>
    <cellStyle name="常规 5 3 8 2" xfId="41322"/>
    <cellStyle name="常规 5 4" xfId="41323"/>
    <cellStyle name="常规 5 4 2" xfId="41324"/>
    <cellStyle name="常规 5 4 2 2" xfId="41325"/>
    <cellStyle name="常规 5 4 2 2 2" xfId="41326"/>
    <cellStyle name="常规 5 4 2 2 2 2" xfId="41327"/>
    <cellStyle name="常规 5 4 2 3" xfId="41328"/>
    <cellStyle name="常规 5 4 2 3 2" xfId="41329"/>
    <cellStyle name="常规 5 4 2 3 2 2" xfId="41330"/>
    <cellStyle name="常规 5 4 2 4" xfId="41331"/>
    <cellStyle name="常规 5 4 2 4 2" xfId="41332"/>
    <cellStyle name="常规 5 4 2 4 2 2" xfId="41333"/>
    <cellStyle name="常规 5 4 2 5" xfId="41334"/>
    <cellStyle name="常规 5 4 2 5 2" xfId="41335"/>
    <cellStyle name="常规 5 4 2 5 3" xfId="41336"/>
    <cellStyle name="常规 5 4 2 6" xfId="41337"/>
    <cellStyle name="常规 5 4 3" xfId="41338"/>
    <cellStyle name="常规 5 4 3 2" xfId="41339"/>
    <cellStyle name="常规 5 4 3 2 2" xfId="41340"/>
    <cellStyle name="常规 5 4 4" xfId="41341"/>
    <cellStyle name="常规 5 4 4 2" xfId="41342"/>
    <cellStyle name="常规 5 4 4 2 2" xfId="41343"/>
    <cellStyle name="常规 5 4 5" xfId="41344"/>
    <cellStyle name="常规 5 4 5 2" xfId="41345"/>
    <cellStyle name="常规 5 4 5 2 2" xfId="41346"/>
    <cellStyle name="常规 5 4 6" xfId="41347"/>
    <cellStyle name="常规 5 4 7" xfId="41348"/>
    <cellStyle name="常规 5 4 7 2" xfId="41349"/>
    <cellStyle name="常规 5 4 7 3" xfId="41350"/>
    <cellStyle name="常规 5 4 8" xfId="41351"/>
    <cellStyle name="常规 5 4 8 2" xfId="41352"/>
    <cellStyle name="常规 5 5" xfId="41353"/>
    <cellStyle name="常规 5 5 2" xfId="41354"/>
    <cellStyle name="常规 5 5 2 2" xfId="41355"/>
    <cellStyle name="常规 5 5 2 3" xfId="41356"/>
    <cellStyle name="常规 5 5 2 3 2" xfId="41357"/>
    <cellStyle name="常规 5 5 3" xfId="41358"/>
    <cellStyle name="常规 5 5 3 2" xfId="41359"/>
    <cellStyle name="常规 5 5 3 2 2" xfId="41360"/>
    <cellStyle name="常规 5 5 4" xfId="41361"/>
    <cellStyle name="常规 5 5 4 2" xfId="41362"/>
    <cellStyle name="常规 5 5 4 2 2" xfId="41363"/>
    <cellStyle name="常规 5 5 5" xfId="41364"/>
    <cellStyle name="常规 5 5 5 2" xfId="41365"/>
    <cellStyle name="常规 5 5 6" xfId="41366"/>
    <cellStyle name="常规 5 6" xfId="41367"/>
    <cellStyle name="常规 5 6 2" xfId="41368"/>
    <cellStyle name="常规 5 6 2 2" xfId="41369"/>
    <cellStyle name="常规 5 6 3" xfId="41370"/>
    <cellStyle name="常规 5 6 4" xfId="41371"/>
    <cellStyle name="常规 5 6 5" xfId="41372"/>
    <cellStyle name="常规 5 6 5 2" xfId="41373"/>
    <cellStyle name="常规 5 6 6" xfId="41374"/>
    <cellStyle name="常规 5 7" xfId="41375"/>
    <cellStyle name="常规 5 7 2" xfId="41376"/>
    <cellStyle name="常规 5 7 2 2" xfId="41377"/>
    <cellStyle name="常规 5 7 2 2 2" xfId="41378"/>
    <cellStyle name="常规 5 7 2 2 2 2" xfId="41379"/>
    <cellStyle name="常规 5 7 2 3" xfId="41380"/>
    <cellStyle name="常规 5 7 2 3 2" xfId="41381"/>
    <cellStyle name="常规 5 7 2 4" xfId="41382"/>
    <cellStyle name="常规 5 7 2 4 2" xfId="41383"/>
    <cellStyle name="常规 5 7 2 5" xfId="41384"/>
    <cellStyle name="常规 5 7 3" xfId="41385"/>
    <cellStyle name="常规 5 7 4" xfId="41386"/>
    <cellStyle name="常规 5 7 4 2" xfId="41387"/>
    <cellStyle name="常规 5 7 4 3" xfId="41388"/>
    <cellStyle name="常规 5 7 5" xfId="41389"/>
    <cellStyle name="常规 5 7 5 2" xfId="41390"/>
    <cellStyle name="常规 5 8" xfId="41391"/>
    <cellStyle name="常规 5 8 2" xfId="41392"/>
    <cellStyle name="常规 5 8 2 2" xfId="41393"/>
    <cellStyle name="常规 5 8 2 2 2" xfId="41394"/>
    <cellStyle name="常规 5 8 2 2 2 2" xfId="41395"/>
    <cellStyle name="常规 5 8 2 3" xfId="41396"/>
    <cellStyle name="常规 5 8 2 3 2" xfId="41397"/>
    <cellStyle name="常规 5 8 2 4" xfId="41398"/>
    <cellStyle name="常规 5 8 2 4 2" xfId="41399"/>
    <cellStyle name="常规 5 8 2 5" xfId="41400"/>
    <cellStyle name="常规 5 8 3" xfId="41401"/>
    <cellStyle name="常规 5 8 3 2" xfId="41402"/>
    <cellStyle name="常规 5 8 3 2 2" xfId="41403"/>
    <cellStyle name="常规 5 8 4" xfId="41404"/>
    <cellStyle name="常规 5 8 4 2" xfId="41405"/>
    <cellStyle name="常规 5 8 4 2 2" xfId="41406"/>
    <cellStyle name="常规 5 8 5" xfId="41407"/>
    <cellStyle name="常规 5 8 5 2" xfId="41408"/>
    <cellStyle name="常规 5 8 6" xfId="41409"/>
    <cellStyle name="常规 5 9" xfId="41410"/>
    <cellStyle name="常规 5 9 2" xfId="41411"/>
    <cellStyle name="常规 5 9 2 2" xfId="41412"/>
    <cellStyle name="常规 5 9 2 2 2" xfId="41413"/>
    <cellStyle name="常规 5 9 2 2 2 2" xfId="41414"/>
    <cellStyle name="常规 5 9 2 3" xfId="41415"/>
    <cellStyle name="常规 5 9 2 3 2" xfId="41416"/>
    <cellStyle name="常规 5 9 2 4" xfId="41417"/>
    <cellStyle name="常规 5 9 2 4 2" xfId="41418"/>
    <cellStyle name="常规 5 9 2 5" xfId="41419"/>
    <cellStyle name="常规 5 9 3" xfId="41420"/>
    <cellStyle name="常规 5 9 3 2" xfId="41421"/>
    <cellStyle name="常规 5 9 3 2 2" xfId="41422"/>
    <cellStyle name="常规 5 9 4" xfId="41423"/>
    <cellStyle name="常规 5 9 4 2" xfId="41424"/>
    <cellStyle name="常规 5 9 5" xfId="41425"/>
    <cellStyle name="常规 5 9 5 2" xfId="41426"/>
    <cellStyle name="常规 5 9 6" xfId="41427"/>
    <cellStyle name="常规 5_Profit Statement  072610" xfId="41428"/>
    <cellStyle name="常规 6" xfId="41429"/>
    <cellStyle name="常规 6 10" xfId="41430"/>
    <cellStyle name="常规 6 10 2" xfId="41431"/>
    <cellStyle name="常规 6 2" xfId="41432"/>
    <cellStyle name="常规 6 2 10" xfId="41433"/>
    <cellStyle name="常规 6 2 10 2" xfId="41434"/>
    <cellStyle name="常规 6 2 2" xfId="41435"/>
    <cellStyle name="常规 6 2 2 2" xfId="41436"/>
    <cellStyle name="常规 6 2 2 2 2" xfId="41437"/>
    <cellStyle name="常规 6 2 2 2 2 2" xfId="41438"/>
    <cellStyle name="常规 6 2 2 2 2 3" xfId="41439"/>
    <cellStyle name="常规 6 2 2 2 2 4" xfId="41440"/>
    <cellStyle name="常规 6 2 2 2 2 4 2" xfId="41441"/>
    <cellStyle name="常规 6 2 2 2 2 4 3" xfId="41442"/>
    <cellStyle name="常规 6 2 2 2 2 5" xfId="41443"/>
    <cellStyle name="常规 6 2 2 2 2 5 2" xfId="41444"/>
    <cellStyle name="常规 6 2 2 2 3" xfId="41445"/>
    <cellStyle name="常规 6 2 2 2 3 2" xfId="41446"/>
    <cellStyle name="常规 6 2 2 2 3 2 2" xfId="41447"/>
    <cellStyle name="常规 6 2 2 2 3 2 2 2" xfId="41448"/>
    <cellStyle name="常规 6 2 2 2 3 3" xfId="41449"/>
    <cellStyle name="常规 6 2 2 2 3 3 2" xfId="41450"/>
    <cellStyle name="常规 6 2 2 2 3 3 2 2" xfId="41451"/>
    <cellStyle name="常规 6 2 2 2 3 4" xfId="41452"/>
    <cellStyle name="常规 6 2 2 2 3 4 2" xfId="41453"/>
    <cellStyle name="常规 6 2 2 2 3 5" xfId="41454"/>
    <cellStyle name="常规 6 2 2 2 4" xfId="41455"/>
    <cellStyle name="常规 6 2 2 2 5" xfId="41456"/>
    <cellStyle name="常规 6 2 2 2 6" xfId="41457"/>
    <cellStyle name="常规 6 2 2 2 7" xfId="41458"/>
    <cellStyle name="常规 6 2 2 2 7 2" xfId="41459"/>
    <cellStyle name="常规 6 2 2 2 7 3" xfId="41460"/>
    <cellStyle name="常规 6 2 2 2 8" xfId="41461"/>
    <cellStyle name="常规 6 2 2 2 8 2" xfId="41462"/>
    <cellStyle name="常规 6 2 2 3" xfId="41463"/>
    <cellStyle name="常规 6 2 2 3 2" xfId="41464"/>
    <cellStyle name="常规 6 2 2 3 3" xfId="41465"/>
    <cellStyle name="常规 6 2 2 3 4" xfId="41466"/>
    <cellStyle name="常规 6 2 2 3 4 2" xfId="41467"/>
    <cellStyle name="常规 6 2 2 3 4 3" xfId="41468"/>
    <cellStyle name="常规 6 2 2 3 5" xfId="41469"/>
    <cellStyle name="常规 6 2 2 3 5 2" xfId="41470"/>
    <cellStyle name="常规 6 2 2 4" xfId="41471"/>
    <cellStyle name="常规 6 2 2 4 2" xfId="41472"/>
    <cellStyle name="常规 6 2 2 4 2 2" xfId="41473"/>
    <cellStyle name="常规 6 2 2 5" xfId="41474"/>
    <cellStyle name="常规 6 2 2 6" xfId="41475"/>
    <cellStyle name="常规 6 2 2 7" xfId="41476"/>
    <cellStyle name="常规 6 2 2 8" xfId="41477"/>
    <cellStyle name="常规 6 2 2 8 2" xfId="41478"/>
    <cellStyle name="常规 6 2 2 8 3" xfId="41479"/>
    <cellStyle name="常规 6 2 2 9" xfId="41480"/>
    <cellStyle name="常规 6 2 2 9 2" xfId="41481"/>
    <cellStyle name="常规 6 2 3" xfId="41482"/>
    <cellStyle name="常规 6 2 3 2" xfId="41483"/>
    <cellStyle name="常规 6 2 3 2 2" xfId="41484"/>
    <cellStyle name="常规 6 2 3 2 3" xfId="41485"/>
    <cellStyle name="常规 6 2 3 2 4" xfId="41486"/>
    <cellStyle name="常规 6 2 3 2 4 2" xfId="41487"/>
    <cellStyle name="常规 6 2 3 2 4 3" xfId="41488"/>
    <cellStyle name="常规 6 2 3 2 5" xfId="41489"/>
    <cellStyle name="常规 6 2 3 2 5 2" xfId="41490"/>
    <cellStyle name="常规 6 2 3 3" xfId="41491"/>
    <cellStyle name="常规 6 2 3 3 2" xfId="41492"/>
    <cellStyle name="常规 6 2 3 3 2 2" xfId="41493"/>
    <cellStyle name="常规 6 2 3 3 2 2 2" xfId="41494"/>
    <cellStyle name="常规 6 2 3 3 3" xfId="41495"/>
    <cellStyle name="常规 6 2 3 3 3 2" xfId="41496"/>
    <cellStyle name="常规 6 2 3 3 3 2 2" xfId="41497"/>
    <cellStyle name="常规 6 2 3 3 4" xfId="41498"/>
    <cellStyle name="常规 6 2 3 3 4 2" xfId="41499"/>
    <cellStyle name="常规 6 2 3 3 5" xfId="41500"/>
    <cellStyle name="常规 6 2 3 4" xfId="41501"/>
    <cellStyle name="常规 6 2 3 5" xfId="41502"/>
    <cellStyle name="常规 6 2 3 6" xfId="41503"/>
    <cellStyle name="常规 6 2 3 7" xfId="41504"/>
    <cellStyle name="常规 6 2 3 7 2" xfId="41505"/>
    <cellStyle name="常规 6 2 3 7 3" xfId="41506"/>
    <cellStyle name="常规 6 2 3 8" xfId="41507"/>
    <cellStyle name="常规 6 2 3 8 2" xfId="41508"/>
    <cellStyle name="常规 6 2 4" xfId="41509"/>
    <cellStyle name="常规 6 2 4 2" xfId="41510"/>
    <cellStyle name="常规 6 2 4 3" xfId="41511"/>
    <cellStyle name="常规 6 2 4 4" xfId="41512"/>
    <cellStyle name="常规 6 2 4 4 2" xfId="41513"/>
    <cellStyle name="常规 6 2 4 4 3" xfId="41514"/>
    <cellStyle name="常规 6 2 4 5" xfId="41515"/>
    <cellStyle name="常规 6 2 4 5 2" xfId="41516"/>
    <cellStyle name="常规 6 2 5" xfId="41517"/>
    <cellStyle name="常规 6 2 5 2" xfId="41518"/>
    <cellStyle name="常规 6 2 5 2 2" xfId="41519"/>
    <cellStyle name="常规 6 2 6" xfId="41520"/>
    <cellStyle name="常规 6 2 7" xfId="41521"/>
    <cellStyle name="常规 6 2 8" xfId="41522"/>
    <cellStyle name="常规 6 2 9" xfId="41523"/>
    <cellStyle name="常规 6 2 9 2" xfId="41524"/>
    <cellStyle name="常规 6 2 9 3" xfId="41525"/>
    <cellStyle name="常规 6 3" xfId="41526"/>
    <cellStyle name="常规 6 3 2" xfId="41527"/>
    <cellStyle name="常规 6 3 2 2" xfId="41528"/>
    <cellStyle name="常规 6 3 2 2 2" xfId="41529"/>
    <cellStyle name="常规 6 3 2 2 3" xfId="41530"/>
    <cellStyle name="常规 6 3 2 2 4" xfId="41531"/>
    <cellStyle name="常规 6 3 2 2 4 2" xfId="41532"/>
    <cellStyle name="常规 6 3 2 3" xfId="41533"/>
    <cellStyle name="常规 6 3 2 3 2" xfId="41534"/>
    <cellStyle name="常规 6 3 2 3 2 2" xfId="41535"/>
    <cellStyle name="常规 6 3 2 4" xfId="41536"/>
    <cellStyle name="常规 6 3 2 4 2" xfId="41537"/>
    <cellStyle name="常规 6 3 2 4 2 2" xfId="41538"/>
    <cellStyle name="常规 6 3 2 5" xfId="41539"/>
    <cellStyle name="常规 6 3 2 5 2" xfId="41540"/>
    <cellStyle name="常规 6 3 2 5 3" xfId="41541"/>
    <cellStyle name="常规 6 3 2 6" xfId="41542"/>
    <cellStyle name="常规 6 3 2 7" xfId="41543"/>
    <cellStyle name="常规 6 3 2 7 2" xfId="41544"/>
    <cellStyle name="常规 6 3 2 8" xfId="41545"/>
    <cellStyle name="常规 6 3 3" xfId="41546"/>
    <cellStyle name="常规 6 3 3 2" xfId="41547"/>
    <cellStyle name="常规 6 3 3 2 2" xfId="41548"/>
    <cellStyle name="常规 6 3 3 2 2 2" xfId="41549"/>
    <cellStyle name="常规 6 3 3 2 3" xfId="41550"/>
    <cellStyle name="常规 6 3 3 3" xfId="41551"/>
    <cellStyle name="常规 6 3 3 3 2" xfId="41552"/>
    <cellStyle name="常规 6 3 3 3 2 2" xfId="41553"/>
    <cellStyle name="常规 6 3 3 4" xfId="41554"/>
    <cellStyle name="常规 6 3 3 4 2" xfId="41555"/>
    <cellStyle name="常规 6 3 3 4 3" xfId="41556"/>
    <cellStyle name="常规 6 3 3 5" xfId="41557"/>
    <cellStyle name="常规 6 3 3 5 2" xfId="41558"/>
    <cellStyle name="常规 6 3 4" xfId="41559"/>
    <cellStyle name="常规 6 3 4 2" xfId="41560"/>
    <cellStyle name="常规 6 3 4 2 2" xfId="41561"/>
    <cellStyle name="常规 6 3 5" xfId="41562"/>
    <cellStyle name="常规 6 3 5 2" xfId="41563"/>
    <cellStyle name="常规 6 3 5 2 2" xfId="41564"/>
    <cellStyle name="常规 6 3 6" xfId="41565"/>
    <cellStyle name="常规 6 3 6 2" xfId="41566"/>
    <cellStyle name="常规 6 3 6 2 2" xfId="41567"/>
    <cellStyle name="常规 6 3 7" xfId="41568"/>
    <cellStyle name="常规 6 3 7 2" xfId="41569"/>
    <cellStyle name="常规 6 3 7 2 2" xfId="41570"/>
    <cellStyle name="常规 6 3 8" xfId="41571"/>
    <cellStyle name="常规 6 3 8 2" xfId="41572"/>
    <cellStyle name="常规 6 3 8 3" xfId="41573"/>
    <cellStyle name="常规 6 3 9" xfId="41574"/>
    <cellStyle name="常规 6 4" xfId="41575"/>
    <cellStyle name="常规 6 4 2" xfId="41576"/>
    <cellStyle name="常规 6 4 2 2" xfId="41577"/>
    <cellStyle name="常规 6 4 2 2 2" xfId="41578"/>
    <cellStyle name="常规 6 4 2 2 2 2" xfId="41579"/>
    <cellStyle name="常规 6 4 2 3" xfId="41580"/>
    <cellStyle name="常规 6 4 2 3 2" xfId="41581"/>
    <cellStyle name="常规 6 4 2 3 2 2" xfId="41582"/>
    <cellStyle name="常规 6 4 2 4" xfId="41583"/>
    <cellStyle name="常规 6 4 2 4 2" xfId="41584"/>
    <cellStyle name="常规 6 4 2 4 3" xfId="41585"/>
    <cellStyle name="常规 6 4 2 5" xfId="41586"/>
    <cellStyle name="常规 6 4 2 5 2" xfId="41587"/>
    <cellStyle name="常规 6 4 3" xfId="41588"/>
    <cellStyle name="常规 6 4 3 2" xfId="41589"/>
    <cellStyle name="常规 6 4 3 2 2" xfId="41590"/>
    <cellStyle name="常规 6 4 4" xfId="41591"/>
    <cellStyle name="常规 6 4 4 2" xfId="41592"/>
    <cellStyle name="常规 6 4 4 2 2" xfId="41593"/>
    <cellStyle name="常规 6 4 5" xfId="41594"/>
    <cellStyle name="常规 6 4 5 2" xfId="41595"/>
    <cellStyle name="常规 6 4 5 2 2" xfId="41596"/>
    <cellStyle name="常规 6 4 6" xfId="41597"/>
    <cellStyle name="常规 6 4 6 2" xfId="41598"/>
    <cellStyle name="常规 6 4 6 2 2" xfId="41599"/>
    <cellStyle name="常规 6 4 7" xfId="41600"/>
    <cellStyle name="常规 6 4 7 2" xfId="41601"/>
    <cellStyle name="常规 6 4 7 3" xfId="41602"/>
    <cellStyle name="常规 6 4 8" xfId="41603"/>
    <cellStyle name="常规 6 4 8 2" xfId="41604"/>
    <cellStyle name="常规 6 5" xfId="41605"/>
    <cellStyle name="常规 6 5 2" xfId="41606"/>
    <cellStyle name="常规 6 5 2 2" xfId="41607"/>
    <cellStyle name="常规 6 5 2 2 2" xfId="41608"/>
    <cellStyle name="常规 6 5 2 2 2 2" xfId="41609"/>
    <cellStyle name="常规 6 5 2 3" xfId="41610"/>
    <cellStyle name="常规 6 5 2 3 2" xfId="41611"/>
    <cellStyle name="常规 6 5 2 3 2 2" xfId="41612"/>
    <cellStyle name="常规 6 5 2 4" xfId="41613"/>
    <cellStyle name="常规 6 5 2 4 2" xfId="41614"/>
    <cellStyle name="常规 6 5 2 5" xfId="41615"/>
    <cellStyle name="常规 6 5 3" xfId="41616"/>
    <cellStyle name="常规 6 5 3 2" xfId="41617"/>
    <cellStyle name="常规 6 5 3 2 2" xfId="41618"/>
    <cellStyle name="常规 6 5 4" xfId="41619"/>
    <cellStyle name="常规 6 5 4 2" xfId="41620"/>
    <cellStyle name="常规 6 5 4 3" xfId="41621"/>
    <cellStyle name="常规 6 5 5" xfId="41622"/>
    <cellStyle name="常规 6 5 5 2" xfId="41623"/>
    <cellStyle name="常规 6 6" xfId="41624"/>
    <cellStyle name="常规 6 6 2" xfId="41625"/>
    <cellStyle name="常规 6 6 2 2" xfId="41626"/>
    <cellStyle name="常规 6 6 2 2 2" xfId="41627"/>
    <cellStyle name="常规 6 6 3" xfId="41628"/>
    <cellStyle name="常规 6 6 3 2" xfId="41629"/>
    <cellStyle name="常规 6 6 3 2 2" xfId="41630"/>
    <cellStyle name="常规 6 6 4" xfId="41631"/>
    <cellStyle name="常规 6 6 4 2" xfId="41632"/>
    <cellStyle name="常规 6 6 5" xfId="41633"/>
    <cellStyle name="常规 6 7" xfId="41634"/>
    <cellStyle name="常规 6 7 2" xfId="41635"/>
    <cellStyle name="常规 6 7 2 2" xfId="41636"/>
    <cellStyle name="常规 6 8" xfId="41637"/>
    <cellStyle name="常规 6 9" xfId="41638"/>
    <cellStyle name="常规 6 9 2" xfId="41639"/>
    <cellStyle name="常规 6 9 2 2" xfId="41640"/>
    <cellStyle name="常规 6 9 3" xfId="41641"/>
    <cellStyle name="常规 6 9 3 2" xfId="41642"/>
    <cellStyle name="常规 7" xfId="41643"/>
    <cellStyle name="常规 7 10" xfId="41644"/>
    <cellStyle name="常规 7 10 2" xfId="41645"/>
    <cellStyle name="常规 7 10 3" xfId="41646"/>
    <cellStyle name="常规 7 11" xfId="41647"/>
    <cellStyle name="常规 7 2" xfId="41648"/>
    <cellStyle name="常规 7 2 10" xfId="41649"/>
    <cellStyle name="常规 7 2 10 2" xfId="41650"/>
    <cellStyle name="常规 7 2 2" xfId="41651"/>
    <cellStyle name="常规 7 2 2 2" xfId="41652"/>
    <cellStyle name="常规 7 2 2 2 2" xfId="41653"/>
    <cellStyle name="常规 7 2 2 2 2 2" xfId="41654"/>
    <cellStyle name="常规 7 2 2 2 2 3" xfId="41655"/>
    <cellStyle name="常规 7 2 2 2 2 4" xfId="41656"/>
    <cellStyle name="常规 7 2 2 2 2 4 2" xfId="41657"/>
    <cellStyle name="常规 7 2 2 2 2 4 3" xfId="41658"/>
    <cellStyle name="常规 7 2 2 2 2 5" xfId="41659"/>
    <cellStyle name="常规 7 2 2 2 2 5 2" xfId="41660"/>
    <cellStyle name="常规 7 2 2 2 3" xfId="41661"/>
    <cellStyle name="常规 7 2 2 2 3 2" xfId="41662"/>
    <cellStyle name="常规 7 2 2 2 3 2 2" xfId="41663"/>
    <cellStyle name="常规 7 2 2 2 3 2 2 2" xfId="41664"/>
    <cellStyle name="常规 7 2 2 2 3 3" xfId="41665"/>
    <cellStyle name="常规 7 2 2 2 3 3 2" xfId="41666"/>
    <cellStyle name="常规 7 2 2 2 3 3 2 2" xfId="41667"/>
    <cellStyle name="常规 7 2 2 2 3 4" xfId="41668"/>
    <cellStyle name="常规 7 2 2 2 3 4 2" xfId="41669"/>
    <cellStyle name="常规 7 2 2 2 3 5" xfId="41670"/>
    <cellStyle name="常规 7 2 2 2 4" xfId="41671"/>
    <cellStyle name="常规 7 2 2 2 5" xfId="41672"/>
    <cellStyle name="常规 7 2 2 2 6" xfId="41673"/>
    <cellStyle name="常规 7 2 2 2 7" xfId="41674"/>
    <cellStyle name="常规 7 2 2 2 7 2" xfId="41675"/>
    <cellStyle name="常规 7 2 2 2 7 3" xfId="41676"/>
    <cellStyle name="常规 7 2 2 2 8" xfId="41677"/>
    <cellStyle name="常规 7 2 2 2 8 2" xfId="41678"/>
    <cellStyle name="常规 7 2 2 3" xfId="41679"/>
    <cellStyle name="常规 7 2 2 3 2" xfId="41680"/>
    <cellStyle name="常规 7 2 2 3 3" xfId="41681"/>
    <cellStyle name="常规 7 2 2 3 4" xfId="41682"/>
    <cellStyle name="常规 7 2 2 3 4 2" xfId="41683"/>
    <cellStyle name="常规 7 2 2 3 4 3" xfId="41684"/>
    <cellStyle name="常规 7 2 2 3 5" xfId="41685"/>
    <cellStyle name="常规 7 2 2 3 5 2" xfId="41686"/>
    <cellStyle name="常规 7 2 2 4" xfId="41687"/>
    <cellStyle name="常规 7 2 2 4 2" xfId="41688"/>
    <cellStyle name="常规 7 2 2 4 2 2" xfId="41689"/>
    <cellStyle name="常规 7 2 2 5" xfId="41690"/>
    <cellStyle name="常规 7 2 2 5 2" xfId="41691"/>
    <cellStyle name="常规 7 2 2 5 2 2" xfId="41692"/>
    <cellStyle name="常规 7 2 2 6" xfId="41693"/>
    <cellStyle name="常规 7 2 2 6 2" xfId="41694"/>
    <cellStyle name="常规 7 2 2 6 2 2" xfId="41695"/>
    <cellStyle name="常规 7 2 2 7" xfId="41696"/>
    <cellStyle name="常规 7 2 2 8" xfId="41697"/>
    <cellStyle name="常规 7 2 2 8 2" xfId="41698"/>
    <cellStyle name="常规 7 2 2 8 3" xfId="41699"/>
    <cellStyle name="常规 7 2 2 9" xfId="41700"/>
    <cellStyle name="常规 7 2 2 9 2" xfId="41701"/>
    <cellStyle name="常规 7 2 3" xfId="41702"/>
    <cellStyle name="常规 7 2 3 2" xfId="41703"/>
    <cellStyle name="常规 7 2 3 2 2" xfId="41704"/>
    <cellStyle name="常规 7 2 3 2 3" xfId="41705"/>
    <cellStyle name="常规 7 2 3 2 4" xfId="41706"/>
    <cellStyle name="常规 7 2 3 2 4 2" xfId="41707"/>
    <cellStyle name="常规 7 2 3 2 4 3" xfId="41708"/>
    <cellStyle name="常规 7 2 3 2 5" xfId="41709"/>
    <cellStyle name="常规 7 2 3 2 5 2" xfId="41710"/>
    <cellStyle name="常规 7 2 3 3" xfId="41711"/>
    <cellStyle name="常规 7 2 3 3 2" xfId="41712"/>
    <cellStyle name="常规 7 2 3 3 2 2" xfId="41713"/>
    <cellStyle name="常规 7 2 3 3 2 2 2" xfId="41714"/>
    <cellStyle name="常规 7 2 3 3 3" xfId="41715"/>
    <cellStyle name="常规 7 2 3 3 3 2" xfId="41716"/>
    <cellStyle name="常规 7 2 3 3 3 2 2" xfId="41717"/>
    <cellStyle name="常规 7 2 3 3 4" xfId="41718"/>
    <cellStyle name="常规 7 2 3 3 4 2" xfId="41719"/>
    <cellStyle name="常规 7 2 3 3 5" xfId="41720"/>
    <cellStyle name="常规 7 2 3 4" xfId="41721"/>
    <cellStyle name="常规 7 2 3 5" xfId="41722"/>
    <cellStyle name="常规 7 2 3 6" xfId="41723"/>
    <cellStyle name="常规 7 2 3 7" xfId="41724"/>
    <cellStyle name="常规 7 2 3 7 2" xfId="41725"/>
    <cellStyle name="常规 7 2 3 7 3" xfId="41726"/>
    <cellStyle name="常规 7 2 3 8" xfId="41727"/>
    <cellStyle name="常规 7 2 3 8 2" xfId="41728"/>
    <cellStyle name="常规 7 2 4" xfId="41729"/>
    <cellStyle name="常规 7 2 4 2" xfId="41730"/>
    <cellStyle name="常规 7 2 4 3" xfId="41731"/>
    <cellStyle name="常规 7 2 4 4" xfId="41732"/>
    <cellStyle name="常规 7 2 4 4 2" xfId="41733"/>
    <cellStyle name="常规 7 2 4 4 3" xfId="41734"/>
    <cellStyle name="常规 7 2 4 5" xfId="41735"/>
    <cellStyle name="常规 7 2 4 5 2" xfId="41736"/>
    <cellStyle name="常规 7 2 5" xfId="41737"/>
    <cellStyle name="常规 7 2 5 2" xfId="41738"/>
    <cellStyle name="常规 7 2 5 2 2" xfId="41739"/>
    <cellStyle name="常规 7 2 6" xfId="41740"/>
    <cellStyle name="常规 7 2 6 2" xfId="41741"/>
    <cellStyle name="常规 7 2 6 2 2" xfId="41742"/>
    <cellStyle name="常规 7 2 7" xfId="41743"/>
    <cellStyle name="常规 7 2 7 2" xfId="41744"/>
    <cellStyle name="常规 7 2 7 2 2" xfId="41745"/>
    <cellStyle name="常规 7 2 8" xfId="41746"/>
    <cellStyle name="常规 7 2 9" xfId="41747"/>
    <cellStyle name="常规 7 2 9 2" xfId="41748"/>
    <cellStyle name="常规 7 2 9 3" xfId="41749"/>
    <cellStyle name="常规 7 3" xfId="41750"/>
    <cellStyle name="常规 7 3 2" xfId="41751"/>
    <cellStyle name="常规 7 3 2 2" xfId="41752"/>
    <cellStyle name="常规 7 3 2 2 2" xfId="41753"/>
    <cellStyle name="常规 7 3 2 2 3" xfId="41754"/>
    <cellStyle name="常规 7 3 2 2 4" xfId="41755"/>
    <cellStyle name="常规 7 3 2 2 4 2" xfId="41756"/>
    <cellStyle name="常规 7 3 2 3" xfId="41757"/>
    <cellStyle name="常规 7 3 2 3 2" xfId="41758"/>
    <cellStyle name="常规 7 3 2 3 2 2" xfId="41759"/>
    <cellStyle name="常规 7 3 2 4" xfId="41760"/>
    <cellStyle name="常规 7 3 2 4 2" xfId="41761"/>
    <cellStyle name="常规 7 3 2 4 2 2" xfId="41762"/>
    <cellStyle name="常规 7 3 2 5" xfId="41763"/>
    <cellStyle name="常规 7 3 2 5 2" xfId="41764"/>
    <cellStyle name="常规 7 3 2 5 3" xfId="41765"/>
    <cellStyle name="常规 7 3 2 6" xfId="41766"/>
    <cellStyle name="常规 7 3 2 7" xfId="41767"/>
    <cellStyle name="常规 7 3 2 7 2" xfId="41768"/>
    <cellStyle name="常规 7 3 2 8" xfId="41769"/>
    <cellStyle name="常规 7 3 3" xfId="41770"/>
    <cellStyle name="常规 7 3 3 2" xfId="41771"/>
    <cellStyle name="常规 7 3 3 2 2" xfId="41772"/>
    <cellStyle name="常规 7 3 3 2 2 2" xfId="41773"/>
    <cellStyle name="常规 7 3 3 2 3" xfId="41774"/>
    <cellStyle name="常规 7 3 3 3" xfId="41775"/>
    <cellStyle name="常规 7 3 3 3 2" xfId="41776"/>
    <cellStyle name="常规 7 3 3 3 2 2" xfId="41777"/>
    <cellStyle name="常规 7 3 3 4" xfId="41778"/>
    <cellStyle name="常规 7 3 3 4 2" xfId="41779"/>
    <cellStyle name="常规 7 3 3 4 3" xfId="41780"/>
    <cellStyle name="常规 7 3 3 5" xfId="41781"/>
    <cellStyle name="常规 7 3 3 5 2" xfId="41782"/>
    <cellStyle name="常规 7 3 4" xfId="41783"/>
    <cellStyle name="常规 7 3 4 2" xfId="41784"/>
    <cellStyle name="常规 7 3 4 2 2" xfId="41785"/>
    <cellStyle name="常规 7 3 5" xfId="41786"/>
    <cellStyle name="常规 7 3 5 2" xfId="41787"/>
    <cellStyle name="常规 7 3 5 2 2" xfId="41788"/>
    <cellStyle name="常规 7 3 6" xfId="41789"/>
    <cellStyle name="常规 7 3 6 2" xfId="41790"/>
    <cellStyle name="常规 7 3 6 2 2" xfId="41791"/>
    <cellStyle name="常规 7 3 7" xfId="41792"/>
    <cellStyle name="常规 7 3 7 2" xfId="41793"/>
    <cellStyle name="常规 7 3 7 2 2" xfId="41794"/>
    <cellStyle name="常规 7 3 8" xfId="41795"/>
    <cellStyle name="常规 7 3 8 2" xfId="41796"/>
    <cellStyle name="常规 7 3 8 3" xfId="41797"/>
    <cellStyle name="常规 7 3 9" xfId="41798"/>
    <cellStyle name="常规 7 4" xfId="41799"/>
    <cellStyle name="常规 7 4 2" xfId="41800"/>
    <cellStyle name="常规 7 4 2 2" xfId="41801"/>
    <cellStyle name="常规 7 4 2 2 2" xfId="41802"/>
    <cellStyle name="常规 7 4 2 2 2 2" xfId="41803"/>
    <cellStyle name="常规 7 4 2 3" xfId="41804"/>
    <cellStyle name="常规 7 4 2 3 2" xfId="41805"/>
    <cellStyle name="常规 7 4 2 3 2 2" xfId="41806"/>
    <cellStyle name="常规 7 4 2 4" xfId="41807"/>
    <cellStyle name="常规 7 4 2 4 2" xfId="41808"/>
    <cellStyle name="常规 7 4 2 4 3" xfId="41809"/>
    <cellStyle name="常规 7 4 2 5" xfId="41810"/>
    <cellStyle name="常规 7 4 2 5 2" xfId="41811"/>
    <cellStyle name="常规 7 4 3" xfId="41812"/>
    <cellStyle name="常规 7 4 3 2" xfId="41813"/>
    <cellStyle name="常规 7 4 3 2 2" xfId="41814"/>
    <cellStyle name="常规 7 4 4" xfId="41815"/>
    <cellStyle name="常规 7 4 4 2" xfId="41816"/>
    <cellStyle name="常规 7 4 4 2 2" xfId="41817"/>
    <cellStyle name="常规 7 4 5" xfId="41818"/>
    <cellStyle name="常规 7 4 5 2" xfId="41819"/>
    <cellStyle name="常规 7 4 5 2 2" xfId="41820"/>
    <cellStyle name="常规 7 4 6" xfId="41821"/>
    <cellStyle name="常规 7 4 6 2" xfId="41822"/>
    <cellStyle name="常规 7 4 6 2 2" xfId="41823"/>
    <cellStyle name="常规 7 4 7" xfId="41824"/>
    <cellStyle name="常规 7 4 7 2" xfId="41825"/>
    <cellStyle name="常规 7 4 7 3" xfId="41826"/>
    <cellStyle name="常规 7 4 8" xfId="41827"/>
    <cellStyle name="常规 7 4 8 2" xfId="41828"/>
    <cellStyle name="常规 7 5" xfId="41829"/>
    <cellStyle name="常规 7 5 2" xfId="41830"/>
    <cellStyle name="常规 7 5 2 2" xfId="41831"/>
    <cellStyle name="常规 7 5 2 2 2" xfId="41832"/>
    <cellStyle name="常规 7 5 2 2 2 2" xfId="41833"/>
    <cellStyle name="常规 7 5 2 3" xfId="41834"/>
    <cellStyle name="常规 7 5 2 3 2" xfId="41835"/>
    <cellStyle name="常规 7 5 2 3 2 2" xfId="41836"/>
    <cellStyle name="常规 7 5 2 4" xfId="41837"/>
    <cellStyle name="常规 7 5 2 4 2" xfId="41838"/>
    <cellStyle name="常规 7 5 2 5" xfId="41839"/>
    <cellStyle name="常规 7 5 3" xfId="41840"/>
    <cellStyle name="常规 7 5 3 2" xfId="41841"/>
    <cellStyle name="常规 7 5 3 2 2" xfId="41842"/>
    <cellStyle name="常规 7 5 4" xfId="41843"/>
    <cellStyle name="常规 7 5 4 2" xfId="41844"/>
    <cellStyle name="常规 7 5 4 3" xfId="41845"/>
    <cellStyle name="常规 7 5 5" xfId="41846"/>
    <cellStyle name="常规 7 5 5 2" xfId="41847"/>
    <cellStyle name="常规 7 6" xfId="41848"/>
    <cellStyle name="常规 7 6 2" xfId="41849"/>
    <cellStyle name="常规 7 6 2 2" xfId="41850"/>
    <cellStyle name="常规 7 6 2 2 2" xfId="41851"/>
    <cellStyle name="常规 7 6 3" xfId="41852"/>
    <cellStyle name="常规 7 6 3 2" xfId="41853"/>
    <cellStyle name="常规 7 6 3 2 2" xfId="41854"/>
    <cellStyle name="常规 7 6 4" xfId="41855"/>
    <cellStyle name="常规 7 6 4 2" xfId="41856"/>
    <cellStyle name="常规 7 6 5" xfId="41857"/>
    <cellStyle name="常规 7 7" xfId="41858"/>
    <cellStyle name="常规 7 7 2" xfId="41859"/>
    <cellStyle name="常规 7 7 2 2" xfId="41860"/>
    <cellStyle name="常规 7 8" xfId="41861"/>
    <cellStyle name="常规 7 8 2" xfId="41862"/>
    <cellStyle name="常规 7 8 2 2" xfId="41863"/>
    <cellStyle name="常规 7 9" xfId="41864"/>
    <cellStyle name="常规 7 9 2" xfId="41865"/>
    <cellStyle name="常规 7 9 2 2" xfId="41866"/>
    <cellStyle name="常规 8" xfId="41867"/>
    <cellStyle name="常规 8 10" xfId="41868"/>
    <cellStyle name="常规 8 10 2" xfId="41869"/>
    <cellStyle name="常规 8 10 2 2" xfId="41870"/>
    <cellStyle name="常规 8 11" xfId="41871"/>
    <cellStyle name="常规 8 11 2" xfId="41872"/>
    <cellStyle name="常规 8 11 3" xfId="41873"/>
    <cellStyle name="常规 8 12" xfId="41874"/>
    <cellStyle name="常规 8 2" xfId="41875"/>
    <cellStyle name="常规 8 2 10" xfId="41876"/>
    <cellStyle name="常规 8 2 10 2" xfId="41877"/>
    <cellStyle name="常规 8 2 10 3" xfId="41878"/>
    <cellStyle name="常规 8 2 11" xfId="41879"/>
    <cellStyle name="常规 8 2 2" xfId="41880"/>
    <cellStyle name="常规 8 2 2 2" xfId="41881"/>
    <cellStyle name="常规 8 2 2 2 2" xfId="41882"/>
    <cellStyle name="常规 8 2 2 2 2 2" xfId="41883"/>
    <cellStyle name="常规 8 2 2 2 2 2 2" xfId="41884"/>
    <cellStyle name="常规 8 2 2 2 2 2 2 2" xfId="41885"/>
    <cellStyle name="常规 8 2 2 2 2 3" xfId="41886"/>
    <cellStyle name="常规 8 2 2 2 2 3 2" xfId="41887"/>
    <cellStyle name="常规 8 2 2 2 2 3 2 2" xfId="41888"/>
    <cellStyle name="常规 8 2 2 2 2 4" xfId="41889"/>
    <cellStyle name="常规 8 2 2 2 2 4 2" xfId="41890"/>
    <cellStyle name="常规 8 2 2 2 2 4 3" xfId="41891"/>
    <cellStyle name="常规 8 2 2 2 2 5" xfId="41892"/>
    <cellStyle name="常规 8 2 2 2 2 5 2" xfId="41893"/>
    <cellStyle name="常规 8 2 2 2 3" xfId="41894"/>
    <cellStyle name="常规 8 2 2 2 3 2" xfId="41895"/>
    <cellStyle name="常规 8 2 2 2 3 2 2" xfId="41896"/>
    <cellStyle name="常规 8 2 2 2 3 2 2 2" xfId="41897"/>
    <cellStyle name="常规 8 2 2 2 3 3" xfId="41898"/>
    <cellStyle name="常规 8 2 2 2 3 3 2" xfId="41899"/>
    <cellStyle name="常规 8 2 2 2 3 3 2 2" xfId="41900"/>
    <cellStyle name="常规 8 2 2 2 3 4" xfId="41901"/>
    <cellStyle name="常规 8 2 2 2 3 4 2" xfId="41902"/>
    <cellStyle name="常规 8 2 2 2 3 5" xfId="41903"/>
    <cellStyle name="常规 8 2 2 2 4" xfId="41904"/>
    <cellStyle name="常规 8 2 2 2 4 2" xfId="41905"/>
    <cellStyle name="常规 8 2 2 2 4 2 2" xfId="41906"/>
    <cellStyle name="常规 8 2 2 2 5" xfId="41907"/>
    <cellStyle name="常规 8 2 2 2 5 2" xfId="41908"/>
    <cellStyle name="常规 8 2 2 2 5 2 2" xfId="41909"/>
    <cellStyle name="常规 8 2 2 2 6" xfId="41910"/>
    <cellStyle name="常规 8 2 2 2 6 2" xfId="41911"/>
    <cellStyle name="常规 8 2 2 2 6 2 2" xfId="41912"/>
    <cellStyle name="常规 8 2 2 2 7" xfId="41913"/>
    <cellStyle name="常规 8 2 2 2 7 2" xfId="41914"/>
    <cellStyle name="常规 8 2 2 2 7 3" xfId="41915"/>
    <cellStyle name="常规 8 2 2 2 8" xfId="41916"/>
    <cellStyle name="常规 8 2 2 2 8 2" xfId="41917"/>
    <cellStyle name="常规 8 2 2 3" xfId="41918"/>
    <cellStyle name="常规 8 2 2 3 2" xfId="41919"/>
    <cellStyle name="常规 8 2 2 3 2 2" xfId="41920"/>
    <cellStyle name="常规 8 2 2 3 2 2 2" xfId="41921"/>
    <cellStyle name="常规 8 2 2 3 3" xfId="41922"/>
    <cellStyle name="常规 8 2 2 3 3 2" xfId="41923"/>
    <cellStyle name="常规 8 2 2 3 3 2 2" xfId="41924"/>
    <cellStyle name="常规 8 2 2 3 4" xfId="41925"/>
    <cellStyle name="常规 8 2 2 3 4 2" xfId="41926"/>
    <cellStyle name="常规 8 2 2 3 4 3" xfId="41927"/>
    <cellStyle name="常规 8 2 2 3 5" xfId="41928"/>
    <cellStyle name="常规 8 2 2 3 5 2" xfId="41929"/>
    <cellStyle name="常规 8 2 2 4" xfId="41930"/>
    <cellStyle name="常规 8 2 2 4 2" xfId="41931"/>
    <cellStyle name="常规 8 2 2 4 2 2" xfId="41932"/>
    <cellStyle name="常规 8 2 2 5" xfId="41933"/>
    <cellStyle name="常规 8 2 2 5 2" xfId="41934"/>
    <cellStyle name="常规 8 2 2 5 2 2" xfId="41935"/>
    <cellStyle name="常规 8 2 2 6" xfId="41936"/>
    <cellStyle name="常规 8 2 2 6 2" xfId="41937"/>
    <cellStyle name="常规 8 2 2 6 2 2" xfId="41938"/>
    <cellStyle name="常规 8 2 2 7" xfId="41939"/>
    <cellStyle name="常规 8 2 2 7 2" xfId="41940"/>
    <cellStyle name="常规 8 2 2 7 2 2" xfId="41941"/>
    <cellStyle name="常规 8 2 2 8" xfId="41942"/>
    <cellStyle name="常规 8 2 2 8 2" xfId="41943"/>
    <cellStyle name="常规 8 2 2 8 3" xfId="41944"/>
    <cellStyle name="常规 8 2 2 9" xfId="41945"/>
    <cellStyle name="常规 8 2 2 9 2" xfId="41946"/>
    <cellStyle name="常规 8 2 3" xfId="41947"/>
    <cellStyle name="常规 8 2 3 2" xfId="41948"/>
    <cellStyle name="常规 8 2 3 2 2" xfId="41949"/>
    <cellStyle name="常规 8 2 3 2 2 2" xfId="41950"/>
    <cellStyle name="常规 8 2 3 2 2 3" xfId="41951"/>
    <cellStyle name="常规 8 2 3 2 2 4" xfId="41952"/>
    <cellStyle name="常规 8 2 3 2 2 4 2" xfId="41953"/>
    <cellStyle name="常规 8 2 3 2 3" xfId="41954"/>
    <cellStyle name="常规 8 2 3 2 3 2" xfId="41955"/>
    <cellStyle name="常规 8 2 3 2 3 2 2" xfId="41956"/>
    <cellStyle name="常规 8 2 3 2 4" xfId="41957"/>
    <cellStyle name="常规 8 2 3 2 4 2" xfId="41958"/>
    <cellStyle name="常规 8 2 3 2 4 2 2" xfId="41959"/>
    <cellStyle name="常规 8 2 3 2 5" xfId="41960"/>
    <cellStyle name="常规 8 2 3 2 5 2" xfId="41961"/>
    <cellStyle name="常规 8 2 3 2 5 3" xfId="41962"/>
    <cellStyle name="常规 8 2 3 2 6" xfId="41963"/>
    <cellStyle name="常规 8 2 3 2 7" xfId="41964"/>
    <cellStyle name="常规 8 2 3 2 7 2" xfId="41965"/>
    <cellStyle name="常规 8 2 3 2 8" xfId="41966"/>
    <cellStyle name="常规 8 2 3 3" xfId="41967"/>
    <cellStyle name="常规 8 2 3 3 2" xfId="41968"/>
    <cellStyle name="常规 8 2 3 3 2 2" xfId="41969"/>
    <cellStyle name="常规 8 2 3 3 2 2 2" xfId="41970"/>
    <cellStyle name="常规 8 2 3 3 2 3" xfId="41971"/>
    <cellStyle name="常规 8 2 3 3 3" xfId="41972"/>
    <cellStyle name="常规 8 2 3 3 3 2" xfId="41973"/>
    <cellStyle name="常规 8 2 3 3 3 2 2" xfId="41974"/>
    <cellStyle name="常规 8 2 3 3 4" xfId="41975"/>
    <cellStyle name="常规 8 2 3 3 4 2" xfId="41976"/>
    <cellStyle name="常规 8 2 3 3 4 3" xfId="41977"/>
    <cellStyle name="常规 8 2 3 3 5" xfId="41978"/>
    <cellStyle name="常规 8 2 3 3 5 2" xfId="41979"/>
    <cellStyle name="常规 8 2 3 4" xfId="41980"/>
    <cellStyle name="常规 8 2 3 4 2" xfId="41981"/>
    <cellStyle name="常规 8 2 3 4 2 2" xfId="41982"/>
    <cellStyle name="常规 8 2 3 5" xfId="41983"/>
    <cellStyle name="常规 8 2 3 5 2" xfId="41984"/>
    <cellStyle name="常规 8 2 3 5 2 2" xfId="41985"/>
    <cellStyle name="常规 8 2 3 6" xfId="41986"/>
    <cellStyle name="常规 8 2 3 6 2" xfId="41987"/>
    <cellStyle name="常规 8 2 3 6 2 2" xfId="41988"/>
    <cellStyle name="常规 8 2 3 7" xfId="41989"/>
    <cellStyle name="常规 8 2 3 7 2" xfId="41990"/>
    <cellStyle name="常规 8 2 3 7 2 2" xfId="41991"/>
    <cellStyle name="常规 8 2 3 8" xfId="41992"/>
    <cellStyle name="常规 8 2 3 8 2" xfId="41993"/>
    <cellStyle name="常规 8 2 3 8 3" xfId="41994"/>
    <cellStyle name="常规 8 2 3 9" xfId="41995"/>
    <cellStyle name="常规 8 2 4" xfId="41996"/>
    <cellStyle name="常规 8 2 4 2" xfId="41997"/>
    <cellStyle name="常规 8 2 4 2 2" xfId="41998"/>
    <cellStyle name="常规 8 2 4 2 3" xfId="41999"/>
    <cellStyle name="常规 8 2 4 2 4" xfId="42000"/>
    <cellStyle name="常规 8 2 4 2 4 2" xfId="42001"/>
    <cellStyle name="常规 8 2 4 3" xfId="42002"/>
    <cellStyle name="常规 8 2 4 3 2" xfId="42003"/>
    <cellStyle name="常规 8 2 4 3 2 2" xfId="42004"/>
    <cellStyle name="常规 8 2 4 4" xfId="42005"/>
    <cellStyle name="常规 8 2 4 4 2" xfId="42006"/>
    <cellStyle name="常规 8 2 4 4 2 2" xfId="42007"/>
    <cellStyle name="常规 8 2 4 5" xfId="42008"/>
    <cellStyle name="常规 8 2 4 5 2" xfId="42009"/>
    <cellStyle name="常规 8 2 4 5 3" xfId="42010"/>
    <cellStyle name="常规 8 2 4 6" xfId="42011"/>
    <cellStyle name="常规 8 2 4 7" xfId="42012"/>
    <cellStyle name="常规 8 2 4 7 2" xfId="42013"/>
    <cellStyle name="常规 8 2 4 8" xfId="42014"/>
    <cellStyle name="常规 8 2 5" xfId="42015"/>
    <cellStyle name="常规 8 2 5 2" xfId="42016"/>
    <cellStyle name="常规 8 2 5 3" xfId="42017"/>
    <cellStyle name="常规 8 2 5 4" xfId="42018"/>
    <cellStyle name="常规 8 2 5 4 2" xfId="42019"/>
    <cellStyle name="常规 8 2 6" xfId="42020"/>
    <cellStyle name="常规 8 2 6 2" xfId="42021"/>
    <cellStyle name="常规 8 2 6 2 2" xfId="42022"/>
    <cellStyle name="常规 8 2 7" xfId="42023"/>
    <cellStyle name="常规 8 2 7 2" xfId="42024"/>
    <cellStyle name="常规 8 2 7 2 2" xfId="42025"/>
    <cellStyle name="常规 8 2 8" xfId="42026"/>
    <cellStyle name="常规 8 2 8 2" xfId="42027"/>
    <cellStyle name="常规 8 2 8 2 2" xfId="42028"/>
    <cellStyle name="常规 8 2 9" xfId="42029"/>
    <cellStyle name="常规 8 2 9 2" xfId="42030"/>
    <cellStyle name="常规 8 2 9 2 2" xfId="42031"/>
    <cellStyle name="常规 8 3" xfId="42032"/>
    <cellStyle name="常规 8 3 2" xfId="42033"/>
    <cellStyle name="常规 8 3 2 2" xfId="42034"/>
    <cellStyle name="常规 8 3 2 2 2" xfId="42035"/>
    <cellStyle name="常规 8 3 2 2 3" xfId="42036"/>
    <cellStyle name="常规 8 3 2 2 4" xfId="42037"/>
    <cellStyle name="常规 8 3 2 2 4 2" xfId="42038"/>
    <cellStyle name="常规 8 3 2 3" xfId="42039"/>
    <cellStyle name="常规 8 3 2 3 2" xfId="42040"/>
    <cellStyle name="常规 8 3 2 3 2 2" xfId="42041"/>
    <cellStyle name="常规 8 3 2 4" xfId="42042"/>
    <cellStyle name="常规 8 3 2 4 2" xfId="42043"/>
    <cellStyle name="常规 8 3 2 4 2 2" xfId="42044"/>
    <cellStyle name="常规 8 3 2 5" xfId="42045"/>
    <cellStyle name="常规 8 3 2 5 2" xfId="42046"/>
    <cellStyle name="常规 8 3 2 5 3" xfId="42047"/>
    <cellStyle name="常规 8 3 2 6" xfId="42048"/>
    <cellStyle name="常规 8 3 2 7" xfId="42049"/>
    <cellStyle name="常规 8 3 2 7 2" xfId="42050"/>
    <cellStyle name="常规 8 3 2 8" xfId="42051"/>
    <cellStyle name="常规 8 3 3" xfId="42052"/>
    <cellStyle name="常规 8 3 3 2" xfId="42053"/>
    <cellStyle name="常规 8 3 3 2 2" xfId="42054"/>
    <cellStyle name="常规 8 3 3 2 2 2" xfId="42055"/>
    <cellStyle name="常规 8 3 3 2 3" xfId="42056"/>
    <cellStyle name="常规 8 3 3 3" xfId="42057"/>
    <cellStyle name="常规 8 3 3 3 2" xfId="42058"/>
    <cellStyle name="常规 8 3 3 3 2 2" xfId="42059"/>
    <cellStyle name="常规 8 3 3 4" xfId="42060"/>
    <cellStyle name="常规 8 3 3 4 2" xfId="42061"/>
    <cellStyle name="常规 8 3 3 4 3" xfId="42062"/>
    <cellStyle name="常规 8 3 3 5" xfId="42063"/>
    <cellStyle name="常规 8 3 3 5 2" xfId="42064"/>
    <cellStyle name="常规 8 3 4" xfId="42065"/>
    <cellStyle name="常规 8 3 4 2" xfId="42066"/>
    <cellStyle name="常规 8 3 4 2 2" xfId="42067"/>
    <cellStyle name="常规 8 3 5" xfId="42068"/>
    <cellStyle name="常规 8 3 5 2" xfId="42069"/>
    <cellStyle name="常规 8 3 5 2 2" xfId="42070"/>
    <cellStyle name="常规 8 3 6" xfId="42071"/>
    <cellStyle name="常规 8 3 6 2" xfId="42072"/>
    <cellStyle name="常规 8 3 6 2 2" xfId="42073"/>
    <cellStyle name="常规 8 3 7" xfId="42074"/>
    <cellStyle name="常规 8 3 7 2" xfId="42075"/>
    <cellStyle name="常规 8 3 7 2 2" xfId="42076"/>
    <cellStyle name="常规 8 3 8" xfId="42077"/>
    <cellStyle name="常规 8 3 8 2" xfId="42078"/>
    <cellStyle name="常规 8 3 8 3" xfId="42079"/>
    <cellStyle name="常规 8 3 9" xfId="42080"/>
    <cellStyle name="常规 8 4" xfId="42081"/>
    <cellStyle name="常规 8 4 2" xfId="42082"/>
    <cellStyle name="常规 8 4 2 2" xfId="42083"/>
    <cellStyle name="常规 8 4 2 2 2" xfId="42084"/>
    <cellStyle name="常规 8 4 2 2 3" xfId="42085"/>
    <cellStyle name="常规 8 4 2 2 4" xfId="42086"/>
    <cellStyle name="常规 8 4 2 2 4 2" xfId="42087"/>
    <cellStyle name="常规 8 4 2 3" xfId="42088"/>
    <cellStyle name="常规 8 4 2 3 2" xfId="42089"/>
    <cellStyle name="常规 8 4 2 3 2 2" xfId="42090"/>
    <cellStyle name="常规 8 4 2 4" xfId="42091"/>
    <cellStyle name="常规 8 4 2 4 2" xfId="42092"/>
    <cellStyle name="常规 8 4 2 4 2 2" xfId="42093"/>
    <cellStyle name="常规 8 4 2 5" xfId="42094"/>
    <cellStyle name="常规 8 4 2 5 2" xfId="42095"/>
    <cellStyle name="常规 8 4 2 5 3" xfId="42096"/>
    <cellStyle name="常规 8 4 2 6" xfId="42097"/>
    <cellStyle name="常规 8 4 2 7" xfId="42098"/>
    <cellStyle name="常规 8 4 2 7 2" xfId="42099"/>
    <cellStyle name="常规 8 4 2 8" xfId="42100"/>
    <cellStyle name="常规 8 4 3" xfId="42101"/>
    <cellStyle name="常规 8 4 3 2" xfId="42102"/>
    <cellStyle name="常规 8 4 3 3" xfId="42103"/>
    <cellStyle name="常规 8 4 3 4" xfId="42104"/>
    <cellStyle name="常规 8 4 3 4 2" xfId="42105"/>
    <cellStyle name="常规 8 4 4" xfId="42106"/>
    <cellStyle name="常规 8 4 4 2" xfId="42107"/>
    <cellStyle name="常规 8 4 4 2 2" xfId="42108"/>
    <cellStyle name="常规 8 4 5" xfId="42109"/>
    <cellStyle name="常规 8 4 5 2" xfId="42110"/>
    <cellStyle name="常规 8 4 5 2 2" xfId="42111"/>
    <cellStyle name="常规 8 4 6" xfId="42112"/>
    <cellStyle name="常规 8 4 6 2" xfId="42113"/>
    <cellStyle name="常规 8 4 6 2 2" xfId="42114"/>
    <cellStyle name="常规 8 4 7" xfId="42115"/>
    <cellStyle name="常规 8 4 7 2" xfId="42116"/>
    <cellStyle name="常规 8 4 7 2 2" xfId="42117"/>
    <cellStyle name="常规 8 4 8" xfId="42118"/>
    <cellStyle name="常规 8 4 8 2" xfId="42119"/>
    <cellStyle name="常规 8 4 8 3" xfId="42120"/>
    <cellStyle name="常规 8 4 9" xfId="42121"/>
    <cellStyle name="常规 8 5" xfId="42122"/>
    <cellStyle name="常规 8 5 2" xfId="42123"/>
    <cellStyle name="常规 8 5 2 2" xfId="42124"/>
    <cellStyle name="常规 8 5 2 2 2" xfId="42125"/>
    <cellStyle name="常规 8 5 2 2 2 2" xfId="42126"/>
    <cellStyle name="常规 8 5 2 2 3" xfId="42127"/>
    <cellStyle name="常规 8 5 2 3" xfId="42128"/>
    <cellStyle name="常规 8 5 2 3 2" xfId="42129"/>
    <cellStyle name="常规 8 5 2 3 2 2" xfId="42130"/>
    <cellStyle name="常规 8 5 2 4" xfId="42131"/>
    <cellStyle name="常规 8 5 2 4 2" xfId="42132"/>
    <cellStyle name="常规 8 5 2 4 3" xfId="42133"/>
    <cellStyle name="常规 8 5 2 5" xfId="42134"/>
    <cellStyle name="常规 8 5 2 5 2" xfId="42135"/>
    <cellStyle name="常规 8 5 3" xfId="42136"/>
    <cellStyle name="常规 8 5 3 2" xfId="42137"/>
    <cellStyle name="常规 8 5 3 2 2" xfId="42138"/>
    <cellStyle name="常规 8 5 4" xfId="42139"/>
    <cellStyle name="常规 8 5 4 2" xfId="42140"/>
    <cellStyle name="常规 8 5 4 2 2" xfId="42141"/>
    <cellStyle name="常规 8 5 5" xfId="42142"/>
    <cellStyle name="常规 8 5 5 2" xfId="42143"/>
    <cellStyle name="常规 8 5 5 3" xfId="42144"/>
    <cellStyle name="常规 8 5 6" xfId="42145"/>
    <cellStyle name="常规 8 5 7" xfId="42146"/>
    <cellStyle name="常规 8 5 7 2" xfId="42147"/>
    <cellStyle name="常规 8 5 8" xfId="42148"/>
    <cellStyle name="常规 8 6" xfId="42149"/>
    <cellStyle name="常规 8 6 2" xfId="42150"/>
    <cellStyle name="常规 8 6 2 2" xfId="42151"/>
    <cellStyle name="常规 8 6 2 2 2" xfId="42152"/>
    <cellStyle name="常规 8 6 2 3" xfId="42153"/>
    <cellStyle name="常规 8 6 3" xfId="42154"/>
    <cellStyle name="常规 8 6 3 2" xfId="42155"/>
    <cellStyle name="常规 8 6 3 2 2" xfId="42156"/>
    <cellStyle name="常规 8 6 4" xfId="42157"/>
    <cellStyle name="常规 8 6 4 2" xfId="42158"/>
    <cellStyle name="常规 8 6 4 3" xfId="42159"/>
    <cellStyle name="常规 8 6 5" xfId="42160"/>
    <cellStyle name="常规 8 6 5 2" xfId="42161"/>
    <cellStyle name="常规 8 7" xfId="42162"/>
    <cellStyle name="常规 8 7 2" xfId="42163"/>
    <cellStyle name="常规 8 7 2 2" xfId="42164"/>
    <cellStyle name="常规 8 8" xfId="42165"/>
    <cellStyle name="常规 8 8 2" xfId="42166"/>
    <cellStyle name="常规 8 8 2 2" xfId="42167"/>
    <cellStyle name="常规 8 9" xfId="42168"/>
    <cellStyle name="常规 8 9 2" xfId="42169"/>
    <cellStyle name="常规 8 9 2 2" xfId="42170"/>
    <cellStyle name="常规 9" xfId="42171"/>
    <cellStyle name="常规 9 10" xfId="42172"/>
    <cellStyle name="常规 9 10 2" xfId="42173"/>
    <cellStyle name="常规 9 10 3" xfId="42174"/>
    <cellStyle name="常规 9 11" xfId="42175"/>
    <cellStyle name="常规 9 11 2" xfId="42176"/>
    <cellStyle name="常规 9 12" xfId="42177"/>
    <cellStyle name="常规 9 2" xfId="42178"/>
    <cellStyle name="常规 9 2 10" xfId="42179"/>
    <cellStyle name="常规 9 2 10 2" xfId="42180"/>
    <cellStyle name="常规 9 2 11" xfId="42181"/>
    <cellStyle name="常规 9 2 2" xfId="42182"/>
    <cellStyle name="常规 9 2 2 2" xfId="42183"/>
    <cellStyle name="常规 9 2 2 2 2" xfId="42184"/>
    <cellStyle name="常规 9 2 2 2 2 2" xfId="42185"/>
    <cellStyle name="常规 9 2 2 2 2 3" xfId="42186"/>
    <cellStyle name="常规 9 2 2 2 3" xfId="42187"/>
    <cellStyle name="常规 9 2 2 2 4" xfId="42188"/>
    <cellStyle name="常规 9 2 2 2 5" xfId="42189"/>
    <cellStyle name="常规 9 2 2 2 6" xfId="42190"/>
    <cellStyle name="常规 9 2 2 2 7" xfId="42191"/>
    <cellStyle name="常规 9 2 2 2 7 2" xfId="42192"/>
    <cellStyle name="常规 9 2 2 3" xfId="42193"/>
    <cellStyle name="常规 9 2 2 3 2" xfId="42194"/>
    <cellStyle name="常规 9 2 2 3 3" xfId="42195"/>
    <cellStyle name="常规 9 2 2 3 4" xfId="42196"/>
    <cellStyle name="常规 9 2 2 3 4 2" xfId="42197"/>
    <cellStyle name="常规 9 2 2 4" xfId="42198"/>
    <cellStyle name="常规 9 2 2 4 2" xfId="42199"/>
    <cellStyle name="常规 9 2 2 4 2 2" xfId="42200"/>
    <cellStyle name="常规 9 2 2 5" xfId="42201"/>
    <cellStyle name="常规 9 2 2 5 2" xfId="42202"/>
    <cellStyle name="常规 9 2 2 5 3" xfId="42203"/>
    <cellStyle name="常规 9 2 2 6" xfId="42204"/>
    <cellStyle name="常规 9 2 2 7" xfId="42205"/>
    <cellStyle name="常规 9 2 2 8" xfId="42206"/>
    <cellStyle name="常规 9 2 2 8 2" xfId="42207"/>
    <cellStyle name="常规 9 2 2 9" xfId="42208"/>
    <cellStyle name="常规 9 2 3" xfId="42209"/>
    <cellStyle name="常规 9 2 3 2" xfId="42210"/>
    <cellStyle name="常规 9 2 3 2 2" xfId="42211"/>
    <cellStyle name="常规 9 2 3 2 2 2" xfId="42212"/>
    <cellStyle name="常规 9 2 3 2 2 3" xfId="42213"/>
    <cellStyle name="常规 9 2 3 2 3" xfId="42214"/>
    <cellStyle name="常规 9 2 3 2 4" xfId="42215"/>
    <cellStyle name="常规 9 2 3 2 5" xfId="42216"/>
    <cellStyle name="常规 9 2 3 2 6" xfId="42217"/>
    <cellStyle name="常规 9 2 3 3" xfId="42218"/>
    <cellStyle name="常规 9 2 3 3 2" xfId="42219"/>
    <cellStyle name="常规 9 2 3 3 3" xfId="42220"/>
    <cellStyle name="常规 9 2 3 4" xfId="42221"/>
    <cellStyle name="常规 9 2 3 5" xfId="42222"/>
    <cellStyle name="常规 9 2 3 6" xfId="42223"/>
    <cellStyle name="常规 9 2 3 7" xfId="42224"/>
    <cellStyle name="常规 9 2 3 8" xfId="42225"/>
    <cellStyle name="常规 9 2 3 8 2" xfId="42226"/>
    <cellStyle name="常规 9 2 4" xfId="42227"/>
    <cellStyle name="常规 9 2 4 2" xfId="42228"/>
    <cellStyle name="常规 9 2 4 2 2" xfId="42229"/>
    <cellStyle name="常规 9 2 4 2 3" xfId="42230"/>
    <cellStyle name="常规 9 2 4 3" xfId="42231"/>
    <cellStyle name="常规 9 2 4 4" xfId="42232"/>
    <cellStyle name="常规 9 2 4 5" xfId="42233"/>
    <cellStyle name="常规 9 2 4 6" xfId="42234"/>
    <cellStyle name="常规 9 2 4 7" xfId="42235"/>
    <cellStyle name="常规 9 2 4 7 2" xfId="42236"/>
    <cellStyle name="常规 9 2 5" xfId="42237"/>
    <cellStyle name="常规 9 2 5 2" xfId="42238"/>
    <cellStyle name="常规 9 2 5 3" xfId="42239"/>
    <cellStyle name="常规 9 2 5 4" xfId="42240"/>
    <cellStyle name="常规 9 2 5 4 2" xfId="42241"/>
    <cellStyle name="常规 9 2 6" xfId="42242"/>
    <cellStyle name="常规 9 2 6 2" xfId="42243"/>
    <cellStyle name="常规 9 2 6 2 2" xfId="42244"/>
    <cellStyle name="常规 9 2 7" xfId="42245"/>
    <cellStyle name="常规 9 2 7 2" xfId="42246"/>
    <cellStyle name="常规 9 2 7 2 2" xfId="42247"/>
    <cellStyle name="常规 9 2 8" xfId="42248"/>
    <cellStyle name="常规 9 2 8 2" xfId="42249"/>
    <cellStyle name="常规 9 2 8 3" xfId="42250"/>
    <cellStyle name="常规 9 2 9" xfId="42251"/>
    <cellStyle name="常规 9 3" xfId="42252"/>
    <cellStyle name="常规 9 3 2" xfId="42253"/>
    <cellStyle name="常规 9 3 2 2" xfId="42254"/>
    <cellStyle name="常规 9 3 2 2 2" xfId="42255"/>
    <cellStyle name="常规 9 3 2 2 3" xfId="42256"/>
    <cellStyle name="常规 9 3 2 2 4" xfId="42257"/>
    <cellStyle name="常规 9 3 2 2 4 2" xfId="42258"/>
    <cellStyle name="常规 9 3 2 3" xfId="42259"/>
    <cellStyle name="常规 9 3 2 3 2" xfId="42260"/>
    <cellStyle name="常规 9 3 2 3 2 2" xfId="42261"/>
    <cellStyle name="常规 9 3 2 4" xfId="42262"/>
    <cellStyle name="常规 9 3 2 4 2" xfId="42263"/>
    <cellStyle name="常规 9 3 2 4 2 2" xfId="42264"/>
    <cellStyle name="常规 9 3 2 5" xfId="42265"/>
    <cellStyle name="常规 9 3 2 5 2" xfId="42266"/>
    <cellStyle name="常规 9 3 2 5 3" xfId="42267"/>
    <cellStyle name="常规 9 3 2 6" xfId="42268"/>
    <cellStyle name="常规 9 3 2 7" xfId="42269"/>
    <cellStyle name="常规 9 3 2 7 2" xfId="42270"/>
    <cellStyle name="常规 9 3 2 8" xfId="42271"/>
    <cellStyle name="常规 9 3 3" xfId="42272"/>
    <cellStyle name="常规 9 3 3 2" xfId="42273"/>
    <cellStyle name="常规 9 3 3 2 2" xfId="42274"/>
    <cellStyle name="常规 9 3 3 2 2 2" xfId="42275"/>
    <cellStyle name="常规 9 3 3 2 3" xfId="42276"/>
    <cellStyle name="常规 9 3 3 3" xfId="42277"/>
    <cellStyle name="常规 9 3 3 3 2" xfId="42278"/>
    <cellStyle name="常规 9 3 3 3 2 2" xfId="42279"/>
    <cellStyle name="常规 9 3 3 4" xfId="42280"/>
    <cellStyle name="常规 9 3 3 4 2" xfId="42281"/>
    <cellStyle name="常规 9 3 3 4 3" xfId="42282"/>
    <cellStyle name="常规 9 3 3 5" xfId="42283"/>
    <cellStyle name="常规 9 3 3 5 2" xfId="42284"/>
    <cellStyle name="常规 9 3 4" xfId="42285"/>
    <cellStyle name="常规 9 3 4 2" xfId="42286"/>
    <cellStyle name="常规 9 3 4 2 2" xfId="42287"/>
    <cellStyle name="常规 9 3 5" xfId="42288"/>
    <cellStyle name="常规 9 3 5 2" xfId="42289"/>
    <cellStyle name="常规 9 3 5 2 2" xfId="42290"/>
    <cellStyle name="常规 9 3 6" xfId="42291"/>
    <cellStyle name="常规 9 3 6 2" xfId="42292"/>
    <cellStyle name="常规 9 3 6 2 2" xfId="42293"/>
    <cellStyle name="常规 9 3 7" xfId="42294"/>
    <cellStyle name="常规 9 3 7 2" xfId="42295"/>
    <cellStyle name="常规 9 3 7 2 2" xfId="42296"/>
    <cellStyle name="常规 9 3 8" xfId="42297"/>
    <cellStyle name="常规 9 3 8 2" xfId="42298"/>
    <cellStyle name="常规 9 3 8 3" xfId="42299"/>
    <cellStyle name="常规 9 3 9" xfId="42300"/>
    <cellStyle name="常规 9 4" xfId="42301"/>
    <cellStyle name="常规 9 4 2" xfId="42302"/>
    <cellStyle name="常规 9 4 2 2" xfId="42303"/>
    <cellStyle name="常规 9 4 2 2 2" xfId="42304"/>
    <cellStyle name="常规 9 4 2 2 3" xfId="42305"/>
    <cellStyle name="常规 9 4 2 3" xfId="42306"/>
    <cellStyle name="常规 9 4 2 4" xfId="42307"/>
    <cellStyle name="常规 9 4 2 5" xfId="42308"/>
    <cellStyle name="常规 9 4 2 6" xfId="42309"/>
    <cellStyle name="常规 9 4 2 7" xfId="42310"/>
    <cellStyle name="常规 9 4 2 7 2" xfId="42311"/>
    <cellStyle name="常规 9 4 3" xfId="42312"/>
    <cellStyle name="常规 9 4 3 2" xfId="42313"/>
    <cellStyle name="常规 9 4 3 3" xfId="42314"/>
    <cellStyle name="常规 9 4 3 4" xfId="42315"/>
    <cellStyle name="常规 9 4 3 4 2" xfId="42316"/>
    <cellStyle name="常规 9 4 4" xfId="42317"/>
    <cellStyle name="常规 9 4 4 2" xfId="42318"/>
    <cellStyle name="常规 9 4 4 2 2" xfId="42319"/>
    <cellStyle name="常规 9 4 5" xfId="42320"/>
    <cellStyle name="常规 9 4 5 2" xfId="42321"/>
    <cellStyle name="常规 9 4 5 3" xfId="42322"/>
    <cellStyle name="常规 9 4 6" xfId="42323"/>
    <cellStyle name="常规 9 4 7" xfId="42324"/>
    <cellStyle name="常规 9 4 8" xfId="42325"/>
    <cellStyle name="常规 9 4 8 2" xfId="42326"/>
    <cellStyle name="常规 9 4 9" xfId="42327"/>
    <cellStyle name="常规 9 5" xfId="42328"/>
    <cellStyle name="常规 9 5 2" xfId="42329"/>
    <cellStyle name="常规 9 5 2 2" xfId="42330"/>
    <cellStyle name="常规 9 5 2 3" xfId="42331"/>
    <cellStyle name="常规 9 5 3" xfId="42332"/>
    <cellStyle name="常规 9 5 4" xfId="42333"/>
    <cellStyle name="常规 9 5 5" xfId="42334"/>
    <cellStyle name="常规 9 5 6" xfId="42335"/>
    <cellStyle name="常规 9 5 7" xfId="42336"/>
    <cellStyle name="常规 9 5 7 2" xfId="42337"/>
    <cellStyle name="常规 9 6" xfId="42338"/>
    <cellStyle name="常规 9 6 2" xfId="42339"/>
    <cellStyle name="常规 9 6 3" xfId="42340"/>
    <cellStyle name="常规 9 6 4" xfId="42341"/>
    <cellStyle name="常规 9 6 4 2" xfId="42342"/>
    <cellStyle name="常规 9 7" xfId="42343"/>
    <cellStyle name="常规 9 7 2" xfId="42344"/>
    <cellStyle name="常规 9 7 2 2" xfId="42345"/>
    <cellStyle name="常规 9 8" xfId="42346"/>
    <cellStyle name="常规 9 8 2" xfId="42347"/>
    <cellStyle name="常规 9 8 2 2" xfId="42348"/>
    <cellStyle name="常规 9 9" xfId="42349"/>
    <cellStyle name="常规 9 9 2" xfId="42350"/>
    <cellStyle name="常规 9 9 2 2" xfId="42351"/>
    <cellStyle name="常规_061 explanation" xfId="42352"/>
    <cellStyle name="强调文字颜色 1 2" xfId="42353"/>
    <cellStyle name="强调文字颜色 1 2 10" xfId="42354"/>
    <cellStyle name="强调文字颜色 1 2 11" xfId="42355"/>
    <cellStyle name="强调文字颜色 1 2 2" xfId="42356"/>
    <cellStyle name="强调文字颜色 1 2 2 10" xfId="42357"/>
    <cellStyle name="强调文字颜色 1 2 2 11" xfId="42358"/>
    <cellStyle name="强调文字颜色 1 2 2 2" xfId="42359"/>
    <cellStyle name="强调文字颜色 1 2 2 2 2" xfId="42360"/>
    <cellStyle name="强调文字颜色 1 2 2 2 2 2" xfId="42361"/>
    <cellStyle name="强调文字颜色 1 2 2 2 2 2 2" xfId="42362"/>
    <cellStyle name="强调文字颜色 1 2 2 2 2 2 3" xfId="42363"/>
    <cellStyle name="强调文字颜色 1 2 2 2 2 2 3 2" xfId="42364"/>
    <cellStyle name="强调文字颜色 1 2 2 2 2 2 3 2 2" xfId="42365"/>
    <cellStyle name="强调文字颜色 1 2 2 2 2 2 4" xfId="42366"/>
    <cellStyle name="强调文字颜色 1 2 2 2 2 2 4 2" xfId="42367"/>
    <cellStyle name="强调文字颜色 1 2 2 2 2 3" xfId="42368"/>
    <cellStyle name="强调文字颜色 1 2 2 2 2 3 2" xfId="42369"/>
    <cellStyle name="强调文字颜色 1 2 2 2 2 3 2 2" xfId="42370"/>
    <cellStyle name="强调文字颜色 1 2 2 2 2 3 2 2 2" xfId="42371"/>
    <cellStyle name="强调文字颜色 1 2 2 2 2 3 3" xfId="42372"/>
    <cellStyle name="强调文字颜色 1 2 2 2 2 3 3 2" xfId="42373"/>
    <cellStyle name="强调文字颜色 1 2 2 2 2 4" xfId="42374"/>
    <cellStyle name="强调文字颜色 1 2 2 2 2 5" xfId="42375"/>
    <cellStyle name="强调文字颜色 1 2 2 2 2 6" xfId="42376"/>
    <cellStyle name="强调文字颜色 1 2 2 2 3" xfId="42377"/>
    <cellStyle name="强调文字颜色 1 2 2 2 3 2" xfId="42378"/>
    <cellStyle name="强调文字颜色 1 2 2 2 3 3" xfId="42379"/>
    <cellStyle name="强调文字颜色 1 2 2 2 3 3 2" xfId="42380"/>
    <cellStyle name="强调文字颜色 1 2 2 2 3 3 2 2" xfId="42381"/>
    <cellStyle name="强调文字颜色 1 2 2 2 3 4" xfId="42382"/>
    <cellStyle name="强调文字颜色 1 2 2 2 3 4 2" xfId="42383"/>
    <cellStyle name="强调文字颜色 1 2 2 2 4" xfId="42384"/>
    <cellStyle name="强调文字颜色 1 2 2 2 4 2" xfId="42385"/>
    <cellStyle name="强调文字颜色 1 2 2 2 4 2 2" xfId="42386"/>
    <cellStyle name="强调文字颜色 1 2 2 2 4 2 2 2" xfId="42387"/>
    <cellStyle name="强调文字颜色 1 2 2 2 4 3" xfId="42388"/>
    <cellStyle name="强调文字颜色 1 2 2 2 4 3 2" xfId="42389"/>
    <cellStyle name="强调文字颜色 1 2 2 2 5" xfId="42390"/>
    <cellStyle name="强调文字颜色 1 2 2 2 6" xfId="42391"/>
    <cellStyle name="强调文字颜色 1 2 2 2 7" xfId="42392"/>
    <cellStyle name="强调文字颜色 1 2 2 3" xfId="42393"/>
    <cellStyle name="强调文字颜色 1 2 2 3 2" xfId="42394"/>
    <cellStyle name="强调文字颜色 1 2 2 3 2 2" xfId="42395"/>
    <cellStyle name="强调文字颜色 1 2 2 3 2 3" xfId="42396"/>
    <cellStyle name="强调文字颜色 1 2 2 3 2 3 2" xfId="42397"/>
    <cellStyle name="强调文字颜色 1 2 2 3 2 3 2 2" xfId="42398"/>
    <cellStyle name="强调文字颜色 1 2 2 3 2 4" xfId="42399"/>
    <cellStyle name="强调文字颜色 1 2 2 3 2 4 2" xfId="42400"/>
    <cellStyle name="强调文字颜色 1 2 2 3 3" xfId="42401"/>
    <cellStyle name="强调文字颜色 1 2 2 3 3 2" xfId="42402"/>
    <cellStyle name="强调文字颜色 1 2 2 3 3 2 2" xfId="42403"/>
    <cellStyle name="强调文字颜色 1 2 2 3 3 2 2 2" xfId="42404"/>
    <cellStyle name="强调文字颜色 1 2 2 3 3 3" xfId="42405"/>
    <cellStyle name="强调文字颜色 1 2 2 3 3 3 2" xfId="42406"/>
    <cellStyle name="强调文字颜色 1 2 2 3 4" xfId="42407"/>
    <cellStyle name="强调文字颜色 1 2 2 3 5" xfId="42408"/>
    <cellStyle name="强调文字颜色 1 2 2 3 6" xfId="42409"/>
    <cellStyle name="强调文字颜色 1 2 2 4" xfId="42410"/>
    <cellStyle name="强调文字颜色 1 2 2 4 2" xfId="42411"/>
    <cellStyle name="强调文字颜色 1 2 2 4 2 2" xfId="42412"/>
    <cellStyle name="强调文字颜色 1 2 2 4 2 3" xfId="42413"/>
    <cellStyle name="强调文字颜色 1 2 2 4 2 3 2" xfId="42414"/>
    <cellStyle name="强调文字颜色 1 2 2 4 2 3 2 2" xfId="42415"/>
    <cellStyle name="强调文字颜色 1 2 2 4 2 4" xfId="42416"/>
    <cellStyle name="强调文字颜色 1 2 2 4 2 4 2" xfId="42417"/>
    <cellStyle name="强调文字颜色 1 2 2 4 3" xfId="42418"/>
    <cellStyle name="强调文字颜色 1 2 2 4 4" xfId="42419"/>
    <cellStyle name="强调文字颜色 1 2 2 4 5" xfId="42420"/>
    <cellStyle name="强调文字颜色 1 2 2 4 6" xfId="42421"/>
    <cellStyle name="强调文字颜色 1 2 2 5" xfId="42422"/>
    <cellStyle name="强调文字颜色 1 2 2 5 2" xfId="42423"/>
    <cellStyle name="强调文字颜色 1 2 2 5 2 2" xfId="42424"/>
    <cellStyle name="强调文字颜色 1 2 2 5 2 2 2" xfId="42425"/>
    <cellStyle name="强调文字颜色 1 2 2 5 2 2 2 2" xfId="42426"/>
    <cellStyle name="强调文字颜色 1 2 2 5 2 3" xfId="42427"/>
    <cellStyle name="强调文字颜色 1 2 2 5 2 3 2" xfId="42428"/>
    <cellStyle name="强调文字颜色 1 2 2 5 3" xfId="42429"/>
    <cellStyle name="强调文字颜色 1 2 2 5 3 2" xfId="42430"/>
    <cellStyle name="强调文字颜色 1 2 2 5 3 2 2" xfId="42431"/>
    <cellStyle name="强调文字颜色 1 2 2 5 4" xfId="42432"/>
    <cellStyle name="强调文字颜色 1 2 2 5 4 2" xfId="42433"/>
    <cellStyle name="强调文字颜色 1 2 2 6" xfId="42434"/>
    <cellStyle name="强调文字颜色 1 2 2 6 2" xfId="42435"/>
    <cellStyle name="强调文字颜色 1 2 2 6 2 2" xfId="42436"/>
    <cellStyle name="强调文字颜色 1 2 2 6 2 2 2" xfId="42437"/>
    <cellStyle name="强调文字颜色 1 2 2 6 2 2 2 2" xfId="42438"/>
    <cellStyle name="强调文字颜色 1 2 2 6 2 3" xfId="42439"/>
    <cellStyle name="强调文字颜色 1 2 2 6 2 3 2" xfId="42440"/>
    <cellStyle name="强调文字颜色 1 2 2 6 3" xfId="42441"/>
    <cellStyle name="强调文字颜色 1 2 2 6 3 2" xfId="42442"/>
    <cellStyle name="强调文字颜色 1 2 2 6 3 2 2" xfId="42443"/>
    <cellStyle name="强调文字颜色 1 2 2 6 4" xfId="42444"/>
    <cellStyle name="强调文字颜色 1 2 2 6 4 2" xfId="42445"/>
    <cellStyle name="强调文字颜色 1 2 2 7" xfId="42446"/>
    <cellStyle name="强调文字颜色 1 2 2 7 2" xfId="42447"/>
    <cellStyle name="强调文字颜色 1 2 2 7 2 2" xfId="42448"/>
    <cellStyle name="强调文字颜色 1 2 2 7 2 2 2" xfId="42449"/>
    <cellStyle name="强调文字颜色 1 2 2 7 2 2 2 2" xfId="42450"/>
    <cellStyle name="强调文字颜色 1 2 2 7 2 3" xfId="42451"/>
    <cellStyle name="强调文字颜色 1 2 2 7 2 3 2" xfId="42452"/>
    <cellStyle name="强调文字颜色 1 2 2 7 3" xfId="42453"/>
    <cellStyle name="强调文字颜色 1 2 2 7 3 2" xfId="42454"/>
    <cellStyle name="强调文字颜色 1 2 2 7 3 2 2" xfId="42455"/>
    <cellStyle name="强调文字颜色 1 2 2 7 4" xfId="42456"/>
    <cellStyle name="强调文字颜色 1 2 2 7 4 2" xfId="42457"/>
    <cellStyle name="强调文字颜色 1 2 2 8" xfId="42458"/>
    <cellStyle name="强调文字颜色 1 2 2 8 2" xfId="42459"/>
    <cellStyle name="强调文字颜色 1 2 2 8 2 2" xfId="42460"/>
    <cellStyle name="强调文字颜色 1 2 2 8 2 2 2" xfId="42461"/>
    <cellStyle name="强调文字颜色 1 2 2 8 3" xfId="42462"/>
    <cellStyle name="强调文字颜色 1 2 2 8 3 2" xfId="42463"/>
    <cellStyle name="强调文字颜色 1 2 2 9" xfId="42464"/>
    <cellStyle name="强调文字颜色 1 2 2 9 2" xfId="42465"/>
    <cellStyle name="强调文字颜色 1 2 2 9 2 2" xfId="42466"/>
    <cellStyle name="强调文字颜色 1 2 2 9 2 2 2" xfId="42467"/>
    <cellStyle name="强调文字颜色 1 2 2 9 3" xfId="42468"/>
    <cellStyle name="强调文字颜色 1 2 2 9 3 2" xfId="42469"/>
    <cellStyle name="强调文字颜色 1 2 3" xfId="42470"/>
    <cellStyle name="强调文字颜色 1 2 3 2" xfId="42471"/>
    <cellStyle name="强调文字颜色 1 2 3 2 2" xfId="42472"/>
    <cellStyle name="强调文字颜色 1 2 3 2 2 2" xfId="42473"/>
    <cellStyle name="强调文字颜色 1 2 3 2 2 2 2" xfId="42474"/>
    <cellStyle name="强调文字颜色 1 2 3 2 2 2 3" xfId="42475"/>
    <cellStyle name="强调文字颜色 1 2 3 2 2 2 3 2" xfId="42476"/>
    <cellStyle name="强调文字颜色 1 2 3 2 2 2 3 2 2" xfId="42477"/>
    <cellStyle name="强调文字颜色 1 2 3 2 2 2 4" xfId="42478"/>
    <cellStyle name="强调文字颜色 1 2 3 2 2 2 4 2" xfId="42479"/>
    <cellStyle name="强调文字颜色 1 2 3 2 2 3" xfId="42480"/>
    <cellStyle name="强调文字颜色 1 2 3 2 2 3 2" xfId="42481"/>
    <cellStyle name="强调文字颜色 1 2 3 2 2 3 2 2" xfId="42482"/>
    <cellStyle name="强调文字颜色 1 2 3 2 2 3 2 2 2" xfId="42483"/>
    <cellStyle name="强调文字颜色 1 2 3 2 2 3 3" xfId="42484"/>
    <cellStyle name="强调文字颜色 1 2 3 2 2 3 3 2" xfId="42485"/>
    <cellStyle name="强调文字颜色 1 2 3 2 2 4" xfId="42486"/>
    <cellStyle name="强调文字颜色 1 2 3 2 2 5" xfId="42487"/>
    <cellStyle name="强调文字颜色 1 2 3 2 2 6" xfId="42488"/>
    <cellStyle name="强调文字颜色 1 2 3 2 3" xfId="42489"/>
    <cellStyle name="强调文字颜色 1 2 3 2 3 2" xfId="42490"/>
    <cellStyle name="强调文字颜色 1 2 3 2 3 3" xfId="42491"/>
    <cellStyle name="强调文字颜色 1 2 3 2 3 3 2" xfId="42492"/>
    <cellStyle name="强调文字颜色 1 2 3 2 3 3 2 2" xfId="42493"/>
    <cellStyle name="强调文字颜色 1 2 3 2 3 4" xfId="42494"/>
    <cellStyle name="强调文字颜色 1 2 3 2 3 4 2" xfId="42495"/>
    <cellStyle name="强调文字颜色 1 2 3 2 4" xfId="42496"/>
    <cellStyle name="强调文字颜色 1 2 3 2 4 2" xfId="42497"/>
    <cellStyle name="强调文字颜色 1 2 3 2 4 2 2" xfId="42498"/>
    <cellStyle name="强调文字颜色 1 2 3 2 4 2 2 2" xfId="42499"/>
    <cellStyle name="强调文字颜色 1 2 3 2 4 3" xfId="42500"/>
    <cellStyle name="强调文字颜色 1 2 3 2 4 3 2" xfId="42501"/>
    <cellStyle name="强调文字颜色 1 2 3 2 5" xfId="42502"/>
    <cellStyle name="强调文字颜色 1 2 3 2 6" xfId="42503"/>
    <cellStyle name="强调文字颜色 1 2 3 2 7" xfId="42504"/>
    <cellStyle name="强调文字颜色 1 2 3 3" xfId="42505"/>
    <cellStyle name="强调文字颜色 1 2 3 3 2" xfId="42506"/>
    <cellStyle name="强调文字颜色 1 2 3 3 2 2" xfId="42507"/>
    <cellStyle name="强调文字颜色 1 2 3 3 2 3" xfId="42508"/>
    <cellStyle name="强调文字颜色 1 2 3 3 2 3 2" xfId="42509"/>
    <cellStyle name="强调文字颜色 1 2 3 3 2 3 2 2" xfId="42510"/>
    <cellStyle name="强调文字颜色 1 2 3 3 2 4" xfId="42511"/>
    <cellStyle name="强调文字颜色 1 2 3 3 2 4 2" xfId="42512"/>
    <cellStyle name="强调文字颜色 1 2 3 3 3" xfId="42513"/>
    <cellStyle name="强调文字颜色 1 2 3 3 3 2" xfId="42514"/>
    <cellStyle name="强调文字颜色 1 2 3 3 3 2 2" xfId="42515"/>
    <cellStyle name="强调文字颜色 1 2 3 3 3 2 2 2" xfId="42516"/>
    <cellStyle name="强调文字颜色 1 2 3 3 3 3" xfId="42517"/>
    <cellStyle name="强调文字颜色 1 2 3 3 3 3 2" xfId="42518"/>
    <cellStyle name="强调文字颜色 1 2 3 3 4" xfId="42519"/>
    <cellStyle name="强调文字颜色 1 2 3 3 5" xfId="42520"/>
    <cellStyle name="强调文字颜色 1 2 3 3 6" xfId="42521"/>
    <cellStyle name="强调文字颜色 1 2 3 4" xfId="42522"/>
    <cellStyle name="强调文字颜色 1 2 3 4 2" xfId="42523"/>
    <cellStyle name="强调文字颜色 1 2 3 4 2 2" xfId="42524"/>
    <cellStyle name="强调文字颜色 1 2 3 4 2 3" xfId="42525"/>
    <cellStyle name="强调文字颜色 1 2 3 4 2 3 2" xfId="42526"/>
    <cellStyle name="强调文字颜色 1 2 3 4 2 3 2 2" xfId="42527"/>
    <cellStyle name="强调文字颜色 1 2 3 4 2 4" xfId="42528"/>
    <cellStyle name="强调文字颜色 1 2 3 4 2 4 2" xfId="42529"/>
    <cellStyle name="强调文字颜色 1 2 3 4 3" xfId="42530"/>
    <cellStyle name="强调文字颜色 1 2 3 4 4" xfId="42531"/>
    <cellStyle name="强调文字颜色 1 2 3 4 5" xfId="42532"/>
    <cellStyle name="强调文字颜色 1 2 3 4 6" xfId="42533"/>
    <cellStyle name="强调文字颜色 1 2 3 5" xfId="42534"/>
    <cellStyle name="强调文字颜色 1 2 3 5 2" xfId="42535"/>
    <cellStyle name="强调文字颜色 1 2 3 5 2 2" xfId="42536"/>
    <cellStyle name="强调文字颜色 1 2 3 5 2 2 2" xfId="42537"/>
    <cellStyle name="强调文字颜色 1 2 3 5 2 2 2 2" xfId="42538"/>
    <cellStyle name="强调文字颜色 1 2 3 5 2 3" xfId="42539"/>
    <cellStyle name="强调文字颜色 1 2 3 5 2 3 2" xfId="42540"/>
    <cellStyle name="强调文字颜色 1 2 3 5 3" xfId="42541"/>
    <cellStyle name="强调文字颜色 1 2 3 5 3 2" xfId="42542"/>
    <cellStyle name="强调文字颜色 1 2 3 5 3 2 2" xfId="42543"/>
    <cellStyle name="强调文字颜色 1 2 3 5 4" xfId="42544"/>
    <cellStyle name="强调文字颜色 1 2 3 5 4 2" xfId="42545"/>
    <cellStyle name="强调文字颜色 1 2 3 6" xfId="42546"/>
    <cellStyle name="强调文字颜色 1 2 3 6 2" xfId="42547"/>
    <cellStyle name="强调文字颜色 1 2 3 6 2 2" xfId="42548"/>
    <cellStyle name="强调文字颜色 1 2 3 6 2 2 2" xfId="42549"/>
    <cellStyle name="强调文字颜色 1 2 3 6 3" xfId="42550"/>
    <cellStyle name="强调文字颜色 1 2 3 6 3 2" xfId="42551"/>
    <cellStyle name="强调文字颜色 1 2 3 7" xfId="42552"/>
    <cellStyle name="强调文字颜色 1 2 3 7 2" xfId="42553"/>
    <cellStyle name="强调文字颜色 1 2 3 7 2 2" xfId="42554"/>
    <cellStyle name="强调文字颜色 1 2 3 7 2 2 2" xfId="42555"/>
    <cellStyle name="强调文字颜色 1 2 3 7 3" xfId="42556"/>
    <cellStyle name="强调文字颜色 1 2 3 7 3 2" xfId="42557"/>
    <cellStyle name="强调文字颜色 1 2 3 8" xfId="42558"/>
    <cellStyle name="强调文字颜色 1 2 3 9" xfId="42559"/>
    <cellStyle name="强调文字颜色 1 2 4" xfId="42560"/>
    <cellStyle name="强调文字颜色 1 2 4 2" xfId="42561"/>
    <cellStyle name="强调文字颜色 1 2 4 2 2" xfId="42562"/>
    <cellStyle name="强调文字颜色 1 2 4 2 3" xfId="42563"/>
    <cellStyle name="强调文字颜色 1 2 4 2 3 2" xfId="42564"/>
    <cellStyle name="强调文字颜色 1 2 4 2 3 2 2" xfId="42565"/>
    <cellStyle name="强调文字颜色 1 2 4 2 4" xfId="42566"/>
    <cellStyle name="强调文字颜色 1 2 4 2 4 2" xfId="42567"/>
    <cellStyle name="强调文字颜色 1 2 4 3" xfId="42568"/>
    <cellStyle name="强调文字颜色 1 2 4 3 2" xfId="42569"/>
    <cellStyle name="强调文字颜色 1 2 4 3 2 2" xfId="42570"/>
    <cellStyle name="强调文字颜色 1 2 4 3 2 2 2" xfId="42571"/>
    <cellStyle name="强调文字颜色 1 2 4 3 3" xfId="42572"/>
    <cellStyle name="强调文字颜色 1 2 4 3 3 2" xfId="42573"/>
    <cellStyle name="强调文字颜色 1 2 4 4" xfId="42574"/>
    <cellStyle name="强调文字颜色 1 2 4 5" xfId="42575"/>
    <cellStyle name="强调文字颜色 1 2 4 6" xfId="42576"/>
    <cellStyle name="强调文字颜色 1 2 5" xfId="42577"/>
    <cellStyle name="强调文字颜色 1 2 5 2" xfId="42578"/>
    <cellStyle name="强调文字颜色 1 2 5 2 2" xfId="42579"/>
    <cellStyle name="强调文字颜色 1 2 5 2 3" xfId="42580"/>
    <cellStyle name="强调文字颜色 1 2 5 2 3 2" xfId="42581"/>
    <cellStyle name="强调文字颜色 1 2 5 2 3 2 2" xfId="42582"/>
    <cellStyle name="强调文字颜色 1 2 5 2 4" xfId="42583"/>
    <cellStyle name="强调文字颜色 1 2 5 2 4 2" xfId="42584"/>
    <cellStyle name="强调文字颜色 1 2 5 3" xfId="42585"/>
    <cellStyle name="强调文字颜色 1 2 5 4" xfId="42586"/>
    <cellStyle name="强调文字颜色 1 2 5 5" xfId="42587"/>
    <cellStyle name="强调文字颜色 1 2 5 6" xfId="42588"/>
    <cellStyle name="强调文字颜色 1 2 6" xfId="42589"/>
    <cellStyle name="强调文字颜色 1 2 6 2" xfId="42590"/>
    <cellStyle name="强调文字颜色 1 2 6 2 2" xfId="42591"/>
    <cellStyle name="强调文字颜色 1 2 6 2 2 2" xfId="42592"/>
    <cellStyle name="强调文字颜色 1 2 6 2 2 2 2" xfId="42593"/>
    <cellStyle name="强调文字颜色 1 2 6 2 3" xfId="42594"/>
    <cellStyle name="强调文字颜色 1 2 6 2 3 2" xfId="42595"/>
    <cellStyle name="强调文字颜色 1 2 6 3" xfId="42596"/>
    <cellStyle name="强调文字颜色 1 2 6 3 2" xfId="42597"/>
    <cellStyle name="强调文字颜色 1 2 6 3 2 2" xfId="42598"/>
    <cellStyle name="强调文字颜色 1 2 6 4" xfId="42599"/>
    <cellStyle name="强调文字颜色 1 2 6 4 2" xfId="42600"/>
    <cellStyle name="强调文字颜色 1 2 7" xfId="42601"/>
    <cellStyle name="强调文字颜色 1 2 7 2" xfId="42602"/>
    <cellStyle name="强调文字颜色 1 2 7 2 2" xfId="42603"/>
    <cellStyle name="强调文字颜色 1 2 7 2 2 2" xfId="42604"/>
    <cellStyle name="强调文字颜色 1 2 7 2 2 2 2" xfId="42605"/>
    <cellStyle name="强调文字颜色 1 2 7 2 3" xfId="42606"/>
    <cellStyle name="强调文字颜色 1 2 7 2 3 2" xfId="42607"/>
    <cellStyle name="强调文字颜色 1 2 7 3" xfId="42608"/>
    <cellStyle name="强调文字颜色 1 2 7 3 2" xfId="42609"/>
    <cellStyle name="强调文字颜色 1 2 7 3 2 2" xfId="42610"/>
    <cellStyle name="强调文字颜色 1 2 7 4" xfId="42611"/>
    <cellStyle name="强调文字颜色 1 2 7 4 2" xfId="42612"/>
    <cellStyle name="强调文字颜色 1 2 8" xfId="42613"/>
    <cellStyle name="强调文字颜色 1 2 8 2" xfId="42614"/>
    <cellStyle name="强调文字颜色 1 2 8 2 2" xfId="42615"/>
    <cellStyle name="强调文字颜色 1 2 8 2 2 2" xfId="42616"/>
    <cellStyle name="强调文字颜色 1 2 8 2 2 2 2" xfId="42617"/>
    <cellStyle name="强调文字颜色 1 2 8 2 3" xfId="42618"/>
    <cellStyle name="强调文字颜色 1 2 8 2 3 2" xfId="42619"/>
    <cellStyle name="强调文字颜色 1 2 8 3" xfId="42620"/>
    <cellStyle name="强调文字颜色 1 2 8 3 2" xfId="42621"/>
    <cellStyle name="强调文字颜色 1 2 8 3 2 2" xfId="42622"/>
    <cellStyle name="强调文字颜色 1 2 8 4" xfId="42623"/>
    <cellStyle name="强调文字颜色 1 2 8 4 2" xfId="42624"/>
    <cellStyle name="强调文字颜色 1 2 9" xfId="42625"/>
    <cellStyle name="强调文字颜色 1 2 9 2" xfId="42626"/>
    <cellStyle name="强调文字颜色 1 2 9 2 2" xfId="42627"/>
    <cellStyle name="强调文字颜色 1 2 9 2 2 2" xfId="42628"/>
    <cellStyle name="强调文字颜色 1 2 9 3" xfId="42629"/>
    <cellStyle name="强调文字颜色 1 2 9 3 2" xfId="42630"/>
    <cellStyle name="强调文字颜色 1 3" xfId="42631"/>
    <cellStyle name="强调文字颜色 1 3 2" xfId="42632"/>
    <cellStyle name="强调文字颜色 1 3 2 2" xfId="42633"/>
    <cellStyle name="强调文字颜色 1 3 2 2 2" xfId="42634"/>
    <cellStyle name="强调文字颜色 1 3 2 2 2 2" xfId="42635"/>
    <cellStyle name="强调文字颜色 1 3 2 2 2 3" xfId="42636"/>
    <cellStyle name="强调文字颜色 1 3 2 2 2 3 2" xfId="42637"/>
    <cellStyle name="强调文字颜色 1 3 2 2 2 3 2 2" xfId="42638"/>
    <cellStyle name="强调文字颜色 1 3 2 2 2 4" xfId="42639"/>
    <cellStyle name="强调文字颜色 1 3 2 2 2 4 2" xfId="42640"/>
    <cellStyle name="强调文字颜色 1 3 2 2 3" xfId="42641"/>
    <cellStyle name="强调文字颜色 1 3 2 2 3 2" xfId="42642"/>
    <cellStyle name="强调文字颜色 1 3 2 2 3 2 2" xfId="42643"/>
    <cellStyle name="强调文字颜色 1 3 2 2 3 2 2 2" xfId="42644"/>
    <cellStyle name="强调文字颜色 1 3 2 2 3 3" xfId="42645"/>
    <cellStyle name="强调文字颜色 1 3 2 2 3 3 2" xfId="42646"/>
    <cellStyle name="强调文字颜色 1 3 2 2 4" xfId="42647"/>
    <cellStyle name="强调文字颜色 1 3 2 2 5" xfId="42648"/>
    <cellStyle name="强调文字颜色 1 3 2 2 6" xfId="42649"/>
    <cellStyle name="强调文字颜色 1 3 2 3" xfId="42650"/>
    <cellStyle name="强调文字颜色 1 3 2 3 2" xfId="42651"/>
    <cellStyle name="强调文字颜色 1 3 2 3 3" xfId="42652"/>
    <cellStyle name="强调文字颜色 1 3 2 3 3 2" xfId="42653"/>
    <cellStyle name="强调文字颜色 1 3 2 3 3 2 2" xfId="42654"/>
    <cellStyle name="强调文字颜色 1 3 2 3 4" xfId="42655"/>
    <cellStyle name="强调文字颜色 1 3 2 3 4 2" xfId="42656"/>
    <cellStyle name="强调文字颜色 1 3 2 4" xfId="42657"/>
    <cellStyle name="强调文字颜色 1 3 2 4 2" xfId="42658"/>
    <cellStyle name="强调文字颜色 1 3 2 4 2 2" xfId="42659"/>
    <cellStyle name="强调文字颜色 1 3 2 4 2 2 2" xfId="42660"/>
    <cellStyle name="强调文字颜色 1 3 2 4 3" xfId="42661"/>
    <cellStyle name="强调文字颜色 1 3 2 4 3 2" xfId="42662"/>
    <cellStyle name="强调文字颜色 1 3 2 5" xfId="42663"/>
    <cellStyle name="强调文字颜色 1 3 2 6" xfId="42664"/>
    <cellStyle name="强调文字颜色 1 3 2 7" xfId="42665"/>
    <cellStyle name="强调文字颜色 1 3 3" xfId="42666"/>
    <cellStyle name="强调文字颜色 1 3 3 2" xfId="42667"/>
    <cellStyle name="强调文字颜色 1 3 3 2 2" xfId="42668"/>
    <cellStyle name="强调文字颜色 1 3 3 2 3" xfId="42669"/>
    <cellStyle name="强调文字颜色 1 3 3 2 3 2" xfId="42670"/>
    <cellStyle name="强调文字颜色 1 3 3 2 3 2 2" xfId="42671"/>
    <cellStyle name="强调文字颜色 1 3 3 2 4" xfId="42672"/>
    <cellStyle name="强调文字颜色 1 3 3 2 4 2" xfId="42673"/>
    <cellStyle name="强调文字颜色 1 3 3 3" xfId="42674"/>
    <cellStyle name="强调文字颜色 1 3 3 3 2" xfId="42675"/>
    <cellStyle name="强调文字颜色 1 3 3 3 2 2" xfId="42676"/>
    <cellStyle name="强调文字颜色 1 3 3 3 2 2 2" xfId="42677"/>
    <cellStyle name="强调文字颜色 1 3 3 3 3" xfId="42678"/>
    <cellStyle name="强调文字颜色 1 3 3 3 3 2" xfId="42679"/>
    <cellStyle name="强调文字颜色 1 3 3 4" xfId="42680"/>
    <cellStyle name="强调文字颜色 1 3 3 5" xfId="42681"/>
    <cellStyle name="强调文字颜色 1 3 3 6" xfId="42682"/>
    <cellStyle name="强调文字颜色 1 3 4" xfId="42683"/>
    <cellStyle name="强调文字颜色 1 3 4 2" xfId="42684"/>
    <cellStyle name="强调文字颜色 1 3 4 2 2" xfId="42685"/>
    <cellStyle name="强调文字颜色 1 3 4 2 3" xfId="42686"/>
    <cellStyle name="强调文字颜色 1 3 4 2 3 2" xfId="42687"/>
    <cellStyle name="强调文字颜色 1 3 4 2 3 2 2" xfId="42688"/>
    <cellStyle name="强调文字颜色 1 3 4 2 4" xfId="42689"/>
    <cellStyle name="强调文字颜色 1 3 4 2 4 2" xfId="42690"/>
    <cellStyle name="强调文字颜色 1 3 4 3" xfId="42691"/>
    <cellStyle name="强调文字颜色 1 3 4 4" xfId="42692"/>
    <cellStyle name="强调文字颜色 1 3 4 5" xfId="42693"/>
    <cellStyle name="强调文字颜色 1 3 4 6" xfId="42694"/>
    <cellStyle name="强调文字颜色 1 3 5" xfId="42695"/>
    <cellStyle name="强调文字颜色 1 3 5 2" xfId="42696"/>
    <cellStyle name="强调文字颜色 1 3 5 2 2" xfId="42697"/>
    <cellStyle name="强调文字颜色 1 3 5 2 2 2" xfId="42698"/>
    <cellStyle name="强调文字颜色 1 3 5 2 2 2 2" xfId="42699"/>
    <cellStyle name="强调文字颜色 1 3 5 2 3" xfId="42700"/>
    <cellStyle name="强调文字颜色 1 3 5 2 3 2" xfId="42701"/>
    <cellStyle name="强调文字颜色 1 3 5 3" xfId="42702"/>
    <cellStyle name="强调文字颜色 1 3 5 3 2" xfId="42703"/>
    <cellStyle name="强调文字颜色 1 3 5 3 2 2" xfId="42704"/>
    <cellStyle name="强调文字颜色 1 3 5 4" xfId="42705"/>
    <cellStyle name="强调文字颜色 1 3 5 4 2" xfId="42706"/>
    <cellStyle name="强调文字颜色 1 3 6" xfId="42707"/>
    <cellStyle name="强调文字颜色 1 3 6 2" xfId="42708"/>
    <cellStyle name="强调文字颜色 1 3 6 2 2" xfId="42709"/>
    <cellStyle name="强调文字颜色 1 3 6 2 2 2" xfId="42710"/>
    <cellStyle name="强调文字颜色 1 3 6 3" xfId="42711"/>
    <cellStyle name="强调文字颜色 1 3 6 3 2" xfId="42712"/>
    <cellStyle name="强调文字颜色 1 3 7" xfId="42713"/>
    <cellStyle name="强调文字颜色 1 3 8" xfId="42714"/>
    <cellStyle name="强调文字颜色 2 2" xfId="42715"/>
    <cellStyle name="强调文字颜色 2 2 10" xfId="42716"/>
    <cellStyle name="强调文字颜色 2 2 11" xfId="42717"/>
    <cellStyle name="强调文字颜色 2 2 2" xfId="42718"/>
    <cellStyle name="强调文字颜色 2 2 2 10" xfId="42719"/>
    <cellStyle name="强调文字颜色 2 2 2 11" xfId="42720"/>
    <cellStyle name="强调文字颜色 2 2 2 2" xfId="42721"/>
    <cellStyle name="强调文字颜色 2 2 2 2 2" xfId="42722"/>
    <cellStyle name="强调文字颜色 2 2 2 2 2 2" xfId="42723"/>
    <cellStyle name="强调文字颜色 2 2 2 2 2 2 2" xfId="42724"/>
    <cellStyle name="强调文字颜色 2 2 2 2 2 2 3" xfId="42725"/>
    <cellStyle name="强调文字颜色 2 2 2 2 2 2 3 2" xfId="42726"/>
    <cellStyle name="强调文字颜色 2 2 2 2 2 2 3 2 2" xfId="42727"/>
    <cellStyle name="强调文字颜色 2 2 2 2 2 2 4" xfId="42728"/>
    <cellStyle name="强调文字颜色 2 2 2 2 2 2 4 2" xfId="42729"/>
    <cellStyle name="强调文字颜色 2 2 2 2 2 3" xfId="42730"/>
    <cellStyle name="强调文字颜色 2 2 2 2 2 3 2" xfId="42731"/>
    <cellStyle name="强调文字颜色 2 2 2 2 2 3 2 2" xfId="42732"/>
    <cellStyle name="强调文字颜色 2 2 2 2 2 3 2 2 2" xfId="42733"/>
    <cellStyle name="强调文字颜色 2 2 2 2 2 3 3" xfId="42734"/>
    <cellStyle name="强调文字颜色 2 2 2 2 2 3 3 2" xfId="42735"/>
    <cellStyle name="强调文字颜色 2 2 2 2 2 4" xfId="42736"/>
    <cellStyle name="强调文字颜色 2 2 2 2 2 5" xfId="42737"/>
    <cellStyle name="强调文字颜色 2 2 2 2 2 6" xfId="42738"/>
    <cellStyle name="强调文字颜色 2 2 2 2 3" xfId="42739"/>
    <cellStyle name="强调文字颜色 2 2 2 2 3 2" xfId="42740"/>
    <cellStyle name="强调文字颜色 2 2 2 2 3 3" xfId="42741"/>
    <cellStyle name="强调文字颜色 2 2 2 2 3 3 2" xfId="42742"/>
    <cellStyle name="强调文字颜色 2 2 2 2 3 3 2 2" xfId="42743"/>
    <cellStyle name="强调文字颜色 2 2 2 2 3 4" xfId="42744"/>
    <cellStyle name="强调文字颜色 2 2 2 2 3 4 2" xfId="42745"/>
    <cellStyle name="强调文字颜色 2 2 2 2 4" xfId="42746"/>
    <cellStyle name="强调文字颜色 2 2 2 2 4 2" xfId="42747"/>
    <cellStyle name="强调文字颜色 2 2 2 2 4 2 2" xfId="42748"/>
    <cellStyle name="强调文字颜色 2 2 2 2 4 2 2 2" xfId="42749"/>
    <cellStyle name="强调文字颜色 2 2 2 2 4 3" xfId="42750"/>
    <cellStyle name="强调文字颜色 2 2 2 2 4 3 2" xfId="42751"/>
    <cellStyle name="强调文字颜色 2 2 2 2 5" xfId="42752"/>
    <cellStyle name="强调文字颜色 2 2 2 2 6" xfId="42753"/>
    <cellStyle name="强调文字颜色 2 2 2 2 7" xfId="42754"/>
    <cellStyle name="强调文字颜色 2 2 2 3" xfId="42755"/>
    <cellStyle name="强调文字颜色 2 2 2 3 2" xfId="42756"/>
    <cellStyle name="强调文字颜色 2 2 2 3 2 2" xfId="42757"/>
    <cellStyle name="强调文字颜色 2 2 2 3 2 3" xfId="42758"/>
    <cellStyle name="强调文字颜色 2 2 2 3 2 3 2" xfId="42759"/>
    <cellStyle name="强调文字颜色 2 2 2 3 2 3 2 2" xfId="42760"/>
    <cellStyle name="强调文字颜色 2 2 2 3 2 4" xfId="42761"/>
    <cellStyle name="强调文字颜色 2 2 2 3 2 4 2" xfId="42762"/>
    <cellStyle name="强调文字颜色 2 2 2 3 3" xfId="42763"/>
    <cellStyle name="强调文字颜色 2 2 2 3 3 2" xfId="42764"/>
    <cellStyle name="强调文字颜色 2 2 2 3 3 2 2" xfId="42765"/>
    <cellStyle name="强调文字颜色 2 2 2 3 3 2 2 2" xfId="42766"/>
    <cellStyle name="强调文字颜色 2 2 2 3 3 3" xfId="42767"/>
    <cellStyle name="强调文字颜色 2 2 2 3 3 3 2" xfId="42768"/>
    <cellStyle name="强调文字颜色 2 2 2 3 4" xfId="42769"/>
    <cellStyle name="强调文字颜色 2 2 2 3 5" xfId="42770"/>
    <cellStyle name="强调文字颜色 2 2 2 3 6" xfId="42771"/>
    <cellStyle name="强调文字颜色 2 2 2 4" xfId="42772"/>
    <cellStyle name="强调文字颜色 2 2 2 4 2" xfId="42773"/>
    <cellStyle name="强调文字颜色 2 2 2 4 2 2" xfId="42774"/>
    <cellStyle name="强调文字颜色 2 2 2 4 2 3" xfId="42775"/>
    <cellStyle name="强调文字颜色 2 2 2 4 2 3 2" xfId="42776"/>
    <cellStyle name="强调文字颜色 2 2 2 4 2 3 2 2" xfId="42777"/>
    <cellStyle name="强调文字颜色 2 2 2 4 2 4" xfId="42778"/>
    <cellStyle name="强调文字颜色 2 2 2 4 2 4 2" xfId="42779"/>
    <cellStyle name="强调文字颜色 2 2 2 4 3" xfId="42780"/>
    <cellStyle name="强调文字颜色 2 2 2 4 4" xfId="42781"/>
    <cellStyle name="强调文字颜色 2 2 2 4 5" xfId="42782"/>
    <cellStyle name="强调文字颜色 2 2 2 4 6" xfId="42783"/>
    <cellStyle name="强调文字颜色 2 2 2 5" xfId="42784"/>
    <cellStyle name="强调文字颜色 2 2 2 5 2" xfId="42785"/>
    <cellStyle name="强调文字颜色 2 2 2 5 2 2" xfId="42786"/>
    <cellStyle name="强调文字颜色 2 2 2 5 2 2 2" xfId="42787"/>
    <cellStyle name="强调文字颜色 2 2 2 5 2 2 2 2" xfId="42788"/>
    <cellStyle name="强调文字颜色 2 2 2 5 2 3" xfId="42789"/>
    <cellStyle name="强调文字颜色 2 2 2 5 2 3 2" xfId="42790"/>
    <cellStyle name="强调文字颜色 2 2 2 5 3" xfId="42791"/>
    <cellStyle name="强调文字颜色 2 2 2 5 3 2" xfId="42792"/>
    <cellStyle name="强调文字颜色 2 2 2 5 3 2 2" xfId="42793"/>
    <cellStyle name="强调文字颜色 2 2 2 5 4" xfId="42794"/>
    <cellStyle name="强调文字颜色 2 2 2 5 4 2" xfId="42795"/>
    <cellStyle name="强调文字颜色 2 2 2 6" xfId="42796"/>
    <cellStyle name="强调文字颜色 2 2 2 6 2" xfId="42797"/>
    <cellStyle name="强调文字颜色 2 2 2 6 2 2" xfId="42798"/>
    <cellStyle name="强调文字颜色 2 2 2 6 2 2 2" xfId="42799"/>
    <cellStyle name="强调文字颜色 2 2 2 6 2 2 2 2" xfId="42800"/>
    <cellStyle name="强调文字颜色 2 2 2 6 2 3" xfId="42801"/>
    <cellStyle name="强调文字颜色 2 2 2 6 2 3 2" xfId="42802"/>
    <cellStyle name="强调文字颜色 2 2 2 6 3" xfId="42803"/>
    <cellStyle name="强调文字颜色 2 2 2 6 3 2" xfId="42804"/>
    <cellStyle name="强调文字颜色 2 2 2 6 3 2 2" xfId="42805"/>
    <cellStyle name="强调文字颜色 2 2 2 6 4" xfId="42806"/>
    <cellStyle name="强调文字颜色 2 2 2 6 4 2" xfId="42807"/>
    <cellStyle name="强调文字颜色 2 2 2 7" xfId="42808"/>
    <cellStyle name="强调文字颜色 2 2 2 7 2" xfId="42809"/>
    <cellStyle name="强调文字颜色 2 2 2 7 2 2" xfId="42810"/>
    <cellStyle name="强调文字颜色 2 2 2 7 2 2 2" xfId="42811"/>
    <cellStyle name="强调文字颜色 2 2 2 7 2 2 2 2" xfId="42812"/>
    <cellStyle name="强调文字颜色 2 2 2 7 2 3" xfId="42813"/>
    <cellStyle name="强调文字颜色 2 2 2 7 2 3 2" xfId="42814"/>
    <cellStyle name="强调文字颜色 2 2 2 7 3" xfId="42815"/>
    <cellStyle name="强调文字颜色 2 2 2 7 3 2" xfId="42816"/>
    <cellStyle name="强调文字颜色 2 2 2 7 3 2 2" xfId="42817"/>
    <cellStyle name="强调文字颜色 2 2 2 7 4" xfId="42818"/>
    <cellStyle name="强调文字颜色 2 2 2 7 4 2" xfId="42819"/>
    <cellStyle name="强调文字颜色 2 2 2 8" xfId="42820"/>
    <cellStyle name="强调文字颜色 2 2 2 8 2" xfId="42821"/>
    <cellStyle name="强调文字颜色 2 2 2 8 2 2" xfId="42822"/>
    <cellStyle name="强调文字颜色 2 2 2 8 2 2 2" xfId="42823"/>
    <cellStyle name="强调文字颜色 2 2 2 8 3" xfId="42824"/>
    <cellStyle name="强调文字颜色 2 2 2 8 3 2" xfId="42825"/>
    <cellStyle name="强调文字颜色 2 2 2 9" xfId="42826"/>
    <cellStyle name="强调文字颜色 2 2 2 9 2" xfId="42827"/>
    <cellStyle name="强调文字颜色 2 2 2 9 2 2" xfId="42828"/>
    <cellStyle name="强调文字颜色 2 2 2 9 2 2 2" xfId="42829"/>
    <cellStyle name="强调文字颜色 2 2 2 9 3" xfId="42830"/>
    <cellStyle name="强调文字颜色 2 2 2 9 3 2" xfId="42831"/>
    <cellStyle name="强调文字颜色 2 2 3" xfId="42832"/>
    <cellStyle name="强调文字颜色 2 2 3 2" xfId="42833"/>
    <cellStyle name="强调文字颜色 2 2 3 2 2" xfId="42834"/>
    <cellStyle name="强调文字颜色 2 2 3 2 2 2" xfId="42835"/>
    <cellStyle name="强调文字颜色 2 2 3 2 2 2 2" xfId="42836"/>
    <cellStyle name="强调文字颜色 2 2 3 2 2 2 3" xfId="42837"/>
    <cellStyle name="强调文字颜色 2 2 3 2 2 2 3 2" xfId="42838"/>
    <cellStyle name="强调文字颜色 2 2 3 2 2 2 3 2 2" xfId="42839"/>
    <cellStyle name="强调文字颜色 2 2 3 2 2 2 4" xfId="42840"/>
    <cellStyle name="强调文字颜色 2 2 3 2 2 2 4 2" xfId="42841"/>
    <cellStyle name="强调文字颜色 2 2 3 2 2 3" xfId="42842"/>
    <cellStyle name="强调文字颜色 2 2 3 2 2 3 2" xfId="42843"/>
    <cellStyle name="强调文字颜色 2 2 3 2 2 3 2 2" xfId="42844"/>
    <cellStyle name="强调文字颜色 2 2 3 2 2 3 2 2 2" xfId="42845"/>
    <cellStyle name="强调文字颜色 2 2 3 2 2 3 3" xfId="42846"/>
    <cellStyle name="强调文字颜色 2 2 3 2 2 3 3 2" xfId="42847"/>
    <cellStyle name="强调文字颜色 2 2 3 2 2 4" xfId="42848"/>
    <cellStyle name="强调文字颜色 2 2 3 2 2 5" xfId="42849"/>
    <cellStyle name="强调文字颜色 2 2 3 2 2 6" xfId="42850"/>
    <cellStyle name="强调文字颜色 2 2 3 2 3" xfId="42851"/>
    <cellStyle name="强调文字颜色 2 2 3 2 3 2" xfId="42852"/>
    <cellStyle name="强调文字颜色 2 2 3 2 3 3" xfId="42853"/>
    <cellStyle name="强调文字颜色 2 2 3 2 3 3 2" xfId="42854"/>
    <cellStyle name="强调文字颜色 2 2 3 2 3 3 2 2" xfId="42855"/>
    <cellStyle name="强调文字颜色 2 2 3 2 3 4" xfId="42856"/>
    <cellStyle name="强调文字颜色 2 2 3 2 3 4 2" xfId="42857"/>
    <cellStyle name="强调文字颜色 2 2 3 2 4" xfId="42858"/>
    <cellStyle name="强调文字颜色 2 2 3 2 4 2" xfId="42859"/>
    <cellStyle name="强调文字颜色 2 2 3 2 4 2 2" xfId="42860"/>
    <cellStyle name="强调文字颜色 2 2 3 2 4 2 2 2" xfId="42861"/>
    <cellStyle name="强调文字颜色 2 2 3 2 4 3" xfId="42862"/>
    <cellStyle name="强调文字颜色 2 2 3 2 4 3 2" xfId="42863"/>
    <cellStyle name="强调文字颜色 2 2 3 2 5" xfId="42864"/>
    <cellStyle name="强调文字颜色 2 2 3 2 6" xfId="42865"/>
    <cellStyle name="强调文字颜色 2 2 3 2 7" xfId="42866"/>
    <cellStyle name="强调文字颜色 2 2 3 3" xfId="42867"/>
    <cellStyle name="强调文字颜色 2 2 3 3 2" xfId="42868"/>
    <cellStyle name="强调文字颜色 2 2 3 3 2 2" xfId="42869"/>
    <cellStyle name="强调文字颜色 2 2 3 3 2 3" xfId="42870"/>
    <cellStyle name="强调文字颜色 2 2 3 3 2 3 2" xfId="42871"/>
    <cellStyle name="强调文字颜色 2 2 3 3 2 3 2 2" xfId="42872"/>
    <cellStyle name="强调文字颜色 2 2 3 3 2 4" xfId="42873"/>
    <cellStyle name="强调文字颜色 2 2 3 3 2 4 2" xfId="42874"/>
    <cellStyle name="强调文字颜色 2 2 3 3 3" xfId="42875"/>
    <cellStyle name="强调文字颜色 2 2 3 3 3 2" xfId="42876"/>
    <cellStyle name="强调文字颜色 2 2 3 3 3 2 2" xfId="42877"/>
    <cellStyle name="强调文字颜色 2 2 3 3 3 2 2 2" xfId="42878"/>
    <cellStyle name="强调文字颜色 2 2 3 3 3 3" xfId="42879"/>
    <cellStyle name="强调文字颜色 2 2 3 3 3 3 2" xfId="42880"/>
    <cellStyle name="强调文字颜色 2 2 3 3 4" xfId="42881"/>
    <cellStyle name="强调文字颜色 2 2 3 3 5" xfId="42882"/>
    <cellStyle name="强调文字颜色 2 2 3 3 6" xfId="42883"/>
    <cellStyle name="强调文字颜色 2 2 3 4" xfId="42884"/>
    <cellStyle name="强调文字颜色 2 2 3 4 2" xfId="42885"/>
    <cellStyle name="强调文字颜色 2 2 3 4 2 2" xfId="42886"/>
    <cellStyle name="强调文字颜色 2 2 3 4 2 3" xfId="42887"/>
    <cellStyle name="强调文字颜色 2 2 3 4 2 3 2" xfId="42888"/>
    <cellStyle name="强调文字颜色 2 2 3 4 2 3 2 2" xfId="42889"/>
    <cellStyle name="强调文字颜色 2 2 3 4 2 4" xfId="42890"/>
    <cellStyle name="强调文字颜色 2 2 3 4 2 4 2" xfId="42891"/>
    <cellStyle name="强调文字颜色 2 2 3 4 3" xfId="42892"/>
    <cellStyle name="强调文字颜色 2 2 3 4 4" xfId="42893"/>
    <cellStyle name="强调文字颜色 2 2 3 4 5" xfId="42894"/>
    <cellStyle name="强调文字颜色 2 2 3 4 6" xfId="42895"/>
    <cellStyle name="强调文字颜色 2 2 3 5" xfId="42896"/>
    <cellStyle name="强调文字颜色 2 2 3 5 2" xfId="42897"/>
    <cellStyle name="强调文字颜色 2 2 3 5 2 2" xfId="42898"/>
    <cellStyle name="强调文字颜色 2 2 3 5 2 2 2" xfId="42899"/>
    <cellStyle name="强调文字颜色 2 2 3 5 2 2 2 2" xfId="42900"/>
    <cellStyle name="强调文字颜色 2 2 3 5 2 3" xfId="42901"/>
    <cellStyle name="强调文字颜色 2 2 3 5 2 3 2" xfId="42902"/>
    <cellStyle name="强调文字颜色 2 2 3 5 3" xfId="42903"/>
    <cellStyle name="强调文字颜色 2 2 3 5 3 2" xfId="42904"/>
    <cellStyle name="强调文字颜色 2 2 3 5 3 2 2" xfId="42905"/>
    <cellStyle name="强调文字颜色 2 2 3 5 4" xfId="42906"/>
    <cellStyle name="强调文字颜色 2 2 3 5 4 2" xfId="42907"/>
    <cellStyle name="强调文字颜色 2 2 3 6" xfId="42908"/>
    <cellStyle name="强调文字颜色 2 2 3 6 2" xfId="42909"/>
    <cellStyle name="强调文字颜色 2 2 3 6 2 2" xfId="42910"/>
    <cellStyle name="强调文字颜色 2 2 3 6 2 2 2" xfId="42911"/>
    <cellStyle name="强调文字颜色 2 2 3 6 3" xfId="42912"/>
    <cellStyle name="强调文字颜色 2 2 3 6 3 2" xfId="42913"/>
    <cellStyle name="强调文字颜色 2 2 3 7" xfId="42914"/>
    <cellStyle name="强调文字颜色 2 2 3 7 2" xfId="42915"/>
    <cellStyle name="强调文字颜色 2 2 3 7 2 2" xfId="42916"/>
    <cellStyle name="强调文字颜色 2 2 3 7 2 2 2" xfId="42917"/>
    <cellStyle name="强调文字颜色 2 2 3 7 3" xfId="42918"/>
    <cellStyle name="强调文字颜色 2 2 3 7 3 2" xfId="42919"/>
    <cellStyle name="强调文字颜色 2 2 3 8" xfId="42920"/>
    <cellStyle name="强调文字颜色 2 2 3 9" xfId="42921"/>
    <cellStyle name="强调文字颜色 2 2 4" xfId="42922"/>
    <cellStyle name="强调文字颜色 2 2 4 2" xfId="42923"/>
    <cellStyle name="强调文字颜色 2 2 4 2 2" xfId="42924"/>
    <cellStyle name="强调文字颜色 2 2 4 2 3" xfId="42925"/>
    <cellStyle name="强调文字颜色 2 2 4 2 3 2" xfId="42926"/>
    <cellStyle name="强调文字颜色 2 2 4 2 3 2 2" xfId="42927"/>
    <cellStyle name="强调文字颜色 2 2 4 2 4" xfId="42928"/>
    <cellStyle name="强调文字颜色 2 2 4 2 4 2" xfId="42929"/>
    <cellStyle name="强调文字颜色 2 2 4 3" xfId="42930"/>
    <cellStyle name="强调文字颜色 2 2 4 3 2" xfId="42931"/>
    <cellStyle name="强调文字颜色 2 2 4 3 2 2" xfId="42932"/>
    <cellStyle name="强调文字颜色 2 2 4 3 2 2 2" xfId="42933"/>
    <cellStyle name="强调文字颜色 2 2 4 3 3" xfId="42934"/>
    <cellStyle name="强调文字颜色 2 2 4 3 3 2" xfId="42935"/>
    <cellStyle name="强调文字颜色 2 2 4 4" xfId="42936"/>
    <cellStyle name="强调文字颜色 2 2 4 5" xfId="42937"/>
    <cellStyle name="强调文字颜色 2 2 4 6" xfId="42938"/>
    <cellStyle name="强调文字颜色 2 2 5" xfId="42939"/>
    <cellStyle name="强调文字颜色 2 2 5 2" xfId="42940"/>
    <cellStyle name="强调文字颜色 2 2 5 2 2" xfId="42941"/>
    <cellStyle name="强调文字颜色 2 2 5 2 3" xfId="42942"/>
    <cellStyle name="强调文字颜色 2 2 5 2 3 2" xfId="42943"/>
    <cellStyle name="强调文字颜色 2 2 5 2 3 2 2" xfId="42944"/>
    <cellStyle name="强调文字颜色 2 2 5 2 4" xfId="42945"/>
    <cellStyle name="强调文字颜色 2 2 5 2 4 2" xfId="42946"/>
    <cellStyle name="强调文字颜色 2 2 5 3" xfId="42947"/>
    <cellStyle name="强调文字颜色 2 2 5 4" xfId="42948"/>
    <cellStyle name="强调文字颜色 2 2 5 5" xfId="42949"/>
    <cellStyle name="强调文字颜色 2 2 5 6" xfId="42950"/>
    <cellStyle name="强调文字颜色 2 2 6" xfId="42951"/>
    <cellStyle name="强调文字颜色 2 2 6 2" xfId="42952"/>
    <cellStyle name="强调文字颜色 2 2 6 2 2" xfId="42953"/>
    <cellStyle name="强调文字颜色 2 2 6 2 2 2" xfId="42954"/>
    <cellStyle name="强调文字颜色 2 2 6 2 2 2 2" xfId="42955"/>
    <cellStyle name="强调文字颜色 2 2 6 2 3" xfId="42956"/>
    <cellStyle name="强调文字颜色 2 2 6 2 3 2" xfId="42957"/>
    <cellStyle name="强调文字颜色 2 2 6 3" xfId="42958"/>
    <cellStyle name="强调文字颜色 2 2 6 3 2" xfId="42959"/>
    <cellStyle name="强调文字颜色 2 2 6 3 2 2" xfId="42960"/>
    <cellStyle name="强调文字颜色 2 2 6 4" xfId="42961"/>
    <cellStyle name="强调文字颜色 2 2 6 4 2" xfId="42962"/>
    <cellStyle name="强调文字颜色 2 2 7" xfId="42963"/>
    <cellStyle name="强调文字颜色 2 2 7 2" xfId="42964"/>
    <cellStyle name="强调文字颜色 2 2 7 2 2" xfId="42965"/>
    <cellStyle name="强调文字颜色 2 2 7 2 2 2" xfId="42966"/>
    <cellStyle name="强调文字颜色 2 2 7 2 2 2 2" xfId="42967"/>
    <cellStyle name="强调文字颜色 2 2 7 2 3" xfId="42968"/>
    <cellStyle name="强调文字颜色 2 2 7 2 3 2" xfId="42969"/>
    <cellStyle name="强调文字颜色 2 2 7 3" xfId="42970"/>
    <cellStyle name="强调文字颜色 2 2 7 3 2" xfId="42971"/>
    <cellStyle name="强调文字颜色 2 2 7 3 2 2" xfId="42972"/>
    <cellStyle name="强调文字颜色 2 2 7 4" xfId="42973"/>
    <cellStyle name="强调文字颜色 2 2 7 4 2" xfId="42974"/>
    <cellStyle name="强调文字颜色 2 2 8" xfId="42975"/>
    <cellStyle name="强调文字颜色 2 2 8 2" xfId="42976"/>
    <cellStyle name="强调文字颜色 2 2 8 2 2" xfId="42977"/>
    <cellStyle name="强调文字颜色 2 2 8 2 2 2" xfId="42978"/>
    <cellStyle name="强调文字颜色 2 2 8 2 2 2 2" xfId="42979"/>
    <cellStyle name="强调文字颜色 2 2 8 2 3" xfId="42980"/>
    <cellStyle name="强调文字颜色 2 2 8 2 3 2" xfId="42981"/>
    <cellStyle name="强调文字颜色 2 2 8 3" xfId="42982"/>
    <cellStyle name="强调文字颜色 2 2 8 3 2" xfId="42983"/>
    <cellStyle name="强调文字颜色 2 2 8 3 2 2" xfId="42984"/>
    <cellStyle name="强调文字颜色 2 2 8 4" xfId="42985"/>
    <cellStyle name="强调文字颜色 2 2 8 4 2" xfId="42986"/>
    <cellStyle name="强调文字颜色 2 2 9" xfId="42987"/>
    <cellStyle name="强调文字颜色 2 2 9 2" xfId="42988"/>
    <cellStyle name="强调文字颜色 2 2 9 2 2" xfId="42989"/>
    <cellStyle name="强调文字颜色 2 2 9 2 2 2" xfId="42990"/>
    <cellStyle name="强调文字颜色 2 2 9 3" xfId="42991"/>
    <cellStyle name="强调文字颜色 2 2 9 3 2" xfId="42992"/>
    <cellStyle name="强调文字颜色 2 3" xfId="42993"/>
    <cellStyle name="强调文字颜色 2 3 2" xfId="42994"/>
    <cellStyle name="强调文字颜色 2 3 2 2" xfId="42995"/>
    <cellStyle name="强调文字颜色 2 3 2 2 2" xfId="42996"/>
    <cellStyle name="强调文字颜色 2 3 2 2 2 2" xfId="42997"/>
    <cellStyle name="强调文字颜色 2 3 2 2 2 3" xfId="42998"/>
    <cellStyle name="强调文字颜色 2 3 2 2 2 3 2" xfId="42999"/>
    <cellStyle name="强调文字颜色 2 3 2 2 2 3 2 2" xfId="43000"/>
    <cellStyle name="强调文字颜色 2 3 2 2 2 4" xfId="43001"/>
    <cellStyle name="强调文字颜色 2 3 2 2 2 4 2" xfId="43002"/>
    <cellStyle name="强调文字颜色 2 3 2 2 3" xfId="43003"/>
    <cellStyle name="强调文字颜色 2 3 2 2 3 2" xfId="43004"/>
    <cellStyle name="强调文字颜色 2 3 2 2 3 2 2" xfId="43005"/>
    <cellStyle name="强调文字颜色 2 3 2 2 3 2 2 2" xfId="43006"/>
    <cellStyle name="强调文字颜色 2 3 2 2 3 3" xfId="43007"/>
    <cellStyle name="强调文字颜色 2 3 2 2 3 3 2" xfId="43008"/>
    <cellStyle name="强调文字颜色 2 3 2 2 4" xfId="43009"/>
    <cellStyle name="强调文字颜色 2 3 2 2 5" xfId="43010"/>
    <cellStyle name="强调文字颜色 2 3 2 2 6" xfId="43011"/>
    <cellStyle name="强调文字颜色 2 3 2 3" xfId="43012"/>
    <cellStyle name="强调文字颜色 2 3 2 3 2" xfId="43013"/>
    <cellStyle name="强调文字颜色 2 3 2 3 3" xfId="43014"/>
    <cellStyle name="强调文字颜色 2 3 2 3 3 2" xfId="43015"/>
    <cellStyle name="强调文字颜色 2 3 2 3 3 2 2" xfId="43016"/>
    <cellStyle name="强调文字颜色 2 3 2 3 4" xfId="43017"/>
    <cellStyle name="强调文字颜色 2 3 2 3 4 2" xfId="43018"/>
    <cellStyle name="强调文字颜色 2 3 2 4" xfId="43019"/>
    <cellStyle name="强调文字颜色 2 3 2 4 2" xfId="43020"/>
    <cellStyle name="强调文字颜色 2 3 2 4 2 2" xfId="43021"/>
    <cellStyle name="强调文字颜色 2 3 2 4 2 2 2" xfId="43022"/>
    <cellStyle name="强调文字颜色 2 3 2 4 3" xfId="43023"/>
    <cellStyle name="强调文字颜色 2 3 2 4 3 2" xfId="43024"/>
    <cellStyle name="强调文字颜色 2 3 2 5" xfId="43025"/>
    <cellStyle name="强调文字颜色 2 3 2 6" xfId="43026"/>
    <cellStyle name="强调文字颜色 2 3 2 7" xfId="43027"/>
    <cellStyle name="强调文字颜色 2 3 3" xfId="43028"/>
    <cellStyle name="强调文字颜色 2 3 3 2" xfId="43029"/>
    <cellStyle name="强调文字颜色 2 3 3 2 2" xfId="43030"/>
    <cellStyle name="强调文字颜色 2 3 3 2 3" xfId="43031"/>
    <cellStyle name="强调文字颜色 2 3 3 2 3 2" xfId="43032"/>
    <cellStyle name="强调文字颜色 2 3 3 2 3 2 2" xfId="43033"/>
    <cellStyle name="强调文字颜色 2 3 3 2 4" xfId="43034"/>
    <cellStyle name="强调文字颜色 2 3 3 2 4 2" xfId="43035"/>
    <cellStyle name="强调文字颜色 2 3 3 3" xfId="43036"/>
    <cellStyle name="强调文字颜色 2 3 3 3 2" xfId="43037"/>
    <cellStyle name="强调文字颜色 2 3 3 3 2 2" xfId="43038"/>
    <cellStyle name="强调文字颜色 2 3 3 3 2 2 2" xfId="43039"/>
    <cellStyle name="强调文字颜色 2 3 3 3 3" xfId="43040"/>
    <cellStyle name="强调文字颜色 2 3 3 3 3 2" xfId="43041"/>
    <cellStyle name="强调文字颜色 2 3 3 4" xfId="43042"/>
    <cellStyle name="强调文字颜色 2 3 3 5" xfId="43043"/>
    <cellStyle name="强调文字颜色 2 3 3 6" xfId="43044"/>
    <cellStyle name="强调文字颜色 2 3 4" xfId="43045"/>
    <cellStyle name="强调文字颜色 2 3 4 2" xfId="43046"/>
    <cellStyle name="强调文字颜色 2 3 4 2 2" xfId="43047"/>
    <cellStyle name="强调文字颜色 2 3 4 2 3" xfId="43048"/>
    <cellStyle name="强调文字颜色 2 3 4 2 3 2" xfId="43049"/>
    <cellStyle name="强调文字颜色 2 3 4 2 3 2 2" xfId="43050"/>
    <cellStyle name="强调文字颜色 2 3 4 2 4" xfId="43051"/>
    <cellStyle name="强调文字颜色 2 3 4 2 4 2" xfId="43052"/>
    <cellStyle name="强调文字颜色 2 3 4 3" xfId="43053"/>
    <cellStyle name="强调文字颜色 2 3 4 4" xfId="43054"/>
    <cellStyle name="强调文字颜色 2 3 4 5" xfId="43055"/>
    <cellStyle name="强调文字颜色 2 3 4 6" xfId="43056"/>
    <cellStyle name="强调文字颜色 2 3 5" xfId="43057"/>
    <cellStyle name="强调文字颜色 2 3 5 2" xfId="43058"/>
    <cellStyle name="强调文字颜色 2 3 5 2 2" xfId="43059"/>
    <cellStyle name="强调文字颜色 2 3 5 2 2 2" xfId="43060"/>
    <cellStyle name="强调文字颜色 2 3 5 2 2 2 2" xfId="43061"/>
    <cellStyle name="强调文字颜色 2 3 5 2 3" xfId="43062"/>
    <cellStyle name="强调文字颜色 2 3 5 2 3 2" xfId="43063"/>
    <cellStyle name="强调文字颜色 2 3 5 3" xfId="43064"/>
    <cellStyle name="强调文字颜色 2 3 5 3 2" xfId="43065"/>
    <cellStyle name="强调文字颜色 2 3 5 3 2 2" xfId="43066"/>
    <cellStyle name="强调文字颜色 2 3 5 4" xfId="43067"/>
    <cellStyle name="强调文字颜色 2 3 5 4 2" xfId="43068"/>
    <cellStyle name="强调文字颜色 2 3 6" xfId="43069"/>
    <cellStyle name="强调文字颜色 2 3 6 2" xfId="43070"/>
    <cellStyle name="强调文字颜色 2 3 6 2 2" xfId="43071"/>
    <cellStyle name="强调文字颜色 2 3 6 2 2 2" xfId="43072"/>
    <cellStyle name="强调文字颜色 2 3 6 3" xfId="43073"/>
    <cellStyle name="强调文字颜色 2 3 6 3 2" xfId="43074"/>
    <cellStyle name="强调文字颜色 2 3 7" xfId="43075"/>
    <cellStyle name="强调文字颜色 2 3 8" xfId="43076"/>
    <cellStyle name="强调文字颜色 3 2" xfId="43077"/>
    <cellStyle name="强调文字颜色 3 2 10" xfId="43078"/>
    <cellStyle name="强调文字颜色 3 2 11" xfId="43079"/>
    <cellStyle name="强调文字颜色 3 2 2" xfId="43080"/>
    <cellStyle name="强调文字颜色 3 2 2 10" xfId="43081"/>
    <cellStyle name="强调文字颜色 3 2 2 11" xfId="43082"/>
    <cellStyle name="强调文字颜色 3 2 2 2" xfId="43083"/>
    <cellStyle name="强调文字颜色 3 2 2 2 2" xfId="43084"/>
    <cellStyle name="强调文字颜色 3 2 2 2 2 2" xfId="43085"/>
    <cellStyle name="强调文字颜色 3 2 2 2 2 2 2" xfId="43086"/>
    <cellStyle name="强调文字颜色 3 2 2 2 2 2 3" xfId="43087"/>
    <cellStyle name="强调文字颜色 3 2 2 2 2 2 3 2" xfId="43088"/>
    <cellStyle name="强调文字颜色 3 2 2 2 2 2 3 2 2" xfId="43089"/>
    <cellStyle name="强调文字颜色 3 2 2 2 2 2 4" xfId="43090"/>
    <cellStyle name="强调文字颜色 3 2 2 2 2 2 4 2" xfId="43091"/>
    <cellStyle name="强调文字颜色 3 2 2 2 2 3" xfId="43092"/>
    <cellStyle name="强调文字颜色 3 2 2 2 2 3 2" xfId="43093"/>
    <cellStyle name="强调文字颜色 3 2 2 2 2 3 2 2" xfId="43094"/>
    <cellStyle name="强调文字颜色 3 2 2 2 2 3 2 2 2" xfId="43095"/>
    <cellStyle name="强调文字颜色 3 2 2 2 2 3 3" xfId="43096"/>
    <cellStyle name="强调文字颜色 3 2 2 2 2 3 3 2" xfId="43097"/>
    <cellStyle name="强调文字颜色 3 2 2 2 2 4" xfId="43098"/>
    <cellStyle name="强调文字颜色 3 2 2 2 2 5" xfId="43099"/>
    <cellStyle name="强调文字颜色 3 2 2 2 2 6" xfId="43100"/>
    <cellStyle name="强调文字颜色 3 2 2 2 3" xfId="43101"/>
    <cellStyle name="强调文字颜色 3 2 2 2 3 2" xfId="43102"/>
    <cellStyle name="强调文字颜色 3 2 2 2 3 3" xfId="43103"/>
    <cellStyle name="强调文字颜色 3 2 2 2 3 3 2" xfId="43104"/>
    <cellStyle name="强调文字颜色 3 2 2 2 3 3 2 2" xfId="43105"/>
    <cellStyle name="强调文字颜色 3 2 2 2 3 4" xfId="43106"/>
    <cellStyle name="强调文字颜色 3 2 2 2 3 4 2" xfId="43107"/>
    <cellStyle name="强调文字颜色 3 2 2 2 4" xfId="43108"/>
    <cellStyle name="强调文字颜色 3 2 2 2 4 2" xfId="43109"/>
    <cellStyle name="强调文字颜色 3 2 2 2 4 2 2" xfId="43110"/>
    <cellStyle name="强调文字颜色 3 2 2 2 4 2 2 2" xfId="43111"/>
    <cellStyle name="强调文字颜色 3 2 2 2 4 3" xfId="43112"/>
    <cellStyle name="强调文字颜色 3 2 2 2 4 3 2" xfId="43113"/>
    <cellStyle name="强调文字颜色 3 2 2 2 5" xfId="43114"/>
    <cellStyle name="强调文字颜色 3 2 2 2 6" xfId="43115"/>
    <cellStyle name="强调文字颜色 3 2 2 2 7" xfId="43116"/>
    <cellStyle name="强调文字颜色 3 2 2 3" xfId="43117"/>
    <cellStyle name="强调文字颜色 3 2 2 3 2" xfId="43118"/>
    <cellStyle name="强调文字颜色 3 2 2 3 2 2" xfId="43119"/>
    <cellStyle name="强调文字颜色 3 2 2 3 2 3" xfId="43120"/>
    <cellStyle name="强调文字颜色 3 2 2 3 2 3 2" xfId="43121"/>
    <cellStyle name="强调文字颜色 3 2 2 3 2 3 2 2" xfId="43122"/>
    <cellStyle name="强调文字颜色 3 2 2 3 2 4" xfId="43123"/>
    <cellStyle name="强调文字颜色 3 2 2 3 2 4 2" xfId="43124"/>
    <cellStyle name="强调文字颜色 3 2 2 3 3" xfId="43125"/>
    <cellStyle name="强调文字颜色 3 2 2 3 3 2" xfId="43126"/>
    <cellStyle name="强调文字颜色 3 2 2 3 3 2 2" xfId="43127"/>
    <cellStyle name="强调文字颜色 3 2 2 3 3 2 2 2" xfId="43128"/>
    <cellStyle name="强调文字颜色 3 2 2 3 3 3" xfId="43129"/>
    <cellStyle name="强调文字颜色 3 2 2 3 3 3 2" xfId="43130"/>
    <cellStyle name="强调文字颜色 3 2 2 3 4" xfId="43131"/>
    <cellStyle name="强调文字颜色 3 2 2 3 5" xfId="43132"/>
    <cellStyle name="强调文字颜色 3 2 2 3 6" xfId="43133"/>
    <cellStyle name="强调文字颜色 3 2 2 4" xfId="43134"/>
    <cellStyle name="强调文字颜色 3 2 2 4 2" xfId="43135"/>
    <cellStyle name="强调文字颜色 3 2 2 4 2 2" xfId="43136"/>
    <cellStyle name="强调文字颜色 3 2 2 4 2 3" xfId="43137"/>
    <cellStyle name="强调文字颜色 3 2 2 4 2 3 2" xfId="43138"/>
    <cellStyle name="强调文字颜色 3 2 2 4 2 3 2 2" xfId="43139"/>
    <cellStyle name="强调文字颜色 3 2 2 4 2 4" xfId="43140"/>
    <cellStyle name="强调文字颜色 3 2 2 4 2 4 2" xfId="43141"/>
    <cellStyle name="强调文字颜色 3 2 2 4 3" xfId="43142"/>
    <cellStyle name="强调文字颜色 3 2 2 4 4" xfId="43143"/>
    <cellStyle name="强调文字颜色 3 2 2 4 5" xfId="43144"/>
    <cellStyle name="强调文字颜色 3 2 2 4 6" xfId="43145"/>
    <cellStyle name="强调文字颜色 3 2 2 5" xfId="43146"/>
    <cellStyle name="强调文字颜色 3 2 2 5 2" xfId="43147"/>
    <cellStyle name="强调文字颜色 3 2 2 5 2 2" xfId="43148"/>
    <cellStyle name="强调文字颜色 3 2 2 5 2 2 2" xfId="43149"/>
    <cellStyle name="强调文字颜色 3 2 2 5 2 2 2 2" xfId="43150"/>
    <cellStyle name="强调文字颜色 3 2 2 5 2 3" xfId="43151"/>
    <cellStyle name="强调文字颜色 3 2 2 5 2 3 2" xfId="43152"/>
    <cellStyle name="强调文字颜色 3 2 2 5 3" xfId="43153"/>
    <cellStyle name="强调文字颜色 3 2 2 5 3 2" xfId="43154"/>
    <cellStyle name="强调文字颜色 3 2 2 5 3 2 2" xfId="43155"/>
    <cellStyle name="强调文字颜色 3 2 2 5 4" xfId="43156"/>
    <cellStyle name="强调文字颜色 3 2 2 5 4 2" xfId="43157"/>
    <cellStyle name="强调文字颜色 3 2 2 6" xfId="43158"/>
    <cellStyle name="强调文字颜色 3 2 2 6 2" xfId="43159"/>
    <cellStyle name="强调文字颜色 3 2 2 6 2 2" xfId="43160"/>
    <cellStyle name="强调文字颜色 3 2 2 6 2 2 2" xfId="43161"/>
    <cellStyle name="强调文字颜色 3 2 2 6 2 2 2 2" xfId="43162"/>
    <cellStyle name="强调文字颜色 3 2 2 6 2 3" xfId="43163"/>
    <cellStyle name="强调文字颜色 3 2 2 6 2 3 2" xfId="43164"/>
    <cellStyle name="强调文字颜色 3 2 2 6 3" xfId="43165"/>
    <cellStyle name="强调文字颜色 3 2 2 6 3 2" xfId="43166"/>
    <cellStyle name="强调文字颜色 3 2 2 6 3 2 2" xfId="43167"/>
    <cellStyle name="强调文字颜色 3 2 2 6 4" xfId="43168"/>
    <cellStyle name="强调文字颜色 3 2 2 6 4 2" xfId="43169"/>
    <cellStyle name="强调文字颜色 3 2 2 7" xfId="43170"/>
    <cellStyle name="强调文字颜色 3 2 2 7 2" xfId="43171"/>
    <cellStyle name="强调文字颜色 3 2 2 7 2 2" xfId="43172"/>
    <cellStyle name="强调文字颜色 3 2 2 7 2 2 2" xfId="43173"/>
    <cellStyle name="强调文字颜色 3 2 2 7 2 2 2 2" xfId="43174"/>
    <cellStyle name="强调文字颜色 3 2 2 7 2 3" xfId="43175"/>
    <cellStyle name="强调文字颜色 3 2 2 7 2 3 2" xfId="43176"/>
    <cellStyle name="强调文字颜色 3 2 2 7 3" xfId="43177"/>
    <cellStyle name="强调文字颜色 3 2 2 7 3 2" xfId="43178"/>
    <cellStyle name="强调文字颜色 3 2 2 7 3 2 2" xfId="43179"/>
    <cellStyle name="强调文字颜色 3 2 2 7 4" xfId="43180"/>
    <cellStyle name="强调文字颜色 3 2 2 7 4 2" xfId="43181"/>
    <cellStyle name="强调文字颜色 3 2 2 8" xfId="43182"/>
    <cellStyle name="强调文字颜色 3 2 2 8 2" xfId="43183"/>
    <cellStyle name="强调文字颜色 3 2 2 8 2 2" xfId="43184"/>
    <cellStyle name="强调文字颜色 3 2 2 8 2 2 2" xfId="43185"/>
    <cellStyle name="强调文字颜色 3 2 2 8 3" xfId="43186"/>
    <cellStyle name="强调文字颜色 3 2 2 8 3 2" xfId="43187"/>
    <cellStyle name="强调文字颜色 3 2 2 9" xfId="43188"/>
    <cellStyle name="强调文字颜色 3 2 2 9 2" xfId="43189"/>
    <cellStyle name="强调文字颜色 3 2 2 9 2 2" xfId="43190"/>
    <cellStyle name="强调文字颜色 3 2 2 9 2 2 2" xfId="43191"/>
    <cellStyle name="强调文字颜色 3 2 2 9 3" xfId="43192"/>
    <cellStyle name="强调文字颜色 3 2 2 9 3 2" xfId="43193"/>
    <cellStyle name="强调文字颜色 3 2 3" xfId="43194"/>
    <cellStyle name="强调文字颜色 3 2 3 2" xfId="43195"/>
    <cellStyle name="强调文字颜色 3 2 3 2 2" xfId="43196"/>
    <cellStyle name="强调文字颜色 3 2 3 2 2 2" xfId="43197"/>
    <cellStyle name="强调文字颜色 3 2 3 2 2 2 2" xfId="43198"/>
    <cellStyle name="强调文字颜色 3 2 3 2 2 2 3" xfId="43199"/>
    <cellStyle name="强调文字颜色 3 2 3 2 2 2 3 2" xfId="43200"/>
    <cellStyle name="强调文字颜色 3 2 3 2 2 2 3 2 2" xfId="43201"/>
    <cellStyle name="强调文字颜色 3 2 3 2 2 2 4" xfId="43202"/>
    <cellStyle name="强调文字颜色 3 2 3 2 2 2 4 2" xfId="43203"/>
    <cellStyle name="强调文字颜色 3 2 3 2 2 3" xfId="43204"/>
    <cellStyle name="强调文字颜色 3 2 3 2 2 3 2" xfId="43205"/>
    <cellStyle name="强调文字颜色 3 2 3 2 2 3 2 2" xfId="43206"/>
    <cellStyle name="强调文字颜色 3 2 3 2 2 3 2 2 2" xfId="43207"/>
    <cellStyle name="强调文字颜色 3 2 3 2 2 3 3" xfId="43208"/>
    <cellStyle name="强调文字颜色 3 2 3 2 2 3 3 2" xfId="43209"/>
    <cellStyle name="强调文字颜色 3 2 3 2 2 4" xfId="43210"/>
    <cellStyle name="强调文字颜色 3 2 3 2 2 5" xfId="43211"/>
    <cellStyle name="强调文字颜色 3 2 3 2 2 6" xfId="43212"/>
    <cellStyle name="强调文字颜色 3 2 3 2 3" xfId="43213"/>
    <cellStyle name="强调文字颜色 3 2 3 2 3 2" xfId="43214"/>
    <cellStyle name="强调文字颜色 3 2 3 2 3 3" xfId="43215"/>
    <cellStyle name="强调文字颜色 3 2 3 2 3 3 2" xfId="43216"/>
    <cellStyle name="强调文字颜色 3 2 3 2 3 3 2 2" xfId="43217"/>
    <cellStyle name="强调文字颜色 3 2 3 2 3 4" xfId="43218"/>
    <cellStyle name="强调文字颜色 3 2 3 2 3 4 2" xfId="43219"/>
    <cellStyle name="强调文字颜色 3 2 3 2 4" xfId="43220"/>
    <cellStyle name="强调文字颜色 3 2 3 2 4 2" xfId="43221"/>
    <cellStyle name="强调文字颜色 3 2 3 2 4 2 2" xfId="43222"/>
    <cellStyle name="强调文字颜色 3 2 3 2 4 2 2 2" xfId="43223"/>
    <cellStyle name="强调文字颜色 3 2 3 2 4 3" xfId="43224"/>
    <cellStyle name="强调文字颜色 3 2 3 2 4 3 2" xfId="43225"/>
    <cellStyle name="强调文字颜色 3 2 3 2 5" xfId="43226"/>
    <cellStyle name="强调文字颜色 3 2 3 2 6" xfId="43227"/>
    <cellStyle name="强调文字颜色 3 2 3 2 7" xfId="43228"/>
    <cellStyle name="强调文字颜色 3 2 3 3" xfId="43229"/>
    <cellStyle name="强调文字颜色 3 2 3 3 2" xfId="43230"/>
    <cellStyle name="强调文字颜色 3 2 3 3 2 2" xfId="43231"/>
    <cellStyle name="强调文字颜色 3 2 3 3 2 3" xfId="43232"/>
    <cellStyle name="强调文字颜色 3 2 3 3 2 3 2" xfId="43233"/>
    <cellStyle name="强调文字颜色 3 2 3 3 2 3 2 2" xfId="43234"/>
    <cellStyle name="强调文字颜色 3 2 3 3 2 4" xfId="43235"/>
    <cellStyle name="强调文字颜色 3 2 3 3 2 4 2" xfId="43236"/>
    <cellStyle name="强调文字颜色 3 2 3 3 3" xfId="43237"/>
    <cellStyle name="强调文字颜色 3 2 3 3 3 2" xfId="43238"/>
    <cellStyle name="强调文字颜色 3 2 3 3 3 2 2" xfId="43239"/>
    <cellStyle name="强调文字颜色 3 2 3 3 3 2 2 2" xfId="43240"/>
    <cellStyle name="强调文字颜色 3 2 3 3 3 3" xfId="43241"/>
    <cellStyle name="强调文字颜色 3 2 3 3 3 3 2" xfId="43242"/>
    <cellStyle name="强调文字颜色 3 2 3 3 4" xfId="43243"/>
    <cellStyle name="强调文字颜色 3 2 3 3 5" xfId="43244"/>
    <cellStyle name="强调文字颜色 3 2 3 3 6" xfId="43245"/>
    <cellStyle name="强调文字颜色 3 2 3 4" xfId="43246"/>
    <cellStyle name="强调文字颜色 3 2 3 4 2" xfId="43247"/>
    <cellStyle name="强调文字颜色 3 2 3 4 2 2" xfId="43248"/>
    <cellStyle name="强调文字颜色 3 2 3 4 2 3" xfId="43249"/>
    <cellStyle name="强调文字颜色 3 2 3 4 2 3 2" xfId="43250"/>
    <cellStyle name="强调文字颜色 3 2 3 4 2 3 2 2" xfId="43251"/>
    <cellStyle name="强调文字颜色 3 2 3 4 2 4" xfId="43252"/>
    <cellStyle name="强调文字颜色 3 2 3 4 2 4 2" xfId="43253"/>
    <cellStyle name="强调文字颜色 3 2 3 4 3" xfId="43254"/>
    <cellStyle name="强调文字颜色 3 2 3 4 4" xfId="43255"/>
    <cellStyle name="强调文字颜色 3 2 3 4 5" xfId="43256"/>
    <cellStyle name="强调文字颜色 3 2 3 4 6" xfId="43257"/>
    <cellStyle name="强调文字颜色 3 2 3 5" xfId="43258"/>
    <cellStyle name="强调文字颜色 3 2 3 5 2" xfId="43259"/>
    <cellStyle name="强调文字颜色 3 2 3 5 2 2" xfId="43260"/>
    <cellStyle name="强调文字颜色 3 2 3 5 2 2 2" xfId="43261"/>
    <cellStyle name="强调文字颜色 3 2 3 5 2 2 2 2" xfId="43262"/>
    <cellStyle name="强调文字颜色 3 2 3 5 2 3" xfId="43263"/>
    <cellStyle name="强调文字颜色 3 2 3 5 2 3 2" xfId="43264"/>
    <cellStyle name="强调文字颜色 3 2 3 5 3" xfId="43265"/>
    <cellStyle name="强调文字颜色 3 2 3 5 3 2" xfId="43266"/>
    <cellStyle name="强调文字颜色 3 2 3 5 3 2 2" xfId="43267"/>
    <cellStyle name="强调文字颜色 3 2 3 5 4" xfId="43268"/>
    <cellStyle name="强调文字颜色 3 2 3 5 4 2" xfId="43269"/>
    <cellStyle name="强调文字颜色 3 2 3 6" xfId="43270"/>
    <cellStyle name="强调文字颜色 3 2 3 6 2" xfId="43271"/>
    <cellStyle name="强调文字颜色 3 2 3 6 2 2" xfId="43272"/>
    <cellStyle name="强调文字颜色 3 2 3 6 2 2 2" xfId="43273"/>
    <cellStyle name="强调文字颜色 3 2 3 6 3" xfId="43274"/>
    <cellStyle name="强调文字颜色 3 2 3 6 3 2" xfId="43275"/>
    <cellStyle name="强调文字颜色 3 2 3 7" xfId="43276"/>
    <cellStyle name="强调文字颜色 3 2 3 7 2" xfId="43277"/>
    <cellStyle name="强调文字颜色 3 2 3 7 2 2" xfId="43278"/>
    <cellStyle name="强调文字颜色 3 2 3 7 2 2 2" xfId="43279"/>
    <cellStyle name="强调文字颜色 3 2 3 7 3" xfId="43280"/>
    <cellStyle name="强调文字颜色 3 2 3 7 3 2" xfId="43281"/>
    <cellStyle name="强调文字颜色 3 2 3 8" xfId="43282"/>
    <cellStyle name="强调文字颜色 3 2 3 9" xfId="43283"/>
    <cellStyle name="强调文字颜色 3 2 4" xfId="43284"/>
    <cellStyle name="强调文字颜色 3 2 4 2" xfId="43285"/>
    <cellStyle name="强调文字颜色 3 2 4 2 2" xfId="43286"/>
    <cellStyle name="强调文字颜色 3 2 4 2 3" xfId="43287"/>
    <cellStyle name="强调文字颜色 3 2 4 2 3 2" xfId="43288"/>
    <cellStyle name="强调文字颜色 3 2 4 2 3 2 2" xfId="43289"/>
    <cellStyle name="强调文字颜色 3 2 4 2 4" xfId="43290"/>
    <cellStyle name="强调文字颜色 3 2 4 2 4 2" xfId="43291"/>
    <cellStyle name="强调文字颜色 3 2 4 3" xfId="43292"/>
    <cellStyle name="强调文字颜色 3 2 4 3 2" xfId="43293"/>
    <cellStyle name="强调文字颜色 3 2 4 3 2 2" xfId="43294"/>
    <cellStyle name="强调文字颜色 3 2 4 3 2 2 2" xfId="43295"/>
    <cellStyle name="强调文字颜色 3 2 4 3 3" xfId="43296"/>
    <cellStyle name="强调文字颜色 3 2 4 3 3 2" xfId="43297"/>
    <cellStyle name="强调文字颜色 3 2 4 4" xfId="43298"/>
    <cellStyle name="强调文字颜色 3 2 4 5" xfId="43299"/>
    <cellStyle name="强调文字颜色 3 2 4 6" xfId="43300"/>
    <cellStyle name="强调文字颜色 3 2 5" xfId="43301"/>
    <cellStyle name="强调文字颜色 3 2 5 2" xfId="43302"/>
    <cellStyle name="强调文字颜色 3 2 5 2 2" xfId="43303"/>
    <cellStyle name="强调文字颜色 3 2 5 2 3" xfId="43304"/>
    <cellStyle name="强调文字颜色 3 2 5 2 3 2" xfId="43305"/>
    <cellStyle name="强调文字颜色 3 2 5 2 3 2 2" xfId="43306"/>
    <cellStyle name="强调文字颜色 3 2 5 2 4" xfId="43307"/>
    <cellStyle name="强调文字颜色 3 2 5 2 4 2" xfId="43308"/>
    <cellStyle name="强调文字颜色 3 2 5 3" xfId="43309"/>
    <cellStyle name="强调文字颜色 3 2 5 4" xfId="43310"/>
    <cellStyle name="强调文字颜色 3 2 5 5" xfId="43311"/>
    <cellStyle name="强调文字颜色 3 2 5 6" xfId="43312"/>
    <cellStyle name="强调文字颜色 3 2 6" xfId="43313"/>
    <cellStyle name="强调文字颜色 3 2 6 2" xfId="43314"/>
    <cellStyle name="强调文字颜色 3 2 6 2 2" xfId="43315"/>
    <cellStyle name="强调文字颜色 3 2 6 2 2 2" xfId="43316"/>
    <cellStyle name="强调文字颜色 3 2 6 2 2 2 2" xfId="43317"/>
    <cellStyle name="强调文字颜色 3 2 6 2 3" xfId="43318"/>
    <cellStyle name="强调文字颜色 3 2 6 2 3 2" xfId="43319"/>
    <cellStyle name="强调文字颜色 3 2 6 3" xfId="43320"/>
    <cellStyle name="强调文字颜色 3 2 6 3 2" xfId="43321"/>
    <cellStyle name="强调文字颜色 3 2 6 3 2 2" xfId="43322"/>
    <cellStyle name="强调文字颜色 3 2 6 4" xfId="43323"/>
    <cellStyle name="强调文字颜色 3 2 6 4 2" xfId="43324"/>
    <cellStyle name="强调文字颜色 3 2 7" xfId="43325"/>
    <cellStyle name="强调文字颜色 3 2 7 2" xfId="43326"/>
    <cellStyle name="强调文字颜色 3 2 7 2 2" xfId="43327"/>
    <cellStyle name="强调文字颜色 3 2 7 2 2 2" xfId="43328"/>
    <cellStyle name="强调文字颜色 3 2 7 2 2 2 2" xfId="43329"/>
    <cellStyle name="强调文字颜色 3 2 7 2 3" xfId="43330"/>
    <cellStyle name="强调文字颜色 3 2 7 2 3 2" xfId="43331"/>
    <cellStyle name="强调文字颜色 3 2 7 3" xfId="43332"/>
    <cellStyle name="强调文字颜色 3 2 7 3 2" xfId="43333"/>
    <cellStyle name="强调文字颜色 3 2 7 3 2 2" xfId="43334"/>
    <cellStyle name="强调文字颜色 3 2 7 4" xfId="43335"/>
    <cellStyle name="强调文字颜色 3 2 7 4 2" xfId="43336"/>
    <cellStyle name="强调文字颜色 3 2 8" xfId="43337"/>
    <cellStyle name="强调文字颜色 3 2 8 2" xfId="43338"/>
    <cellStyle name="强调文字颜色 3 2 8 2 2" xfId="43339"/>
    <cellStyle name="强调文字颜色 3 2 8 2 2 2" xfId="43340"/>
    <cellStyle name="强调文字颜色 3 2 8 2 2 2 2" xfId="43341"/>
    <cellStyle name="强调文字颜色 3 2 8 2 3" xfId="43342"/>
    <cellStyle name="强调文字颜色 3 2 8 2 3 2" xfId="43343"/>
    <cellStyle name="强调文字颜色 3 2 8 3" xfId="43344"/>
    <cellStyle name="强调文字颜色 3 2 8 3 2" xfId="43345"/>
    <cellStyle name="强调文字颜色 3 2 8 3 2 2" xfId="43346"/>
    <cellStyle name="强调文字颜色 3 2 8 4" xfId="43347"/>
    <cellStyle name="强调文字颜色 3 2 8 4 2" xfId="43348"/>
    <cellStyle name="强调文字颜色 3 2 9" xfId="43349"/>
    <cellStyle name="强调文字颜色 3 2 9 2" xfId="43350"/>
    <cellStyle name="强调文字颜色 3 2 9 2 2" xfId="43351"/>
    <cellStyle name="强调文字颜色 3 2 9 2 2 2" xfId="43352"/>
    <cellStyle name="强调文字颜色 3 2 9 3" xfId="43353"/>
    <cellStyle name="强调文字颜色 3 2 9 3 2" xfId="43354"/>
    <cellStyle name="强调文字颜色 3 3" xfId="43355"/>
    <cellStyle name="强调文字颜色 3 3 2" xfId="43356"/>
    <cellStyle name="强调文字颜色 3 3 2 2" xfId="43357"/>
    <cellStyle name="强调文字颜色 3 3 2 2 2" xfId="43358"/>
    <cellStyle name="强调文字颜色 3 3 2 2 2 2" xfId="43359"/>
    <cellStyle name="强调文字颜色 3 3 2 2 2 3" xfId="43360"/>
    <cellStyle name="强调文字颜色 3 3 2 2 2 3 2" xfId="43361"/>
    <cellStyle name="强调文字颜色 3 3 2 2 2 3 2 2" xfId="43362"/>
    <cellStyle name="强调文字颜色 3 3 2 2 2 4" xfId="43363"/>
    <cellStyle name="强调文字颜色 3 3 2 2 2 4 2" xfId="43364"/>
    <cellStyle name="强调文字颜色 3 3 2 2 3" xfId="43365"/>
    <cellStyle name="强调文字颜色 3 3 2 2 3 2" xfId="43366"/>
    <cellStyle name="强调文字颜色 3 3 2 2 3 2 2" xfId="43367"/>
    <cellStyle name="强调文字颜色 3 3 2 2 3 2 2 2" xfId="43368"/>
    <cellStyle name="强调文字颜色 3 3 2 2 3 3" xfId="43369"/>
    <cellStyle name="强调文字颜色 3 3 2 2 3 3 2" xfId="43370"/>
    <cellStyle name="强调文字颜色 3 3 2 2 4" xfId="43371"/>
    <cellStyle name="强调文字颜色 3 3 2 2 5" xfId="43372"/>
    <cellStyle name="强调文字颜色 3 3 2 2 6" xfId="43373"/>
    <cellStyle name="强调文字颜色 3 3 2 3" xfId="43374"/>
    <cellStyle name="强调文字颜色 3 3 2 3 2" xfId="43375"/>
    <cellStyle name="强调文字颜色 3 3 2 3 3" xfId="43376"/>
    <cellStyle name="强调文字颜色 3 3 2 3 3 2" xfId="43377"/>
    <cellStyle name="强调文字颜色 3 3 2 3 3 2 2" xfId="43378"/>
    <cellStyle name="强调文字颜色 3 3 2 3 4" xfId="43379"/>
    <cellStyle name="强调文字颜色 3 3 2 3 4 2" xfId="43380"/>
    <cellStyle name="强调文字颜色 3 3 2 4" xfId="43381"/>
    <cellStyle name="强调文字颜色 3 3 2 4 2" xfId="43382"/>
    <cellStyle name="强调文字颜色 3 3 2 4 2 2" xfId="43383"/>
    <cellStyle name="强调文字颜色 3 3 2 4 2 2 2" xfId="43384"/>
    <cellStyle name="强调文字颜色 3 3 2 4 3" xfId="43385"/>
    <cellStyle name="强调文字颜色 3 3 2 4 3 2" xfId="43386"/>
    <cellStyle name="强调文字颜色 3 3 2 5" xfId="43387"/>
    <cellStyle name="强调文字颜色 3 3 2 6" xfId="43388"/>
    <cellStyle name="强调文字颜色 3 3 2 7" xfId="43389"/>
    <cellStyle name="强调文字颜色 3 3 3" xfId="43390"/>
    <cellStyle name="强调文字颜色 3 3 3 2" xfId="43391"/>
    <cellStyle name="强调文字颜色 3 3 3 2 2" xfId="43392"/>
    <cellStyle name="强调文字颜色 3 3 3 2 3" xfId="43393"/>
    <cellStyle name="强调文字颜色 3 3 3 2 3 2" xfId="43394"/>
    <cellStyle name="强调文字颜色 3 3 3 2 3 2 2" xfId="43395"/>
    <cellStyle name="强调文字颜色 3 3 3 2 4" xfId="43396"/>
    <cellStyle name="强调文字颜色 3 3 3 2 4 2" xfId="43397"/>
    <cellStyle name="强调文字颜色 3 3 3 3" xfId="43398"/>
    <cellStyle name="强调文字颜色 3 3 3 3 2" xfId="43399"/>
    <cellStyle name="强调文字颜色 3 3 3 3 2 2" xfId="43400"/>
    <cellStyle name="强调文字颜色 3 3 3 3 2 2 2" xfId="43401"/>
    <cellStyle name="强调文字颜色 3 3 3 3 3" xfId="43402"/>
    <cellStyle name="强调文字颜色 3 3 3 3 3 2" xfId="43403"/>
    <cellStyle name="强调文字颜色 3 3 3 4" xfId="43404"/>
    <cellStyle name="强调文字颜色 3 3 3 5" xfId="43405"/>
    <cellStyle name="强调文字颜色 3 3 3 6" xfId="43406"/>
    <cellStyle name="强调文字颜色 3 3 4" xfId="43407"/>
    <cellStyle name="强调文字颜色 3 3 4 2" xfId="43408"/>
    <cellStyle name="强调文字颜色 3 3 4 2 2" xfId="43409"/>
    <cellStyle name="强调文字颜色 3 3 4 2 3" xfId="43410"/>
    <cellStyle name="强调文字颜色 3 3 4 2 3 2" xfId="43411"/>
    <cellStyle name="强调文字颜色 3 3 4 2 3 2 2" xfId="43412"/>
    <cellStyle name="强调文字颜色 3 3 4 2 4" xfId="43413"/>
    <cellStyle name="强调文字颜色 3 3 4 2 4 2" xfId="43414"/>
    <cellStyle name="强调文字颜色 3 3 4 3" xfId="43415"/>
    <cellStyle name="强调文字颜色 3 3 4 4" xfId="43416"/>
    <cellStyle name="强调文字颜色 3 3 4 5" xfId="43417"/>
    <cellStyle name="强调文字颜色 3 3 4 6" xfId="43418"/>
    <cellStyle name="强调文字颜色 3 3 5" xfId="43419"/>
    <cellStyle name="强调文字颜色 3 3 5 2" xfId="43420"/>
    <cellStyle name="强调文字颜色 3 3 5 2 2" xfId="43421"/>
    <cellStyle name="强调文字颜色 3 3 5 2 2 2" xfId="43422"/>
    <cellStyle name="强调文字颜色 3 3 5 2 2 2 2" xfId="43423"/>
    <cellStyle name="强调文字颜色 3 3 5 2 3" xfId="43424"/>
    <cellStyle name="强调文字颜色 3 3 5 2 3 2" xfId="43425"/>
    <cellStyle name="强调文字颜色 3 3 5 3" xfId="43426"/>
    <cellStyle name="强调文字颜色 3 3 5 3 2" xfId="43427"/>
    <cellStyle name="强调文字颜色 3 3 5 3 2 2" xfId="43428"/>
    <cellStyle name="强调文字颜色 3 3 5 4" xfId="43429"/>
    <cellStyle name="强调文字颜色 3 3 5 4 2" xfId="43430"/>
    <cellStyle name="强调文字颜色 3 3 6" xfId="43431"/>
    <cellStyle name="强调文字颜色 3 3 6 2" xfId="43432"/>
    <cellStyle name="强调文字颜色 3 3 6 2 2" xfId="43433"/>
    <cellStyle name="强调文字颜色 3 3 6 2 2 2" xfId="43434"/>
    <cellStyle name="强调文字颜色 3 3 6 3" xfId="43435"/>
    <cellStyle name="强调文字颜色 3 3 6 3 2" xfId="43436"/>
    <cellStyle name="强调文字颜色 3 3 7" xfId="43437"/>
    <cellStyle name="强调文字颜色 3 3 8" xfId="43438"/>
    <cellStyle name="强调文字颜色 4 2" xfId="43439"/>
    <cellStyle name="强调文字颜色 4 2 10" xfId="43440"/>
    <cellStyle name="强调文字颜色 4 2 11" xfId="43441"/>
    <cellStyle name="强调文字颜色 4 2 2" xfId="43442"/>
    <cellStyle name="强调文字颜色 4 2 2 10" xfId="43443"/>
    <cellStyle name="强调文字颜色 4 2 2 11" xfId="43444"/>
    <cellStyle name="强调文字颜色 4 2 2 2" xfId="43445"/>
    <cellStyle name="强调文字颜色 4 2 2 2 2" xfId="43446"/>
    <cellStyle name="强调文字颜色 4 2 2 2 2 2" xfId="43447"/>
    <cellStyle name="强调文字颜色 4 2 2 2 2 2 2" xfId="43448"/>
    <cellStyle name="强调文字颜色 4 2 2 2 2 2 3" xfId="43449"/>
    <cellStyle name="强调文字颜色 4 2 2 2 2 2 3 2" xfId="43450"/>
    <cellStyle name="强调文字颜色 4 2 2 2 2 2 3 2 2" xfId="43451"/>
    <cellStyle name="强调文字颜色 4 2 2 2 2 2 4" xfId="43452"/>
    <cellStyle name="强调文字颜色 4 2 2 2 2 2 4 2" xfId="43453"/>
    <cellStyle name="强调文字颜色 4 2 2 2 2 3" xfId="43454"/>
    <cellStyle name="强调文字颜色 4 2 2 2 2 3 2" xfId="43455"/>
    <cellStyle name="强调文字颜色 4 2 2 2 2 3 2 2" xfId="43456"/>
    <cellStyle name="强调文字颜色 4 2 2 2 2 3 2 2 2" xfId="43457"/>
    <cellStyle name="强调文字颜色 4 2 2 2 2 3 3" xfId="43458"/>
    <cellStyle name="强调文字颜色 4 2 2 2 2 3 3 2" xfId="43459"/>
    <cellStyle name="强调文字颜色 4 2 2 2 2 4" xfId="43460"/>
    <cellStyle name="强调文字颜色 4 2 2 2 2 5" xfId="43461"/>
    <cellStyle name="强调文字颜色 4 2 2 2 2 6" xfId="43462"/>
    <cellStyle name="强调文字颜色 4 2 2 2 3" xfId="43463"/>
    <cellStyle name="强调文字颜色 4 2 2 2 3 2" xfId="43464"/>
    <cellStyle name="强调文字颜色 4 2 2 2 3 3" xfId="43465"/>
    <cellStyle name="强调文字颜色 4 2 2 2 3 3 2" xfId="43466"/>
    <cellStyle name="强调文字颜色 4 2 2 2 3 3 2 2" xfId="43467"/>
    <cellStyle name="强调文字颜色 4 2 2 2 3 4" xfId="43468"/>
    <cellStyle name="强调文字颜色 4 2 2 2 3 4 2" xfId="43469"/>
    <cellStyle name="强调文字颜色 4 2 2 2 4" xfId="43470"/>
    <cellStyle name="强调文字颜色 4 2 2 2 4 2" xfId="43471"/>
    <cellStyle name="强调文字颜色 4 2 2 2 4 2 2" xfId="43472"/>
    <cellStyle name="强调文字颜色 4 2 2 2 4 2 2 2" xfId="43473"/>
    <cellStyle name="强调文字颜色 4 2 2 2 4 3" xfId="43474"/>
    <cellStyle name="强调文字颜色 4 2 2 2 4 3 2" xfId="43475"/>
    <cellStyle name="强调文字颜色 4 2 2 2 5" xfId="43476"/>
    <cellStyle name="强调文字颜色 4 2 2 2 6" xfId="43477"/>
    <cellStyle name="强调文字颜色 4 2 2 2 7" xfId="43478"/>
    <cellStyle name="强调文字颜色 4 2 2 3" xfId="43479"/>
    <cellStyle name="强调文字颜色 4 2 2 3 2" xfId="43480"/>
    <cellStyle name="强调文字颜色 4 2 2 3 2 2" xfId="43481"/>
    <cellStyle name="强调文字颜色 4 2 2 3 2 3" xfId="43482"/>
    <cellStyle name="强调文字颜色 4 2 2 3 2 3 2" xfId="43483"/>
    <cellStyle name="强调文字颜色 4 2 2 3 2 3 2 2" xfId="43484"/>
    <cellStyle name="强调文字颜色 4 2 2 3 2 4" xfId="43485"/>
    <cellStyle name="强调文字颜色 4 2 2 3 2 4 2" xfId="43486"/>
    <cellStyle name="强调文字颜色 4 2 2 3 3" xfId="43487"/>
    <cellStyle name="强调文字颜色 4 2 2 3 3 2" xfId="43488"/>
    <cellStyle name="强调文字颜色 4 2 2 3 3 2 2" xfId="43489"/>
    <cellStyle name="强调文字颜色 4 2 2 3 3 2 2 2" xfId="43490"/>
    <cellStyle name="强调文字颜色 4 2 2 3 3 3" xfId="43491"/>
    <cellStyle name="强调文字颜色 4 2 2 3 3 3 2" xfId="43492"/>
    <cellStyle name="强调文字颜色 4 2 2 3 4" xfId="43493"/>
    <cellStyle name="强调文字颜色 4 2 2 3 5" xfId="43494"/>
    <cellStyle name="强调文字颜色 4 2 2 3 6" xfId="43495"/>
    <cellStyle name="强调文字颜色 4 2 2 4" xfId="43496"/>
    <cellStyle name="强调文字颜色 4 2 2 4 2" xfId="43497"/>
    <cellStyle name="强调文字颜色 4 2 2 4 2 2" xfId="43498"/>
    <cellStyle name="强调文字颜色 4 2 2 4 2 3" xfId="43499"/>
    <cellStyle name="强调文字颜色 4 2 2 4 2 3 2" xfId="43500"/>
    <cellStyle name="强调文字颜色 4 2 2 4 2 3 2 2" xfId="43501"/>
    <cellStyle name="强调文字颜色 4 2 2 4 2 4" xfId="43502"/>
    <cellStyle name="强调文字颜色 4 2 2 4 2 4 2" xfId="43503"/>
    <cellStyle name="强调文字颜色 4 2 2 4 3" xfId="43504"/>
    <cellStyle name="强调文字颜色 4 2 2 4 4" xfId="43505"/>
    <cellStyle name="强调文字颜色 4 2 2 4 5" xfId="43506"/>
    <cellStyle name="强调文字颜色 4 2 2 4 6" xfId="43507"/>
    <cellStyle name="强调文字颜色 4 2 2 5" xfId="43508"/>
    <cellStyle name="强调文字颜色 4 2 2 5 2" xfId="43509"/>
    <cellStyle name="强调文字颜色 4 2 2 5 2 2" xfId="43510"/>
    <cellStyle name="强调文字颜色 4 2 2 5 2 2 2" xfId="43511"/>
    <cellStyle name="强调文字颜色 4 2 2 5 2 2 2 2" xfId="43512"/>
    <cellStyle name="强调文字颜色 4 2 2 5 2 3" xfId="43513"/>
    <cellStyle name="强调文字颜色 4 2 2 5 2 3 2" xfId="43514"/>
    <cellStyle name="强调文字颜色 4 2 2 5 3" xfId="43515"/>
    <cellStyle name="强调文字颜色 4 2 2 5 3 2" xfId="43516"/>
    <cellStyle name="强调文字颜色 4 2 2 5 3 2 2" xfId="43517"/>
    <cellStyle name="强调文字颜色 4 2 2 5 4" xfId="43518"/>
    <cellStyle name="强调文字颜色 4 2 2 5 4 2" xfId="43519"/>
    <cellStyle name="强调文字颜色 4 2 2 6" xfId="43520"/>
    <cellStyle name="强调文字颜色 4 2 2 6 2" xfId="43521"/>
    <cellStyle name="强调文字颜色 4 2 2 6 2 2" xfId="43522"/>
    <cellStyle name="强调文字颜色 4 2 2 6 2 2 2" xfId="43523"/>
    <cellStyle name="强调文字颜色 4 2 2 6 2 2 2 2" xfId="43524"/>
    <cellStyle name="强调文字颜色 4 2 2 6 2 3" xfId="43525"/>
    <cellStyle name="强调文字颜色 4 2 2 6 2 3 2" xfId="43526"/>
    <cellStyle name="强调文字颜色 4 2 2 6 3" xfId="43527"/>
    <cellStyle name="强调文字颜色 4 2 2 6 3 2" xfId="43528"/>
    <cellStyle name="强调文字颜色 4 2 2 6 3 2 2" xfId="43529"/>
    <cellStyle name="强调文字颜色 4 2 2 6 4" xfId="43530"/>
    <cellStyle name="强调文字颜色 4 2 2 6 4 2" xfId="43531"/>
    <cellStyle name="强调文字颜色 4 2 2 7" xfId="43532"/>
    <cellStyle name="强调文字颜色 4 2 2 7 2" xfId="43533"/>
    <cellStyle name="强调文字颜色 4 2 2 7 2 2" xfId="43534"/>
    <cellStyle name="强调文字颜色 4 2 2 7 2 2 2" xfId="43535"/>
    <cellStyle name="强调文字颜色 4 2 2 7 2 2 2 2" xfId="43536"/>
    <cellStyle name="强调文字颜色 4 2 2 7 2 3" xfId="43537"/>
    <cellStyle name="强调文字颜色 4 2 2 7 2 3 2" xfId="43538"/>
    <cellStyle name="强调文字颜色 4 2 2 7 3" xfId="43539"/>
    <cellStyle name="强调文字颜色 4 2 2 7 3 2" xfId="43540"/>
    <cellStyle name="强调文字颜色 4 2 2 7 3 2 2" xfId="43541"/>
    <cellStyle name="强调文字颜色 4 2 2 7 4" xfId="43542"/>
    <cellStyle name="强调文字颜色 4 2 2 7 4 2" xfId="43543"/>
    <cellStyle name="强调文字颜色 4 2 2 8" xfId="43544"/>
    <cellStyle name="强调文字颜色 4 2 2 8 2" xfId="43545"/>
    <cellStyle name="强调文字颜色 4 2 2 8 2 2" xfId="43546"/>
    <cellStyle name="强调文字颜色 4 2 2 8 2 2 2" xfId="43547"/>
    <cellStyle name="强调文字颜色 4 2 2 8 3" xfId="43548"/>
    <cellStyle name="强调文字颜色 4 2 2 8 3 2" xfId="43549"/>
    <cellStyle name="强调文字颜色 4 2 2 9" xfId="43550"/>
    <cellStyle name="强调文字颜色 4 2 2 9 2" xfId="43551"/>
    <cellStyle name="强调文字颜色 4 2 2 9 2 2" xfId="43552"/>
    <cellStyle name="强调文字颜色 4 2 2 9 2 2 2" xfId="43553"/>
    <cellStyle name="强调文字颜色 4 2 2 9 3" xfId="43554"/>
    <cellStyle name="强调文字颜色 4 2 2 9 3 2" xfId="43555"/>
    <cellStyle name="强调文字颜色 4 2 3" xfId="43556"/>
    <cellStyle name="强调文字颜色 4 2 3 2" xfId="43557"/>
    <cellStyle name="强调文字颜色 4 2 3 2 2" xfId="43558"/>
    <cellStyle name="强调文字颜色 4 2 3 2 2 2" xfId="43559"/>
    <cellStyle name="强调文字颜色 4 2 3 2 2 2 2" xfId="43560"/>
    <cellStyle name="强调文字颜色 4 2 3 2 2 2 3" xfId="43561"/>
    <cellStyle name="强调文字颜色 4 2 3 2 2 2 3 2" xfId="43562"/>
    <cellStyle name="强调文字颜色 4 2 3 2 2 2 3 2 2" xfId="43563"/>
    <cellStyle name="强调文字颜色 4 2 3 2 2 2 4" xfId="43564"/>
    <cellStyle name="强调文字颜色 4 2 3 2 2 2 4 2" xfId="43565"/>
    <cellStyle name="强调文字颜色 4 2 3 2 2 3" xfId="43566"/>
    <cellStyle name="强调文字颜色 4 2 3 2 2 3 2" xfId="43567"/>
    <cellStyle name="强调文字颜色 4 2 3 2 2 3 2 2" xfId="43568"/>
    <cellStyle name="强调文字颜色 4 2 3 2 2 3 2 2 2" xfId="43569"/>
    <cellStyle name="强调文字颜色 4 2 3 2 2 3 3" xfId="43570"/>
    <cellStyle name="强调文字颜色 4 2 3 2 2 3 3 2" xfId="43571"/>
    <cellStyle name="强调文字颜色 4 2 3 2 2 4" xfId="43572"/>
    <cellStyle name="强调文字颜色 4 2 3 2 2 5" xfId="43573"/>
    <cellStyle name="强调文字颜色 4 2 3 2 2 6" xfId="43574"/>
    <cellStyle name="强调文字颜色 4 2 3 2 3" xfId="43575"/>
    <cellStyle name="强调文字颜色 4 2 3 2 3 2" xfId="43576"/>
    <cellStyle name="强调文字颜色 4 2 3 2 3 3" xfId="43577"/>
    <cellStyle name="强调文字颜色 4 2 3 2 3 3 2" xfId="43578"/>
    <cellStyle name="强调文字颜色 4 2 3 2 3 3 2 2" xfId="43579"/>
    <cellStyle name="强调文字颜色 4 2 3 2 3 4" xfId="43580"/>
    <cellStyle name="强调文字颜色 4 2 3 2 3 4 2" xfId="43581"/>
    <cellStyle name="强调文字颜色 4 2 3 2 4" xfId="43582"/>
    <cellStyle name="强调文字颜色 4 2 3 2 4 2" xfId="43583"/>
    <cellStyle name="强调文字颜色 4 2 3 2 4 2 2" xfId="43584"/>
    <cellStyle name="强调文字颜色 4 2 3 2 4 2 2 2" xfId="43585"/>
    <cellStyle name="强调文字颜色 4 2 3 2 4 3" xfId="43586"/>
    <cellStyle name="强调文字颜色 4 2 3 2 4 3 2" xfId="43587"/>
    <cellStyle name="强调文字颜色 4 2 3 2 5" xfId="43588"/>
    <cellStyle name="强调文字颜色 4 2 3 2 6" xfId="43589"/>
    <cellStyle name="强调文字颜色 4 2 3 2 7" xfId="43590"/>
    <cellStyle name="强调文字颜色 4 2 3 3" xfId="43591"/>
    <cellStyle name="强调文字颜色 4 2 3 3 2" xfId="43592"/>
    <cellStyle name="强调文字颜色 4 2 3 3 2 2" xfId="43593"/>
    <cellStyle name="强调文字颜色 4 2 3 3 2 3" xfId="43594"/>
    <cellStyle name="强调文字颜色 4 2 3 3 2 3 2" xfId="43595"/>
    <cellStyle name="强调文字颜色 4 2 3 3 2 3 2 2" xfId="43596"/>
    <cellStyle name="强调文字颜色 4 2 3 3 2 4" xfId="43597"/>
    <cellStyle name="强调文字颜色 4 2 3 3 2 4 2" xfId="43598"/>
    <cellStyle name="强调文字颜色 4 2 3 3 3" xfId="43599"/>
    <cellStyle name="强调文字颜色 4 2 3 3 3 2" xfId="43600"/>
    <cellStyle name="强调文字颜色 4 2 3 3 3 2 2" xfId="43601"/>
    <cellStyle name="强调文字颜色 4 2 3 3 3 2 2 2" xfId="43602"/>
    <cellStyle name="强调文字颜色 4 2 3 3 3 3" xfId="43603"/>
    <cellStyle name="强调文字颜色 4 2 3 3 3 3 2" xfId="43604"/>
    <cellStyle name="强调文字颜色 4 2 3 3 4" xfId="43605"/>
    <cellStyle name="强调文字颜色 4 2 3 3 5" xfId="43606"/>
    <cellStyle name="强调文字颜色 4 2 3 3 6" xfId="43607"/>
    <cellStyle name="强调文字颜色 4 2 3 4" xfId="43608"/>
    <cellStyle name="强调文字颜色 4 2 3 4 2" xfId="43609"/>
    <cellStyle name="强调文字颜色 4 2 3 4 2 2" xfId="43610"/>
    <cellStyle name="强调文字颜色 4 2 3 4 2 3" xfId="43611"/>
    <cellStyle name="强调文字颜色 4 2 3 4 2 3 2" xfId="43612"/>
    <cellStyle name="强调文字颜色 4 2 3 4 2 3 2 2" xfId="43613"/>
    <cellStyle name="强调文字颜色 4 2 3 4 2 4" xfId="43614"/>
    <cellStyle name="强调文字颜色 4 2 3 4 2 4 2" xfId="43615"/>
    <cellStyle name="强调文字颜色 4 2 3 4 3" xfId="43616"/>
    <cellStyle name="强调文字颜色 4 2 3 4 4" xfId="43617"/>
    <cellStyle name="强调文字颜色 4 2 3 4 5" xfId="43618"/>
    <cellStyle name="强调文字颜色 4 2 3 4 6" xfId="43619"/>
    <cellStyle name="强调文字颜色 4 2 3 5" xfId="43620"/>
    <cellStyle name="强调文字颜色 4 2 3 5 2" xfId="43621"/>
    <cellStyle name="强调文字颜色 4 2 3 5 2 2" xfId="43622"/>
    <cellStyle name="强调文字颜色 4 2 3 5 2 2 2" xfId="43623"/>
    <cellStyle name="强调文字颜色 4 2 3 5 2 2 2 2" xfId="43624"/>
    <cellStyle name="强调文字颜色 4 2 3 5 2 3" xfId="43625"/>
    <cellStyle name="强调文字颜色 4 2 3 5 2 3 2" xfId="43626"/>
    <cellStyle name="强调文字颜色 4 2 3 5 3" xfId="43627"/>
    <cellStyle name="强调文字颜色 4 2 3 5 3 2" xfId="43628"/>
    <cellStyle name="强调文字颜色 4 2 3 5 3 2 2" xfId="43629"/>
    <cellStyle name="强调文字颜色 4 2 3 5 4" xfId="43630"/>
    <cellStyle name="强调文字颜色 4 2 3 5 4 2" xfId="43631"/>
    <cellStyle name="强调文字颜色 4 2 3 6" xfId="43632"/>
    <cellStyle name="强调文字颜色 4 2 3 6 2" xfId="43633"/>
    <cellStyle name="强调文字颜色 4 2 3 6 2 2" xfId="43634"/>
    <cellStyle name="强调文字颜色 4 2 3 6 2 2 2" xfId="43635"/>
    <cellStyle name="强调文字颜色 4 2 3 6 3" xfId="43636"/>
    <cellStyle name="强调文字颜色 4 2 3 6 3 2" xfId="43637"/>
    <cellStyle name="强调文字颜色 4 2 3 7" xfId="43638"/>
    <cellStyle name="强调文字颜色 4 2 3 7 2" xfId="43639"/>
    <cellStyle name="强调文字颜色 4 2 3 7 2 2" xfId="43640"/>
    <cellStyle name="强调文字颜色 4 2 3 7 2 2 2" xfId="43641"/>
    <cellStyle name="强调文字颜色 4 2 3 7 3" xfId="43642"/>
    <cellStyle name="强调文字颜色 4 2 3 7 3 2" xfId="43643"/>
    <cellStyle name="强调文字颜色 4 2 3 8" xfId="43644"/>
    <cellStyle name="强调文字颜色 4 2 3 9" xfId="43645"/>
    <cellStyle name="强调文字颜色 4 2 4" xfId="43646"/>
    <cellStyle name="强调文字颜色 4 2 4 2" xfId="43647"/>
    <cellStyle name="强调文字颜色 4 2 4 2 2" xfId="43648"/>
    <cellStyle name="强调文字颜色 4 2 4 2 3" xfId="43649"/>
    <cellStyle name="强调文字颜色 4 2 4 2 3 2" xfId="43650"/>
    <cellStyle name="强调文字颜色 4 2 4 2 3 2 2" xfId="43651"/>
    <cellStyle name="强调文字颜色 4 2 4 2 4" xfId="43652"/>
    <cellStyle name="强调文字颜色 4 2 4 2 4 2" xfId="43653"/>
    <cellStyle name="强调文字颜色 4 2 4 3" xfId="43654"/>
    <cellStyle name="强调文字颜色 4 2 4 3 2" xfId="43655"/>
    <cellStyle name="强调文字颜色 4 2 4 3 2 2" xfId="43656"/>
    <cellStyle name="强调文字颜色 4 2 4 3 2 2 2" xfId="43657"/>
    <cellStyle name="强调文字颜色 4 2 4 3 3" xfId="43658"/>
    <cellStyle name="强调文字颜色 4 2 4 3 3 2" xfId="43659"/>
    <cellStyle name="强调文字颜色 4 2 4 4" xfId="43660"/>
    <cellStyle name="强调文字颜色 4 2 4 5" xfId="43661"/>
    <cellStyle name="强调文字颜色 4 2 4 6" xfId="43662"/>
    <cellStyle name="强调文字颜色 4 2 5" xfId="43663"/>
    <cellStyle name="强调文字颜色 4 2 5 2" xfId="43664"/>
    <cellStyle name="强调文字颜色 4 2 5 2 2" xfId="43665"/>
    <cellStyle name="强调文字颜色 4 2 5 2 3" xfId="43666"/>
    <cellStyle name="强调文字颜色 4 2 5 2 3 2" xfId="43667"/>
    <cellStyle name="强调文字颜色 4 2 5 2 3 2 2" xfId="43668"/>
    <cellStyle name="强调文字颜色 4 2 5 2 4" xfId="43669"/>
    <cellStyle name="强调文字颜色 4 2 5 2 4 2" xfId="43670"/>
    <cellStyle name="强调文字颜色 4 2 5 3" xfId="43671"/>
    <cellStyle name="强调文字颜色 4 2 5 4" xfId="43672"/>
    <cellStyle name="强调文字颜色 4 2 5 5" xfId="43673"/>
    <cellStyle name="强调文字颜色 4 2 5 6" xfId="43674"/>
    <cellStyle name="强调文字颜色 4 2 6" xfId="43675"/>
    <cellStyle name="强调文字颜色 4 2 6 2" xfId="43676"/>
    <cellStyle name="强调文字颜色 4 2 6 2 2" xfId="43677"/>
    <cellStyle name="强调文字颜色 4 2 6 2 2 2" xfId="43678"/>
    <cellStyle name="强调文字颜色 4 2 6 2 2 2 2" xfId="43679"/>
    <cellStyle name="强调文字颜色 4 2 6 2 3" xfId="43680"/>
    <cellStyle name="强调文字颜色 4 2 6 2 3 2" xfId="43681"/>
    <cellStyle name="强调文字颜色 4 2 6 3" xfId="43682"/>
    <cellStyle name="强调文字颜色 4 2 6 3 2" xfId="43683"/>
    <cellStyle name="强调文字颜色 4 2 6 3 2 2" xfId="43684"/>
    <cellStyle name="强调文字颜色 4 2 6 4" xfId="43685"/>
    <cellStyle name="强调文字颜色 4 2 6 4 2" xfId="43686"/>
    <cellStyle name="强调文字颜色 4 2 7" xfId="43687"/>
    <cellStyle name="强调文字颜色 4 2 7 2" xfId="43688"/>
    <cellStyle name="强调文字颜色 4 2 7 2 2" xfId="43689"/>
    <cellStyle name="强调文字颜色 4 2 7 2 2 2" xfId="43690"/>
    <cellStyle name="强调文字颜色 4 2 7 2 2 2 2" xfId="43691"/>
    <cellStyle name="强调文字颜色 4 2 7 2 3" xfId="43692"/>
    <cellStyle name="强调文字颜色 4 2 7 2 3 2" xfId="43693"/>
    <cellStyle name="强调文字颜色 4 2 7 3" xfId="43694"/>
    <cellStyle name="强调文字颜色 4 2 7 3 2" xfId="43695"/>
    <cellStyle name="强调文字颜色 4 2 7 3 2 2" xfId="43696"/>
    <cellStyle name="强调文字颜色 4 2 7 4" xfId="43697"/>
    <cellStyle name="强调文字颜色 4 2 7 4 2" xfId="43698"/>
    <cellStyle name="强调文字颜色 4 2 8" xfId="43699"/>
    <cellStyle name="强调文字颜色 4 2 8 2" xfId="43700"/>
    <cellStyle name="强调文字颜色 4 2 8 2 2" xfId="43701"/>
    <cellStyle name="强调文字颜色 4 2 8 2 2 2" xfId="43702"/>
    <cellStyle name="强调文字颜色 4 2 8 2 2 2 2" xfId="43703"/>
    <cellStyle name="强调文字颜色 4 2 8 2 3" xfId="43704"/>
    <cellStyle name="强调文字颜色 4 2 8 2 3 2" xfId="43705"/>
    <cellStyle name="强调文字颜色 4 2 8 3" xfId="43706"/>
    <cellStyle name="强调文字颜色 4 2 8 3 2" xfId="43707"/>
    <cellStyle name="强调文字颜色 4 2 8 3 2 2" xfId="43708"/>
    <cellStyle name="强调文字颜色 4 2 8 4" xfId="43709"/>
    <cellStyle name="强调文字颜色 4 2 8 4 2" xfId="43710"/>
    <cellStyle name="强调文字颜色 4 2 9" xfId="43711"/>
    <cellStyle name="强调文字颜色 4 2 9 2" xfId="43712"/>
    <cellStyle name="强调文字颜色 4 2 9 2 2" xfId="43713"/>
    <cellStyle name="强调文字颜色 4 2 9 2 2 2" xfId="43714"/>
    <cellStyle name="强调文字颜色 4 2 9 3" xfId="43715"/>
    <cellStyle name="强调文字颜色 4 2 9 3 2" xfId="43716"/>
    <cellStyle name="强调文字颜色 4 3" xfId="43717"/>
    <cellStyle name="强调文字颜色 4 3 2" xfId="43718"/>
    <cellStyle name="强调文字颜色 4 3 2 2" xfId="43719"/>
    <cellStyle name="强调文字颜色 4 3 2 2 2" xfId="43720"/>
    <cellStyle name="强调文字颜色 4 3 2 2 2 2" xfId="43721"/>
    <cellStyle name="强调文字颜色 4 3 2 2 2 3" xfId="43722"/>
    <cellStyle name="强调文字颜色 4 3 2 2 2 3 2" xfId="43723"/>
    <cellStyle name="强调文字颜色 4 3 2 2 2 3 2 2" xfId="43724"/>
    <cellStyle name="强调文字颜色 4 3 2 2 2 4" xfId="43725"/>
    <cellStyle name="强调文字颜色 4 3 2 2 2 4 2" xfId="43726"/>
    <cellStyle name="强调文字颜色 4 3 2 2 3" xfId="43727"/>
    <cellStyle name="强调文字颜色 4 3 2 2 3 2" xfId="43728"/>
    <cellStyle name="强调文字颜色 4 3 2 2 3 2 2" xfId="43729"/>
    <cellStyle name="强调文字颜色 4 3 2 2 3 2 2 2" xfId="43730"/>
    <cellStyle name="强调文字颜色 4 3 2 2 3 3" xfId="43731"/>
    <cellStyle name="强调文字颜色 4 3 2 2 3 3 2" xfId="43732"/>
    <cellStyle name="强调文字颜色 4 3 2 2 4" xfId="43733"/>
    <cellStyle name="强调文字颜色 4 3 2 2 5" xfId="43734"/>
    <cellStyle name="强调文字颜色 4 3 2 2 6" xfId="43735"/>
    <cellStyle name="强调文字颜色 4 3 2 3" xfId="43736"/>
    <cellStyle name="强调文字颜色 4 3 2 3 2" xfId="43737"/>
    <cellStyle name="强调文字颜色 4 3 2 3 3" xfId="43738"/>
    <cellStyle name="强调文字颜色 4 3 2 3 3 2" xfId="43739"/>
    <cellStyle name="强调文字颜色 4 3 2 3 3 2 2" xfId="43740"/>
    <cellStyle name="强调文字颜色 4 3 2 3 4" xfId="43741"/>
    <cellStyle name="强调文字颜色 4 3 2 3 4 2" xfId="43742"/>
    <cellStyle name="强调文字颜色 4 3 2 4" xfId="43743"/>
    <cellStyle name="强调文字颜色 4 3 2 4 2" xfId="43744"/>
    <cellStyle name="强调文字颜色 4 3 2 4 2 2" xfId="43745"/>
    <cellStyle name="强调文字颜色 4 3 2 4 2 2 2" xfId="43746"/>
    <cellStyle name="强调文字颜色 4 3 2 4 3" xfId="43747"/>
    <cellStyle name="强调文字颜色 4 3 2 4 3 2" xfId="43748"/>
    <cellStyle name="强调文字颜色 4 3 2 5" xfId="43749"/>
    <cellStyle name="强调文字颜色 4 3 2 6" xfId="43750"/>
    <cellStyle name="强调文字颜色 4 3 2 7" xfId="43751"/>
    <cellStyle name="强调文字颜色 4 3 3" xfId="43752"/>
    <cellStyle name="强调文字颜色 4 3 3 2" xfId="43753"/>
    <cellStyle name="强调文字颜色 4 3 3 2 2" xfId="43754"/>
    <cellStyle name="强调文字颜色 4 3 3 2 3" xfId="43755"/>
    <cellStyle name="强调文字颜色 4 3 3 2 3 2" xfId="43756"/>
    <cellStyle name="强调文字颜色 4 3 3 2 3 2 2" xfId="43757"/>
    <cellStyle name="强调文字颜色 4 3 3 2 4" xfId="43758"/>
    <cellStyle name="强调文字颜色 4 3 3 2 4 2" xfId="43759"/>
    <cellStyle name="强调文字颜色 4 3 3 3" xfId="43760"/>
    <cellStyle name="强调文字颜色 4 3 3 3 2" xfId="43761"/>
    <cellStyle name="强调文字颜色 4 3 3 3 2 2" xfId="43762"/>
    <cellStyle name="强调文字颜色 4 3 3 3 2 2 2" xfId="43763"/>
    <cellStyle name="强调文字颜色 4 3 3 3 3" xfId="43764"/>
    <cellStyle name="强调文字颜色 4 3 3 3 3 2" xfId="43765"/>
    <cellStyle name="强调文字颜色 4 3 3 4" xfId="43766"/>
    <cellStyle name="强调文字颜色 4 3 3 5" xfId="43767"/>
    <cellStyle name="强调文字颜色 4 3 3 6" xfId="43768"/>
    <cellStyle name="强调文字颜色 4 3 4" xfId="43769"/>
    <cellStyle name="强调文字颜色 4 3 4 2" xfId="43770"/>
    <cellStyle name="强调文字颜色 4 3 4 2 2" xfId="43771"/>
    <cellStyle name="强调文字颜色 4 3 4 2 3" xfId="43772"/>
    <cellStyle name="强调文字颜色 4 3 4 2 3 2" xfId="43773"/>
    <cellStyle name="强调文字颜色 4 3 4 2 3 2 2" xfId="43774"/>
    <cellStyle name="强调文字颜色 4 3 4 2 4" xfId="43775"/>
    <cellStyle name="强调文字颜色 4 3 4 2 4 2" xfId="43776"/>
    <cellStyle name="强调文字颜色 4 3 4 3" xfId="43777"/>
    <cellStyle name="强调文字颜色 4 3 4 4" xfId="43778"/>
    <cellStyle name="强调文字颜色 4 3 4 5" xfId="43779"/>
    <cellStyle name="强调文字颜色 4 3 4 6" xfId="43780"/>
    <cellStyle name="强调文字颜色 4 3 5" xfId="43781"/>
    <cellStyle name="强调文字颜色 4 3 5 2" xfId="43782"/>
    <cellStyle name="强调文字颜色 4 3 5 2 2" xfId="43783"/>
    <cellStyle name="强调文字颜色 4 3 5 2 2 2" xfId="43784"/>
    <cellStyle name="强调文字颜色 4 3 5 2 2 2 2" xfId="43785"/>
    <cellStyle name="强调文字颜色 4 3 5 2 3" xfId="43786"/>
    <cellStyle name="强调文字颜色 4 3 5 2 3 2" xfId="43787"/>
    <cellStyle name="强调文字颜色 4 3 5 3" xfId="43788"/>
    <cellStyle name="强调文字颜色 4 3 5 3 2" xfId="43789"/>
    <cellStyle name="强调文字颜色 4 3 5 3 2 2" xfId="43790"/>
    <cellStyle name="强调文字颜色 4 3 5 4" xfId="43791"/>
    <cellStyle name="强调文字颜色 4 3 5 4 2" xfId="43792"/>
    <cellStyle name="强调文字颜色 4 3 6" xfId="43793"/>
    <cellStyle name="强调文字颜色 4 3 6 2" xfId="43794"/>
    <cellStyle name="强调文字颜色 4 3 6 2 2" xfId="43795"/>
    <cellStyle name="强调文字颜色 4 3 6 2 2 2" xfId="43796"/>
    <cellStyle name="强调文字颜色 4 3 6 3" xfId="43797"/>
    <cellStyle name="强调文字颜色 4 3 6 3 2" xfId="43798"/>
    <cellStyle name="强调文字颜色 4 3 7" xfId="43799"/>
    <cellStyle name="强调文字颜色 4 3 8" xfId="43800"/>
    <cellStyle name="强调文字颜色 5 2" xfId="43801"/>
    <cellStyle name="强调文字颜色 5 2 10" xfId="43802"/>
    <cellStyle name="强调文字颜色 5 2 11" xfId="43803"/>
    <cellStyle name="强调文字颜色 5 2 2" xfId="43804"/>
    <cellStyle name="强调文字颜色 5 2 2 10" xfId="43805"/>
    <cellStyle name="强调文字颜色 5 2 2 11" xfId="43806"/>
    <cellStyle name="强调文字颜色 5 2 2 2" xfId="43807"/>
    <cellStyle name="强调文字颜色 5 2 2 2 2" xfId="43808"/>
    <cellStyle name="强调文字颜色 5 2 2 2 2 2" xfId="43809"/>
    <cellStyle name="强调文字颜色 5 2 2 2 2 2 2" xfId="43810"/>
    <cellStyle name="强调文字颜色 5 2 2 2 2 2 3" xfId="43811"/>
    <cellStyle name="强调文字颜色 5 2 2 2 2 2 3 2" xfId="43812"/>
    <cellStyle name="强调文字颜色 5 2 2 2 2 2 3 2 2" xfId="43813"/>
    <cellStyle name="强调文字颜色 5 2 2 2 2 2 4" xfId="43814"/>
    <cellStyle name="强调文字颜色 5 2 2 2 2 2 4 2" xfId="43815"/>
    <cellStyle name="强调文字颜色 5 2 2 2 2 3" xfId="43816"/>
    <cellStyle name="强调文字颜色 5 2 2 2 2 3 2" xfId="43817"/>
    <cellStyle name="强调文字颜色 5 2 2 2 2 3 2 2" xfId="43818"/>
    <cellStyle name="强调文字颜色 5 2 2 2 2 3 2 2 2" xfId="43819"/>
    <cellStyle name="强调文字颜色 5 2 2 2 2 3 3" xfId="43820"/>
    <cellStyle name="强调文字颜色 5 2 2 2 2 3 3 2" xfId="43821"/>
    <cellStyle name="强调文字颜色 5 2 2 2 2 4" xfId="43822"/>
    <cellStyle name="强调文字颜色 5 2 2 2 2 5" xfId="43823"/>
    <cellStyle name="强调文字颜色 5 2 2 2 2 6" xfId="43824"/>
    <cellStyle name="强调文字颜色 5 2 2 2 3" xfId="43825"/>
    <cellStyle name="强调文字颜色 5 2 2 2 3 2" xfId="43826"/>
    <cellStyle name="强调文字颜色 5 2 2 2 3 3" xfId="43827"/>
    <cellStyle name="强调文字颜色 5 2 2 2 3 3 2" xfId="43828"/>
    <cellStyle name="强调文字颜色 5 2 2 2 3 3 2 2" xfId="43829"/>
    <cellStyle name="强调文字颜色 5 2 2 2 3 4" xfId="43830"/>
    <cellStyle name="强调文字颜色 5 2 2 2 3 4 2" xfId="43831"/>
    <cellStyle name="强调文字颜色 5 2 2 2 4" xfId="43832"/>
    <cellStyle name="强调文字颜色 5 2 2 2 4 2" xfId="43833"/>
    <cellStyle name="强调文字颜色 5 2 2 2 4 2 2" xfId="43834"/>
    <cellStyle name="强调文字颜色 5 2 2 2 4 2 2 2" xfId="43835"/>
    <cellStyle name="强调文字颜色 5 2 2 2 4 3" xfId="43836"/>
    <cellStyle name="强调文字颜色 5 2 2 2 4 3 2" xfId="43837"/>
    <cellStyle name="强调文字颜色 5 2 2 2 5" xfId="43838"/>
    <cellStyle name="强调文字颜色 5 2 2 2 6" xfId="43839"/>
    <cellStyle name="强调文字颜色 5 2 2 2 7" xfId="43840"/>
    <cellStyle name="强调文字颜色 5 2 2 3" xfId="43841"/>
    <cellStyle name="强调文字颜色 5 2 2 3 2" xfId="43842"/>
    <cellStyle name="强调文字颜色 5 2 2 3 2 2" xfId="43843"/>
    <cellStyle name="强调文字颜色 5 2 2 3 2 3" xfId="43844"/>
    <cellStyle name="强调文字颜色 5 2 2 3 2 3 2" xfId="43845"/>
    <cellStyle name="强调文字颜色 5 2 2 3 2 3 2 2" xfId="43846"/>
    <cellStyle name="强调文字颜色 5 2 2 3 2 4" xfId="43847"/>
    <cellStyle name="强调文字颜色 5 2 2 3 2 4 2" xfId="43848"/>
    <cellStyle name="强调文字颜色 5 2 2 3 3" xfId="43849"/>
    <cellStyle name="强调文字颜色 5 2 2 3 3 2" xfId="43850"/>
    <cellStyle name="强调文字颜色 5 2 2 3 3 2 2" xfId="43851"/>
    <cellStyle name="强调文字颜色 5 2 2 3 3 2 2 2" xfId="43852"/>
    <cellStyle name="强调文字颜色 5 2 2 3 3 3" xfId="43853"/>
    <cellStyle name="强调文字颜色 5 2 2 3 3 3 2" xfId="43854"/>
    <cellStyle name="强调文字颜色 5 2 2 3 4" xfId="43855"/>
    <cellStyle name="强调文字颜色 5 2 2 3 5" xfId="43856"/>
    <cellStyle name="强调文字颜色 5 2 2 3 6" xfId="43857"/>
    <cellStyle name="强调文字颜色 5 2 2 4" xfId="43858"/>
    <cellStyle name="强调文字颜色 5 2 2 4 2" xfId="43859"/>
    <cellStyle name="强调文字颜色 5 2 2 4 2 2" xfId="43860"/>
    <cellStyle name="强调文字颜色 5 2 2 4 2 3" xfId="43861"/>
    <cellStyle name="强调文字颜色 5 2 2 4 2 3 2" xfId="43862"/>
    <cellStyle name="强调文字颜色 5 2 2 4 2 3 2 2" xfId="43863"/>
    <cellStyle name="强调文字颜色 5 2 2 4 2 4" xfId="43864"/>
    <cellStyle name="强调文字颜色 5 2 2 4 2 4 2" xfId="43865"/>
    <cellStyle name="强调文字颜色 5 2 2 4 3" xfId="43866"/>
    <cellStyle name="强调文字颜色 5 2 2 4 4" xfId="43867"/>
    <cellStyle name="强调文字颜色 5 2 2 4 5" xfId="43868"/>
    <cellStyle name="强调文字颜色 5 2 2 4 6" xfId="43869"/>
    <cellStyle name="强调文字颜色 5 2 2 5" xfId="43870"/>
    <cellStyle name="强调文字颜色 5 2 2 5 2" xfId="43871"/>
    <cellStyle name="强调文字颜色 5 2 2 5 2 2" xfId="43872"/>
    <cellStyle name="强调文字颜色 5 2 2 5 2 2 2" xfId="43873"/>
    <cellStyle name="强调文字颜色 5 2 2 5 2 2 2 2" xfId="43874"/>
    <cellStyle name="强调文字颜色 5 2 2 5 2 3" xfId="43875"/>
    <cellStyle name="强调文字颜色 5 2 2 5 2 3 2" xfId="43876"/>
    <cellStyle name="强调文字颜色 5 2 2 5 3" xfId="43877"/>
    <cellStyle name="强调文字颜色 5 2 2 5 3 2" xfId="43878"/>
    <cellStyle name="强调文字颜色 5 2 2 5 3 2 2" xfId="43879"/>
    <cellStyle name="强调文字颜色 5 2 2 5 4" xfId="43880"/>
    <cellStyle name="强调文字颜色 5 2 2 5 4 2" xfId="43881"/>
    <cellStyle name="强调文字颜色 5 2 2 6" xfId="43882"/>
    <cellStyle name="强调文字颜色 5 2 2 6 2" xfId="43883"/>
    <cellStyle name="强调文字颜色 5 2 2 6 2 2" xfId="43884"/>
    <cellStyle name="强调文字颜色 5 2 2 6 2 2 2" xfId="43885"/>
    <cellStyle name="强调文字颜色 5 2 2 6 2 2 2 2" xfId="43886"/>
    <cellStyle name="强调文字颜色 5 2 2 6 2 3" xfId="43887"/>
    <cellStyle name="强调文字颜色 5 2 2 6 2 3 2" xfId="43888"/>
    <cellStyle name="强调文字颜色 5 2 2 6 3" xfId="43889"/>
    <cellStyle name="强调文字颜色 5 2 2 6 3 2" xfId="43890"/>
    <cellStyle name="强调文字颜色 5 2 2 6 3 2 2" xfId="43891"/>
    <cellStyle name="强调文字颜色 5 2 2 6 4" xfId="43892"/>
    <cellStyle name="强调文字颜色 5 2 2 6 4 2" xfId="43893"/>
    <cellStyle name="强调文字颜色 5 2 2 7" xfId="43894"/>
    <cellStyle name="强调文字颜色 5 2 2 7 2" xfId="43895"/>
    <cellStyle name="强调文字颜色 5 2 2 7 2 2" xfId="43896"/>
    <cellStyle name="强调文字颜色 5 2 2 7 2 2 2" xfId="43897"/>
    <cellStyle name="强调文字颜色 5 2 2 7 2 2 2 2" xfId="43898"/>
    <cellStyle name="强调文字颜色 5 2 2 7 2 3" xfId="43899"/>
    <cellStyle name="强调文字颜色 5 2 2 7 2 3 2" xfId="43900"/>
    <cellStyle name="强调文字颜色 5 2 2 7 3" xfId="43901"/>
    <cellStyle name="强调文字颜色 5 2 2 7 3 2" xfId="43902"/>
    <cellStyle name="强调文字颜色 5 2 2 7 3 2 2" xfId="43903"/>
    <cellStyle name="强调文字颜色 5 2 2 7 4" xfId="43904"/>
    <cellStyle name="强调文字颜色 5 2 2 7 4 2" xfId="43905"/>
    <cellStyle name="强调文字颜色 5 2 2 8" xfId="43906"/>
    <cellStyle name="强调文字颜色 5 2 2 8 2" xfId="43907"/>
    <cellStyle name="强调文字颜色 5 2 2 8 2 2" xfId="43908"/>
    <cellStyle name="强调文字颜色 5 2 2 8 2 2 2" xfId="43909"/>
    <cellStyle name="强调文字颜色 5 2 2 8 3" xfId="43910"/>
    <cellStyle name="强调文字颜色 5 2 2 8 3 2" xfId="43911"/>
    <cellStyle name="强调文字颜色 5 2 2 9" xfId="43912"/>
    <cellStyle name="强调文字颜色 5 2 2 9 2" xfId="43913"/>
    <cellStyle name="强调文字颜色 5 2 2 9 2 2" xfId="43914"/>
    <cellStyle name="强调文字颜色 5 2 2 9 2 2 2" xfId="43915"/>
    <cellStyle name="强调文字颜色 5 2 2 9 3" xfId="43916"/>
    <cellStyle name="强调文字颜色 5 2 2 9 3 2" xfId="43917"/>
    <cellStyle name="强调文字颜色 5 2 3" xfId="43918"/>
    <cellStyle name="强调文字颜色 5 2 3 2" xfId="43919"/>
    <cellStyle name="强调文字颜色 5 2 3 2 2" xfId="43920"/>
    <cellStyle name="强调文字颜色 5 2 3 2 2 2" xfId="43921"/>
    <cellStyle name="强调文字颜色 5 2 3 2 2 2 2" xfId="43922"/>
    <cellStyle name="强调文字颜色 5 2 3 2 2 2 3" xfId="43923"/>
    <cellStyle name="强调文字颜色 5 2 3 2 2 2 3 2" xfId="43924"/>
    <cellStyle name="强调文字颜色 5 2 3 2 2 2 3 2 2" xfId="43925"/>
    <cellStyle name="强调文字颜色 5 2 3 2 2 2 4" xfId="43926"/>
    <cellStyle name="强调文字颜色 5 2 3 2 2 2 4 2" xfId="43927"/>
    <cellStyle name="强调文字颜色 5 2 3 2 2 3" xfId="43928"/>
    <cellStyle name="强调文字颜色 5 2 3 2 2 3 2" xfId="43929"/>
    <cellStyle name="强调文字颜色 5 2 3 2 2 3 2 2" xfId="43930"/>
    <cellStyle name="强调文字颜色 5 2 3 2 2 3 2 2 2" xfId="43931"/>
    <cellStyle name="强调文字颜色 5 2 3 2 2 3 3" xfId="43932"/>
    <cellStyle name="强调文字颜色 5 2 3 2 2 3 3 2" xfId="43933"/>
    <cellStyle name="强调文字颜色 5 2 3 2 2 4" xfId="43934"/>
    <cellStyle name="强调文字颜色 5 2 3 2 2 5" xfId="43935"/>
    <cellStyle name="强调文字颜色 5 2 3 2 2 6" xfId="43936"/>
    <cellStyle name="强调文字颜色 5 2 3 2 3" xfId="43937"/>
    <cellStyle name="强调文字颜色 5 2 3 2 3 2" xfId="43938"/>
    <cellStyle name="强调文字颜色 5 2 3 2 3 3" xfId="43939"/>
    <cellStyle name="强调文字颜色 5 2 3 2 3 3 2" xfId="43940"/>
    <cellStyle name="强调文字颜色 5 2 3 2 3 3 2 2" xfId="43941"/>
    <cellStyle name="强调文字颜色 5 2 3 2 3 4" xfId="43942"/>
    <cellStyle name="强调文字颜色 5 2 3 2 3 4 2" xfId="43943"/>
    <cellStyle name="强调文字颜色 5 2 3 2 4" xfId="43944"/>
    <cellStyle name="强调文字颜色 5 2 3 2 4 2" xfId="43945"/>
    <cellStyle name="强调文字颜色 5 2 3 2 4 2 2" xfId="43946"/>
    <cellStyle name="强调文字颜色 5 2 3 2 4 2 2 2" xfId="43947"/>
    <cellStyle name="强调文字颜色 5 2 3 2 4 3" xfId="43948"/>
    <cellStyle name="强调文字颜色 5 2 3 2 4 3 2" xfId="43949"/>
    <cellStyle name="强调文字颜色 5 2 3 2 5" xfId="43950"/>
    <cellStyle name="强调文字颜色 5 2 3 2 6" xfId="43951"/>
    <cellStyle name="强调文字颜色 5 2 3 2 7" xfId="43952"/>
    <cellStyle name="强调文字颜色 5 2 3 3" xfId="43953"/>
    <cellStyle name="强调文字颜色 5 2 3 3 2" xfId="43954"/>
    <cellStyle name="强调文字颜色 5 2 3 3 2 2" xfId="43955"/>
    <cellStyle name="强调文字颜色 5 2 3 3 2 3" xfId="43956"/>
    <cellStyle name="强调文字颜色 5 2 3 3 2 3 2" xfId="43957"/>
    <cellStyle name="强调文字颜色 5 2 3 3 2 3 2 2" xfId="43958"/>
    <cellStyle name="强调文字颜色 5 2 3 3 2 4" xfId="43959"/>
    <cellStyle name="强调文字颜色 5 2 3 3 2 4 2" xfId="43960"/>
    <cellStyle name="强调文字颜色 5 2 3 3 3" xfId="43961"/>
    <cellStyle name="强调文字颜色 5 2 3 3 3 2" xfId="43962"/>
    <cellStyle name="强调文字颜色 5 2 3 3 3 2 2" xfId="43963"/>
    <cellStyle name="强调文字颜色 5 2 3 3 3 2 2 2" xfId="43964"/>
    <cellStyle name="强调文字颜色 5 2 3 3 3 3" xfId="43965"/>
    <cellStyle name="强调文字颜色 5 2 3 3 3 3 2" xfId="43966"/>
    <cellStyle name="强调文字颜色 5 2 3 3 4" xfId="43967"/>
    <cellStyle name="强调文字颜色 5 2 3 3 5" xfId="43968"/>
    <cellStyle name="强调文字颜色 5 2 3 3 6" xfId="43969"/>
    <cellStyle name="强调文字颜色 5 2 3 4" xfId="43970"/>
    <cellStyle name="强调文字颜色 5 2 3 4 2" xfId="43971"/>
    <cellStyle name="强调文字颜色 5 2 3 4 2 2" xfId="43972"/>
    <cellStyle name="强调文字颜色 5 2 3 4 2 3" xfId="43973"/>
    <cellStyle name="强调文字颜色 5 2 3 4 2 3 2" xfId="43974"/>
    <cellStyle name="强调文字颜色 5 2 3 4 2 3 2 2" xfId="43975"/>
    <cellStyle name="强调文字颜色 5 2 3 4 2 4" xfId="43976"/>
    <cellStyle name="强调文字颜色 5 2 3 4 2 4 2" xfId="43977"/>
    <cellStyle name="强调文字颜色 5 2 3 4 3" xfId="43978"/>
    <cellStyle name="强调文字颜色 5 2 3 4 4" xfId="43979"/>
    <cellStyle name="强调文字颜色 5 2 3 4 5" xfId="43980"/>
    <cellStyle name="强调文字颜色 5 2 3 4 6" xfId="43981"/>
    <cellStyle name="强调文字颜色 5 2 3 5" xfId="43982"/>
    <cellStyle name="强调文字颜色 5 2 3 5 2" xfId="43983"/>
    <cellStyle name="强调文字颜色 5 2 3 5 2 2" xfId="43984"/>
    <cellStyle name="强调文字颜色 5 2 3 5 2 2 2" xfId="43985"/>
    <cellStyle name="强调文字颜色 5 2 3 5 2 2 2 2" xfId="43986"/>
    <cellStyle name="强调文字颜色 5 2 3 5 2 3" xfId="43987"/>
    <cellStyle name="强调文字颜色 5 2 3 5 2 3 2" xfId="43988"/>
    <cellStyle name="强调文字颜色 5 2 3 5 3" xfId="43989"/>
    <cellStyle name="强调文字颜色 5 2 3 5 3 2" xfId="43990"/>
    <cellStyle name="强调文字颜色 5 2 3 5 3 2 2" xfId="43991"/>
    <cellStyle name="强调文字颜色 5 2 3 5 4" xfId="43992"/>
    <cellStyle name="强调文字颜色 5 2 3 5 4 2" xfId="43993"/>
    <cellStyle name="强调文字颜色 5 2 3 6" xfId="43994"/>
    <cellStyle name="强调文字颜色 5 2 3 6 2" xfId="43995"/>
    <cellStyle name="强调文字颜色 5 2 3 6 2 2" xfId="43996"/>
    <cellStyle name="强调文字颜色 5 2 3 6 2 2 2" xfId="43997"/>
    <cellStyle name="强调文字颜色 5 2 3 6 3" xfId="43998"/>
    <cellStyle name="强调文字颜色 5 2 3 6 3 2" xfId="43999"/>
    <cellStyle name="强调文字颜色 5 2 3 7" xfId="44000"/>
    <cellStyle name="强调文字颜色 5 2 3 7 2" xfId="44001"/>
    <cellStyle name="强调文字颜色 5 2 3 7 2 2" xfId="44002"/>
    <cellStyle name="强调文字颜色 5 2 3 7 2 2 2" xfId="44003"/>
    <cellStyle name="强调文字颜色 5 2 3 7 3" xfId="44004"/>
    <cellStyle name="强调文字颜色 5 2 3 7 3 2" xfId="44005"/>
    <cellStyle name="强调文字颜色 5 2 3 8" xfId="44006"/>
    <cellStyle name="强调文字颜色 5 2 3 9" xfId="44007"/>
    <cellStyle name="强调文字颜色 5 2 4" xfId="44008"/>
    <cellStyle name="强调文字颜色 5 2 4 2" xfId="44009"/>
    <cellStyle name="强调文字颜色 5 2 4 2 2" xfId="44010"/>
    <cellStyle name="强调文字颜色 5 2 4 2 3" xfId="44011"/>
    <cellStyle name="强调文字颜色 5 2 4 2 3 2" xfId="44012"/>
    <cellStyle name="强调文字颜色 5 2 4 2 3 2 2" xfId="44013"/>
    <cellStyle name="强调文字颜色 5 2 4 2 4" xfId="44014"/>
    <cellStyle name="强调文字颜色 5 2 4 2 4 2" xfId="44015"/>
    <cellStyle name="强调文字颜色 5 2 4 3" xfId="44016"/>
    <cellStyle name="强调文字颜色 5 2 4 3 2" xfId="44017"/>
    <cellStyle name="强调文字颜色 5 2 4 3 2 2" xfId="44018"/>
    <cellStyle name="强调文字颜色 5 2 4 3 2 2 2" xfId="44019"/>
    <cellStyle name="强调文字颜色 5 2 4 3 3" xfId="44020"/>
    <cellStyle name="强调文字颜色 5 2 4 3 3 2" xfId="44021"/>
    <cellStyle name="强调文字颜色 5 2 4 4" xfId="44022"/>
    <cellStyle name="强调文字颜色 5 2 4 5" xfId="44023"/>
    <cellStyle name="强调文字颜色 5 2 4 6" xfId="44024"/>
    <cellStyle name="强调文字颜色 5 2 5" xfId="44025"/>
    <cellStyle name="强调文字颜色 5 2 5 2" xfId="44026"/>
    <cellStyle name="强调文字颜色 5 2 5 2 2" xfId="44027"/>
    <cellStyle name="强调文字颜色 5 2 5 2 3" xfId="44028"/>
    <cellStyle name="强调文字颜色 5 2 5 2 3 2" xfId="44029"/>
    <cellStyle name="强调文字颜色 5 2 5 2 3 2 2" xfId="44030"/>
    <cellStyle name="强调文字颜色 5 2 5 2 4" xfId="44031"/>
    <cellStyle name="强调文字颜色 5 2 5 2 4 2" xfId="44032"/>
    <cellStyle name="强调文字颜色 5 2 5 3" xfId="44033"/>
    <cellStyle name="强调文字颜色 5 2 5 4" xfId="44034"/>
    <cellStyle name="强调文字颜色 5 2 5 5" xfId="44035"/>
    <cellStyle name="强调文字颜色 5 2 5 6" xfId="44036"/>
    <cellStyle name="强调文字颜色 5 2 6" xfId="44037"/>
    <cellStyle name="强调文字颜色 5 2 6 2" xfId="44038"/>
    <cellStyle name="强调文字颜色 5 2 6 2 2" xfId="44039"/>
    <cellStyle name="强调文字颜色 5 2 6 2 2 2" xfId="44040"/>
    <cellStyle name="强调文字颜色 5 2 6 2 2 2 2" xfId="44041"/>
    <cellStyle name="强调文字颜色 5 2 6 2 3" xfId="44042"/>
    <cellStyle name="强调文字颜色 5 2 6 2 3 2" xfId="44043"/>
    <cellStyle name="强调文字颜色 5 2 6 3" xfId="44044"/>
    <cellStyle name="强调文字颜色 5 2 6 3 2" xfId="44045"/>
    <cellStyle name="强调文字颜色 5 2 6 3 2 2" xfId="44046"/>
    <cellStyle name="强调文字颜色 5 2 6 4" xfId="44047"/>
    <cellStyle name="强调文字颜色 5 2 6 4 2" xfId="44048"/>
    <cellStyle name="强调文字颜色 5 2 7" xfId="44049"/>
    <cellStyle name="强调文字颜色 5 2 7 2" xfId="44050"/>
    <cellStyle name="强调文字颜色 5 2 7 2 2" xfId="44051"/>
    <cellStyle name="强调文字颜色 5 2 7 2 2 2" xfId="44052"/>
    <cellStyle name="强调文字颜色 5 2 7 2 2 2 2" xfId="44053"/>
    <cellStyle name="强调文字颜色 5 2 7 2 3" xfId="44054"/>
    <cellStyle name="强调文字颜色 5 2 7 2 3 2" xfId="44055"/>
    <cellStyle name="强调文字颜色 5 2 7 3" xfId="44056"/>
    <cellStyle name="强调文字颜色 5 2 7 3 2" xfId="44057"/>
    <cellStyle name="强调文字颜色 5 2 7 3 2 2" xfId="44058"/>
    <cellStyle name="强调文字颜色 5 2 7 4" xfId="44059"/>
    <cellStyle name="强调文字颜色 5 2 7 4 2" xfId="44060"/>
    <cellStyle name="强调文字颜色 5 2 8" xfId="44061"/>
    <cellStyle name="强调文字颜色 5 2 8 2" xfId="44062"/>
    <cellStyle name="强调文字颜色 5 2 8 2 2" xfId="44063"/>
    <cellStyle name="强调文字颜色 5 2 8 2 2 2" xfId="44064"/>
    <cellStyle name="强调文字颜色 5 2 8 2 2 2 2" xfId="44065"/>
    <cellStyle name="强调文字颜色 5 2 8 2 3" xfId="44066"/>
    <cellStyle name="强调文字颜色 5 2 8 2 3 2" xfId="44067"/>
    <cellStyle name="强调文字颜色 5 2 8 3" xfId="44068"/>
    <cellStyle name="强调文字颜色 5 2 8 3 2" xfId="44069"/>
    <cellStyle name="强调文字颜色 5 2 8 3 2 2" xfId="44070"/>
    <cellStyle name="强调文字颜色 5 2 8 4" xfId="44071"/>
    <cellStyle name="强调文字颜色 5 2 8 4 2" xfId="44072"/>
    <cellStyle name="强调文字颜色 5 2 9" xfId="44073"/>
    <cellStyle name="强调文字颜色 5 2 9 2" xfId="44074"/>
    <cellStyle name="强调文字颜色 5 2 9 2 2" xfId="44075"/>
    <cellStyle name="强调文字颜色 5 2 9 2 2 2" xfId="44076"/>
    <cellStyle name="强调文字颜色 5 2 9 3" xfId="44077"/>
    <cellStyle name="强调文字颜色 5 2 9 3 2" xfId="44078"/>
    <cellStyle name="强调文字颜色 5 3" xfId="44079"/>
    <cellStyle name="强调文字颜色 5 3 2" xfId="44080"/>
    <cellStyle name="强调文字颜色 5 3 2 2" xfId="44081"/>
    <cellStyle name="强调文字颜色 5 3 2 2 2" xfId="44082"/>
    <cellStyle name="强调文字颜色 5 3 2 2 2 2" xfId="44083"/>
    <cellStyle name="强调文字颜色 5 3 2 2 2 3" xfId="44084"/>
    <cellStyle name="强调文字颜色 5 3 2 2 2 3 2" xfId="44085"/>
    <cellStyle name="强调文字颜色 5 3 2 2 2 3 2 2" xfId="44086"/>
    <cellStyle name="强调文字颜色 5 3 2 2 2 4" xfId="44087"/>
    <cellStyle name="强调文字颜色 5 3 2 2 2 4 2" xfId="44088"/>
    <cellStyle name="强调文字颜色 5 3 2 2 3" xfId="44089"/>
    <cellStyle name="强调文字颜色 5 3 2 2 3 2" xfId="44090"/>
    <cellStyle name="强调文字颜色 5 3 2 2 3 2 2" xfId="44091"/>
    <cellStyle name="强调文字颜色 5 3 2 2 3 2 2 2" xfId="44092"/>
    <cellStyle name="强调文字颜色 5 3 2 2 3 3" xfId="44093"/>
    <cellStyle name="强调文字颜色 5 3 2 2 3 3 2" xfId="44094"/>
    <cellStyle name="强调文字颜色 5 3 2 2 4" xfId="44095"/>
    <cellStyle name="强调文字颜色 5 3 2 2 5" xfId="44096"/>
    <cellStyle name="强调文字颜色 5 3 2 2 6" xfId="44097"/>
    <cellStyle name="强调文字颜色 5 3 2 3" xfId="44098"/>
    <cellStyle name="强调文字颜色 5 3 2 3 2" xfId="44099"/>
    <cellStyle name="强调文字颜色 5 3 2 3 3" xfId="44100"/>
    <cellStyle name="强调文字颜色 5 3 2 3 3 2" xfId="44101"/>
    <cellStyle name="强调文字颜色 5 3 2 3 3 2 2" xfId="44102"/>
    <cellStyle name="强调文字颜色 5 3 2 3 4" xfId="44103"/>
    <cellStyle name="强调文字颜色 5 3 2 3 4 2" xfId="44104"/>
    <cellStyle name="强调文字颜色 5 3 2 4" xfId="44105"/>
    <cellStyle name="强调文字颜色 5 3 2 4 2" xfId="44106"/>
    <cellStyle name="强调文字颜色 5 3 2 4 2 2" xfId="44107"/>
    <cellStyle name="强调文字颜色 5 3 2 4 2 2 2" xfId="44108"/>
    <cellStyle name="强调文字颜色 5 3 2 4 3" xfId="44109"/>
    <cellStyle name="强调文字颜色 5 3 2 4 3 2" xfId="44110"/>
    <cellStyle name="强调文字颜色 5 3 2 5" xfId="44111"/>
    <cellStyle name="强调文字颜色 5 3 2 6" xfId="44112"/>
    <cellStyle name="强调文字颜色 5 3 2 7" xfId="44113"/>
    <cellStyle name="强调文字颜色 5 3 3" xfId="44114"/>
    <cellStyle name="强调文字颜色 5 3 3 2" xfId="44115"/>
    <cellStyle name="强调文字颜色 5 3 3 2 2" xfId="44116"/>
    <cellStyle name="强调文字颜色 5 3 3 2 3" xfId="44117"/>
    <cellStyle name="强调文字颜色 5 3 3 2 3 2" xfId="44118"/>
    <cellStyle name="强调文字颜色 5 3 3 2 3 2 2" xfId="44119"/>
    <cellStyle name="强调文字颜色 5 3 3 2 4" xfId="44120"/>
    <cellStyle name="强调文字颜色 5 3 3 2 4 2" xfId="44121"/>
    <cellStyle name="强调文字颜色 5 3 3 3" xfId="44122"/>
    <cellStyle name="强调文字颜色 5 3 3 3 2" xfId="44123"/>
    <cellStyle name="强调文字颜色 5 3 3 3 2 2" xfId="44124"/>
    <cellStyle name="强调文字颜色 5 3 3 3 2 2 2" xfId="44125"/>
    <cellStyle name="强调文字颜色 5 3 3 3 3" xfId="44126"/>
    <cellStyle name="强调文字颜色 5 3 3 3 3 2" xfId="44127"/>
    <cellStyle name="强调文字颜色 5 3 3 4" xfId="44128"/>
    <cellStyle name="强调文字颜色 5 3 3 5" xfId="44129"/>
    <cellStyle name="强调文字颜色 5 3 3 6" xfId="44130"/>
    <cellStyle name="强调文字颜色 5 3 4" xfId="44131"/>
    <cellStyle name="强调文字颜色 5 3 4 2" xfId="44132"/>
    <cellStyle name="强调文字颜色 5 3 4 2 2" xfId="44133"/>
    <cellStyle name="强调文字颜色 5 3 4 2 3" xfId="44134"/>
    <cellStyle name="强调文字颜色 5 3 4 2 3 2" xfId="44135"/>
    <cellStyle name="强调文字颜色 5 3 4 2 3 2 2" xfId="44136"/>
    <cellStyle name="强调文字颜色 5 3 4 2 4" xfId="44137"/>
    <cellStyle name="强调文字颜色 5 3 4 2 4 2" xfId="44138"/>
    <cellStyle name="强调文字颜色 5 3 4 3" xfId="44139"/>
    <cellStyle name="强调文字颜色 5 3 4 4" xfId="44140"/>
    <cellStyle name="强调文字颜色 5 3 4 5" xfId="44141"/>
    <cellStyle name="强调文字颜色 5 3 4 6" xfId="44142"/>
    <cellStyle name="强调文字颜色 5 3 5" xfId="44143"/>
    <cellStyle name="强调文字颜色 5 3 5 2" xfId="44144"/>
    <cellStyle name="强调文字颜色 5 3 5 2 2" xfId="44145"/>
    <cellStyle name="强调文字颜色 5 3 5 2 2 2" xfId="44146"/>
    <cellStyle name="强调文字颜色 5 3 5 2 2 2 2" xfId="44147"/>
    <cellStyle name="强调文字颜色 5 3 5 2 3" xfId="44148"/>
    <cellStyle name="强调文字颜色 5 3 5 2 3 2" xfId="44149"/>
    <cellStyle name="强调文字颜色 5 3 5 3" xfId="44150"/>
    <cellStyle name="强调文字颜色 5 3 5 3 2" xfId="44151"/>
    <cellStyle name="强调文字颜色 5 3 5 3 2 2" xfId="44152"/>
    <cellStyle name="强调文字颜色 5 3 5 4" xfId="44153"/>
    <cellStyle name="强调文字颜色 5 3 5 4 2" xfId="44154"/>
    <cellStyle name="强调文字颜色 5 3 6" xfId="44155"/>
    <cellStyle name="强调文字颜色 5 3 6 2" xfId="44156"/>
    <cellStyle name="强调文字颜色 5 3 6 2 2" xfId="44157"/>
    <cellStyle name="强调文字颜色 5 3 6 2 2 2" xfId="44158"/>
    <cellStyle name="强调文字颜色 5 3 6 3" xfId="44159"/>
    <cellStyle name="强调文字颜色 5 3 6 3 2" xfId="44160"/>
    <cellStyle name="强调文字颜色 5 3 7" xfId="44161"/>
    <cellStyle name="强调文字颜色 5 3 8" xfId="44162"/>
    <cellStyle name="强调文字颜色 6 2" xfId="44163"/>
    <cellStyle name="强调文字颜色 6 2 10" xfId="44164"/>
    <cellStyle name="强调文字颜色 6 2 11" xfId="44165"/>
    <cellStyle name="强调文字颜色 6 2 2" xfId="44166"/>
    <cellStyle name="强调文字颜色 6 2 2 10" xfId="44167"/>
    <cellStyle name="强调文字颜色 6 2 2 11" xfId="44168"/>
    <cellStyle name="强调文字颜色 6 2 2 2" xfId="44169"/>
    <cellStyle name="强调文字颜色 6 2 2 2 2" xfId="44170"/>
    <cellStyle name="强调文字颜色 6 2 2 2 2 2" xfId="44171"/>
    <cellStyle name="强调文字颜色 6 2 2 2 2 2 2" xfId="44172"/>
    <cellStyle name="强调文字颜色 6 2 2 2 2 2 3" xfId="44173"/>
    <cellStyle name="强调文字颜色 6 2 2 2 2 2 3 2" xfId="44174"/>
    <cellStyle name="强调文字颜色 6 2 2 2 2 2 3 2 2" xfId="44175"/>
    <cellStyle name="强调文字颜色 6 2 2 2 2 2 4" xfId="44176"/>
    <cellStyle name="强调文字颜色 6 2 2 2 2 2 4 2" xfId="44177"/>
    <cellStyle name="强调文字颜色 6 2 2 2 2 3" xfId="44178"/>
    <cellStyle name="强调文字颜色 6 2 2 2 2 3 2" xfId="44179"/>
    <cellStyle name="强调文字颜色 6 2 2 2 2 3 2 2" xfId="44180"/>
    <cellStyle name="强调文字颜色 6 2 2 2 2 3 2 2 2" xfId="44181"/>
    <cellStyle name="强调文字颜色 6 2 2 2 2 3 3" xfId="44182"/>
    <cellStyle name="强调文字颜色 6 2 2 2 2 3 3 2" xfId="44183"/>
    <cellStyle name="强调文字颜色 6 2 2 2 2 4" xfId="44184"/>
    <cellStyle name="强调文字颜色 6 2 2 2 2 5" xfId="44185"/>
    <cellStyle name="强调文字颜色 6 2 2 2 2 6" xfId="44186"/>
    <cellStyle name="强调文字颜色 6 2 2 2 3" xfId="44187"/>
    <cellStyle name="强调文字颜色 6 2 2 2 3 2" xfId="44188"/>
    <cellStyle name="强调文字颜色 6 2 2 2 3 3" xfId="44189"/>
    <cellStyle name="强调文字颜色 6 2 2 2 3 3 2" xfId="44190"/>
    <cellStyle name="强调文字颜色 6 2 2 2 3 3 2 2" xfId="44191"/>
    <cellStyle name="强调文字颜色 6 2 2 2 3 4" xfId="44192"/>
    <cellStyle name="强调文字颜色 6 2 2 2 3 4 2" xfId="44193"/>
    <cellStyle name="强调文字颜色 6 2 2 2 4" xfId="44194"/>
    <cellStyle name="强调文字颜色 6 2 2 2 4 2" xfId="44195"/>
    <cellStyle name="强调文字颜色 6 2 2 2 4 2 2" xfId="44196"/>
    <cellStyle name="强调文字颜色 6 2 2 2 4 2 2 2" xfId="44197"/>
    <cellStyle name="强调文字颜色 6 2 2 2 4 3" xfId="44198"/>
    <cellStyle name="强调文字颜色 6 2 2 2 4 3 2" xfId="44199"/>
    <cellStyle name="强调文字颜色 6 2 2 2 5" xfId="44200"/>
    <cellStyle name="强调文字颜色 6 2 2 2 6" xfId="44201"/>
    <cellStyle name="强调文字颜色 6 2 2 2 7" xfId="44202"/>
    <cellStyle name="强调文字颜色 6 2 2 3" xfId="44203"/>
    <cellStyle name="强调文字颜色 6 2 2 3 2" xfId="44204"/>
    <cellStyle name="强调文字颜色 6 2 2 3 2 2" xfId="44205"/>
    <cellStyle name="强调文字颜色 6 2 2 3 2 3" xfId="44206"/>
    <cellStyle name="强调文字颜色 6 2 2 3 2 3 2" xfId="44207"/>
    <cellStyle name="强调文字颜色 6 2 2 3 2 3 2 2" xfId="44208"/>
    <cellStyle name="强调文字颜色 6 2 2 3 2 4" xfId="44209"/>
    <cellStyle name="强调文字颜色 6 2 2 3 2 4 2" xfId="44210"/>
    <cellStyle name="强调文字颜色 6 2 2 3 3" xfId="44211"/>
    <cellStyle name="强调文字颜色 6 2 2 3 3 2" xfId="44212"/>
    <cellStyle name="强调文字颜色 6 2 2 3 3 2 2" xfId="44213"/>
    <cellStyle name="强调文字颜色 6 2 2 3 3 2 2 2" xfId="44214"/>
    <cellStyle name="强调文字颜色 6 2 2 3 3 3" xfId="44215"/>
    <cellStyle name="强调文字颜色 6 2 2 3 3 3 2" xfId="44216"/>
    <cellStyle name="强调文字颜色 6 2 2 3 4" xfId="44217"/>
    <cellStyle name="强调文字颜色 6 2 2 3 5" xfId="44218"/>
    <cellStyle name="强调文字颜色 6 2 2 3 6" xfId="44219"/>
    <cellStyle name="强调文字颜色 6 2 2 4" xfId="44220"/>
    <cellStyle name="强调文字颜色 6 2 2 4 2" xfId="44221"/>
    <cellStyle name="强调文字颜色 6 2 2 4 2 2" xfId="44222"/>
    <cellStyle name="强调文字颜色 6 2 2 4 2 3" xfId="44223"/>
    <cellStyle name="强调文字颜色 6 2 2 4 2 3 2" xfId="44224"/>
    <cellStyle name="强调文字颜色 6 2 2 4 2 3 2 2" xfId="44225"/>
    <cellStyle name="强调文字颜色 6 2 2 4 2 4" xfId="44226"/>
    <cellStyle name="强调文字颜色 6 2 2 4 2 4 2" xfId="44227"/>
    <cellStyle name="强调文字颜色 6 2 2 4 3" xfId="44228"/>
    <cellStyle name="强调文字颜色 6 2 2 4 4" xfId="44229"/>
    <cellStyle name="强调文字颜色 6 2 2 4 5" xfId="44230"/>
    <cellStyle name="强调文字颜色 6 2 2 4 6" xfId="44231"/>
    <cellStyle name="强调文字颜色 6 2 2 5" xfId="44232"/>
    <cellStyle name="强调文字颜色 6 2 2 5 2" xfId="44233"/>
    <cellStyle name="强调文字颜色 6 2 2 5 2 2" xfId="44234"/>
    <cellStyle name="强调文字颜色 6 2 2 5 2 2 2" xfId="44235"/>
    <cellStyle name="强调文字颜色 6 2 2 5 2 2 2 2" xfId="44236"/>
    <cellStyle name="强调文字颜色 6 2 2 5 2 3" xfId="44237"/>
    <cellStyle name="强调文字颜色 6 2 2 5 2 3 2" xfId="44238"/>
    <cellStyle name="强调文字颜色 6 2 2 5 3" xfId="44239"/>
    <cellStyle name="强调文字颜色 6 2 2 5 3 2" xfId="44240"/>
    <cellStyle name="强调文字颜色 6 2 2 5 3 2 2" xfId="44241"/>
    <cellStyle name="强调文字颜色 6 2 2 5 4" xfId="44242"/>
    <cellStyle name="强调文字颜色 6 2 2 5 4 2" xfId="44243"/>
    <cellStyle name="强调文字颜色 6 2 2 6" xfId="44244"/>
    <cellStyle name="强调文字颜色 6 2 2 6 2" xfId="44245"/>
    <cellStyle name="强调文字颜色 6 2 2 6 2 2" xfId="44246"/>
    <cellStyle name="强调文字颜色 6 2 2 6 2 2 2" xfId="44247"/>
    <cellStyle name="强调文字颜色 6 2 2 6 2 2 2 2" xfId="44248"/>
    <cellStyle name="强调文字颜色 6 2 2 6 2 3" xfId="44249"/>
    <cellStyle name="强调文字颜色 6 2 2 6 2 3 2" xfId="44250"/>
    <cellStyle name="强调文字颜色 6 2 2 6 3" xfId="44251"/>
    <cellStyle name="强调文字颜色 6 2 2 6 3 2" xfId="44252"/>
    <cellStyle name="强调文字颜色 6 2 2 6 3 2 2" xfId="44253"/>
    <cellStyle name="强调文字颜色 6 2 2 6 4" xfId="44254"/>
    <cellStyle name="强调文字颜色 6 2 2 6 4 2" xfId="44255"/>
    <cellStyle name="强调文字颜色 6 2 2 7" xfId="44256"/>
    <cellStyle name="强调文字颜色 6 2 2 7 2" xfId="44257"/>
    <cellStyle name="强调文字颜色 6 2 2 7 2 2" xfId="44258"/>
    <cellStyle name="强调文字颜色 6 2 2 7 2 2 2" xfId="44259"/>
    <cellStyle name="强调文字颜色 6 2 2 7 2 2 2 2" xfId="44260"/>
    <cellStyle name="强调文字颜色 6 2 2 7 2 3" xfId="44261"/>
    <cellStyle name="强调文字颜色 6 2 2 7 2 3 2" xfId="44262"/>
    <cellStyle name="强调文字颜色 6 2 2 7 3" xfId="44263"/>
    <cellStyle name="强调文字颜色 6 2 2 7 3 2" xfId="44264"/>
    <cellStyle name="强调文字颜色 6 2 2 7 3 2 2" xfId="44265"/>
    <cellStyle name="强调文字颜色 6 2 2 7 4" xfId="44266"/>
    <cellStyle name="强调文字颜色 6 2 2 7 4 2" xfId="44267"/>
    <cellStyle name="强调文字颜色 6 2 2 8" xfId="44268"/>
    <cellStyle name="强调文字颜色 6 2 2 8 2" xfId="44269"/>
    <cellStyle name="强调文字颜色 6 2 2 8 2 2" xfId="44270"/>
    <cellStyle name="强调文字颜色 6 2 2 8 2 2 2" xfId="44271"/>
    <cellStyle name="强调文字颜色 6 2 2 8 3" xfId="44272"/>
    <cellStyle name="强调文字颜色 6 2 2 8 3 2" xfId="44273"/>
    <cellStyle name="强调文字颜色 6 2 2 9" xfId="44274"/>
    <cellStyle name="强调文字颜色 6 2 2 9 2" xfId="44275"/>
    <cellStyle name="强调文字颜色 6 2 2 9 2 2" xfId="44276"/>
    <cellStyle name="强调文字颜色 6 2 2 9 2 2 2" xfId="44277"/>
    <cellStyle name="强调文字颜色 6 2 2 9 3" xfId="44278"/>
    <cellStyle name="强调文字颜色 6 2 2 9 3 2" xfId="44279"/>
    <cellStyle name="强调文字颜色 6 2 3" xfId="44280"/>
    <cellStyle name="强调文字颜色 6 2 3 2" xfId="44281"/>
    <cellStyle name="强调文字颜色 6 2 3 2 2" xfId="44282"/>
    <cellStyle name="强调文字颜色 6 2 3 2 2 2" xfId="44283"/>
    <cellStyle name="强调文字颜色 6 2 3 2 2 2 2" xfId="44284"/>
    <cellStyle name="强调文字颜色 6 2 3 2 2 2 3" xfId="44285"/>
    <cellStyle name="强调文字颜色 6 2 3 2 2 2 3 2" xfId="44286"/>
    <cellStyle name="强调文字颜色 6 2 3 2 2 2 3 2 2" xfId="44287"/>
    <cellStyle name="强调文字颜色 6 2 3 2 2 2 4" xfId="44288"/>
    <cellStyle name="强调文字颜色 6 2 3 2 2 2 4 2" xfId="44289"/>
    <cellStyle name="强调文字颜色 6 2 3 2 2 3" xfId="44290"/>
    <cellStyle name="强调文字颜色 6 2 3 2 2 3 2" xfId="44291"/>
    <cellStyle name="强调文字颜色 6 2 3 2 2 3 2 2" xfId="44292"/>
    <cellStyle name="强调文字颜色 6 2 3 2 2 3 2 2 2" xfId="44293"/>
    <cellStyle name="强调文字颜色 6 2 3 2 2 3 3" xfId="44294"/>
    <cellStyle name="强调文字颜色 6 2 3 2 2 3 3 2" xfId="44295"/>
    <cellStyle name="强调文字颜色 6 2 3 2 2 4" xfId="44296"/>
    <cellStyle name="强调文字颜色 6 2 3 2 2 5" xfId="44297"/>
    <cellStyle name="强调文字颜色 6 2 3 2 2 6" xfId="44298"/>
    <cellStyle name="强调文字颜色 6 2 3 2 3" xfId="44299"/>
    <cellStyle name="强调文字颜色 6 2 3 2 3 2" xfId="44300"/>
    <cellStyle name="强调文字颜色 6 2 3 2 3 3" xfId="44301"/>
    <cellStyle name="强调文字颜色 6 2 3 2 3 3 2" xfId="44302"/>
    <cellStyle name="强调文字颜色 6 2 3 2 3 3 2 2" xfId="44303"/>
    <cellStyle name="强调文字颜色 6 2 3 2 3 4" xfId="44304"/>
    <cellStyle name="强调文字颜色 6 2 3 2 3 4 2" xfId="44305"/>
    <cellStyle name="强调文字颜色 6 2 3 2 4" xfId="44306"/>
    <cellStyle name="强调文字颜色 6 2 3 2 4 2" xfId="44307"/>
    <cellStyle name="强调文字颜色 6 2 3 2 4 2 2" xfId="44308"/>
    <cellStyle name="强调文字颜色 6 2 3 2 4 2 2 2" xfId="44309"/>
    <cellStyle name="强调文字颜色 6 2 3 2 4 3" xfId="44310"/>
    <cellStyle name="强调文字颜色 6 2 3 2 4 3 2" xfId="44311"/>
    <cellStyle name="强调文字颜色 6 2 3 2 5" xfId="44312"/>
    <cellStyle name="强调文字颜色 6 2 3 2 6" xfId="44313"/>
    <cellStyle name="强调文字颜色 6 2 3 2 7" xfId="44314"/>
    <cellStyle name="强调文字颜色 6 2 3 3" xfId="44315"/>
    <cellStyle name="强调文字颜色 6 2 3 3 2" xfId="44316"/>
    <cellStyle name="强调文字颜色 6 2 3 3 2 2" xfId="44317"/>
    <cellStyle name="强调文字颜色 6 2 3 3 2 3" xfId="44318"/>
    <cellStyle name="强调文字颜色 6 2 3 3 2 3 2" xfId="44319"/>
    <cellStyle name="强调文字颜色 6 2 3 3 2 3 2 2" xfId="44320"/>
    <cellStyle name="强调文字颜色 6 2 3 3 2 4" xfId="44321"/>
    <cellStyle name="强调文字颜色 6 2 3 3 2 4 2" xfId="44322"/>
    <cellStyle name="强调文字颜色 6 2 3 3 3" xfId="44323"/>
    <cellStyle name="强调文字颜色 6 2 3 3 3 2" xfId="44324"/>
    <cellStyle name="强调文字颜色 6 2 3 3 3 2 2" xfId="44325"/>
    <cellStyle name="强调文字颜色 6 2 3 3 3 2 2 2" xfId="44326"/>
    <cellStyle name="强调文字颜色 6 2 3 3 3 3" xfId="44327"/>
    <cellStyle name="强调文字颜色 6 2 3 3 3 3 2" xfId="44328"/>
    <cellStyle name="强调文字颜色 6 2 3 3 4" xfId="44329"/>
    <cellStyle name="强调文字颜色 6 2 3 3 5" xfId="44330"/>
    <cellStyle name="强调文字颜色 6 2 3 3 6" xfId="44331"/>
    <cellStyle name="强调文字颜色 6 2 3 4" xfId="44332"/>
    <cellStyle name="强调文字颜色 6 2 3 4 2" xfId="44333"/>
    <cellStyle name="强调文字颜色 6 2 3 4 2 2" xfId="44334"/>
    <cellStyle name="强调文字颜色 6 2 3 4 2 3" xfId="44335"/>
    <cellStyle name="强调文字颜色 6 2 3 4 2 3 2" xfId="44336"/>
    <cellStyle name="强调文字颜色 6 2 3 4 2 3 2 2" xfId="44337"/>
    <cellStyle name="强调文字颜色 6 2 3 4 2 4" xfId="44338"/>
    <cellStyle name="强调文字颜色 6 2 3 4 2 4 2" xfId="44339"/>
    <cellStyle name="强调文字颜色 6 2 3 4 3" xfId="44340"/>
    <cellStyle name="强调文字颜色 6 2 3 4 4" xfId="44341"/>
    <cellStyle name="强调文字颜色 6 2 3 4 5" xfId="44342"/>
    <cellStyle name="强调文字颜色 6 2 3 4 6" xfId="44343"/>
    <cellStyle name="强调文字颜色 6 2 3 5" xfId="44344"/>
    <cellStyle name="强调文字颜色 6 2 3 5 2" xfId="44345"/>
    <cellStyle name="强调文字颜色 6 2 3 5 2 2" xfId="44346"/>
    <cellStyle name="强调文字颜色 6 2 3 5 2 2 2" xfId="44347"/>
    <cellStyle name="强调文字颜色 6 2 3 5 2 2 2 2" xfId="44348"/>
    <cellStyle name="强调文字颜色 6 2 3 5 2 3" xfId="44349"/>
    <cellStyle name="强调文字颜色 6 2 3 5 2 3 2" xfId="44350"/>
    <cellStyle name="强调文字颜色 6 2 3 5 3" xfId="44351"/>
    <cellStyle name="强调文字颜色 6 2 3 5 3 2" xfId="44352"/>
    <cellStyle name="强调文字颜色 6 2 3 5 3 2 2" xfId="44353"/>
    <cellStyle name="强调文字颜色 6 2 3 5 4" xfId="44354"/>
    <cellStyle name="强调文字颜色 6 2 3 5 4 2" xfId="44355"/>
    <cellStyle name="强调文字颜色 6 2 3 6" xfId="44356"/>
    <cellStyle name="强调文字颜色 6 2 3 6 2" xfId="44357"/>
    <cellStyle name="强调文字颜色 6 2 3 6 2 2" xfId="44358"/>
    <cellStyle name="强调文字颜色 6 2 3 6 2 2 2" xfId="44359"/>
    <cellStyle name="强调文字颜色 6 2 3 6 3" xfId="44360"/>
    <cellStyle name="强调文字颜色 6 2 3 6 3 2" xfId="44361"/>
    <cellStyle name="强调文字颜色 6 2 3 7" xfId="44362"/>
    <cellStyle name="强调文字颜色 6 2 3 7 2" xfId="44363"/>
    <cellStyle name="强调文字颜色 6 2 3 7 2 2" xfId="44364"/>
    <cellStyle name="强调文字颜色 6 2 3 7 2 2 2" xfId="44365"/>
    <cellStyle name="强调文字颜色 6 2 3 7 3" xfId="44366"/>
    <cellStyle name="强调文字颜色 6 2 3 7 3 2" xfId="44367"/>
    <cellStyle name="强调文字颜色 6 2 3 8" xfId="44368"/>
    <cellStyle name="强调文字颜色 6 2 3 9" xfId="44369"/>
    <cellStyle name="强调文字颜色 6 2 4" xfId="44370"/>
    <cellStyle name="强调文字颜色 6 2 4 2" xfId="44371"/>
    <cellStyle name="强调文字颜色 6 2 4 2 2" xfId="44372"/>
    <cellStyle name="强调文字颜色 6 2 4 2 3" xfId="44373"/>
    <cellStyle name="强调文字颜色 6 2 4 2 3 2" xfId="44374"/>
    <cellStyle name="强调文字颜色 6 2 4 2 3 2 2" xfId="44375"/>
    <cellStyle name="强调文字颜色 6 2 4 2 4" xfId="44376"/>
    <cellStyle name="强调文字颜色 6 2 4 2 4 2" xfId="44377"/>
    <cellStyle name="强调文字颜色 6 2 4 3" xfId="44378"/>
    <cellStyle name="强调文字颜色 6 2 4 3 2" xfId="44379"/>
    <cellStyle name="强调文字颜色 6 2 4 3 2 2" xfId="44380"/>
    <cellStyle name="强调文字颜色 6 2 4 3 2 2 2" xfId="44381"/>
    <cellStyle name="强调文字颜色 6 2 4 3 3" xfId="44382"/>
    <cellStyle name="强调文字颜色 6 2 4 3 3 2" xfId="44383"/>
    <cellStyle name="强调文字颜色 6 2 4 4" xfId="44384"/>
    <cellStyle name="强调文字颜色 6 2 4 5" xfId="44385"/>
    <cellStyle name="强调文字颜色 6 2 4 6" xfId="44386"/>
    <cellStyle name="强调文字颜色 6 2 5" xfId="44387"/>
    <cellStyle name="强调文字颜色 6 2 5 2" xfId="44388"/>
    <cellStyle name="强调文字颜色 6 2 5 2 2" xfId="44389"/>
    <cellStyle name="强调文字颜色 6 2 5 2 3" xfId="44390"/>
    <cellStyle name="强调文字颜色 6 2 5 2 3 2" xfId="44391"/>
    <cellStyle name="强调文字颜色 6 2 5 2 3 2 2" xfId="44392"/>
    <cellStyle name="强调文字颜色 6 2 5 2 4" xfId="44393"/>
    <cellStyle name="强调文字颜色 6 2 5 2 4 2" xfId="44394"/>
    <cellStyle name="强调文字颜色 6 2 5 3" xfId="44395"/>
    <cellStyle name="强调文字颜色 6 2 5 4" xfId="44396"/>
    <cellStyle name="强调文字颜色 6 2 5 5" xfId="44397"/>
    <cellStyle name="强调文字颜色 6 2 5 6" xfId="44398"/>
    <cellStyle name="强调文字颜色 6 2 6" xfId="44399"/>
    <cellStyle name="强调文字颜色 6 2 6 2" xfId="44400"/>
    <cellStyle name="强调文字颜色 6 2 6 2 2" xfId="44401"/>
    <cellStyle name="强调文字颜色 6 2 6 2 2 2" xfId="44402"/>
    <cellStyle name="强调文字颜色 6 2 6 2 2 2 2" xfId="44403"/>
    <cellStyle name="强调文字颜色 6 2 6 2 3" xfId="44404"/>
    <cellStyle name="强调文字颜色 6 2 6 2 3 2" xfId="44405"/>
    <cellStyle name="强调文字颜色 6 2 6 3" xfId="44406"/>
    <cellStyle name="强调文字颜色 6 2 6 3 2" xfId="44407"/>
    <cellStyle name="强调文字颜色 6 2 6 3 2 2" xfId="44408"/>
    <cellStyle name="强调文字颜色 6 2 6 4" xfId="44409"/>
    <cellStyle name="强调文字颜色 6 2 6 4 2" xfId="44410"/>
    <cellStyle name="强调文字颜色 6 2 7" xfId="44411"/>
    <cellStyle name="强调文字颜色 6 2 7 2" xfId="44412"/>
    <cellStyle name="强调文字颜色 6 2 7 2 2" xfId="44413"/>
    <cellStyle name="强调文字颜色 6 2 7 2 2 2" xfId="44414"/>
    <cellStyle name="强调文字颜色 6 2 7 2 2 2 2" xfId="44415"/>
    <cellStyle name="强调文字颜色 6 2 7 2 3" xfId="44416"/>
    <cellStyle name="强调文字颜色 6 2 7 2 3 2" xfId="44417"/>
    <cellStyle name="强调文字颜色 6 2 7 3" xfId="44418"/>
    <cellStyle name="强调文字颜色 6 2 7 3 2" xfId="44419"/>
    <cellStyle name="强调文字颜色 6 2 7 3 2 2" xfId="44420"/>
    <cellStyle name="强调文字颜色 6 2 7 4" xfId="44421"/>
    <cellStyle name="强调文字颜色 6 2 7 4 2" xfId="44422"/>
    <cellStyle name="强调文字颜色 6 2 8" xfId="44423"/>
    <cellStyle name="强调文字颜色 6 2 8 2" xfId="44424"/>
    <cellStyle name="强调文字颜色 6 2 8 2 2" xfId="44425"/>
    <cellStyle name="强调文字颜色 6 2 8 2 2 2" xfId="44426"/>
    <cellStyle name="强调文字颜色 6 2 8 2 2 2 2" xfId="44427"/>
    <cellStyle name="强调文字颜色 6 2 8 2 3" xfId="44428"/>
    <cellStyle name="强调文字颜色 6 2 8 2 3 2" xfId="44429"/>
    <cellStyle name="强调文字颜色 6 2 8 3" xfId="44430"/>
    <cellStyle name="强调文字颜色 6 2 8 3 2" xfId="44431"/>
    <cellStyle name="强调文字颜色 6 2 8 3 2 2" xfId="44432"/>
    <cellStyle name="强调文字颜色 6 2 8 4" xfId="44433"/>
    <cellStyle name="强调文字颜色 6 2 8 4 2" xfId="44434"/>
    <cellStyle name="强调文字颜色 6 2 9" xfId="44435"/>
    <cellStyle name="强调文字颜色 6 2 9 2" xfId="44436"/>
    <cellStyle name="强调文字颜色 6 2 9 2 2" xfId="44437"/>
    <cellStyle name="强调文字颜色 6 2 9 2 2 2" xfId="44438"/>
    <cellStyle name="强调文字颜色 6 2 9 3" xfId="44439"/>
    <cellStyle name="强调文字颜色 6 2 9 3 2" xfId="44440"/>
    <cellStyle name="强调文字颜色 6 3" xfId="44441"/>
    <cellStyle name="强调文字颜色 6 3 2" xfId="44442"/>
    <cellStyle name="强调文字颜色 6 3 2 2" xfId="44443"/>
    <cellStyle name="强调文字颜色 6 3 2 2 2" xfId="44444"/>
    <cellStyle name="强调文字颜色 6 3 2 2 2 2" xfId="44445"/>
    <cellStyle name="强调文字颜色 6 3 2 2 2 3" xfId="44446"/>
    <cellStyle name="强调文字颜色 6 3 2 2 2 3 2" xfId="44447"/>
    <cellStyle name="强调文字颜色 6 3 2 2 2 3 2 2" xfId="44448"/>
    <cellStyle name="强调文字颜色 6 3 2 2 2 4" xfId="44449"/>
    <cellStyle name="强调文字颜色 6 3 2 2 2 4 2" xfId="44450"/>
    <cellStyle name="强调文字颜色 6 3 2 2 3" xfId="44451"/>
    <cellStyle name="强调文字颜色 6 3 2 2 3 2" xfId="44452"/>
    <cellStyle name="强调文字颜色 6 3 2 2 3 2 2" xfId="44453"/>
    <cellStyle name="强调文字颜色 6 3 2 2 3 2 2 2" xfId="44454"/>
    <cellStyle name="强调文字颜色 6 3 2 2 3 3" xfId="44455"/>
    <cellStyle name="强调文字颜色 6 3 2 2 3 3 2" xfId="44456"/>
    <cellStyle name="强调文字颜色 6 3 2 2 4" xfId="44457"/>
    <cellStyle name="强调文字颜色 6 3 2 2 5" xfId="44458"/>
    <cellStyle name="强调文字颜色 6 3 2 2 6" xfId="44459"/>
    <cellStyle name="强调文字颜色 6 3 2 3" xfId="44460"/>
    <cellStyle name="强调文字颜色 6 3 2 3 2" xfId="44461"/>
    <cellStyle name="强调文字颜色 6 3 2 3 3" xfId="44462"/>
    <cellStyle name="强调文字颜色 6 3 2 3 3 2" xfId="44463"/>
    <cellStyle name="强调文字颜色 6 3 2 3 3 2 2" xfId="44464"/>
    <cellStyle name="强调文字颜色 6 3 2 3 4" xfId="44465"/>
    <cellStyle name="强调文字颜色 6 3 2 3 4 2" xfId="44466"/>
    <cellStyle name="强调文字颜色 6 3 2 4" xfId="44467"/>
    <cellStyle name="强调文字颜色 6 3 2 4 2" xfId="44468"/>
    <cellStyle name="强调文字颜色 6 3 2 4 2 2" xfId="44469"/>
    <cellStyle name="强调文字颜色 6 3 2 4 2 2 2" xfId="44470"/>
    <cellStyle name="强调文字颜色 6 3 2 4 3" xfId="44471"/>
    <cellStyle name="强调文字颜色 6 3 2 4 3 2" xfId="44472"/>
    <cellStyle name="强调文字颜色 6 3 2 5" xfId="44473"/>
    <cellStyle name="强调文字颜色 6 3 2 6" xfId="44474"/>
    <cellStyle name="强调文字颜色 6 3 2 7" xfId="44475"/>
    <cellStyle name="强调文字颜色 6 3 3" xfId="44476"/>
    <cellStyle name="强调文字颜色 6 3 3 2" xfId="44477"/>
    <cellStyle name="强调文字颜色 6 3 3 2 2" xfId="44478"/>
    <cellStyle name="强调文字颜色 6 3 3 2 3" xfId="44479"/>
    <cellStyle name="强调文字颜色 6 3 3 2 3 2" xfId="44480"/>
    <cellStyle name="强调文字颜色 6 3 3 2 3 2 2" xfId="44481"/>
    <cellStyle name="强调文字颜色 6 3 3 2 4" xfId="44482"/>
    <cellStyle name="强调文字颜色 6 3 3 2 4 2" xfId="44483"/>
    <cellStyle name="强调文字颜色 6 3 3 3" xfId="44484"/>
    <cellStyle name="强调文字颜色 6 3 3 3 2" xfId="44485"/>
    <cellStyle name="强调文字颜色 6 3 3 3 2 2" xfId="44486"/>
    <cellStyle name="强调文字颜色 6 3 3 3 2 2 2" xfId="44487"/>
    <cellStyle name="强调文字颜色 6 3 3 3 3" xfId="44488"/>
    <cellStyle name="强调文字颜色 6 3 3 3 3 2" xfId="44489"/>
    <cellStyle name="强调文字颜色 6 3 3 4" xfId="44490"/>
    <cellStyle name="强调文字颜色 6 3 3 5" xfId="44491"/>
    <cellStyle name="强调文字颜色 6 3 3 6" xfId="44492"/>
    <cellStyle name="强调文字颜色 6 3 4" xfId="44493"/>
    <cellStyle name="强调文字颜色 6 3 4 2" xfId="44494"/>
    <cellStyle name="强调文字颜色 6 3 4 2 2" xfId="44495"/>
    <cellStyle name="强调文字颜色 6 3 4 2 3" xfId="44496"/>
    <cellStyle name="强调文字颜色 6 3 4 2 3 2" xfId="44497"/>
    <cellStyle name="强调文字颜色 6 3 4 2 3 2 2" xfId="44498"/>
    <cellStyle name="强调文字颜色 6 3 4 2 4" xfId="44499"/>
    <cellStyle name="强调文字颜色 6 3 4 2 4 2" xfId="44500"/>
    <cellStyle name="强调文字颜色 6 3 4 3" xfId="44501"/>
    <cellStyle name="强调文字颜色 6 3 4 4" xfId="44502"/>
    <cellStyle name="强调文字颜色 6 3 4 5" xfId="44503"/>
    <cellStyle name="强调文字颜色 6 3 4 6" xfId="44504"/>
    <cellStyle name="强调文字颜色 6 3 5" xfId="44505"/>
    <cellStyle name="强调文字颜色 6 3 5 2" xfId="44506"/>
    <cellStyle name="强调文字颜色 6 3 5 2 2" xfId="44507"/>
    <cellStyle name="强调文字颜色 6 3 5 2 2 2" xfId="44508"/>
    <cellStyle name="强调文字颜色 6 3 5 2 2 2 2" xfId="44509"/>
    <cellStyle name="强调文字颜色 6 3 5 2 3" xfId="44510"/>
    <cellStyle name="强调文字颜色 6 3 5 2 3 2" xfId="44511"/>
    <cellStyle name="强调文字颜色 6 3 5 3" xfId="44512"/>
    <cellStyle name="强调文字颜色 6 3 5 3 2" xfId="44513"/>
    <cellStyle name="强调文字颜色 6 3 5 3 2 2" xfId="44514"/>
    <cellStyle name="强调文字颜色 6 3 5 4" xfId="44515"/>
    <cellStyle name="强调文字颜色 6 3 5 4 2" xfId="44516"/>
    <cellStyle name="强调文字颜色 6 3 6" xfId="44517"/>
    <cellStyle name="强调文字颜色 6 3 6 2" xfId="44518"/>
    <cellStyle name="强调文字颜色 6 3 6 2 2" xfId="44519"/>
    <cellStyle name="强调文字颜色 6 3 6 2 2 2" xfId="44520"/>
    <cellStyle name="强调文字颜色 6 3 6 3" xfId="44521"/>
    <cellStyle name="强调文字颜色 6 3 6 3 2" xfId="44522"/>
    <cellStyle name="强调文字颜色 6 3 7" xfId="44523"/>
    <cellStyle name="强调文字颜色 6 3 8" xfId="44524"/>
    <cellStyle name="數字一" xfId="44525"/>
    <cellStyle name="未定义" xfId="44526"/>
    <cellStyle name="标题 1 2" xfId="44527"/>
    <cellStyle name="标题 1 2 10" xfId="44528"/>
    <cellStyle name="标题 1 2 11" xfId="44529"/>
    <cellStyle name="标题 1 2 2" xfId="44530"/>
    <cellStyle name="标题 1 2 2 10" xfId="44531"/>
    <cellStyle name="标题 1 2 2 11" xfId="44532"/>
    <cellStyle name="标题 1 2 2 2" xfId="44533"/>
    <cellStyle name="标题 1 2 2 2 2" xfId="44534"/>
    <cellStyle name="标题 1 2 2 2 2 2" xfId="44535"/>
    <cellStyle name="标题 1 2 2 2 2 2 2" xfId="44536"/>
    <cellStyle name="标题 1 2 2 2 2 2 3" xfId="44537"/>
    <cellStyle name="标题 1 2 2 2 2 2 3 2" xfId="44538"/>
    <cellStyle name="标题 1 2 2 2 2 2 3 2 2" xfId="44539"/>
    <cellStyle name="标题 1 2 2 2 2 2 4" xfId="44540"/>
    <cellStyle name="标题 1 2 2 2 2 2 4 2" xfId="44541"/>
    <cellStyle name="标题 1 2 2 2 2 3" xfId="44542"/>
    <cellStyle name="标题 1 2 2 2 2 3 2" xfId="44543"/>
    <cellStyle name="标题 1 2 2 2 2 3 2 2" xfId="44544"/>
    <cellStyle name="标题 1 2 2 2 2 3 2 2 2" xfId="44545"/>
    <cellStyle name="标题 1 2 2 2 2 3 3" xfId="44546"/>
    <cellStyle name="标题 1 2 2 2 2 3 3 2" xfId="44547"/>
    <cellStyle name="标题 1 2 2 2 2 4" xfId="44548"/>
    <cellStyle name="标题 1 2 2 2 2 5" xfId="44549"/>
    <cellStyle name="标题 1 2 2 2 2 6" xfId="44550"/>
    <cellStyle name="标题 1 2 2 2 3" xfId="44551"/>
    <cellStyle name="标题 1 2 2 2 3 2" xfId="44552"/>
    <cellStyle name="标题 1 2 2 2 3 3" xfId="44553"/>
    <cellStyle name="标题 1 2 2 2 3 3 2" xfId="44554"/>
    <cellStyle name="标题 1 2 2 2 3 3 2 2" xfId="44555"/>
    <cellStyle name="标题 1 2 2 2 3 4" xfId="44556"/>
    <cellStyle name="标题 1 2 2 2 3 4 2" xfId="44557"/>
    <cellStyle name="标题 1 2 2 2 4" xfId="44558"/>
    <cellStyle name="标题 1 2 2 2 4 2" xfId="44559"/>
    <cellStyle name="标题 1 2 2 2 4 2 2" xfId="44560"/>
    <cellStyle name="标题 1 2 2 2 4 2 2 2" xfId="44561"/>
    <cellStyle name="标题 1 2 2 2 4 3" xfId="44562"/>
    <cellStyle name="标题 1 2 2 2 4 3 2" xfId="44563"/>
    <cellStyle name="标题 1 2 2 2 5" xfId="44564"/>
    <cellStyle name="标题 1 2 2 2 6" xfId="44565"/>
    <cellStyle name="标题 1 2 2 2 7" xfId="44566"/>
    <cellStyle name="标题 1 2 2 3" xfId="44567"/>
    <cellStyle name="标题 1 2 2 3 2" xfId="44568"/>
    <cellStyle name="标题 1 2 2 3 2 2" xfId="44569"/>
    <cellStyle name="标题 1 2 2 3 2 3" xfId="44570"/>
    <cellStyle name="标题 1 2 2 3 2 3 2" xfId="44571"/>
    <cellStyle name="标题 1 2 2 3 2 3 2 2" xfId="44572"/>
    <cellStyle name="标题 1 2 2 3 2 4" xfId="44573"/>
    <cellStyle name="标题 1 2 2 3 2 4 2" xfId="44574"/>
    <cellStyle name="标题 1 2 2 3 3" xfId="44575"/>
    <cellStyle name="标题 1 2 2 3 3 2" xfId="44576"/>
    <cellStyle name="标题 1 2 2 3 3 2 2" xfId="44577"/>
    <cellStyle name="标题 1 2 2 3 3 2 2 2" xfId="44578"/>
    <cellStyle name="标题 1 2 2 3 3 3" xfId="44579"/>
    <cellStyle name="标题 1 2 2 3 3 3 2" xfId="44580"/>
    <cellStyle name="标题 1 2 2 3 4" xfId="44581"/>
    <cellStyle name="标题 1 2 2 3 5" xfId="44582"/>
    <cellStyle name="标题 1 2 2 3 6" xfId="44583"/>
    <cellStyle name="标题 1 2 2 4" xfId="44584"/>
    <cellStyle name="标题 1 2 2 4 2" xfId="44585"/>
    <cellStyle name="标题 1 2 2 4 2 2" xfId="44586"/>
    <cellStyle name="标题 1 2 2 4 2 3" xfId="44587"/>
    <cellStyle name="标题 1 2 2 4 2 3 2" xfId="44588"/>
    <cellStyle name="标题 1 2 2 4 2 3 2 2" xfId="44589"/>
    <cellStyle name="标题 1 2 2 4 2 4" xfId="44590"/>
    <cellStyle name="标题 1 2 2 4 2 4 2" xfId="44591"/>
    <cellStyle name="标题 1 2 2 4 3" xfId="44592"/>
    <cellStyle name="标题 1 2 2 4 4" xfId="44593"/>
    <cellStyle name="标题 1 2 2 4 5" xfId="44594"/>
    <cellStyle name="标题 1 2 2 4 6" xfId="44595"/>
    <cellStyle name="标题 1 2 2 5" xfId="44596"/>
    <cellStyle name="标题 1 2 2 5 2" xfId="44597"/>
    <cellStyle name="标题 1 2 2 5 2 2" xfId="44598"/>
    <cellStyle name="标题 1 2 2 5 2 2 2" xfId="44599"/>
    <cellStyle name="标题 1 2 2 5 2 2 2 2" xfId="44600"/>
    <cellStyle name="标题 1 2 2 5 2 3" xfId="44601"/>
    <cellStyle name="标题 1 2 2 5 2 3 2" xfId="44602"/>
    <cellStyle name="标题 1 2 2 5 3" xfId="44603"/>
    <cellStyle name="标题 1 2 2 5 3 2" xfId="44604"/>
    <cellStyle name="标题 1 2 2 5 3 2 2" xfId="44605"/>
    <cellStyle name="标题 1 2 2 5 4" xfId="44606"/>
    <cellStyle name="标题 1 2 2 5 4 2" xfId="44607"/>
    <cellStyle name="标题 1 2 2 6" xfId="44608"/>
    <cellStyle name="标题 1 2 2 6 2" xfId="44609"/>
    <cellStyle name="标题 1 2 2 6 2 2" xfId="44610"/>
    <cellStyle name="标题 1 2 2 6 2 2 2" xfId="44611"/>
    <cellStyle name="标题 1 2 2 6 2 2 2 2" xfId="44612"/>
    <cellStyle name="标题 1 2 2 6 2 3" xfId="44613"/>
    <cellStyle name="标题 1 2 2 6 2 3 2" xfId="44614"/>
    <cellStyle name="标题 1 2 2 6 3" xfId="44615"/>
    <cellStyle name="标题 1 2 2 6 3 2" xfId="44616"/>
    <cellStyle name="标题 1 2 2 6 3 2 2" xfId="44617"/>
    <cellStyle name="标题 1 2 2 6 4" xfId="44618"/>
    <cellStyle name="标题 1 2 2 6 4 2" xfId="44619"/>
    <cellStyle name="标题 1 2 2 7" xfId="44620"/>
    <cellStyle name="标题 1 2 2 7 2" xfId="44621"/>
    <cellStyle name="标题 1 2 2 7 2 2" xfId="44622"/>
    <cellStyle name="标题 1 2 2 7 2 2 2" xfId="44623"/>
    <cellStyle name="标题 1 2 2 7 2 2 2 2" xfId="44624"/>
    <cellStyle name="标题 1 2 2 7 2 3" xfId="44625"/>
    <cellStyle name="标题 1 2 2 7 2 3 2" xfId="44626"/>
    <cellStyle name="标题 1 2 2 7 3" xfId="44627"/>
    <cellStyle name="标题 1 2 2 7 3 2" xfId="44628"/>
    <cellStyle name="标题 1 2 2 7 3 2 2" xfId="44629"/>
    <cellStyle name="标题 1 2 2 7 4" xfId="44630"/>
    <cellStyle name="标题 1 2 2 7 4 2" xfId="44631"/>
    <cellStyle name="标题 1 2 2 8" xfId="44632"/>
    <cellStyle name="标题 1 2 2 8 2" xfId="44633"/>
    <cellStyle name="标题 1 2 2 8 2 2" xfId="44634"/>
    <cellStyle name="标题 1 2 2 8 2 2 2" xfId="44635"/>
    <cellStyle name="标题 1 2 2 8 3" xfId="44636"/>
    <cellStyle name="标题 1 2 2 8 3 2" xfId="44637"/>
    <cellStyle name="标题 1 2 2 9" xfId="44638"/>
    <cellStyle name="标题 1 2 2 9 2" xfId="44639"/>
    <cellStyle name="标题 1 2 2 9 2 2" xfId="44640"/>
    <cellStyle name="标题 1 2 2 9 2 2 2" xfId="44641"/>
    <cellStyle name="标题 1 2 2 9 3" xfId="44642"/>
    <cellStyle name="标题 1 2 2 9 3 2" xfId="44643"/>
    <cellStyle name="标题 1 2 3" xfId="44644"/>
    <cellStyle name="标题 1 2 3 2" xfId="44645"/>
    <cellStyle name="标题 1 2 3 2 2" xfId="44646"/>
    <cellStyle name="标题 1 2 3 2 2 2" xfId="44647"/>
    <cellStyle name="标题 1 2 3 2 2 2 2" xfId="44648"/>
    <cellStyle name="标题 1 2 3 2 2 2 3" xfId="44649"/>
    <cellStyle name="标题 1 2 3 2 2 2 3 2" xfId="44650"/>
    <cellStyle name="标题 1 2 3 2 2 2 3 2 2" xfId="44651"/>
    <cellStyle name="标题 1 2 3 2 2 2 4" xfId="44652"/>
    <cellStyle name="标题 1 2 3 2 2 2 4 2" xfId="44653"/>
    <cellStyle name="标题 1 2 3 2 2 3" xfId="44654"/>
    <cellStyle name="标题 1 2 3 2 2 3 2" xfId="44655"/>
    <cellStyle name="标题 1 2 3 2 2 3 2 2" xfId="44656"/>
    <cellStyle name="标题 1 2 3 2 2 3 2 2 2" xfId="44657"/>
    <cellStyle name="标题 1 2 3 2 2 3 3" xfId="44658"/>
    <cellStyle name="标题 1 2 3 2 2 3 3 2" xfId="44659"/>
    <cellStyle name="标题 1 2 3 2 2 4" xfId="44660"/>
    <cellStyle name="标题 1 2 3 2 2 5" xfId="44661"/>
    <cellStyle name="标题 1 2 3 2 2 6" xfId="44662"/>
    <cellStyle name="标题 1 2 3 2 3" xfId="44663"/>
    <cellStyle name="标题 1 2 3 2 3 2" xfId="44664"/>
    <cellStyle name="标题 1 2 3 2 3 3" xfId="44665"/>
    <cellStyle name="标题 1 2 3 2 3 3 2" xfId="44666"/>
    <cellStyle name="标题 1 2 3 2 3 3 2 2" xfId="44667"/>
    <cellStyle name="标题 1 2 3 2 3 4" xfId="44668"/>
    <cellStyle name="标题 1 2 3 2 3 4 2" xfId="44669"/>
    <cellStyle name="标题 1 2 3 2 4" xfId="44670"/>
    <cellStyle name="标题 1 2 3 2 4 2" xfId="44671"/>
    <cellStyle name="标题 1 2 3 2 4 2 2" xfId="44672"/>
    <cellStyle name="标题 1 2 3 2 4 2 2 2" xfId="44673"/>
    <cellStyle name="标题 1 2 3 2 4 3" xfId="44674"/>
    <cellStyle name="标题 1 2 3 2 4 3 2" xfId="44675"/>
    <cellStyle name="标题 1 2 3 2 5" xfId="44676"/>
    <cellStyle name="标题 1 2 3 2 6" xfId="44677"/>
    <cellStyle name="标题 1 2 3 2 7" xfId="44678"/>
    <cellStyle name="标题 1 2 3 3" xfId="44679"/>
    <cellStyle name="标题 1 2 3 3 2" xfId="44680"/>
    <cellStyle name="标题 1 2 3 3 2 2" xfId="44681"/>
    <cellStyle name="标题 1 2 3 3 2 3" xfId="44682"/>
    <cellStyle name="标题 1 2 3 3 2 3 2" xfId="44683"/>
    <cellStyle name="标题 1 2 3 3 2 3 2 2" xfId="44684"/>
    <cellStyle name="标题 1 2 3 3 2 4" xfId="44685"/>
    <cellStyle name="标题 1 2 3 3 2 4 2" xfId="44686"/>
    <cellStyle name="标题 1 2 3 3 3" xfId="44687"/>
    <cellStyle name="标题 1 2 3 3 3 2" xfId="44688"/>
    <cellStyle name="标题 1 2 3 3 3 2 2" xfId="44689"/>
    <cellStyle name="标题 1 2 3 3 3 2 2 2" xfId="44690"/>
    <cellStyle name="标题 1 2 3 3 3 3" xfId="44691"/>
    <cellStyle name="标题 1 2 3 3 3 3 2" xfId="44692"/>
    <cellStyle name="标题 1 2 3 3 4" xfId="44693"/>
    <cellStyle name="标题 1 2 3 3 5" xfId="44694"/>
    <cellStyle name="标题 1 2 3 3 6" xfId="44695"/>
    <cellStyle name="标题 1 2 3 4" xfId="44696"/>
    <cellStyle name="标题 1 2 3 4 2" xfId="44697"/>
    <cellStyle name="标题 1 2 3 4 2 2" xfId="44698"/>
    <cellStyle name="标题 1 2 3 4 2 3" xfId="44699"/>
    <cellStyle name="标题 1 2 3 4 2 3 2" xfId="44700"/>
    <cellStyle name="标题 1 2 3 4 2 3 2 2" xfId="44701"/>
    <cellStyle name="标题 1 2 3 4 2 4" xfId="44702"/>
    <cellStyle name="标题 1 2 3 4 2 4 2" xfId="44703"/>
    <cellStyle name="标题 1 2 3 4 3" xfId="44704"/>
    <cellStyle name="标题 1 2 3 4 4" xfId="44705"/>
    <cellStyle name="标题 1 2 3 4 5" xfId="44706"/>
    <cellStyle name="标题 1 2 3 4 6" xfId="44707"/>
    <cellStyle name="标题 1 2 3 5" xfId="44708"/>
    <cellStyle name="标题 1 2 3 5 2" xfId="44709"/>
    <cellStyle name="标题 1 2 3 5 2 2" xfId="44710"/>
    <cellStyle name="标题 1 2 3 5 2 2 2" xfId="44711"/>
    <cellStyle name="标题 1 2 3 5 2 2 2 2" xfId="44712"/>
    <cellStyle name="标题 1 2 3 5 2 3" xfId="44713"/>
    <cellStyle name="标题 1 2 3 5 2 3 2" xfId="44714"/>
    <cellStyle name="标题 1 2 3 5 3" xfId="44715"/>
    <cellStyle name="标题 1 2 3 5 3 2" xfId="44716"/>
    <cellStyle name="标题 1 2 3 5 3 2 2" xfId="44717"/>
    <cellStyle name="标题 1 2 3 5 4" xfId="44718"/>
    <cellStyle name="标题 1 2 3 5 4 2" xfId="44719"/>
    <cellStyle name="标题 1 2 3 6" xfId="44720"/>
    <cellStyle name="标题 1 2 3 6 2" xfId="44721"/>
    <cellStyle name="标题 1 2 3 6 2 2" xfId="44722"/>
    <cellStyle name="标题 1 2 3 6 2 2 2" xfId="44723"/>
    <cellStyle name="标题 1 2 3 6 3" xfId="44724"/>
    <cellStyle name="标题 1 2 3 6 3 2" xfId="44725"/>
    <cellStyle name="标题 1 2 3 7" xfId="44726"/>
    <cellStyle name="标题 1 2 3 7 2" xfId="44727"/>
    <cellStyle name="标题 1 2 3 7 2 2" xfId="44728"/>
    <cellStyle name="标题 1 2 3 7 2 2 2" xfId="44729"/>
    <cellStyle name="标题 1 2 3 7 3" xfId="44730"/>
    <cellStyle name="标题 1 2 3 7 3 2" xfId="44731"/>
    <cellStyle name="标题 1 2 3 8" xfId="44732"/>
    <cellStyle name="标题 1 2 3 9" xfId="44733"/>
    <cellStyle name="标题 1 2 4" xfId="44734"/>
    <cellStyle name="标题 1 2 4 2" xfId="44735"/>
    <cellStyle name="标题 1 2 4 2 2" xfId="44736"/>
    <cellStyle name="标题 1 2 4 2 3" xfId="44737"/>
    <cellStyle name="标题 1 2 4 2 3 2" xfId="44738"/>
    <cellStyle name="标题 1 2 4 2 3 2 2" xfId="44739"/>
    <cellStyle name="标题 1 2 4 2 4" xfId="44740"/>
    <cellStyle name="标题 1 2 4 2 4 2" xfId="44741"/>
    <cellStyle name="标题 1 2 4 3" xfId="44742"/>
    <cellStyle name="标题 1 2 4 3 2" xfId="44743"/>
    <cellStyle name="标题 1 2 4 3 2 2" xfId="44744"/>
    <cellStyle name="标题 1 2 4 3 2 2 2" xfId="44745"/>
    <cellStyle name="标题 1 2 4 3 3" xfId="44746"/>
    <cellStyle name="标题 1 2 4 3 3 2" xfId="44747"/>
    <cellStyle name="标题 1 2 4 4" xfId="44748"/>
    <cellStyle name="标题 1 2 4 5" xfId="44749"/>
    <cellStyle name="标题 1 2 4 6" xfId="44750"/>
    <cellStyle name="标题 1 2 5" xfId="44751"/>
    <cellStyle name="标题 1 2 5 2" xfId="44752"/>
    <cellStyle name="标题 1 2 5 2 2" xfId="44753"/>
    <cellStyle name="标题 1 2 5 2 3" xfId="44754"/>
    <cellStyle name="标题 1 2 5 2 3 2" xfId="44755"/>
    <cellStyle name="标题 1 2 5 2 3 2 2" xfId="44756"/>
    <cellStyle name="标题 1 2 5 2 4" xfId="44757"/>
    <cellStyle name="标题 1 2 5 2 4 2" xfId="44758"/>
    <cellStyle name="标题 1 2 5 3" xfId="44759"/>
    <cellStyle name="标题 1 2 5 4" xfId="44760"/>
    <cellStyle name="标题 1 2 5 5" xfId="44761"/>
    <cellStyle name="标题 1 2 5 6" xfId="44762"/>
    <cellStyle name="标题 1 2 6" xfId="44763"/>
    <cellStyle name="标题 1 2 6 2" xfId="44764"/>
    <cellStyle name="标题 1 2 6 2 2" xfId="44765"/>
    <cellStyle name="标题 1 2 6 2 2 2" xfId="44766"/>
    <cellStyle name="标题 1 2 6 2 2 2 2" xfId="44767"/>
    <cellStyle name="标题 1 2 6 2 3" xfId="44768"/>
    <cellStyle name="标题 1 2 6 2 3 2" xfId="44769"/>
    <cellStyle name="标题 1 2 6 3" xfId="44770"/>
    <cellStyle name="标题 1 2 6 3 2" xfId="44771"/>
    <cellStyle name="标题 1 2 6 3 2 2" xfId="44772"/>
    <cellStyle name="标题 1 2 6 4" xfId="44773"/>
    <cellStyle name="标题 1 2 6 4 2" xfId="44774"/>
    <cellStyle name="标题 1 2 7" xfId="44775"/>
    <cellStyle name="标题 1 2 7 2" xfId="44776"/>
    <cellStyle name="标题 1 2 7 2 2" xfId="44777"/>
    <cellStyle name="标题 1 2 7 2 2 2" xfId="44778"/>
    <cellStyle name="标题 1 2 7 2 2 2 2" xfId="44779"/>
    <cellStyle name="标题 1 2 7 2 3" xfId="44780"/>
    <cellStyle name="标题 1 2 7 2 3 2" xfId="44781"/>
    <cellStyle name="标题 1 2 7 3" xfId="44782"/>
    <cellStyle name="标题 1 2 7 3 2" xfId="44783"/>
    <cellStyle name="标题 1 2 7 3 2 2" xfId="44784"/>
    <cellStyle name="标题 1 2 7 4" xfId="44785"/>
    <cellStyle name="标题 1 2 7 4 2" xfId="44786"/>
    <cellStyle name="标题 1 2 8" xfId="44787"/>
    <cellStyle name="标题 1 2 8 2" xfId="44788"/>
    <cellStyle name="标题 1 2 8 2 2" xfId="44789"/>
    <cellStyle name="标题 1 2 8 2 2 2" xfId="44790"/>
    <cellStyle name="标题 1 2 8 2 2 2 2" xfId="44791"/>
    <cellStyle name="标题 1 2 8 2 3" xfId="44792"/>
    <cellStyle name="标题 1 2 8 2 3 2" xfId="44793"/>
    <cellStyle name="标题 1 2 8 3" xfId="44794"/>
    <cellStyle name="标题 1 2 8 3 2" xfId="44795"/>
    <cellStyle name="标题 1 2 8 3 2 2" xfId="44796"/>
    <cellStyle name="标题 1 2 8 4" xfId="44797"/>
    <cellStyle name="标题 1 2 8 4 2" xfId="44798"/>
    <cellStyle name="标题 1 2 9" xfId="44799"/>
    <cellStyle name="标题 1 2 9 2" xfId="44800"/>
    <cellStyle name="标题 1 2 9 2 2" xfId="44801"/>
    <cellStyle name="标题 1 2 9 2 2 2" xfId="44802"/>
    <cellStyle name="标题 1 2 9 3" xfId="44803"/>
    <cellStyle name="标题 1 2 9 3 2" xfId="44804"/>
    <cellStyle name="标题 1 3" xfId="44805"/>
    <cellStyle name="标题 1 3 2" xfId="44806"/>
    <cellStyle name="标题 1 3 2 2" xfId="44807"/>
    <cellStyle name="标题 1 3 2 2 2" xfId="44808"/>
    <cellStyle name="标题 1 3 2 2 2 2" xfId="44809"/>
    <cellStyle name="标题 1 3 2 2 2 3" xfId="44810"/>
    <cellStyle name="标题 1 3 2 2 2 3 2" xfId="44811"/>
    <cellStyle name="标题 1 3 2 2 2 3 2 2" xfId="44812"/>
    <cellStyle name="标题 1 3 2 2 2 4" xfId="44813"/>
    <cellStyle name="标题 1 3 2 2 2 4 2" xfId="44814"/>
    <cellStyle name="标题 1 3 2 2 3" xfId="44815"/>
    <cellStyle name="标题 1 3 2 2 3 2" xfId="44816"/>
    <cellStyle name="标题 1 3 2 2 3 2 2" xfId="44817"/>
    <cellStyle name="标题 1 3 2 2 3 2 2 2" xfId="44818"/>
    <cellStyle name="标题 1 3 2 2 3 3" xfId="44819"/>
    <cellStyle name="标题 1 3 2 2 3 3 2" xfId="44820"/>
    <cellStyle name="标题 1 3 2 2 4" xfId="44821"/>
    <cellStyle name="标题 1 3 2 2 5" xfId="44822"/>
    <cellStyle name="标题 1 3 2 2 6" xfId="44823"/>
    <cellStyle name="标题 1 3 2 3" xfId="44824"/>
    <cellStyle name="标题 1 3 2 3 2" xfId="44825"/>
    <cellStyle name="标题 1 3 2 3 3" xfId="44826"/>
    <cellStyle name="标题 1 3 2 3 3 2" xfId="44827"/>
    <cellStyle name="标题 1 3 2 3 3 2 2" xfId="44828"/>
    <cellStyle name="标题 1 3 2 3 4" xfId="44829"/>
    <cellStyle name="标题 1 3 2 3 4 2" xfId="44830"/>
    <cellStyle name="标题 1 3 2 4" xfId="44831"/>
    <cellStyle name="标题 1 3 2 4 2" xfId="44832"/>
    <cellStyle name="标题 1 3 2 4 2 2" xfId="44833"/>
    <cellStyle name="标题 1 3 2 4 2 2 2" xfId="44834"/>
    <cellStyle name="标题 1 3 2 4 3" xfId="44835"/>
    <cellStyle name="标题 1 3 2 4 3 2" xfId="44836"/>
    <cellStyle name="标题 1 3 2 5" xfId="44837"/>
    <cellStyle name="标题 1 3 2 6" xfId="44838"/>
    <cellStyle name="标题 1 3 2 7" xfId="44839"/>
    <cellStyle name="标题 1 3 3" xfId="44840"/>
    <cellStyle name="标题 1 3 3 2" xfId="44841"/>
    <cellStyle name="标题 1 3 3 2 2" xfId="44842"/>
    <cellStyle name="标题 1 3 3 2 3" xfId="44843"/>
    <cellStyle name="标题 1 3 3 2 3 2" xfId="44844"/>
    <cellStyle name="标题 1 3 3 2 3 2 2" xfId="44845"/>
    <cellStyle name="标题 1 3 3 2 4" xfId="44846"/>
    <cellStyle name="标题 1 3 3 2 4 2" xfId="44847"/>
    <cellStyle name="标题 1 3 3 3" xfId="44848"/>
    <cellStyle name="标题 1 3 3 3 2" xfId="44849"/>
    <cellStyle name="标题 1 3 3 3 2 2" xfId="44850"/>
    <cellStyle name="标题 1 3 3 3 2 2 2" xfId="44851"/>
    <cellStyle name="标题 1 3 3 3 3" xfId="44852"/>
    <cellStyle name="标题 1 3 3 3 3 2" xfId="44853"/>
    <cellStyle name="标题 1 3 3 4" xfId="44854"/>
    <cellStyle name="标题 1 3 3 5" xfId="44855"/>
    <cellStyle name="标题 1 3 3 6" xfId="44856"/>
    <cellStyle name="标题 1 3 4" xfId="44857"/>
    <cellStyle name="标题 1 3 4 2" xfId="44858"/>
    <cellStyle name="标题 1 3 4 2 2" xfId="44859"/>
    <cellStyle name="标题 1 3 4 2 3" xfId="44860"/>
    <cellStyle name="标题 1 3 4 2 3 2" xfId="44861"/>
    <cellStyle name="标题 1 3 4 2 3 2 2" xfId="44862"/>
    <cellStyle name="标题 1 3 4 2 4" xfId="44863"/>
    <cellStyle name="标题 1 3 4 2 4 2" xfId="44864"/>
    <cellStyle name="标题 1 3 4 3" xfId="44865"/>
    <cellStyle name="标题 1 3 4 4" xfId="44866"/>
    <cellStyle name="标题 1 3 4 5" xfId="44867"/>
    <cellStyle name="标题 1 3 4 6" xfId="44868"/>
    <cellStyle name="标题 1 3 5" xfId="44869"/>
    <cellStyle name="标题 1 3 5 2" xfId="44870"/>
    <cellStyle name="标题 1 3 5 2 2" xfId="44871"/>
    <cellStyle name="标题 1 3 5 2 2 2" xfId="44872"/>
    <cellStyle name="标题 1 3 5 2 2 2 2" xfId="44873"/>
    <cellStyle name="标题 1 3 5 2 3" xfId="44874"/>
    <cellStyle name="标题 1 3 5 2 3 2" xfId="44875"/>
    <cellStyle name="标题 1 3 5 3" xfId="44876"/>
    <cellStyle name="标题 1 3 5 3 2" xfId="44877"/>
    <cellStyle name="标题 1 3 5 3 2 2" xfId="44878"/>
    <cellStyle name="标题 1 3 5 4" xfId="44879"/>
    <cellStyle name="标题 1 3 5 4 2" xfId="44880"/>
    <cellStyle name="标题 1 3 6" xfId="44881"/>
    <cellStyle name="标题 1 3 6 2" xfId="44882"/>
    <cellStyle name="标题 1 3 6 2 2" xfId="44883"/>
    <cellStyle name="标题 1 3 6 2 2 2" xfId="44884"/>
    <cellStyle name="标题 1 3 6 3" xfId="44885"/>
    <cellStyle name="标题 1 3 6 3 2" xfId="44886"/>
    <cellStyle name="标题 1 3 7" xfId="44887"/>
    <cellStyle name="标题 1 3 8" xfId="44888"/>
    <cellStyle name="标题 2 2" xfId="44889"/>
    <cellStyle name="标题 2 2 10" xfId="44890"/>
    <cellStyle name="标题 2 2 11" xfId="44891"/>
    <cellStyle name="标题 2 2 2" xfId="44892"/>
    <cellStyle name="标题 2 2 2 10" xfId="44893"/>
    <cellStyle name="标题 2 2 2 11" xfId="44894"/>
    <cellStyle name="标题 2 2 2 2" xfId="44895"/>
    <cellStyle name="标题 2 2 2 2 2" xfId="44896"/>
    <cellStyle name="标题 2 2 2 2 2 2" xfId="44897"/>
    <cellStyle name="标题 2 2 2 2 2 2 2" xfId="44898"/>
    <cellStyle name="标题 2 2 2 2 2 2 3" xfId="44899"/>
    <cellStyle name="标题 2 2 2 2 2 2 3 2" xfId="44900"/>
    <cellStyle name="标题 2 2 2 2 2 2 3 2 2" xfId="44901"/>
    <cellStyle name="标题 2 2 2 2 2 2 4" xfId="44902"/>
    <cellStyle name="标题 2 2 2 2 2 2 4 2" xfId="44903"/>
    <cellStyle name="标题 2 2 2 2 2 3" xfId="44904"/>
    <cellStyle name="标题 2 2 2 2 2 3 2" xfId="44905"/>
    <cellStyle name="标题 2 2 2 2 2 3 2 2" xfId="44906"/>
    <cellStyle name="标题 2 2 2 2 2 3 2 2 2" xfId="44907"/>
    <cellStyle name="标题 2 2 2 2 2 3 3" xfId="44908"/>
    <cellStyle name="标题 2 2 2 2 2 3 3 2" xfId="44909"/>
    <cellStyle name="标题 2 2 2 2 2 4" xfId="44910"/>
    <cellStyle name="标题 2 2 2 2 2 5" xfId="44911"/>
    <cellStyle name="标题 2 2 2 2 2 6" xfId="44912"/>
    <cellStyle name="标题 2 2 2 2 3" xfId="44913"/>
    <cellStyle name="标题 2 2 2 2 3 2" xfId="44914"/>
    <cellStyle name="标题 2 2 2 2 3 3" xfId="44915"/>
    <cellStyle name="标题 2 2 2 2 3 3 2" xfId="44916"/>
    <cellStyle name="标题 2 2 2 2 3 3 2 2" xfId="44917"/>
    <cellStyle name="标题 2 2 2 2 3 4" xfId="44918"/>
    <cellStyle name="标题 2 2 2 2 3 4 2" xfId="44919"/>
    <cellStyle name="标题 2 2 2 2 4" xfId="44920"/>
    <cellStyle name="标题 2 2 2 2 4 2" xfId="44921"/>
    <cellStyle name="标题 2 2 2 2 4 2 2" xfId="44922"/>
    <cellStyle name="标题 2 2 2 2 4 2 2 2" xfId="44923"/>
    <cellStyle name="标题 2 2 2 2 4 3" xfId="44924"/>
    <cellStyle name="标题 2 2 2 2 4 3 2" xfId="44925"/>
    <cellStyle name="标题 2 2 2 2 5" xfId="44926"/>
    <cellStyle name="标题 2 2 2 2 6" xfId="44927"/>
    <cellStyle name="标题 2 2 2 2 7" xfId="44928"/>
    <cellStyle name="标题 2 2 2 3" xfId="44929"/>
    <cellStyle name="标题 2 2 2 3 2" xfId="44930"/>
    <cellStyle name="标题 2 2 2 3 2 2" xfId="44931"/>
    <cellStyle name="标题 2 2 2 3 2 3" xfId="44932"/>
    <cellStyle name="标题 2 2 2 3 2 3 2" xfId="44933"/>
    <cellStyle name="标题 2 2 2 3 2 3 2 2" xfId="44934"/>
    <cellStyle name="标题 2 2 2 3 2 4" xfId="44935"/>
    <cellStyle name="标题 2 2 2 3 2 4 2" xfId="44936"/>
    <cellStyle name="标题 2 2 2 3 3" xfId="44937"/>
    <cellStyle name="标题 2 2 2 3 3 2" xfId="44938"/>
    <cellStyle name="标题 2 2 2 3 3 2 2" xfId="44939"/>
    <cellStyle name="标题 2 2 2 3 3 2 2 2" xfId="44940"/>
    <cellStyle name="标题 2 2 2 3 3 3" xfId="44941"/>
    <cellStyle name="标题 2 2 2 3 3 3 2" xfId="44942"/>
    <cellStyle name="标题 2 2 2 3 4" xfId="44943"/>
    <cellStyle name="标题 2 2 2 3 5" xfId="44944"/>
    <cellStyle name="标题 2 2 2 3 6" xfId="44945"/>
    <cellStyle name="标题 2 2 2 4" xfId="44946"/>
    <cellStyle name="标题 2 2 2 4 2" xfId="44947"/>
    <cellStyle name="标题 2 2 2 4 2 2" xfId="44948"/>
    <cellStyle name="标题 2 2 2 4 2 3" xfId="44949"/>
    <cellStyle name="标题 2 2 2 4 2 3 2" xfId="44950"/>
    <cellStyle name="标题 2 2 2 4 2 3 2 2" xfId="44951"/>
    <cellStyle name="标题 2 2 2 4 2 4" xfId="44952"/>
    <cellStyle name="标题 2 2 2 4 2 4 2" xfId="44953"/>
    <cellStyle name="标题 2 2 2 4 3" xfId="44954"/>
    <cellStyle name="标题 2 2 2 4 4" xfId="44955"/>
    <cellStyle name="标题 2 2 2 4 5" xfId="44956"/>
    <cellStyle name="标题 2 2 2 4 6" xfId="44957"/>
    <cellStyle name="标题 2 2 2 5" xfId="44958"/>
    <cellStyle name="标题 2 2 2 5 2" xfId="44959"/>
    <cellStyle name="标题 2 2 2 5 2 2" xfId="44960"/>
    <cellStyle name="标题 2 2 2 5 2 2 2" xfId="44961"/>
    <cellStyle name="标题 2 2 2 5 2 2 2 2" xfId="44962"/>
    <cellStyle name="标题 2 2 2 5 2 3" xfId="44963"/>
    <cellStyle name="标题 2 2 2 5 2 3 2" xfId="44964"/>
    <cellStyle name="标题 2 2 2 5 3" xfId="44965"/>
    <cellStyle name="标题 2 2 2 5 3 2" xfId="44966"/>
    <cellStyle name="标题 2 2 2 5 3 2 2" xfId="44967"/>
    <cellStyle name="标题 2 2 2 5 4" xfId="44968"/>
    <cellStyle name="标题 2 2 2 5 4 2" xfId="44969"/>
    <cellStyle name="标题 2 2 2 6" xfId="44970"/>
    <cellStyle name="标题 2 2 2 6 2" xfId="44971"/>
    <cellStyle name="标题 2 2 2 6 2 2" xfId="44972"/>
    <cellStyle name="标题 2 2 2 6 2 2 2" xfId="44973"/>
    <cellStyle name="标题 2 2 2 6 2 2 2 2" xfId="44974"/>
    <cellStyle name="标题 2 2 2 6 2 3" xfId="44975"/>
    <cellStyle name="标题 2 2 2 6 2 3 2" xfId="44976"/>
    <cellStyle name="标题 2 2 2 6 3" xfId="44977"/>
    <cellStyle name="标题 2 2 2 6 3 2" xfId="44978"/>
    <cellStyle name="标题 2 2 2 6 3 2 2" xfId="44979"/>
    <cellStyle name="标题 2 2 2 6 4" xfId="44980"/>
    <cellStyle name="标题 2 2 2 6 4 2" xfId="44981"/>
    <cellStyle name="标题 2 2 2 7" xfId="44982"/>
    <cellStyle name="标题 2 2 2 7 2" xfId="44983"/>
    <cellStyle name="标题 2 2 2 7 2 2" xfId="44984"/>
    <cellStyle name="标题 2 2 2 7 2 2 2" xfId="44985"/>
    <cellStyle name="标题 2 2 2 7 2 2 2 2" xfId="44986"/>
    <cellStyle name="标题 2 2 2 7 2 3" xfId="44987"/>
    <cellStyle name="标题 2 2 2 7 2 3 2" xfId="44988"/>
    <cellStyle name="标题 2 2 2 7 3" xfId="44989"/>
    <cellStyle name="标题 2 2 2 7 3 2" xfId="44990"/>
    <cellStyle name="标题 2 2 2 7 3 2 2" xfId="44991"/>
    <cellStyle name="标题 2 2 2 7 4" xfId="44992"/>
    <cellStyle name="标题 2 2 2 7 4 2" xfId="44993"/>
    <cellStyle name="标题 2 2 2 8" xfId="44994"/>
    <cellStyle name="标题 2 2 2 8 2" xfId="44995"/>
    <cellStyle name="标题 2 2 2 8 2 2" xfId="44996"/>
    <cellStyle name="标题 2 2 2 8 2 2 2" xfId="44997"/>
    <cellStyle name="标题 2 2 2 8 3" xfId="44998"/>
    <cellStyle name="标题 2 2 2 8 3 2" xfId="44999"/>
    <cellStyle name="标题 2 2 2 9" xfId="45000"/>
    <cellStyle name="标题 2 2 2 9 2" xfId="45001"/>
    <cellStyle name="标题 2 2 2 9 2 2" xfId="45002"/>
    <cellStyle name="标题 2 2 2 9 2 2 2" xfId="45003"/>
    <cellStyle name="标题 2 2 2 9 3" xfId="45004"/>
    <cellStyle name="标题 2 2 2 9 3 2" xfId="45005"/>
    <cellStyle name="标题 2 2 3" xfId="45006"/>
    <cellStyle name="标题 2 2 3 2" xfId="45007"/>
    <cellStyle name="标题 2 2 3 2 2" xfId="45008"/>
    <cellStyle name="标题 2 2 3 2 2 2" xfId="45009"/>
    <cellStyle name="标题 2 2 3 2 2 2 2" xfId="45010"/>
    <cellStyle name="标题 2 2 3 2 2 2 3" xfId="45011"/>
    <cellStyle name="标题 2 2 3 2 2 2 3 2" xfId="45012"/>
    <cellStyle name="标题 2 2 3 2 2 2 3 2 2" xfId="45013"/>
    <cellStyle name="标题 2 2 3 2 2 2 4" xfId="45014"/>
    <cellStyle name="标题 2 2 3 2 2 2 4 2" xfId="45015"/>
    <cellStyle name="标题 2 2 3 2 2 3" xfId="45016"/>
    <cellStyle name="标题 2 2 3 2 2 3 2" xfId="45017"/>
    <cellStyle name="标题 2 2 3 2 2 3 2 2" xfId="45018"/>
    <cellStyle name="标题 2 2 3 2 2 3 2 2 2" xfId="45019"/>
    <cellStyle name="标题 2 2 3 2 2 3 3" xfId="45020"/>
    <cellStyle name="标题 2 2 3 2 2 3 3 2" xfId="45021"/>
    <cellStyle name="标题 2 2 3 2 2 4" xfId="45022"/>
    <cellStyle name="标题 2 2 3 2 2 5" xfId="45023"/>
    <cellStyle name="标题 2 2 3 2 2 6" xfId="45024"/>
    <cellStyle name="标题 2 2 3 2 3" xfId="45025"/>
    <cellStyle name="标题 2 2 3 2 3 2" xfId="45026"/>
    <cellStyle name="标题 2 2 3 2 3 3" xfId="45027"/>
    <cellStyle name="标题 2 2 3 2 3 3 2" xfId="45028"/>
    <cellStyle name="标题 2 2 3 2 3 3 2 2" xfId="45029"/>
    <cellStyle name="标题 2 2 3 2 3 4" xfId="45030"/>
    <cellStyle name="标题 2 2 3 2 3 4 2" xfId="45031"/>
    <cellStyle name="标题 2 2 3 2 4" xfId="45032"/>
    <cellStyle name="标题 2 2 3 2 4 2" xfId="45033"/>
    <cellStyle name="标题 2 2 3 2 4 2 2" xfId="45034"/>
    <cellStyle name="标题 2 2 3 2 4 2 2 2" xfId="45035"/>
    <cellStyle name="标题 2 2 3 2 4 3" xfId="45036"/>
    <cellStyle name="标题 2 2 3 2 4 3 2" xfId="45037"/>
    <cellStyle name="标题 2 2 3 2 5" xfId="45038"/>
    <cellStyle name="标题 2 2 3 2 6" xfId="45039"/>
    <cellStyle name="标题 2 2 3 2 7" xfId="45040"/>
    <cellStyle name="标题 2 2 3 3" xfId="45041"/>
    <cellStyle name="标题 2 2 3 3 2" xfId="45042"/>
    <cellStyle name="标题 2 2 3 3 2 2" xfId="45043"/>
    <cellStyle name="标题 2 2 3 3 2 3" xfId="45044"/>
    <cellStyle name="标题 2 2 3 3 2 3 2" xfId="45045"/>
    <cellStyle name="标题 2 2 3 3 2 3 2 2" xfId="45046"/>
    <cellStyle name="标题 2 2 3 3 2 4" xfId="45047"/>
    <cellStyle name="标题 2 2 3 3 2 4 2" xfId="45048"/>
    <cellStyle name="标题 2 2 3 3 3" xfId="45049"/>
    <cellStyle name="标题 2 2 3 3 3 2" xfId="45050"/>
    <cellStyle name="标题 2 2 3 3 3 2 2" xfId="45051"/>
    <cellStyle name="标题 2 2 3 3 3 2 2 2" xfId="45052"/>
    <cellStyle name="标题 2 2 3 3 3 3" xfId="45053"/>
    <cellStyle name="标题 2 2 3 3 3 3 2" xfId="45054"/>
    <cellStyle name="标题 2 2 3 3 4" xfId="45055"/>
    <cellStyle name="标题 2 2 3 3 5" xfId="45056"/>
    <cellStyle name="标题 2 2 3 3 6" xfId="45057"/>
    <cellStyle name="标题 2 2 3 4" xfId="45058"/>
    <cellStyle name="标题 2 2 3 4 2" xfId="45059"/>
    <cellStyle name="标题 2 2 3 4 2 2" xfId="45060"/>
    <cellStyle name="标题 2 2 3 4 2 3" xfId="45061"/>
    <cellStyle name="标题 2 2 3 4 2 3 2" xfId="45062"/>
    <cellStyle name="标题 2 2 3 4 2 3 2 2" xfId="45063"/>
    <cellStyle name="标题 2 2 3 4 2 4" xfId="45064"/>
    <cellStyle name="标题 2 2 3 4 2 4 2" xfId="45065"/>
    <cellStyle name="标题 2 2 3 4 3" xfId="45066"/>
    <cellStyle name="标题 2 2 3 4 4" xfId="45067"/>
    <cellStyle name="标题 2 2 3 4 5" xfId="45068"/>
    <cellStyle name="标题 2 2 3 4 6" xfId="45069"/>
    <cellStyle name="标题 2 2 3 5" xfId="45070"/>
    <cellStyle name="标题 2 2 3 5 2" xfId="45071"/>
    <cellStyle name="标题 2 2 3 5 2 2" xfId="45072"/>
    <cellStyle name="标题 2 2 3 5 2 2 2" xfId="45073"/>
    <cellStyle name="标题 2 2 3 5 2 2 2 2" xfId="45074"/>
    <cellStyle name="标题 2 2 3 5 2 3" xfId="45075"/>
    <cellStyle name="标题 2 2 3 5 2 3 2" xfId="45076"/>
    <cellStyle name="标题 2 2 3 5 3" xfId="45077"/>
    <cellStyle name="标题 2 2 3 5 3 2" xfId="45078"/>
    <cellStyle name="标题 2 2 3 5 3 2 2" xfId="45079"/>
    <cellStyle name="标题 2 2 3 5 4" xfId="45080"/>
    <cellStyle name="标题 2 2 3 5 4 2" xfId="45081"/>
    <cellStyle name="标题 2 2 3 6" xfId="45082"/>
    <cellStyle name="标题 2 2 3 6 2" xfId="45083"/>
    <cellStyle name="标题 2 2 3 6 2 2" xfId="45084"/>
    <cellStyle name="标题 2 2 3 6 2 2 2" xfId="45085"/>
    <cellStyle name="标题 2 2 3 6 3" xfId="45086"/>
    <cellStyle name="标题 2 2 3 6 3 2" xfId="45087"/>
    <cellStyle name="标题 2 2 3 7" xfId="45088"/>
    <cellStyle name="标题 2 2 3 7 2" xfId="45089"/>
    <cellStyle name="标题 2 2 3 7 2 2" xfId="45090"/>
    <cellStyle name="标题 2 2 3 7 2 2 2" xfId="45091"/>
    <cellStyle name="标题 2 2 3 7 3" xfId="45092"/>
    <cellStyle name="标题 2 2 3 7 3 2" xfId="45093"/>
    <cellStyle name="标题 2 2 3 8" xfId="45094"/>
    <cellStyle name="标题 2 2 3 9" xfId="45095"/>
    <cellStyle name="标题 2 2 4" xfId="45096"/>
    <cellStyle name="标题 2 2 4 2" xfId="45097"/>
    <cellStyle name="标题 2 2 4 2 2" xfId="45098"/>
    <cellStyle name="标题 2 2 4 2 3" xfId="45099"/>
    <cellStyle name="标题 2 2 4 2 3 2" xfId="45100"/>
    <cellStyle name="标题 2 2 4 2 3 2 2" xfId="45101"/>
    <cellStyle name="标题 2 2 4 2 4" xfId="45102"/>
    <cellStyle name="标题 2 2 4 2 4 2" xfId="45103"/>
    <cellStyle name="标题 2 2 4 3" xfId="45104"/>
    <cellStyle name="标题 2 2 4 3 2" xfId="45105"/>
    <cellStyle name="标题 2 2 4 3 2 2" xfId="45106"/>
    <cellStyle name="标题 2 2 4 3 2 2 2" xfId="45107"/>
    <cellStyle name="标题 2 2 4 3 3" xfId="45108"/>
    <cellStyle name="标题 2 2 4 3 3 2" xfId="45109"/>
    <cellStyle name="标题 2 2 4 4" xfId="45110"/>
    <cellStyle name="标题 2 2 4 5" xfId="45111"/>
    <cellStyle name="标题 2 2 4 6" xfId="45112"/>
    <cellStyle name="标题 2 2 5" xfId="45113"/>
    <cellStyle name="标题 2 2 5 2" xfId="45114"/>
    <cellStyle name="标题 2 2 5 2 2" xfId="45115"/>
    <cellStyle name="标题 2 2 5 2 3" xfId="45116"/>
    <cellStyle name="标题 2 2 5 2 3 2" xfId="45117"/>
    <cellStyle name="标题 2 2 5 2 3 2 2" xfId="45118"/>
    <cellStyle name="标题 2 2 5 2 4" xfId="45119"/>
    <cellStyle name="标题 2 2 5 2 4 2" xfId="45120"/>
    <cellStyle name="标题 2 2 5 3" xfId="45121"/>
    <cellStyle name="标题 2 2 5 4" xfId="45122"/>
    <cellStyle name="标题 2 2 5 5" xfId="45123"/>
    <cellStyle name="标题 2 2 5 6" xfId="45124"/>
    <cellStyle name="标题 2 2 6" xfId="45125"/>
    <cellStyle name="标题 2 2 6 2" xfId="45126"/>
    <cellStyle name="标题 2 2 6 2 2" xfId="45127"/>
    <cellStyle name="标题 2 2 6 2 2 2" xfId="45128"/>
    <cellStyle name="标题 2 2 6 2 2 2 2" xfId="45129"/>
    <cellStyle name="标题 2 2 6 2 3" xfId="45130"/>
    <cellStyle name="标题 2 2 6 2 3 2" xfId="45131"/>
    <cellStyle name="标题 2 2 6 3" xfId="45132"/>
    <cellStyle name="标题 2 2 6 3 2" xfId="45133"/>
    <cellStyle name="标题 2 2 6 3 2 2" xfId="45134"/>
    <cellStyle name="标题 2 2 6 4" xfId="45135"/>
    <cellStyle name="标题 2 2 6 4 2" xfId="45136"/>
    <cellStyle name="标题 2 2 7" xfId="45137"/>
    <cellStyle name="标题 2 2 7 2" xfId="45138"/>
    <cellStyle name="标题 2 2 7 2 2" xfId="45139"/>
    <cellStyle name="标题 2 2 7 2 2 2" xfId="45140"/>
    <cellStyle name="标题 2 2 7 2 2 2 2" xfId="45141"/>
    <cellStyle name="标题 2 2 7 2 3" xfId="45142"/>
    <cellStyle name="标题 2 2 7 2 3 2" xfId="45143"/>
    <cellStyle name="标题 2 2 7 3" xfId="45144"/>
    <cellStyle name="标题 2 2 7 3 2" xfId="45145"/>
    <cellStyle name="标题 2 2 7 3 2 2" xfId="45146"/>
    <cellStyle name="标题 2 2 7 4" xfId="45147"/>
    <cellStyle name="标题 2 2 7 4 2" xfId="45148"/>
    <cellStyle name="标题 2 2 8" xfId="45149"/>
    <cellStyle name="标题 2 2 8 2" xfId="45150"/>
    <cellStyle name="标题 2 2 8 2 2" xfId="45151"/>
    <cellStyle name="标题 2 2 8 2 2 2" xfId="45152"/>
    <cellStyle name="标题 2 2 8 2 2 2 2" xfId="45153"/>
    <cellStyle name="标题 2 2 8 2 3" xfId="45154"/>
    <cellStyle name="标题 2 2 8 2 3 2" xfId="45155"/>
    <cellStyle name="标题 2 2 8 3" xfId="45156"/>
    <cellStyle name="标题 2 2 8 3 2" xfId="45157"/>
    <cellStyle name="标题 2 2 8 3 2 2" xfId="45158"/>
    <cellStyle name="标题 2 2 8 4" xfId="45159"/>
    <cellStyle name="标题 2 2 8 4 2" xfId="45160"/>
    <cellStyle name="标题 2 2 9" xfId="45161"/>
    <cellStyle name="标题 2 2 9 2" xfId="45162"/>
    <cellStyle name="标题 2 2 9 2 2" xfId="45163"/>
    <cellStyle name="标题 2 2 9 2 2 2" xfId="45164"/>
    <cellStyle name="标题 2 2 9 3" xfId="45165"/>
    <cellStyle name="标题 2 2 9 3 2" xfId="45166"/>
    <cellStyle name="标题 2 3" xfId="45167"/>
    <cellStyle name="标题 2 3 2" xfId="45168"/>
    <cellStyle name="标题 2 3 2 2" xfId="45169"/>
    <cellStyle name="标题 2 3 2 2 2" xfId="45170"/>
    <cellStyle name="标题 2 3 2 2 2 2" xfId="45171"/>
    <cellStyle name="标题 2 3 2 2 2 3" xfId="45172"/>
    <cellStyle name="标题 2 3 2 2 2 3 2" xfId="45173"/>
    <cellStyle name="标题 2 3 2 2 2 3 2 2" xfId="45174"/>
    <cellStyle name="标题 2 3 2 2 2 4" xfId="45175"/>
    <cellStyle name="标题 2 3 2 2 2 4 2" xfId="45176"/>
    <cellStyle name="标题 2 3 2 2 3" xfId="45177"/>
    <cellStyle name="标题 2 3 2 2 3 2" xfId="45178"/>
    <cellStyle name="标题 2 3 2 2 3 2 2" xfId="45179"/>
    <cellStyle name="标题 2 3 2 2 3 2 2 2" xfId="45180"/>
    <cellStyle name="标题 2 3 2 2 3 3" xfId="45181"/>
    <cellStyle name="标题 2 3 2 2 3 3 2" xfId="45182"/>
    <cellStyle name="标题 2 3 2 2 4" xfId="45183"/>
    <cellStyle name="标题 2 3 2 2 5" xfId="45184"/>
    <cellStyle name="标题 2 3 2 2 6" xfId="45185"/>
    <cellStyle name="标题 2 3 2 3" xfId="45186"/>
    <cellStyle name="标题 2 3 2 3 2" xfId="45187"/>
    <cellStyle name="标题 2 3 2 3 3" xfId="45188"/>
    <cellStyle name="标题 2 3 2 3 3 2" xfId="45189"/>
    <cellStyle name="标题 2 3 2 3 3 2 2" xfId="45190"/>
    <cellStyle name="标题 2 3 2 3 4" xfId="45191"/>
    <cellStyle name="标题 2 3 2 3 4 2" xfId="45192"/>
    <cellStyle name="标题 2 3 2 4" xfId="45193"/>
    <cellStyle name="标题 2 3 2 4 2" xfId="45194"/>
    <cellStyle name="标题 2 3 2 4 2 2" xfId="45195"/>
    <cellStyle name="标题 2 3 2 4 2 2 2" xfId="45196"/>
    <cellStyle name="标题 2 3 2 4 3" xfId="45197"/>
    <cellStyle name="标题 2 3 2 4 3 2" xfId="45198"/>
    <cellStyle name="标题 2 3 2 5" xfId="45199"/>
    <cellStyle name="标题 2 3 2 6" xfId="45200"/>
    <cellStyle name="标题 2 3 2 7" xfId="45201"/>
    <cellStyle name="标题 2 3 3" xfId="45202"/>
    <cellStyle name="标题 2 3 3 2" xfId="45203"/>
    <cellStyle name="标题 2 3 3 2 2" xfId="45204"/>
    <cellStyle name="标题 2 3 3 2 3" xfId="45205"/>
    <cellStyle name="标题 2 3 3 2 3 2" xfId="45206"/>
    <cellStyle name="标题 2 3 3 2 3 2 2" xfId="45207"/>
    <cellStyle name="标题 2 3 3 2 4" xfId="45208"/>
    <cellStyle name="标题 2 3 3 2 4 2" xfId="45209"/>
    <cellStyle name="标题 2 3 3 3" xfId="45210"/>
    <cellStyle name="标题 2 3 3 3 2" xfId="45211"/>
    <cellStyle name="标题 2 3 3 3 2 2" xfId="45212"/>
    <cellStyle name="标题 2 3 3 3 2 2 2" xfId="45213"/>
    <cellStyle name="标题 2 3 3 3 3" xfId="45214"/>
    <cellStyle name="标题 2 3 3 3 3 2" xfId="45215"/>
    <cellStyle name="标题 2 3 3 4" xfId="45216"/>
    <cellStyle name="标题 2 3 3 5" xfId="45217"/>
    <cellStyle name="标题 2 3 3 6" xfId="45218"/>
    <cellStyle name="标题 2 3 4" xfId="45219"/>
    <cellStyle name="标题 2 3 4 2" xfId="45220"/>
    <cellStyle name="标题 2 3 4 2 2" xfId="45221"/>
    <cellStyle name="标题 2 3 4 2 3" xfId="45222"/>
    <cellStyle name="标题 2 3 4 2 3 2" xfId="45223"/>
    <cellStyle name="标题 2 3 4 2 3 2 2" xfId="45224"/>
    <cellStyle name="标题 2 3 4 2 4" xfId="45225"/>
    <cellStyle name="标题 2 3 4 2 4 2" xfId="45226"/>
    <cellStyle name="标题 2 3 4 3" xfId="45227"/>
    <cellStyle name="标题 2 3 4 4" xfId="45228"/>
    <cellStyle name="标题 2 3 4 5" xfId="45229"/>
    <cellStyle name="标题 2 3 4 6" xfId="45230"/>
    <cellStyle name="标题 2 3 5" xfId="45231"/>
    <cellStyle name="标题 2 3 5 2" xfId="45232"/>
    <cellStyle name="标题 2 3 5 2 2" xfId="45233"/>
    <cellStyle name="标题 2 3 5 2 2 2" xfId="45234"/>
    <cellStyle name="标题 2 3 5 2 2 2 2" xfId="45235"/>
    <cellStyle name="标题 2 3 5 2 3" xfId="45236"/>
    <cellStyle name="标题 2 3 5 2 3 2" xfId="45237"/>
    <cellStyle name="标题 2 3 5 3" xfId="45238"/>
    <cellStyle name="标题 2 3 5 3 2" xfId="45239"/>
    <cellStyle name="标题 2 3 5 3 2 2" xfId="45240"/>
    <cellStyle name="标题 2 3 5 4" xfId="45241"/>
    <cellStyle name="标题 2 3 5 4 2" xfId="45242"/>
    <cellStyle name="标题 2 3 6" xfId="45243"/>
    <cellStyle name="标题 2 3 6 2" xfId="45244"/>
    <cellStyle name="标题 2 3 6 2 2" xfId="45245"/>
    <cellStyle name="标题 2 3 6 2 2 2" xfId="45246"/>
    <cellStyle name="标题 2 3 6 3" xfId="45247"/>
    <cellStyle name="标题 2 3 6 3 2" xfId="45248"/>
    <cellStyle name="标题 2 3 7" xfId="45249"/>
    <cellStyle name="标题 2 3 8" xfId="45250"/>
    <cellStyle name="标题 3 2" xfId="45251"/>
    <cellStyle name="标题 3 2 10" xfId="45252"/>
    <cellStyle name="标题 3 2 11" xfId="45253"/>
    <cellStyle name="标题 3 2 2" xfId="45254"/>
    <cellStyle name="标题 3 2 2 10" xfId="45255"/>
    <cellStyle name="标题 3 2 2 11" xfId="45256"/>
    <cellStyle name="标题 3 2 2 2" xfId="45257"/>
    <cellStyle name="标题 3 2 2 2 2" xfId="45258"/>
    <cellStyle name="标题 3 2 2 2 2 2" xfId="45259"/>
    <cellStyle name="标题 3 2 2 2 2 2 2" xfId="45260"/>
    <cellStyle name="标题 3 2 2 2 2 2 3" xfId="45261"/>
    <cellStyle name="标题 3 2 2 2 2 2 3 2" xfId="45262"/>
    <cellStyle name="标题 3 2 2 2 2 2 3 2 2" xfId="45263"/>
    <cellStyle name="标题 3 2 2 2 2 2 4" xfId="45264"/>
    <cellStyle name="标题 3 2 2 2 2 2 4 2" xfId="45265"/>
    <cellStyle name="标题 3 2 2 2 2 3" xfId="45266"/>
    <cellStyle name="标题 3 2 2 2 2 3 2" xfId="45267"/>
    <cellStyle name="标题 3 2 2 2 2 3 2 2" xfId="45268"/>
    <cellStyle name="标题 3 2 2 2 2 3 2 2 2" xfId="45269"/>
    <cellStyle name="标题 3 2 2 2 2 3 3" xfId="45270"/>
    <cellStyle name="标题 3 2 2 2 2 3 3 2" xfId="45271"/>
    <cellStyle name="标题 3 2 2 2 2 4" xfId="45272"/>
    <cellStyle name="标题 3 2 2 2 2 5" xfId="45273"/>
    <cellStyle name="标题 3 2 2 2 2 6" xfId="45274"/>
    <cellStyle name="标题 3 2 2 2 3" xfId="45275"/>
    <cellStyle name="标题 3 2 2 2 3 2" xfId="45276"/>
    <cellStyle name="标题 3 2 2 2 3 3" xfId="45277"/>
    <cellStyle name="标题 3 2 2 2 3 3 2" xfId="45278"/>
    <cellStyle name="标题 3 2 2 2 3 3 2 2" xfId="45279"/>
    <cellStyle name="标题 3 2 2 2 3 4" xfId="45280"/>
    <cellStyle name="标题 3 2 2 2 3 4 2" xfId="45281"/>
    <cellStyle name="标题 3 2 2 2 4" xfId="45282"/>
    <cellStyle name="标题 3 2 2 2 4 2" xfId="45283"/>
    <cellStyle name="标题 3 2 2 2 4 2 2" xfId="45284"/>
    <cellStyle name="标题 3 2 2 2 4 2 2 2" xfId="45285"/>
    <cellStyle name="标题 3 2 2 2 4 3" xfId="45286"/>
    <cellStyle name="标题 3 2 2 2 4 3 2" xfId="45287"/>
    <cellStyle name="标题 3 2 2 2 5" xfId="45288"/>
    <cellStyle name="标题 3 2 2 2 6" xfId="45289"/>
    <cellStyle name="标题 3 2 2 2 7" xfId="45290"/>
    <cellStyle name="标题 3 2 2 3" xfId="45291"/>
    <cellStyle name="标题 3 2 2 3 2" xfId="45292"/>
    <cellStyle name="标题 3 2 2 3 2 2" xfId="45293"/>
    <cellStyle name="标题 3 2 2 3 2 3" xfId="45294"/>
    <cellStyle name="标题 3 2 2 3 2 3 2" xfId="45295"/>
    <cellStyle name="标题 3 2 2 3 2 3 2 2" xfId="45296"/>
    <cellStyle name="标题 3 2 2 3 2 4" xfId="45297"/>
    <cellStyle name="标题 3 2 2 3 2 4 2" xfId="45298"/>
    <cellStyle name="标题 3 2 2 3 3" xfId="45299"/>
    <cellStyle name="标题 3 2 2 3 3 2" xfId="45300"/>
    <cellStyle name="标题 3 2 2 3 3 2 2" xfId="45301"/>
    <cellStyle name="标题 3 2 2 3 3 2 2 2" xfId="45302"/>
    <cellStyle name="标题 3 2 2 3 3 3" xfId="45303"/>
    <cellStyle name="标题 3 2 2 3 3 3 2" xfId="45304"/>
    <cellStyle name="标题 3 2 2 3 4" xfId="45305"/>
    <cellStyle name="标题 3 2 2 3 5" xfId="45306"/>
    <cellStyle name="标题 3 2 2 3 6" xfId="45307"/>
    <cellStyle name="标题 3 2 2 4" xfId="45308"/>
    <cellStyle name="标题 3 2 2 4 2" xfId="45309"/>
    <cellStyle name="标题 3 2 2 4 2 2" xfId="45310"/>
    <cellStyle name="标题 3 2 2 4 2 3" xfId="45311"/>
    <cellStyle name="标题 3 2 2 4 2 3 2" xfId="45312"/>
    <cellStyle name="标题 3 2 2 4 2 3 2 2" xfId="45313"/>
    <cellStyle name="标题 3 2 2 4 2 4" xfId="45314"/>
    <cellStyle name="标题 3 2 2 4 2 4 2" xfId="45315"/>
    <cellStyle name="标题 3 2 2 4 3" xfId="45316"/>
    <cellStyle name="标题 3 2 2 4 4" xfId="45317"/>
    <cellStyle name="标题 3 2 2 4 5" xfId="45318"/>
    <cellStyle name="标题 3 2 2 4 6" xfId="45319"/>
    <cellStyle name="标题 3 2 2 5" xfId="45320"/>
    <cellStyle name="标题 3 2 2 5 2" xfId="45321"/>
    <cellStyle name="标题 3 2 2 5 2 2" xfId="45322"/>
    <cellStyle name="标题 3 2 2 5 2 2 2" xfId="45323"/>
    <cellStyle name="标题 3 2 2 5 2 2 2 2" xfId="45324"/>
    <cellStyle name="标题 3 2 2 5 2 3" xfId="45325"/>
    <cellStyle name="标题 3 2 2 5 2 3 2" xfId="45326"/>
    <cellStyle name="标题 3 2 2 5 3" xfId="45327"/>
    <cellStyle name="标题 3 2 2 5 3 2" xfId="45328"/>
    <cellStyle name="标题 3 2 2 5 3 2 2" xfId="45329"/>
    <cellStyle name="标题 3 2 2 5 4" xfId="45330"/>
    <cellStyle name="标题 3 2 2 5 4 2" xfId="45331"/>
    <cellStyle name="标题 3 2 2 6" xfId="45332"/>
    <cellStyle name="标题 3 2 2 6 2" xfId="45333"/>
    <cellStyle name="标题 3 2 2 6 2 2" xfId="45334"/>
    <cellStyle name="标题 3 2 2 6 2 2 2" xfId="45335"/>
    <cellStyle name="标题 3 2 2 6 2 2 2 2" xfId="45336"/>
    <cellStyle name="标题 3 2 2 6 2 3" xfId="45337"/>
    <cellStyle name="标题 3 2 2 6 2 3 2" xfId="45338"/>
    <cellStyle name="标题 3 2 2 6 3" xfId="45339"/>
    <cellStyle name="标题 3 2 2 6 3 2" xfId="45340"/>
    <cellStyle name="标题 3 2 2 6 3 2 2" xfId="45341"/>
    <cellStyle name="标题 3 2 2 6 4" xfId="45342"/>
    <cellStyle name="标题 3 2 2 6 4 2" xfId="45343"/>
    <cellStyle name="标题 3 2 2 7" xfId="45344"/>
    <cellStyle name="标题 3 2 2 7 2" xfId="45345"/>
    <cellStyle name="标题 3 2 2 7 2 2" xfId="45346"/>
    <cellStyle name="标题 3 2 2 7 2 2 2" xfId="45347"/>
    <cellStyle name="标题 3 2 2 7 2 2 2 2" xfId="45348"/>
    <cellStyle name="标题 3 2 2 7 2 3" xfId="45349"/>
    <cellStyle name="标题 3 2 2 7 2 3 2" xfId="45350"/>
    <cellStyle name="标题 3 2 2 7 3" xfId="45351"/>
    <cellStyle name="标题 3 2 2 7 3 2" xfId="45352"/>
    <cellStyle name="标题 3 2 2 7 3 2 2" xfId="45353"/>
    <cellStyle name="标题 3 2 2 7 4" xfId="45354"/>
    <cellStyle name="标题 3 2 2 7 4 2" xfId="45355"/>
    <cellStyle name="标题 3 2 2 8" xfId="45356"/>
    <cellStyle name="标题 3 2 2 8 2" xfId="45357"/>
    <cellStyle name="标题 3 2 2 8 2 2" xfId="45358"/>
    <cellStyle name="标题 3 2 2 8 2 2 2" xfId="45359"/>
    <cellStyle name="标题 3 2 2 8 3" xfId="45360"/>
    <cellStyle name="标题 3 2 2 8 3 2" xfId="45361"/>
    <cellStyle name="标题 3 2 2 9" xfId="45362"/>
    <cellStyle name="标题 3 2 2 9 2" xfId="45363"/>
    <cellStyle name="标题 3 2 2 9 2 2" xfId="45364"/>
    <cellStyle name="标题 3 2 2 9 2 2 2" xfId="45365"/>
    <cellStyle name="标题 3 2 2 9 3" xfId="45366"/>
    <cellStyle name="标题 3 2 2 9 3 2" xfId="45367"/>
    <cellStyle name="标题 3 2 3" xfId="45368"/>
    <cellStyle name="标题 3 2 3 2" xfId="45369"/>
    <cellStyle name="标题 3 2 3 2 2" xfId="45370"/>
    <cellStyle name="标题 3 2 3 2 2 2" xfId="45371"/>
    <cellStyle name="标题 3 2 3 2 2 2 2" xfId="45372"/>
    <cellStyle name="标题 3 2 3 2 2 2 3" xfId="45373"/>
    <cellStyle name="标题 3 2 3 2 2 2 3 2" xfId="45374"/>
    <cellStyle name="标题 3 2 3 2 2 2 3 2 2" xfId="45375"/>
    <cellStyle name="标题 3 2 3 2 2 2 4" xfId="45376"/>
    <cellStyle name="标题 3 2 3 2 2 2 4 2" xfId="45377"/>
    <cellStyle name="标题 3 2 3 2 2 3" xfId="45378"/>
    <cellStyle name="标题 3 2 3 2 2 3 2" xfId="45379"/>
    <cellStyle name="标题 3 2 3 2 2 3 2 2" xfId="45380"/>
    <cellStyle name="标题 3 2 3 2 2 3 2 2 2" xfId="45381"/>
    <cellStyle name="标题 3 2 3 2 2 3 3" xfId="45382"/>
    <cellStyle name="标题 3 2 3 2 2 3 3 2" xfId="45383"/>
    <cellStyle name="标题 3 2 3 2 2 4" xfId="45384"/>
    <cellStyle name="标题 3 2 3 2 2 5" xfId="45385"/>
    <cellStyle name="标题 3 2 3 2 2 6" xfId="45386"/>
    <cellStyle name="标题 3 2 3 2 3" xfId="45387"/>
    <cellStyle name="标题 3 2 3 2 3 2" xfId="45388"/>
    <cellStyle name="标题 3 2 3 2 3 3" xfId="45389"/>
    <cellStyle name="标题 3 2 3 2 3 3 2" xfId="45390"/>
    <cellStyle name="标题 3 2 3 2 3 3 2 2" xfId="45391"/>
    <cellStyle name="标题 3 2 3 2 3 4" xfId="45392"/>
    <cellStyle name="标题 3 2 3 2 3 4 2" xfId="45393"/>
    <cellStyle name="标题 3 2 3 2 4" xfId="45394"/>
    <cellStyle name="标题 3 2 3 2 4 2" xfId="45395"/>
    <cellStyle name="标题 3 2 3 2 4 2 2" xfId="45396"/>
    <cellStyle name="标题 3 2 3 2 4 2 2 2" xfId="45397"/>
    <cellStyle name="标题 3 2 3 2 4 3" xfId="45398"/>
    <cellStyle name="标题 3 2 3 2 4 3 2" xfId="45399"/>
    <cellStyle name="标题 3 2 3 2 5" xfId="45400"/>
    <cellStyle name="标题 3 2 3 2 6" xfId="45401"/>
    <cellStyle name="标题 3 2 3 2 7" xfId="45402"/>
    <cellStyle name="标题 3 2 3 3" xfId="45403"/>
    <cellStyle name="标题 3 2 3 3 2" xfId="45404"/>
    <cellStyle name="标题 3 2 3 3 2 2" xfId="45405"/>
    <cellStyle name="标题 3 2 3 3 2 3" xfId="45406"/>
    <cellStyle name="标题 3 2 3 3 2 3 2" xfId="45407"/>
    <cellStyle name="标题 3 2 3 3 2 3 2 2" xfId="45408"/>
    <cellStyle name="标题 3 2 3 3 2 4" xfId="45409"/>
    <cellStyle name="标题 3 2 3 3 2 4 2" xfId="45410"/>
    <cellStyle name="标题 3 2 3 3 3" xfId="45411"/>
    <cellStyle name="标题 3 2 3 3 3 2" xfId="45412"/>
    <cellStyle name="标题 3 2 3 3 3 2 2" xfId="45413"/>
    <cellStyle name="标题 3 2 3 3 3 2 2 2" xfId="45414"/>
    <cellStyle name="标题 3 2 3 3 3 3" xfId="45415"/>
    <cellStyle name="标题 3 2 3 3 3 3 2" xfId="45416"/>
    <cellStyle name="标题 3 2 3 3 4" xfId="45417"/>
    <cellStyle name="标题 3 2 3 3 5" xfId="45418"/>
    <cellStyle name="标题 3 2 3 3 6" xfId="45419"/>
    <cellStyle name="标题 3 2 3 4" xfId="45420"/>
    <cellStyle name="标题 3 2 3 4 2" xfId="45421"/>
    <cellStyle name="标题 3 2 3 4 2 2" xfId="45422"/>
    <cellStyle name="标题 3 2 3 4 2 3" xfId="45423"/>
    <cellStyle name="标题 3 2 3 4 2 3 2" xfId="45424"/>
    <cellStyle name="标题 3 2 3 4 2 3 2 2" xfId="45425"/>
    <cellStyle name="标题 3 2 3 4 2 4" xfId="45426"/>
    <cellStyle name="标题 3 2 3 4 2 4 2" xfId="45427"/>
    <cellStyle name="标题 3 2 3 4 3" xfId="45428"/>
    <cellStyle name="标题 3 2 3 4 4" xfId="45429"/>
    <cellStyle name="标题 3 2 3 4 5" xfId="45430"/>
    <cellStyle name="标题 3 2 3 4 6" xfId="45431"/>
    <cellStyle name="标题 3 2 3 5" xfId="45432"/>
    <cellStyle name="标题 3 2 3 5 2" xfId="45433"/>
    <cellStyle name="标题 3 2 3 5 2 2" xfId="45434"/>
    <cellStyle name="标题 3 2 3 5 2 2 2" xfId="45435"/>
    <cellStyle name="标题 3 2 3 5 2 2 2 2" xfId="45436"/>
    <cellStyle name="标题 3 2 3 5 2 3" xfId="45437"/>
    <cellStyle name="标题 3 2 3 5 2 3 2" xfId="45438"/>
    <cellStyle name="标题 3 2 3 5 3" xfId="45439"/>
    <cellStyle name="标题 3 2 3 5 3 2" xfId="45440"/>
    <cellStyle name="标题 3 2 3 5 3 2 2" xfId="45441"/>
    <cellStyle name="标题 3 2 3 5 4" xfId="45442"/>
    <cellStyle name="标题 3 2 3 5 4 2" xfId="45443"/>
    <cellStyle name="标题 3 2 3 6" xfId="45444"/>
    <cellStyle name="标题 3 2 3 6 2" xfId="45445"/>
    <cellStyle name="标题 3 2 3 6 2 2" xfId="45446"/>
    <cellStyle name="标题 3 2 3 6 2 2 2" xfId="45447"/>
    <cellStyle name="标题 3 2 3 6 3" xfId="45448"/>
    <cellStyle name="标题 3 2 3 6 3 2" xfId="45449"/>
    <cellStyle name="标题 3 2 3 7" xfId="45450"/>
    <cellStyle name="标题 3 2 3 7 2" xfId="45451"/>
    <cellStyle name="标题 3 2 3 7 2 2" xfId="45452"/>
    <cellStyle name="标题 3 2 3 7 2 2 2" xfId="45453"/>
    <cellStyle name="标题 3 2 3 7 3" xfId="45454"/>
    <cellStyle name="标题 3 2 3 7 3 2" xfId="45455"/>
    <cellStyle name="标题 3 2 3 8" xfId="45456"/>
    <cellStyle name="标题 3 2 3 9" xfId="45457"/>
    <cellStyle name="标题 3 2 4" xfId="45458"/>
    <cellStyle name="标题 3 2 4 2" xfId="45459"/>
    <cellStyle name="标题 3 2 4 2 2" xfId="45460"/>
    <cellStyle name="标题 3 2 4 2 3" xfId="45461"/>
    <cellStyle name="标题 3 2 4 2 3 2" xfId="45462"/>
    <cellStyle name="标题 3 2 4 2 3 2 2" xfId="45463"/>
    <cellStyle name="标题 3 2 4 2 4" xfId="45464"/>
    <cellStyle name="标题 3 2 4 2 4 2" xfId="45465"/>
    <cellStyle name="标题 3 2 4 3" xfId="45466"/>
    <cellStyle name="标题 3 2 4 3 2" xfId="45467"/>
    <cellStyle name="标题 3 2 4 3 2 2" xfId="45468"/>
    <cellStyle name="标题 3 2 4 3 2 2 2" xfId="45469"/>
    <cellStyle name="标题 3 2 4 3 3" xfId="45470"/>
    <cellStyle name="标题 3 2 4 3 3 2" xfId="45471"/>
    <cellStyle name="标题 3 2 4 4" xfId="45472"/>
    <cellStyle name="标题 3 2 4 5" xfId="45473"/>
    <cellStyle name="标题 3 2 4 6" xfId="45474"/>
    <cellStyle name="标题 3 2 5" xfId="45475"/>
    <cellStyle name="标题 3 2 5 2" xfId="45476"/>
    <cellStyle name="标题 3 2 5 2 2" xfId="45477"/>
    <cellStyle name="标题 3 2 5 2 3" xfId="45478"/>
    <cellStyle name="标题 3 2 5 2 3 2" xfId="45479"/>
    <cellStyle name="标题 3 2 5 2 3 2 2" xfId="45480"/>
    <cellStyle name="标题 3 2 5 2 4" xfId="45481"/>
    <cellStyle name="标题 3 2 5 2 4 2" xfId="45482"/>
    <cellStyle name="标题 3 2 5 3" xfId="45483"/>
    <cellStyle name="标题 3 2 5 4" xfId="45484"/>
    <cellStyle name="标题 3 2 5 5" xfId="45485"/>
    <cellStyle name="标题 3 2 5 6" xfId="45486"/>
    <cellStyle name="标题 3 2 6" xfId="45487"/>
    <cellStyle name="标题 3 2 6 2" xfId="45488"/>
    <cellStyle name="标题 3 2 6 2 2" xfId="45489"/>
    <cellStyle name="标题 3 2 6 2 2 2" xfId="45490"/>
    <cellStyle name="标题 3 2 6 2 2 2 2" xfId="45491"/>
    <cellStyle name="标题 3 2 6 2 3" xfId="45492"/>
    <cellStyle name="标题 3 2 6 2 3 2" xfId="45493"/>
    <cellStyle name="标题 3 2 6 3" xfId="45494"/>
    <cellStyle name="标题 3 2 6 3 2" xfId="45495"/>
    <cellStyle name="标题 3 2 6 3 2 2" xfId="45496"/>
    <cellStyle name="标题 3 2 6 4" xfId="45497"/>
    <cellStyle name="标题 3 2 6 4 2" xfId="45498"/>
    <cellStyle name="标题 3 2 7" xfId="45499"/>
    <cellStyle name="标题 3 2 7 2" xfId="45500"/>
    <cellStyle name="标题 3 2 7 2 2" xfId="45501"/>
    <cellStyle name="标题 3 2 7 2 2 2" xfId="45502"/>
    <cellStyle name="标题 3 2 7 2 2 2 2" xfId="45503"/>
    <cellStyle name="标题 3 2 7 2 3" xfId="45504"/>
    <cellStyle name="标题 3 2 7 2 3 2" xfId="45505"/>
    <cellStyle name="标题 3 2 7 3" xfId="45506"/>
    <cellStyle name="标题 3 2 7 3 2" xfId="45507"/>
    <cellStyle name="标题 3 2 7 3 2 2" xfId="45508"/>
    <cellStyle name="标题 3 2 7 4" xfId="45509"/>
    <cellStyle name="标题 3 2 7 4 2" xfId="45510"/>
    <cellStyle name="标题 3 2 8" xfId="45511"/>
    <cellStyle name="标题 3 2 8 2" xfId="45512"/>
    <cellStyle name="标题 3 2 8 2 2" xfId="45513"/>
    <cellStyle name="标题 3 2 8 2 2 2" xfId="45514"/>
    <cellStyle name="标题 3 2 8 2 2 2 2" xfId="45515"/>
    <cellStyle name="标题 3 2 8 2 3" xfId="45516"/>
    <cellStyle name="标题 3 2 8 2 3 2" xfId="45517"/>
    <cellStyle name="标题 3 2 8 3" xfId="45518"/>
    <cellStyle name="标题 3 2 8 3 2" xfId="45519"/>
    <cellStyle name="标题 3 2 8 3 2 2" xfId="45520"/>
    <cellStyle name="标题 3 2 8 4" xfId="45521"/>
    <cellStyle name="标题 3 2 8 4 2" xfId="45522"/>
    <cellStyle name="标题 3 2 9" xfId="45523"/>
    <cellStyle name="标题 3 2 9 2" xfId="45524"/>
    <cellStyle name="标题 3 2 9 2 2" xfId="45525"/>
    <cellStyle name="标题 3 2 9 2 2 2" xfId="45526"/>
    <cellStyle name="标题 3 2 9 3" xfId="45527"/>
    <cellStyle name="标题 3 2 9 3 2" xfId="45528"/>
    <cellStyle name="标题 3 3" xfId="45529"/>
    <cellStyle name="标题 3 3 2" xfId="45530"/>
    <cellStyle name="标题 3 3 2 2" xfId="45531"/>
    <cellStyle name="标题 3 3 2 2 2" xfId="45532"/>
    <cellStyle name="标题 3 3 2 2 2 2" xfId="45533"/>
    <cellStyle name="标题 3 3 2 2 2 3" xfId="45534"/>
    <cellStyle name="标题 3 3 2 2 2 3 2" xfId="45535"/>
    <cellStyle name="标题 3 3 2 2 2 3 2 2" xfId="45536"/>
    <cellStyle name="标题 3 3 2 2 2 4" xfId="45537"/>
    <cellStyle name="标题 3 3 2 2 2 4 2" xfId="45538"/>
    <cellStyle name="标题 3 3 2 2 3" xfId="45539"/>
    <cellStyle name="标题 3 3 2 2 3 2" xfId="45540"/>
    <cellStyle name="标题 3 3 2 2 3 2 2" xfId="45541"/>
    <cellStyle name="标题 3 3 2 2 3 2 2 2" xfId="45542"/>
    <cellStyle name="标题 3 3 2 2 3 3" xfId="45543"/>
    <cellStyle name="标题 3 3 2 2 3 3 2" xfId="45544"/>
    <cellStyle name="标题 3 3 2 2 4" xfId="45545"/>
    <cellStyle name="标题 3 3 2 2 5" xfId="45546"/>
    <cellStyle name="标题 3 3 2 2 6" xfId="45547"/>
    <cellStyle name="标题 3 3 2 3" xfId="45548"/>
    <cellStyle name="标题 3 3 2 3 2" xfId="45549"/>
    <cellStyle name="标题 3 3 2 3 3" xfId="45550"/>
    <cellStyle name="标题 3 3 2 3 3 2" xfId="45551"/>
    <cellStyle name="标题 3 3 2 3 3 2 2" xfId="45552"/>
    <cellStyle name="标题 3 3 2 3 4" xfId="45553"/>
    <cellStyle name="标题 3 3 2 3 4 2" xfId="45554"/>
    <cellStyle name="标题 3 3 2 4" xfId="45555"/>
    <cellStyle name="标题 3 3 2 4 2" xfId="45556"/>
    <cellStyle name="标题 3 3 2 4 2 2" xfId="45557"/>
    <cellStyle name="标题 3 3 2 4 2 2 2" xfId="45558"/>
    <cellStyle name="标题 3 3 2 4 3" xfId="45559"/>
    <cellStyle name="标题 3 3 2 4 3 2" xfId="45560"/>
    <cellStyle name="标题 3 3 2 5" xfId="45561"/>
    <cellStyle name="标题 3 3 2 6" xfId="45562"/>
    <cellStyle name="标题 3 3 2 7" xfId="45563"/>
    <cellStyle name="标题 3 3 3" xfId="45564"/>
    <cellStyle name="标题 3 3 3 2" xfId="45565"/>
    <cellStyle name="标题 3 3 3 2 2" xfId="45566"/>
    <cellStyle name="标题 3 3 3 2 3" xfId="45567"/>
    <cellStyle name="标题 3 3 3 2 3 2" xfId="45568"/>
    <cellStyle name="标题 3 3 3 2 3 2 2" xfId="45569"/>
    <cellStyle name="标题 3 3 3 2 4" xfId="45570"/>
    <cellStyle name="标题 3 3 3 2 4 2" xfId="45571"/>
    <cellStyle name="标题 3 3 3 3" xfId="45572"/>
    <cellStyle name="标题 3 3 3 3 2" xfId="45573"/>
    <cellStyle name="标题 3 3 3 3 2 2" xfId="45574"/>
    <cellStyle name="标题 3 3 3 3 2 2 2" xfId="45575"/>
    <cellStyle name="标题 3 3 3 3 3" xfId="45576"/>
    <cellStyle name="标题 3 3 3 3 3 2" xfId="45577"/>
    <cellStyle name="标题 3 3 3 4" xfId="45578"/>
    <cellStyle name="标题 3 3 3 5" xfId="45579"/>
    <cellStyle name="标题 3 3 3 6" xfId="45580"/>
    <cellStyle name="标题 3 3 4" xfId="45581"/>
    <cellStyle name="标题 3 3 4 2" xfId="45582"/>
    <cellStyle name="标题 3 3 4 2 2" xfId="45583"/>
    <cellStyle name="标题 3 3 4 2 3" xfId="45584"/>
    <cellStyle name="标题 3 3 4 2 3 2" xfId="45585"/>
    <cellStyle name="标题 3 3 4 2 3 2 2" xfId="45586"/>
    <cellStyle name="标题 3 3 4 2 4" xfId="45587"/>
    <cellStyle name="标题 3 3 4 2 4 2" xfId="45588"/>
    <cellStyle name="标题 3 3 4 3" xfId="45589"/>
    <cellStyle name="标题 3 3 4 4" xfId="45590"/>
    <cellStyle name="标题 3 3 4 5" xfId="45591"/>
    <cellStyle name="标题 3 3 4 6" xfId="45592"/>
    <cellStyle name="标题 3 3 5" xfId="45593"/>
    <cellStyle name="标题 3 3 5 2" xfId="45594"/>
    <cellStyle name="标题 3 3 5 2 2" xfId="45595"/>
    <cellStyle name="标题 3 3 5 2 2 2" xfId="45596"/>
    <cellStyle name="标题 3 3 5 2 2 2 2" xfId="45597"/>
    <cellStyle name="标题 3 3 5 2 3" xfId="45598"/>
    <cellStyle name="标题 3 3 5 2 3 2" xfId="45599"/>
    <cellStyle name="标题 3 3 5 3" xfId="45600"/>
    <cellStyle name="标题 3 3 5 3 2" xfId="45601"/>
    <cellStyle name="标题 3 3 5 3 2 2" xfId="45602"/>
    <cellStyle name="标题 3 3 5 4" xfId="45603"/>
    <cellStyle name="标题 3 3 5 4 2" xfId="45604"/>
    <cellStyle name="标题 3 3 6" xfId="45605"/>
    <cellStyle name="标题 3 3 6 2" xfId="45606"/>
    <cellStyle name="标题 3 3 6 2 2" xfId="45607"/>
    <cellStyle name="标题 3 3 6 2 2 2" xfId="45608"/>
    <cellStyle name="标题 3 3 6 3" xfId="45609"/>
    <cellStyle name="标题 3 3 6 3 2" xfId="45610"/>
    <cellStyle name="标题 3 3 7" xfId="45611"/>
    <cellStyle name="标题 3 3 8" xfId="45612"/>
    <cellStyle name="标题 4 2" xfId="45613"/>
    <cellStyle name="标题 4 2 10" xfId="45614"/>
    <cellStyle name="标题 4 2 11" xfId="45615"/>
    <cellStyle name="标题 4 2 2" xfId="45616"/>
    <cellStyle name="标题 4 2 2 10" xfId="45617"/>
    <cellStyle name="标题 4 2 2 11" xfId="45618"/>
    <cellStyle name="标题 4 2 2 2" xfId="45619"/>
    <cellStyle name="标题 4 2 2 2 2" xfId="45620"/>
    <cellStyle name="标题 4 2 2 2 2 2" xfId="45621"/>
    <cellStyle name="标题 4 2 2 2 2 2 2" xfId="45622"/>
    <cellStyle name="标题 4 2 2 2 2 2 3" xfId="45623"/>
    <cellStyle name="标题 4 2 2 2 2 2 3 2" xfId="45624"/>
    <cellStyle name="标题 4 2 2 2 2 2 3 2 2" xfId="45625"/>
    <cellStyle name="标题 4 2 2 2 2 2 4" xfId="45626"/>
    <cellStyle name="标题 4 2 2 2 2 2 4 2" xfId="45627"/>
    <cellStyle name="标题 4 2 2 2 2 3" xfId="45628"/>
    <cellStyle name="标题 4 2 2 2 2 3 2" xfId="45629"/>
    <cellStyle name="标题 4 2 2 2 2 3 2 2" xfId="45630"/>
    <cellStyle name="标题 4 2 2 2 2 3 2 2 2" xfId="45631"/>
    <cellStyle name="标题 4 2 2 2 2 3 3" xfId="45632"/>
    <cellStyle name="标题 4 2 2 2 2 3 3 2" xfId="45633"/>
    <cellStyle name="标题 4 2 2 2 2 4" xfId="45634"/>
    <cellStyle name="标题 4 2 2 2 2 5" xfId="45635"/>
    <cellStyle name="标题 4 2 2 2 2 6" xfId="45636"/>
    <cellStyle name="标题 4 2 2 2 3" xfId="45637"/>
    <cellStyle name="标题 4 2 2 2 3 2" xfId="45638"/>
    <cellStyle name="标题 4 2 2 2 3 3" xfId="45639"/>
    <cellStyle name="标题 4 2 2 2 3 3 2" xfId="45640"/>
    <cellStyle name="标题 4 2 2 2 3 3 2 2" xfId="45641"/>
    <cellStyle name="标题 4 2 2 2 3 4" xfId="45642"/>
    <cellStyle name="标题 4 2 2 2 3 4 2" xfId="45643"/>
    <cellStyle name="标题 4 2 2 2 4" xfId="45644"/>
    <cellStyle name="标题 4 2 2 2 4 2" xfId="45645"/>
    <cellStyle name="标题 4 2 2 2 4 2 2" xfId="45646"/>
    <cellStyle name="标题 4 2 2 2 4 2 2 2" xfId="45647"/>
    <cellStyle name="标题 4 2 2 2 4 3" xfId="45648"/>
    <cellStyle name="标题 4 2 2 2 4 3 2" xfId="45649"/>
    <cellStyle name="标题 4 2 2 2 5" xfId="45650"/>
    <cellStyle name="标题 4 2 2 2 6" xfId="45651"/>
    <cellStyle name="标题 4 2 2 2 7" xfId="45652"/>
    <cellStyle name="标题 4 2 2 3" xfId="45653"/>
    <cellStyle name="标题 4 2 2 3 2" xfId="45654"/>
    <cellStyle name="标题 4 2 2 3 2 2" xfId="45655"/>
    <cellStyle name="标题 4 2 2 3 2 3" xfId="45656"/>
    <cellStyle name="标题 4 2 2 3 2 3 2" xfId="45657"/>
    <cellStyle name="标题 4 2 2 3 2 3 2 2" xfId="45658"/>
    <cellStyle name="标题 4 2 2 3 2 4" xfId="45659"/>
    <cellStyle name="标题 4 2 2 3 2 4 2" xfId="45660"/>
    <cellStyle name="标题 4 2 2 3 3" xfId="45661"/>
    <cellStyle name="标题 4 2 2 3 3 2" xfId="45662"/>
    <cellStyle name="标题 4 2 2 3 3 2 2" xfId="45663"/>
    <cellStyle name="标题 4 2 2 3 3 2 2 2" xfId="45664"/>
    <cellStyle name="标题 4 2 2 3 3 3" xfId="45665"/>
    <cellStyle name="标题 4 2 2 3 3 3 2" xfId="45666"/>
    <cellStyle name="标题 4 2 2 3 4" xfId="45667"/>
    <cellStyle name="标题 4 2 2 3 5" xfId="45668"/>
    <cellStyle name="标题 4 2 2 3 6" xfId="45669"/>
    <cellStyle name="标题 4 2 2 4" xfId="45670"/>
    <cellStyle name="标题 4 2 2 4 2" xfId="45671"/>
    <cellStyle name="标题 4 2 2 4 2 2" xfId="45672"/>
    <cellStyle name="标题 4 2 2 4 2 3" xfId="45673"/>
    <cellStyle name="标题 4 2 2 4 2 3 2" xfId="45674"/>
    <cellStyle name="标题 4 2 2 4 2 3 2 2" xfId="45675"/>
    <cellStyle name="标题 4 2 2 4 2 4" xfId="45676"/>
    <cellStyle name="标题 4 2 2 4 2 4 2" xfId="45677"/>
    <cellStyle name="标题 4 2 2 4 3" xfId="45678"/>
    <cellStyle name="标题 4 2 2 4 4" xfId="45679"/>
    <cellStyle name="标题 4 2 2 4 5" xfId="45680"/>
    <cellStyle name="标题 4 2 2 4 6" xfId="45681"/>
    <cellStyle name="标题 4 2 2 5" xfId="45682"/>
    <cellStyle name="标题 4 2 2 5 2" xfId="45683"/>
    <cellStyle name="标题 4 2 2 5 2 2" xfId="45684"/>
    <cellStyle name="标题 4 2 2 5 2 2 2" xfId="45685"/>
    <cellStyle name="标题 4 2 2 5 2 2 2 2" xfId="45686"/>
    <cellStyle name="标题 4 2 2 5 2 3" xfId="45687"/>
    <cellStyle name="标题 4 2 2 5 2 3 2" xfId="45688"/>
    <cellStyle name="标题 4 2 2 5 3" xfId="45689"/>
    <cellStyle name="标题 4 2 2 5 3 2" xfId="45690"/>
    <cellStyle name="标题 4 2 2 5 3 2 2" xfId="45691"/>
    <cellStyle name="标题 4 2 2 5 4" xfId="45692"/>
    <cellStyle name="标题 4 2 2 5 4 2" xfId="45693"/>
    <cellStyle name="标题 4 2 2 6" xfId="45694"/>
    <cellStyle name="标题 4 2 2 6 2" xfId="45695"/>
    <cellStyle name="标题 4 2 2 6 2 2" xfId="45696"/>
    <cellStyle name="标题 4 2 2 6 2 2 2" xfId="45697"/>
    <cellStyle name="标题 4 2 2 6 2 2 2 2" xfId="45698"/>
    <cellStyle name="标题 4 2 2 6 2 3" xfId="45699"/>
    <cellStyle name="标题 4 2 2 6 2 3 2" xfId="45700"/>
    <cellStyle name="标题 4 2 2 6 3" xfId="45701"/>
    <cellStyle name="标题 4 2 2 6 3 2" xfId="45702"/>
    <cellStyle name="标题 4 2 2 6 3 2 2" xfId="45703"/>
    <cellStyle name="标题 4 2 2 6 4" xfId="45704"/>
    <cellStyle name="标题 4 2 2 6 4 2" xfId="45705"/>
    <cellStyle name="标题 4 2 2 7" xfId="45706"/>
    <cellStyle name="标题 4 2 2 7 2" xfId="45707"/>
    <cellStyle name="标题 4 2 2 7 2 2" xfId="45708"/>
    <cellStyle name="标题 4 2 2 7 2 2 2" xfId="45709"/>
    <cellStyle name="标题 4 2 2 7 2 2 2 2" xfId="45710"/>
    <cellStyle name="标题 4 2 2 7 2 3" xfId="45711"/>
    <cellStyle name="标题 4 2 2 7 2 3 2" xfId="45712"/>
    <cellStyle name="标题 4 2 2 7 3" xfId="45713"/>
    <cellStyle name="标题 4 2 2 7 3 2" xfId="45714"/>
    <cellStyle name="标题 4 2 2 7 3 2 2" xfId="45715"/>
    <cellStyle name="标题 4 2 2 7 4" xfId="45716"/>
    <cellStyle name="标题 4 2 2 7 4 2" xfId="45717"/>
    <cellStyle name="标题 4 2 2 8" xfId="45718"/>
    <cellStyle name="标题 4 2 2 8 2" xfId="45719"/>
    <cellStyle name="标题 4 2 2 8 2 2" xfId="45720"/>
    <cellStyle name="标题 4 2 2 8 2 2 2" xfId="45721"/>
    <cellStyle name="标题 4 2 2 8 3" xfId="45722"/>
    <cellStyle name="标题 4 2 2 8 3 2" xfId="45723"/>
    <cellStyle name="标题 4 2 2 9" xfId="45724"/>
    <cellStyle name="标题 4 2 2 9 2" xfId="45725"/>
    <cellStyle name="标题 4 2 2 9 2 2" xfId="45726"/>
    <cellStyle name="标题 4 2 2 9 2 2 2" xfId="45727"/>
    <cellStyle name="标题 4 2 2 9 3" xfId="45728"/>
    <cellStyle name="标题 4 2 2 9 3 2" xfId="45729"/>
    <cellStyle name="标题 4 2 3" xfId="45730"/>
    <cellStyle name="标题 4 2 3 2" xfId="45731"/>
    <cellStyle name="标题 4 2 3 2 2" xfId="45732"/>
    <cellStyle name="标题 4 2 3 2 2 2" xfId="45733"/>
    <cellStyle name="标题 4 2 3 2 2 2 2" xfId="45734"/>
    <cellStyle name="标题 4 2 3 2 2 2 3" xfId="45735"/>
    <cellStyle name="标题 4 2 3 2 2 2 3 2" xfId="45736"/>
    <cellStyle name="标题 4 2 3 2 2 2 3 2 2" xfId="45737"/>
    <cellStyle name="标题 4 2 3 2 2 2 4" xfId="45738"/>
    <cellStyle name="标题 4 2 3 2 2 2 4 2" xfId="45739"/>
    <cellStyle name="标题 4 2 3 2 2 3" xfId="45740"/>
    <cellStyle name="标题 4 2 3 2 2 3 2" xfId="45741"/>
    <cellStyle name="标题 4 2 3 2 2 3 2 2" xfId="45742"/>
    <cellStyle name="标题 4 2 3 2 2 3 2 2 2" xfId="45743"/>
    <cellStyle name="标题 4 2 3 2 2 3 3" xfId="45744"/>
    <cellStyle name="标题 4 2 3 2 2 3 3 2" xfId="45745"/>
    <cellStyle name="标题 4 2 3 2 2 4" xfId="45746"/>
    <cellStyle name="标题 4 2 3 2 2 5" xfId="45747"/>
    <cellStyle name="标题 4 2 3 2 2 6" xfId="45748"/>
    <cellStyle name="标题 4 2 3 2 3" xfId="45749"/>
    <cellStyle name="标题 4 2 3 2 3 2" xfId="45750"/>
    <cellStyle name="标题 4 2 3 2 3 3" xfId="45751"/>
    <cellStyle name="标题 4 2 3 2 3 3 2" xfId="45752"/>
    <cellStyle name="标题 4 2 3 2 3 3 2 2" xfId="45753"/>
    <cellStyle name="标题 4 2 3 2 3 4" xfId="45754"/>
    <cellStyle name="标题 4 2 3 2 3 4 2" xfId="45755"/>
    <cellStyle name="标题 4 2 3 2 4" xfId="45756"/>
    <cellStyle name="标题 4 2 3 2 4 2" xfId="45757"/>
    <cellStyle name="标题 4 2 3 2 4 2 2" xfId="45758"/>
    <cellStyle name="标题 4 2 3 2 4 2 2 2" xfId="45759"/>
    <cellStyle name="标题 4 2 3 2 4 3" xfId="45760"/>
    <cellStyle name="标题 4 2 3 2 4 3 2" xfId="45761"/>
    <cellStyle name="标题 4 2 3 2 5" xfId="45762"/>
    <cellStyle name="标题 4 2 3 2 6" xfId="45763"/>
    <cellStyle name="标题 4 2 3 2 7" xfId="45764"/>
    <cellStyle name="标题 4 2 3 3" xfId="45765"/>
    <cellStyle name="标题 4 2 3 3 2" xfId="45766"/>
    <cellStyle name="标题 4 2 3 3 2 2" xfId="45767"/>
    <cellStyle name="标题 4 2 3 3 2 3" xfId="45768"/>
    <cellStyle name="标题 4 2 3 3 2 3 2" xfId="45769"/>
    <cellStyle name="标题 4 2 3 3 2 3 2 2" xfId="45770"/>
    <cellStyle name="标题 4 2 3 3 2 4" xfId="45771"/>
    <cellStyle name="标题 4 2 3 3 2 4 2" xfId="45772"/>
    <cellStyle name="标题 4 2 3 3 3" xfId="45773"/>
    <cellStyle name="标题 4 2 3 3 3 2" xfId="45774"/>
    <cellStyle name="标题 4 2 3 3 3 2 2" xfId="45775"/>
    <cellStyle name="标题 4 2 3 3 3 2 2 2" xfId="45776"/>
    <cellStyle name="标题 4 2 3 3 3 3" xfId="45777"/>
    <cellStyle name="标题 4 2 3 3 3 3 2" xfId="45778"/>
    <cellStyle name="标题 4 2 3 3 4" xfId="45779"/>
    <cellStyle name="标题 4 2 3 3 5" xfId="45780"/>
    <cellStyle name="标题 4 2 3 3 6" xfId="45781"/>
    <cellStyle name="标题 4 2 3 4" xfId="45782"/>
    <cellStyle name="标题 4 2 3 4 2" xfId="45783"/>
    <cellStyle name="标题 4 2 3 4 2 2" xfId="45784"/>
    <cellStyle name="标题 4 2 3 4 2 3" xfId="45785"/>
    <cellStyle name="标题 4 2 3 4 2 3 2" xfId="45786"/>
    <cellStyle name="标题 4 2 3 4 2 3 2 2" xfId="45787"/>
    <cellStyle name="标题 4 2 3 4 2 4" xfId="45788"/>
    <cellStyle name="标题 4 2 3 4 2 4 2" xfId="45789"/>
    <cellStyle name="标题 4 2 3 4 3" xfId="45790"/>
    <cellStyle name="标题 4 2 3 4 4" xfId="45791"/>
    <cellStyle name="标题 4 2 3 4 5" xfId="45792"/>
    <cellStyle name="标题 4 2 3 4 6" xfId="45793"/>
    <cellStyle name="标题 4 2 3 5" xfId="45794"/>
    <cellStyle name="标题 4 2 3 5 2" xfId="45795"/>
    <cellStyle name="标题 4 2 3 5 2 2" xfId="45796"/>
    <cellStyle name="标题 4 2 3 5 2 2 2" xfId="45797"/>
    <cellStyle name="标题 4 2 3 5 2 2 2 2" xfId="45798"/>
    <cellStyle name="标题 4 2 3 5 2 3" xfId="45799"/>
    <cellStyle name="标题 4 2 3 5 2 3 2" xfId="45800"/>
    <cellStyle name="标题 4 2 3 5 3" xfId="45801"/>
    <cellStyle name="标题 4 2 3 5 3 2" xfId="45802"/>
    <cellStyle name="标题 4 2 3 5 3 2 2" xfId="45803"/>
    <cellStyle name="标题 4 2 3 5 4" xfId="45804"/>
    <cellStyle name="标题 4 2 3 5 4 2" xfId="45805"/>
    <cellStyle name="标题 4 2 3 6" xfId="45806"/>
    <cellStyle name="标题 4 2 3 6 2" xfId="45807"/>
    <cellStyle name="标题 4 2 3 6 2 2" xfId="45808"/>
    <cellStyle name="标题 4 2 3 6 2 2 2" xfId="45809"/>
    <cellStyle name="标题 4 2 3 6 3" xfId="45810"/>
    <cellStyle name="标题 4 2 3 6 3 2" xfId="45811"/>
    <cellStyle name="标题 4 2 3 7" xfId="45812"/>
    <cellStyle name="标题 4 2 3 7 2" xfId="45813"/>
    <cellStyle name="标题 4 2 3 7 2 2" xfId="45814"/>
    <cellStyle name="标题 4 2 3 7 2 2 2" xfId="45815"/>
    <cellStyle name="标题 4 2 3 7 3" xfId="45816"/>
    <cellStyle name="标题 4 2 3 7 3 2" xfId="45817"/>
    <cellStyle name="标题 4 2 3 8" xfId="45818"/>
    <cellStyle name="标题 4 2 3 9" xfId="45819"/>
    <cellStyle name="标题 4 2 4" xfId="45820"/>
    <cellStyle name="标题 4 2 4 2" xfId="45821"/>
    <cellStyle name="标题 4 2 4 2 2" xfId="45822"/>
    <cellStyle name="标题 4 2 4 2 3" xfId="45823"/>
    <cellStyle name="标题 4 2 4 2 3 2" xfId="45824"/>
    <cellStyle name="标题 4 2 4 2 3 2 2" xfId="45825"/>
    <cellStyle name="标题 4 2 4 2 4" xfId="45826"/>
    <cellStyle name="标题 4 2 4 2 4 2" xfId="45827"/>
    <cellStyle name="标题 4 2 4 3" xfId="45828"/>
    <cellStyle name="标题 4 2 4 3 2" xfId="45829"/>
    <cellStyle name="标题 4 2 4 3 2 2" xfId="45830"/>
    <cellStyle name="标题 4 2 4 3 2 2 2" xfId="45831"/>
    <cellStyle name="标题 4 2 4 3 3" xfId="45832"/>
    <cellStyle name="标题 4 2 4 3 3 2" xfId="45833"/>
    <cellStyle name="标题 4 2 4 4" xfId="45834"/>
    <cellStyle name="标题 4 2 4 5" xfId="45835"/>
    <cellStyle name="标题 4 2 4 6" xfId="45836"/>
    <cellStyle name="标题 4 2 5" xfId="45837"/>
    <cellStyle name="标题 4 2 5 2" xfId="45838"/>
    <cellStyle name="标题 4 2 5 2 2" xfId="45839"/>
    <cellStyle name="标题 4 2 5 2 3" xfId="45840"/>
    <cellStyle name="标题 4 2 5 2 3 2" xfId="45841"/>
    <cellStyle name="标题 4 2 5 2 3 2 2" xfId="45842"/>
    <cellStyle name="标题 4 2 5 2 4" xfId="45843"/>
    <cellStyle name="标题 4 2 5 2 4 2" xfId="45844"/>
    <cellStyle name="标题 4 2 5 3" xfId="45845"/>
    <cellStyle name="标题 4 2 5 4" xfId="45846"/>
    <cellStyle name="标题 4 2 5 5" xfId="45847"/>
    <cellStyle name="标题 4 2 5 6" xfId="45848"/>
    <cellStyle name="标题 4 2 6" xfId="45849"/>
    <cellStyle name="标题 4 2 6 2" xfId="45850"/>
    <cellStyle name="标题 4 2 6 2 2" xfId="45851"/>
    <cellStyle name="标题 4 2 6 2 2 2" xfId="45852"/>
    <cellStyle name="标题 4 2 6 2 2 2 2" xfId="45853"/>
    <cellStyle name="标题 4 2 6 2 3" xfId="45854"/>
    <cellStyle name="标题 4 2 6 2 3 2" xfId="45855"/>
    <cellStyle name="标题 4 2 6 3" xfId="45856"/>
    <cellStyle name="标题 4 2 6 3 2" xfId="45857"/>
    <cellStyle name="标题 4 2 6 3 2 2" xfId="45858"/>
    <cellStyle name="标题 4 2 6 4" xfId="45859"/>
    <cellStyle name="标题 4 2 6 4 2" xfId="45860"/>
    <cellStyle name="标题 4 2 7" xfId="45861"/>
    <cellStyle name="标题 4 2 7 2" xfId="45862"/>
    <cellStyle name="标题 4 2 7 2 2" xfId="45863"/>
    <cellStyle name="标题 4 2 7 2 2 2" xfId="45864"/>
    <cellStyle name="标题 4 2 7 2 2 2 2" xfId="45865"/>
    <cellStyle name="标题 4 2 7 2 3" xfId="45866"/>
    <cellStyle name="标题 4 2 7 2 3 2" xfId="45867"/>
    <cellStyle name="标题 4 2 7 3" xfId="45868"/>
    <cellStyle name="标题 4 2 7 3 2" xfId="45869"/>
    <cellStyle name="标题 4 2 7 3 2 2" xfId="45870"/>
    <cellStyle name="标题 4 2 7 4" xfId="45871"/>
    <cellStyle name="标题 4 2 7 4 2" xfId="45872"/>
    <cellStyle name="标题 4 2 8" xfId="45873"/>
    <cellStyle name="标题 4 2 8 2" xfId="45874"/>
    <cellStyle name="标题 4 2 8 2 2" xfId="45875"/>
    <cellStyle name="标题 4 2 8 2 2 2" xfId="45876"/>
    <cellStyle name="标题 4 2 8 2 2 2 2" xfId="45877"/>
    <cellStyle name="标题 4 2 8 2 3" xfId="45878"/>
    <cellStyle name="标题 4 2 8 2 3 2" xfId="45879"/>
    <cellStyle name="标题 4 2 8 3" xfId="45880"/>
    <cellStyle name="标题 4 2 8 3 2" xfId="45881"/>
    <cellStyle name="标题 4 2 8 3 2 2" xfId="45882"/>
    <cellStyle name="标题 4 2 8 4" xfId="45883"/>
    <cellStyle name="标题 4 2 8 4 2" xfId="45884"/>
    <cellStyle name="标题 4 2 9" xfId="45885"/>
    <cellStyle name="标题 4 2 9 2" xfId="45886"/>
    <cellStyle name="标题 4 2 9 2 2" xfId="45887"/>
    <cellStyle name="标题 4 2 9 2 2 2" xfId="45888"/>
    <cellStyle name="标题 4 2 9 3" xfId="45889"/>
    <cellStyle name="标题 4 2 9 3 2" xfId="45890"/>
    <cellStyle name="标题 4 3" xfId="45891"/>
    <cellStyle name="标题 4 3 2" xfId="45892"/>
    <cellStyle name="标题 4 3 2 2" xfId="45893"/>
    <cellStyle name="标题 4 3 2 2 2" xfId="45894"/>
    <cellStyle name="标题 4 3 2 2 2 2" xfId="45895"/>
    <cellStyle name="标题 4 3 2 2 2 3" xfId="45896"/>
    <cellStyle name="标题 4 3 2 2 2 3 2" xfId="45897"/>
    <cellStyle name="标题 4 3 2 2 2 3 2 2" xfId="45898"/>
    <cellStyle name="标题 4 3 2 2 2 4" xfId="45899"/>
    <cellStyle name="标题 4 3 2 2 2 4 2" xfId="45900"/>
    <cellStyle name="标题 4 3 2 2 3" xfId="45901"/>
    <cellStyle name="标题 4 3 2 2 3 2" xfId="45902"/>
    <cellStyle name="标题 4 3 2 2 3 2 2" xfId="45903"/>
    <cellStyle name="标题 4 3 2 2 3 2 2 2" xfId="45904"/>
    <cellStyle name="标题 4 3 2 2 3 3" xfId="45905"/>
    <cellStyle name="标题 4 3 2 2 3 3 2" xfId="45906"/>
    <cellStyle name="标题 4 3 2 2 4" xfId="45907"/>
    <cellStyle name="标题 4 3 2 2 5" xfId="45908"/>
    <cellStyle name="标题 4 3 2 2 6" xfId="45909"/>
    <cellStyle name="标题 4 3 2 3" xfId="45910"/>
    <cellStyle name="标题 4 3 2 3 2" xfId="45911"/>
    <cellStyle name="标题 4 3 2 3 3" xfId="45912"/>
    <cellStyle name="标题 4 3 2 3 3 2" xfId="45913"/>
    <cellStyle name="标题 4 3 2 3 3 2 2" xfId="45914"/>
    <cellStyle name="标题 4 3 2 3 4" xfId="45915"/>
    <cellStyle name="标题 4 3 2 3 4 2" xfId="45916"/>
    <cellStyle name="标题 4 3 2 4" xfId="45917"/>
    <cellStyle name="标题 4 3 2 4 2" xfId="45918"/>
    <cellStyle name="标题 4 3 2 4 2 2" xfId="45919"/>
    <cellStyle name="标题 4 3 2 4 2 2 2" xfId="45920"/>
    <cellStyle name="标题 4 3 2 4 3" xfId="45921"/>
    <cellStyle name="标题 4 3 2 4 3 2" xfId="45922"/>
    <cellStyle name="标题 4 3 2 5" xfId="45923"/>
    <cellStyle name="标题 4 3 2 6" xfId="45924"/>
    <cellStyle name="标题 4 3 2 7" xfId="45925"/>
    <cellStyle name="标题 4 3 3" xfId="45926"/>
    <cellStyle name="标题 4 3 3 2" xfId="45927"/>
    <cellStyle name="标题 4 3 3 2 2" xfId="45928"/>
    <cellStyle name="标题 4 3 3 2 3" xfId="45929"/>
    <cellStyle name="标题 4 3 3 2 3 2" xfId="45930"/>
    <cellStyle name="标题 4 3 3 2 3 2 2" xfId="45931"/>
    <cellStyle name="标题 4 3 3 2 4" xfId="45932"/>
    <cellStyle name="标题 4 3 3 2 4 2" xfId="45933"/>
    <cellStyle name="标题 4 3 3 3" xfId="45934"/>
    <cellStyle name="标题 4 3 3 3 2" xfId="45935"/>
    <cellStyle name="标题 4 3 3 3 2 2" xfId="45936"/>
    <cellStyle name="标题 4 3 3 3 2 2 2" xfId="45937"/>
    <cellStyle name="标题 4 3 3 3 3" xfId="45938"/>
    <cellStyle name="标题 4 3 3 3 3 2" xfId="45939"/>
    <cellStyle name="标题 4 3 3 4" xfId="45940"/>
    <cellStyle name="标题 4 3 3 5" xfId="45941"/>
    <cellStyle name="标题 4 3 3 6" xfId="45942"/>
    <cellStyle name="标题 4 3 4" xfId="45943"/>
    <cellStyle name="标题 4 3 4 2" xfId="45944"/>
    <cellStyle name="标题 4 3 4 2 2" xfId="45945"/>
    <cellStyle name="标题 4 3 4 2 3" xfId="45946"/>
    <cellStyle name="标题 4 3 4 2 3 2" xfId="45947"/>
    <cellStyle name="标题 4 3 4 2 3 2 2" xfId="45948"/>
    <cellStyle name="标题 4 3 4 2 4" xfId="45949"/>
    <cellStyle name="标题 4 3 4 2 4 2" xfId="45950"/>
    <cellStyle name="标题 4 3 4 3" xfId="45951"/>
    <cellStyle name="标题 4 3 4 4" xfId="45952"/>
    <cellStyle name="标题 4 3 4 5" xfId="45953"/>
    <cellStyle name="标题 4 3 4 6" xfId="45954"/>
    <cellStyle name="标题 4 3 5" xfId="45955"/>
    <cellStyle name="标题 4 3 5 2" xfId="45956"/>
    <cellStyle name="标题 4 3 5 2 2" xfId="45957"/>
    <cellStyle name="标题 4 3 5 2 2 2" xfId="45958"/>
    <cellStyle name="标题 4 3 5 2 2 2 2" xfId="45959"/>
    <cellStyle name="标题 4 3 5 2 3" xfId="45960"/>
    <cellStyle name="标题 4 3 5 2 3 2" xfId="45961"/>
    <cellStyle name="标题 4 3 5 3" xfId="45962"/>
    <cellStyle name="标题 4 3 5 3 2" xfId="45963"/>
    <cellStyle name="标题 4 3 5 3 2 2" xfId="45964"/>
    <cellStyle name="标题 4 3 5 4" xfId="45965"/>
    <cellStyle name="标题 4 3 5 4 2" xfId="45966"/>
    <cellStyle name="标题 4 3 6" xfId="45967"/>
    <cellStyle name="标题 4 3 6 2" xfId="45968"/>
    <cellStyle name="标题 4 3 6 2 2" xfId="45969"/>
    <cellStyle name="标题 4 3 6 2 2 2" xfId="45970"/>
    <cellStyle name="标题 4 3 6 3" xfId="45971"/>
    <cellStyle name="标题 4 3 6 3 2" xfId="45972"/>
    <cellStyle name="标题 4 3 7" xfId="45973"/>
    <cellStyle name="标题 4 3 8" xfId="45974"/>
    <cellStyle name="标题 5" xfId="45975"/>
    <cellStyle name="标题 5 10" xfId="45976"/>
    <cellStyle name="标题 5 11" xfId="45977"/>
    <cellStyle name="标题 5 2" xfId="45978"/>
    <cellStyle name="标题 5 2 10" xfId="45979"/>
    <cellStyle name="标题 5 2 11" xfId="45980"/>
    <cellStyle name="标题 5 2 2" xfId="45981"/>
    <cellStyle name="标题 5 2 2 2" xfId="45982"/>
    <cellStyle name="标题 5 2 2 2 2" xfId="45983"/>
    <cellStyle name="标题 5 2 2 2 2 2" xfId="45984"/>
    <cellStyle name="标题 5 2 2 2 2 3" xfId="45985"/>
    <cellStyle name="标题 5 2 2 2 2 3 2" xfId="45986"/>
    <cellStyle name="标题 5 2 2 2 2 3 2 2" xfId="45987"/>
    <cellStyle name="标题 5 2 2 2 2 4" xfId="45988"/>
    <cellStyle name="标题 5 2 2 2 2 4 2" xfId="45989"/>
    <cellStyle name="标题 5 2 2 2 3" xfId="45990"/>
    <cellStyle name="标题 5 2 2 2 3 2" xfId="45991"/>
    <cellStyle name="标题 5 2 2 2 3 2 2" xfId="45992"/>
    <cellStyle name="标题 5 2 2 2 3 2 2 2" xfId="45993"/>
    <cellStyle name="标题 5 2 2 2 3 3" xfId="45994"/>
    <cellStyle name="标题 5 2 2 2 3 3 2" xfId="45995"/>
    <cellStyle name="标题 5 2 2 2 4" xfId="45996"/>
    <cellStyle name="标题 5 2 2 2 5" xfId="45997"/>
    <cellStyle name="标题 5 2 2 2 6" xfId="45998"/>
    <cellStyle name="标题 5 2 2 3" xfId="45999"/>
    <cellStyle name="标题 5 2 2 3 2" xfId="46000"/>
    <cellStyle name="标题 5 2 2 3 3" xfId="46001"/>
    <cellStyle name="标题 5 2 2 3 3 2" xfId="46002"/>
    <cellStyle name="标题 5 2 2 3 3 2 2" xfId="46003"/>
    <cellStyle name="标题 5 2 2 3 4" xfId="46004"/>
    <cellStyle name="标题 5 2 2 3 4 2" xfId="46005"/>
    <cellStyle name="标题 5 2 2 4" xfId="46006"/>
    <cellStyle name="标题 5 2 2 4 2" xfId="46007"/>
    <cellStyle name="标题 5 2 2 4 2 2" xfId="46008"/>
    <cellStyle name="标题 5 2 2 4 2 2 2" xfId="46009"/>
    <cellStyle name="标题 5 2 2 4 3" xfId="46010"/>
    <cellStyle name="标题 5 2 2 4 3 2" xfId="46011"/>
    <cellStyle name="标题 5 2 2 5" xfId="46012"/>
    <cellStyle name="标题 5 2 2 6" xfId="46013"/>
    <cellStyle name="标题 5 2 2 7" xfId="46014"/>
    <cellStyle name="标题 5 2 3" xfId="46015"/>
    <cellStyle name="标题 5 2 3 2" xfId="46016"/>
    <cellStyle name="标题 5 2 3 2 2" xfId="46017"/>
    <cellStyle name="标题 5 2 3 2 3" xfId="46018"/>
    <cellStyle name="标题 5 2 3 2 3 2" xfId="46019"/>
    <cellStyle name="标题 5 2 3 2 3 2 2" xfId="46020"/>
    <cellStyle name="标题 5 2 3 2 4" xfId="46021"/>
    <cellStyle name="标题 5 2 3 2 4 2" xfId="46022"/>
    <cellStyle name="标题 5 2 3 3" xfId="46023"/>
    <cellStyle name="标题 5 2 3 3 2" xfId="46024"/>
    <cellStyle name="标题 5 2 3 3 2 2" xfId="46025"/>
    <cellStyle name="标题 5 2 3 3 2 2 2" xfId="46026"/>
    <cellStyle name="标题 5 2 3 3 3" xfId="46027"/>
    <cellStyle name="标题 5 2 3 3 3 2" xfId="46028"/>
    <cellStyle name="标题 5 2 3 4" xfId="46029"/>
    <cellStyle name="标题 5 2 3 5" xfId="46030"/>
    <cellStyle name="标题 5 2 3 6" xfId="46031"/>
    <cellStyle name="标题 5 2 4" xfId="46032"/>
    <cellStyle name="标题 5 2 4 2" xfId="46033"/>
    <cellStyle name="标题 5 2 4 2 2" xfId="46034"/>
    <cellStyle name="标题 5 2 4 2 3" xfId="46035"/>
    <cellStyle name="标题 5 2 4 2 3 2" xfId="46036"/>
    <cellStyle name="标题 5 2 4 2 3 2 2" xfId="46037"/>
    <cellStyle name="标题 5 2 4 2 4" xfId="46038"/>
    <cellStyle name="标题 5 2 4 2 4 2" xfId="46039"/>
    <cellStyle name="标题 5 2 4 3" xfId="46040"/>
    <cellStyle name="标题 5 2 4 4" xfId="46041"/>
    <cellStyle name="标题 5 2 4 5" xfId="46042"/>
    <cellStyle name="标题 5 2 4 6" xfId="46043"/>
    <cellStyle name="标题 5 2 5" xfId="46044"/>
    <cellStyle name="标题 5 2 5 2" xfId="46045"/>
    <cellStyle name="标题 5 2 5 2 2" xfId="46046"/>
    <cellStyle name="标题 5 2 5 2 2 2" xfId="46047"/>
    <cellStyle name="标题 5 2 5 2 2 2 2" xfId="46048"/>
    <cellStyle name="标题 5 2 5 2 3" xfId="46049"/>
    <cellStyle name="标题 5 2 5 2 3 2" xfId="46050"/>
    <cellStyle name="标题 5 2 5 3" xfId="46051"/>
    <cellStyle name="标题 5 2 5 3 2" xfId="46052"/>
    <cellStyle name="标题 5 2 5 3 2 2" xfId="46053"/>
    <cellStyle name="标题 5 2 5 4" xfId="46054"/>
    <cellStyle name="标题 5 2 5 4 2" xfId="46055"/>
    <cellStyle name="标题 5 2 6" xfId="46056"/>
    <cellStyle name="标题 5 2 6 2" xfId="46057"/>
    <cellStyle name="标题 5 2 6 2 2" xfId="46058"/>
    <cellStyle name="标题 5 2 6 2 2 2" xfId="46059"/>
    <cellStyle name="标题 5 2 6 2 2 2 2" xfId="46060"/>
    <cellStyle name="标题 5 2 6 2 3" xfId="46061"/>
    <cellStyle name="标题 5 2 6 2 3 2" xfId="46062"/>
    <cellStyle name="标题 5 2 6 3" xfId="46063"/>
    <cellStyle name="标题 5 2 6 3 2" xfId="46064"/>
    <cellStyle name="标题 5 2 6 3 2 2" xfId="46065"/>
    <cellStyle name="标题 5 2 6 4" xfId="46066"/>
    <cellStyle name="标题 5 2 6 4 2" xfId="46067"/>
    <cellStyle name="标题 5 2 7" xfId="46068"/>
    <cellStyle name="标题 5 2 7 2" xfId="46069"/>
    <cellStyle name="标题 5 2 7 2 2" xfId="46070"/>
    <cellStyle name="标题 5 2 7 2 2 2" xfId="46071"/>
    <cellStyle name="标题 5 2 7 2 2 2 2" xfId="46072"/>
    <cellStyle name="标题 5 2 7 2 3" xfId="46073"/>
    <cellStyle name="标题 5 2 7 2 3 2" xfId="46074"/>
    <cellStyle name="标题 5 2 7 3" xfId="46075"/>
    <cellStyle name="标题 5 2 7 3 2" xfId="46076"/>
    <cellStyle name="标题 5 2 7 3 2 2" xfId="46077"/>
    <cellStyle name="标题 5 2 7 4" xfId="46078"/>
    <cellStyle name="标题 5 2 7 4 2" xfId="46079"/>
    <cellStyle name="标题 5 2 8" xfId="46080"/>
    <cellStyle name="标题 5 2 8 2" xfId="46081"/>
    <cellStyle name="标题 5 2 8 2 2" xfId="46082"/>
    <cellStyle name="标题 5 2 8 2 2 2" xfId="46083"/>
    <cellStyle name="标题 5 2 8 3" xfId="46084"/>
    <cellStyle name="标题 5 2 8 3 2" xfId="46085"/>
    <cellStyle name="标题 5 2 9" xfId="46086"/>
    <cellStyle name="标题 5 2 9 2" xfId="46087"/>
    <cellStyle name="标题 5 2 9 2 2" xfId="46088"/>
    <cellStyle name="标题 5 2 9 2 2 2" xfId="46089"/>
    <cellStyle name="标题 5 2 9 3" xfId="46090"/>
    <cellStyle name="标题 5 2 9 3 2" xfId="46091"/>
    <cellStyle name="标题 5 3" xfId="46092"/>
    <cellStyle name="标题 5 3 2" xfId="46093"/>
    <cellStyle name="标题 5 3 2 2" xfId="46094"/>
    <cellStyle name="标题 5 3 2 2 2" xfId="46095"/>
    <cellStyle name="标题 5 3 2 2 2 2" xfId="46096"/>
    <cellStyle name="标题 5 3 2 2 2 3" xfId="46097"/>
    <cellStyle name="标题 5 3 2 2 2 3 2" xfId="46098"/>
    <cellStyle name="标题 5 3 2 2 2 3 2 2" xfId="46099"/>
    <cellStyle name="标题 5 3 2 2 2 4" xfId="46100"/>
    <cellStyle name="标题 5 3 2 2 2 4 2" xfId="46101"/>
    <cellStyle name="标题 5 3 2 2 3" xfId="46102"/>
    <cellStyle name="标题 5 3 2 2 3 2" xfId="46103"/>
    <cellStyle name="标题 5 3 2 2 3 2 2" xfId="46104"/>
    <cellStyle name="标题 5 3 2 2 3 2 2 2" xfId="46105"/>
    <cellStyle name="标题 5 3 2 2 3 3" xfId="46106"/>
    <cellStyle name="标题 5 3 2 2 3 3 2" xfId="46107"/>
    <cellStyle name="标题 5 3 2 2 4" xfId="46108"/>
    <cellStyle name="标题 5 3 2 2 5" xfId="46109"/>
    <cellStyle name="标题 5 3 2 2 6" xfId="46110"/>
    <cellStyle name="标题 5 3 2 3" xfId="46111"/>
    <cellStyle name="标题 5 3 2 3 2" xfId="46112"/>
    <cellStyle name="标题 5 3 2 3 3" xfId="46113"/>
    <cellStyle name="标题 5 3 2 3 3 2" xfId="46114"/>
    <cellStyle name="标题 5 3 2 3 3 2 2" xfId="46115"/>
    <cellStyle name="标题 5 3 2 3 4" xfId="46116"/>
    <cellStyle name="标题 5 3 2 3 4 2" xfId="46117"/>
    <cellStyle name="标题 5 3 2 4" xfId="46118"/>
    <cellStyle name="标题 5 3 2 4 2" xfId="46119"/>
    <cellStyle name="标题 5 3 2 4 2 2" xfId="46120"/>
    <cellStyle name="标题 5 3 2 4 2 2 2" xfId="46121"/>
    <cellStyle name="标题 5 3 2 4 3" xfId="46122"/>
    <cellStyle name="标题 5 3 2 4 3 2" xfId="46123"/>
    <cellStyle name="标题 5 3 2 5" xfId="46124"/>
    <cellStyle name="标题 5 3 2 6" xfId="46125"/>
    <cellStyle name="标题 5 3 2 7" xfId="46126"/>
    <cellStyle name="标题 5 3 3" xfId="46127"/>
    <cellStyle name="标题 5 3 3 2" xfId="46128"/>
    <cellStyle name="标题 5 3 3 2 2" xfId="46129"/>
    <cellStyle name="标题 5 3 3 2 3" xfId="46130"/>
    <cellStyle name="标题 5 3 3 2 3 2" xfId="46131"/>
    <cellStyle name="标题 5 3 3 2 3 2 2" xfId="46132"/>
    <cellStyle name="标题 5 3 3 2 4" xfId="46133"/>
    <cellStyle name="标题 5 3 3 2 4 2" xfId="46134"/>
    <cellStyle name="标题 5 3 3 3" xfId="46135"/>
    <cellStyle name="标题 5 3 3 3 2" xfId="46136"/>
    <cellStyle name="标题 5 3 3 3 2 2" xfId="46137"/>
    <cellStyle name="标题 5 3 3 3 2 2 2" xfId="46138"/>
    <cellStyle name="标题 5 3 3 3 3" xfId="46139"/>
    <cellStyle name="标题 5 3 3 3 3 2" xfId="46140"/>
    <cellStyle name="标题 5 3 3 4" xfId="46141"/>
    <cellStyle name="标题 5 3 3 5" xfId="46142"/>
    <cellStyle name="标题 5 3 3 6" xfId="46143"/>
    <cellStyle name="标题 5 3 4" xfId="46144"/>
    <cellStyle name="标题 5 3 4 2" xfId="46145"/>
    <cellStyle name="标题 5 3 4 2 2" xfId="46146"/>
    <cellStyle name="标题 5 3 4 2 3" xfId="46147"/>
    <cellStyle name="标题 5 3 4 2 3 2" xfId="46148"/>
    <cellStyle name="标题 5 3 4 2 3 2 2" xfId="46149"/>
    <cellStyle name="标题 5 3 4 2 4" xfId="46150"/>
    <cellStyle name="标题 5 3 4 2 4 2" xfId="46151"/>
    <cellStyle name="标题 5 3 4 3" xfId="46152"/>
    <cellStyle name="标题 5 3 4 4" xfId="46153"/>
    <cellStyle name="标题 5 3 4 5" xfId="46154"/>
    <cellStyle name="标题 5 3 4 6" xfId="46155"/>
    <cellStyle name="标题 5 3 5" xfId="46156"/>
    <cellStyle name="标题 5 3 5 2" xfId="46157"/>
    <cellStyle name="标题 5 3 5 2 2" xfId="46158"/>
    <cellStyle name="标题 5 3 5 2 2 2" xfId="46159"/>
    <cellStyle name="标题 5 3 5 2 2 2 2" xfId="46160"/>
    <cellStyle name="标题 5 3 5 2 3" xfId="46161"/>
    <cellStyle name="标题 5 3 5 2 3 2" xfId="46162"/>
    <cellStyle name="标题 5 3 5 3" xfId="46163"/>
    <cellStyle name="标题 5 3 5 3 2" xfId="46164"/>
    <cellStyle name="标题 5 3 5 3 2 2" xfId="46165"/>
    <cellStyle name="标题 5 3 5 4" xfId="46166"/>
    <cellStyle name="标题 5 3 5 4 2" xfId="46167"/>
    <cellStyle name="标题 5 3 6" xfId="46168"/>
    <cellStyle name="标题 5 3 6 2" xfId="46169"/>
    <cellStyle name="标题 5 3 6 2 2" xfId="46170"/>
    <cellStyle name="标题 5 3 6 2 2 2" xfId="46171"/>
    <cellStyle name="标题 5 3 6 3" xfId="46172"/>
    <cellStyle name="标题 5 3 6 3 2" xfId="46173"/>
    <cellStyle name="标题 5 3 7" xfId="46174"/>
    <cellStyle name="标题 5 3 7 2" xfId="46175"/>
    <cellStyle name="标题 5 3 7 2 2" xfId="46176"/>
    <cellStyle name="标题 5 3 7 2 2 2" xfId="46177"/>
    <cellStyle name="标题 5 3 7 3" xfId="46178"/>
    <cellStyle name="标题 5 3 7 3 2" xfId="46179"/>
    <cellStyle name="标题 5 3 8" xfId="46180"/>
    <cellStyle name="标题 5 3 9" xfId="46181"/>
    <cellStyle name="标题 5 4" xfId="46182"/>
    <cellStyle name="标题 5 4 2" xfId="46183"/>
    <cellStyle name="标题 5 4 2 2" xfId="46184"/>
    <cellStyle name="标题 5 4 2 3" xfId="46185"/>
    <cellStyle name="标题 5 4 2 3 2" xfId="46186"/>
    <cellStyle name="标题 5 4 2 3 2 2" xfId="46187"/>
    <cellStyle name="标题 5 4 2 4" xfId="46188"/>
    <cellStyle name="标题 5 4 2 4 2" xfId="46189"/>
    <cellStyle name="标题 5 4 3" xfId="46190"/>
    <cellStyle name="标题 5 4 3 2" xfId="46191"/>
    <cellStyle name="标题 5 4 3 2 2" xfId="46192"/>
    <cellStyle name="标题 5 4 3 2 2 2" xfId="46193"/>
    <cellStyle name="标题 5 4 3 3" xfId="46194"/>
    <cellStyle name="标题 5 4 3 3 2" xfId="46195"/>
    <cellStyle name="标题 5 4 4" xfId="46196"/>
    <cellStyle name="标题 5 4 5" xfId="46197"/>
    <cellStyle name="标题 5 4 6" xfId="46198"/>
    <cellStyle name="标题 5 5" xfId="46199"/>
    <cellStyle name="标题 5 5 2" xfId="46200"/>
    <cellStyle name="标题 5 5 2 2" xfId="46201"/>
    <cellStyle name="标题 5 5 2 3" xfId="46202"/>
    <cellStyle name="标题 5 5 2 3 2" xfId="46203"/>
    <cellStyle name="标题 5 5 2 3 2 2" xfId="46204"/>
    <cellStyle name="标题 5 5 2 4" xfId="46205"/>
    <cellStyle name="标题 5 5 2 4 2" xfId="46206"/>
    <cellStyle name="标题 5 5 3" xfId="46207"/>
    <cellStyle name="标题 5 5 4" xfId="46208"/>
    <cellStyle name="标题 5 5 5" xfId="46209"/>
    <cellStyle name="标题 5 5 6" xfId="46210"/>
    <cellStyle name="标题 5 6" xfId="46211"/>
    <cellStyle name="标题 5 6 2" xfId="46212"/>
    <cellStyle name="标题 5 6 2 2" xfId="46213"/>
    <cellStyle name="标题 5 6 2 2 2" xfId="46214"/>
    <cellStyle name="标题 5 6 2 2 2 2" xfId="46215"/>
    <cellStyle name="标题 5 6 2 3" xfId="46216"/>
    <cellStyle name="标题 5 6 2 3 2" xfId="46217"/>
    <cellStyle name="标题 5 6 3" xfId="46218"/>
    <cellStyle name="标题 5 6 3 2" xfId="46219"/>
    <cellStyle name="标题 5 6 3 2 2" xfId="46220"/>
    <cellStyle name="标题 5 6 4" xfId="46221"/>
    <cellStyle name="标题 5 6 4 2" xfId="46222"/>
    <cellStyle name="标题 5 7" xfId="46223"/>
    <cellStyle name="标题 5 7 2" xfId="46224"/>
    <cellStyle name="标题 5 7 2 2" xfId="46225"/>
    <cellStyle name="标题 5 7 2 2 2" xfId="46226"/>
    <cellStyle name="标题 5 7 2 2 2 2" xfId="46227"/>
    <cellStyle name="标题 5 7 2 3" xfId="46228"/>
    <cellStyle name="标题 5 7 2 3 2" xfId="46229"/>
    <cellStyle name="标题 5 7 3" xfId="46230"/>
    <cellStyle name="标题 5 7 3 2" xfId="46231"/>
    <cellStyle name="标题 5 7 3 2 2" xfId="46232"/>
    <cellStyle name="标题 5 7 4" xfId="46233"/>
    <cellStyle name="标题 5 7 4 2" xfId="46234"/>
    <cellStyle name="标题 5 8" xfId="46235"/>
    <cellStyle name="标题 5 8 2" xfId="46236"/>
    <cellStyle name="标题 5 8 2 2" xfId="46237"/>
    <cellStyle name="标题 5 8 2 2 2" xfId="46238"/>
    <cellStyle name="标题 5 8 2 2 2 2" xfId="46239"/>
    <cellStyle name="标题 5 8 2 3" xfId="46240"/>
    <cellStyle name="标题 5 8 2 3 2" xfId="46241"/>
    <cellStyle name="标题 5 8 3" xfId="46242"/>
    <cellStyle name="标题 5 8 3 2" xfId="46243"/>
    <cellStyle name="标题 5 8 3 2 2" xfId="46244"/>
    <cellStyle name="标题 5 8 4" xfId="46245"/>
    <cellStyle name="标题 5 8 4 2" xfId="46246"/>
    <cellStyle name="标题 5 9" xfId="46247"/>
    <cellStyle name="标题 5 9 2" xfId="46248"/>
    <cellStyle name="标题 5 9 2 2" xfId="46249"/>
    <cellStyle name="标题 5 9 2 2 2" xfId="46250"/>
    <cellStyle name="标题 5 9 3" xfId="46251"/>
    <cellStyle name="标题 5 9 3 2" xfId="46252"/>
    <cellStyle name="标题 6" xfId="46253"/>
    <cellStyle name="标题 6 2" xfId="46254"/>
    <cellStyle name="标题 6 2 2" xfId="46255"/>
    <cellStyle name="标题 6 2 2 2" xfId="46256"/>
    <cellStyle name="标题 6 2 2 2 2" xfId="46257"/>
    <cellStyle name="标题 6 2 2 2 3" xfId="46258"/>
    <cellStyle name="标题 6 2 2 2 3 2" xfId="46259"/>
    <cellStyle name="标题 6 2 2 2 3 2 2" xfId="46260"/>
    <cellStyle name="标题 6 2 2 2 4" xfId="46261"/>
    <cellStyle name="标题 6 2 2 2 4 2" xfId="46262"/>
    <cellStyle name="标题 6 2 2 3" xfId="46263"/>
    <cellStyle name="标题 6 2 2 3 2" xfId="46264"/>
    <cellStyle name="标题 6 2 2 3 2 2" xfId="46265"/>
    <cellStyle name="标题 6 2 2 3 2 2 2" xfId="46266"/>
    <cellStyle name="标题 6 2 2 3 3" xfId="46267"/>
    <cellStyle name="标题 6 2 2 3 3 2" xfId="46268"/>
    <cellStyle name="标题 6 2 2 4" xfId="46269"/>
    <cellStyle name="标题 6 2 2 5" xfId="46270"/>
    <cellStyle name="标题 6 2 2 6" xfId="46271"/>
    <cellStyle name="标题 6 2 3" xfId="46272"/>
    <cellStyle name="标题 6 2 3 2" xfId="46273"/>
    <cellStyle name="标题 6 2 3 3" xfId="46274"/>
    <cellStyle name="标题 6 2 3 3 2" xfId="46275"/>
    <cellStyle name="标题 6 2 3 3 2 2" xfId="46276"/>
    <cellStyle name="标题 6 2 3 4" xfId="46277"/>
    <cellStyle name="标题 6 2 3 4 2" xfId="46278"/>
    <cellStyle name="标题 6 2 4" xfId="46279"/>
    <cellStyle name="标题 6 2 4 2" xfId="46280"/>
    <cellStyle name="标题 6 2 4 2 2" xfId="46281"/>
    <cellStyle name="标题 6 2 4 2 2 2" xfId="46282"/>
    <cellStyle name="标题 6 2 4 3" xfId="46283"/>
    <cellStyle name="标题 6 2 4 3 2" xfId="46284"/>
    <cellStyle name="标题 6 2 5" xfId="46285"/>
    <cellStyle name="标题 6 2 6" xfId="46286"/>
    <cellStyle name="标题 6 2 7" xfId="46287"/>
    <cellStyle name="标题 6 3" xfId="46288"/>
    <cellStyle name="标题 6 3 2" xfId="46289"/>
    <cellStyle name="标题 6 3 2 2" xfId="46290"/>
    <cellStyle name="标题 6 3 2 3" xfId="46291"/>
    <cellStyle name="标题 6 3 2 3 2" xfId="46292"/>
    <cellStyle name="标题 6 3 2 3 2 2" xfId="46293"/>
    <cellStyle name="标题 6 3 2 4" xfId="46294"/>
    <cellStyle name="标题 6 3 2 4 2" xfId="46295"/>
    <cellStyle name="标题 6 3 3" xfId="46296"/>
    <cellStyle name="标题 6 3 3 2" xfId="46297"/>
    <cellStyle name="标题 6 3 3 2 2" xfId="46298"/>
    <cellStyle name="标题 6 3 3 2 2 2" xfId="46299"/>
    <cellStyle name="标题 6 3 3 3" xfId="46300"/>
    <cellStyle name="标题 6 3 3 3 2" xfId="46301"/>
    <cellStyle name="标题 6 3 4" xfId="46302"/>
    <cellStyle name="标题 6 3 5" xfId="46303"/>
    <cellStyle name="标题 6 3 6" xfId="46304"/>
    <cellStyle name="标题 6 4" xfId="46305"/>
    <cellStyle name="标题 6 4 2" xfId="46306"/>
    <cellStyle name="标题 6 4 2 2" xfId="46307"/>
    <cellStyle name="标题 6 4 2 3" xfId="46308"/>
    <cellStyle name="标题 6 4 2 3 2" xfId="46309"/>
    <cellStyle name="标题 6 4 2 3 2 2" xfId="46310"/>
    <cellStyle name="标题 6 4 2 4" xfId="46311"/>
    <cellStyle name="标题 6 4 2 4 2" xfId="46312"/>
    <cellStyle name="标题 6 4 3" xfId="46313"/>
    <cellStyle name="标题 6 4 4" xfId="46314"/>
    <cellStyle name="标题 6 4 5" xfId="46315"/>
    <cellStyle name="标题 6 4 6" xfId="46316"/>
    <cellStyle name="标题 6 5" xfId="46317"/>
    <cellStyle name="标题 6 5 2" xfId="46318"/>
    <cellStyle name="标题 6 5 2 2" xfId="46319"/>
    <cellStyle name="标题 6 5 2 2 2" xfId="46320"/>
    <cellStyle name="标题 6 5 2 2 2 2" xfId="46321"/>
    <cellStyle name="标题 6 5 2 3" xfId="46322"/>
    <cellStyle name="标题 6 5 2 3 2" xfId="46323"/>
    <cellStyle name="标题 6 5 3" xfId="46324"/>
    <cellStyle name="标题 6 5 3 2" xfId="46325"/>
    <cellStyle name="标题 6 5 3 2 2" xfId="46326"/>
    <cellStyle name="标题 6 5 4" xfId="46327"/>
    <cellStyle name="标题 6 5 4 2" xfId="46328"/>
    <cellStyle name="标题 6 6" xfId="46329"/>
    <cellStyle name="标题 6 6 2" xfId="46330"/>
    <cellStyle name="标题 6 6 2 2" xfId="46331"/>
    <cellStyle name="标题 6 6 2 2 2" xfId="46332"/>
    <cellStyle name="标题 6 6 3" xfId="46333"/>
    <cellStyle name="标题 6 6 3 2" xfId="46334"/>
    <cellStyle name="标题 6 7" xfId="46335"/>
    <cellStyle name="标题 6 8" xfId="46336"/>
    <cellStyle name="桁区切り [0.00]_WJP_Marketing Expense_2009 AOP_V2 (2)" xfId="46337"/>
    <cellStyle name="检查单元格 2" xfId="46338"/>
    <cellStyle name="检查单元格 2 10" xfId="46339"/>
    <cellStyle name="检查单元格 2 11" xfId="46340"/>
    <cellStyle name="检查单元格 2 2" xfId="46341"/>
    <cellStyle name="检查单元格 2 2 10" xfId="46342"/>
    <cellStyle name="检查单元格 2 2 11" xfId="46343"/>
    <cellStyle name="检查单元格 2 2 2" xfId="46344"/>
    <cellStyle name="检查单元格 2 2 2 2" xfId="46345"/>
    <cellStyle name="检查单元格 2 2 2 2 2" xfId="46346"/>
    <cellStyle name="检查单元格 2 2 2 2 2 2" xfId="46347"/>
    <cellStyle name="检查单元格 2 2 2 2 2 3" xfId="46348"/>
    <cellStyle name="检查单元格 2 2 2 2 2 3 2" xfId="46349"/>
    <cellStyle name="检查单元格 2 2 2 2 2 3 2 2" xfId="46350"/>
    <cellStyle name="检查单元格 2 2 2 2 2 4" xfId="46351"/>
    <cellStyle name="检查单元格 2 2 2 2 2 4 2" xfId="46352"/>
    <cellStyle name="检查单元格 2 2 2 2 3" xfId="46353"/>
    <cellStyle name="检查单元格 2 2 2 2 3 2" xfId="46354"/>
    <cellStyle name="检查单元格 2 2 2 2 3 2 2" xfId="46355"/>
    <cellStyle name="检查单元格 2 2 2 2 3 2 2 2" xfId="46356"/>
    <cellStyle name="检查单元格 2 2 2 2 3 3" xfId="46357"/>
    <cellStyle name="检查单元格 2 2 2 2 3 3 2" xfId="46358"/>
    <cellStyle name="检查单元格 2 2 2 2 4" xfId="46359"/>
    <cellStyle name="检查单元格 2 2 2 2 5" xfId="46360"/>
    <cellStyle name="检查单元格 2 2 2 2 6" xfId="46361"/>
    <cellStyle name="检查单元格 2 2 2 3" xfId="46362"/>
    <cellStyle name="检查单元格 2 2 2 3 2" xfId="46363"/>
    <cellStyle name="检查单元格 2 2 2 3 3" xfId="46364"/>
    <cellStyle name="检查单元格 2 2 2 3 3 2" xfId="46365"/>
    <cellStyle name="检查单元格 2 2 2 3 3 2 2" xfId="46366"/>
    <cellStyle name="检查单元格 2 2 2 3 4" xfId="46367"/>
    <cellStyle name="检查单元格 2 2 2 3 4 2" xfId="46368"/>
    <cellStyle name="检查单元格 2 2 2 4" xfId="46369"/>
    <cellStyle name="检查单元格 2 2 2 4 2" xfId="46370"/>
    <cellStyle name="检查单元格 2 2 2 4 2 2" xfId="46371"/>
    <cellStyle name="检查单元格 2 2 2 4 2 2 2" xfId="46372"/>
    <cellStyle name="检查单元格 2 2 2 4 3" xfId="46373"/>
    <cellStyle name="检查单元格 2 2 2 4 3 2" xfId="46374"/>
    <cellStyle name="检查单元格 2 2 2 5" xfId="46375"/>
    <cellStyle name="检查单元格 2 2 2 6" xfId="46376"/>
    <cellStyle name="检查单元格 2 2 2 7" xfId="46377"/>
    <cellStyle name="检查单元格 2 2 3" xfId="46378"/>
    <cellStyle name="检查单元格 2 2 3 2" xfId="46379"/>
    <cellStyle name="检查单元格 2 2 3 2 2" xfId="46380"/>
    <cellStyle name="检查单元格 2 2 3 2 3" xfId="46381"/>
    <cellStyle name="检查单元格 2 2 3 2 3 2" xfId="46382"/>
    <cellStyle name="检查单元格 2 2 3 2 3 2 2" xfId="46383"/>
    <cellStyle name="检查单元格 2 2 3 2 4" xfId="46384"/>
    <cellStyle name="检查单元格 2 2 3 2 4 2" xfId="46385"/>
    <cellStyle name="检查单元格 2 2 3 3" xfId="46386"/>
    <cellStyle name="检查单元格 2 2 3 3 2" xfId="46387"/>
    <cellStyle name="检查单元格 2 2 3 3 2 2" xfId="46388"/>
    <cellStyle name="检查单元格 2 2 3 3 2 2 2" xfId="46389"/>
    <cellStyle name="检查单元格 2 2 3 3 3" xfId="46390"/>
    <cellStyle name="检查单元格 2 2 3 3 3 2" xfId="46391"/>
    <cellStyle name="检查单元格 2 2 3 4" xfId="46392"/>
    <cellStyle name="检查单元格 2 2 3 5" xfId="46393"/>
    <cellStyle name="检查单元格 2 2 3 6" xfId="46394"/>
    <cellStyle name="检查单元格 2 2 4" xfId="46395"/>
    <cellStyle name="检查单元格 2 2 4 2" xfId="46396"/>
    <cellStyle name="检查单元格 2 2 4 2 2" xfId="46397"/>
    <cellStyle name="检查单元格 2 2 4 2 3" xfId="46398"/>
    <cellStyle name="检查单元格 2 2 4 2 3 2" xfId="46399"/>
    <cellStyle name="检查单元格 2 2 4 2 3 2 2" xfId="46400"/>
    <cellStyle name="检查单元格 2 2 4 2 4" xfId="46401"/>
    <cellStyle name="检查单元格 2 2 4 2 4 2" xfId="46402"/>
    <cellStyle name="检查单元格 2 2 4 3" xfId="46403"/>
    <cellStyle name="检查单元格 2 2 4 4" xfId="46404"/>
    <cellStyle name="检查单元格 2 2 4 5" xfId="46405"/>
    <cellStyle name="检查单元格 2 2 4 6" xfId="46406"/>
    <cellStyle name="检查单元格 2 2 5" xfId="46407"/>
    <cellStyle name="检查单元格 2 2 5 2" xfId="46408"/>
    <cellStyle name="检查单元格 2 2 5 2 2" xfId="46409"/>
    <cellStyle name="检查单元格 2 2 5 2 2 2" xfId="46410"/>
    <cellStyle name="检查单元格 2 2 5 2 2 2 2" xfId="46411"/>
    <cellStyle name="检查单元格 2 2 5 2 3" xfId="46412"/>
    <cellStyle name="检查单元格 2 2 5 2 3 2" xfId="46413"/>
    <cellStyle name="检查单元格 2 2 5 3" xfId="46414"/>
    <cellStyle name="检查单元格 2 2 5 3 2" xfId="46415"/>
    <cellStyle name="检查单元格 2 2 5 3 2 2" xfId="46416"/>
    <cellStyle name="检查单元格 2 2 5 4" xfId="46417"/>
    <cellStyle name="检查单元格 2 2 5 4 2" xfId="46418"/>
    <cellStyle name="检查单元格 2 2 6" xfId="46419"/>
    <cellStyle name="检查单元格 2 2 6 2" xfId="46420"/>
    <cellStyle name="检查单元格 2 2 6 2 2" xfId="46421"/>
    <cellStyle name="检查单元格 2 2 6 2 2 2" xfId="46422"/>
    <cellStyle name="检查单元格 2 2 6 2 2 2 2" xfId="46423"/>
    <cellStyle name="检查单元格 2 2 6 2 3" xfId="46424"/>
    <cellStyle name="检查单元格 2 2 6 2 3 2" xfId="46425"/>
    <cellStyle name="检查单元格 2 2 6 3" xfId="46426"/>
    <cellStyle name="检查单元格 2 2 6 3 2" xfId="46427"/>
    <cellStyle name="检查单元格 2 2 6 3 2 2" xfId="46428"/>
    <cellStyle name="检查单元格 2 2 6 4" xfId="46429"/>
    <cellStyle name="检查单元格 2 2 6 4 2" xfId="46430"/>
    <cellStyle name="检查单元格 2 2 7" xfId="46431"/>
    <cellStyle name="检查单元格 2 2 7 2" xfId="46432"/>
    <cellStyle name="检查单元格 2 2 7 2 2" xfId="46433"/>
    <cellStyle name="检查单元格 2 2 7 2 2 2" xfId="46434"/>
    <cellStyle name="检查单元格 2 2 7 2 2 2 2" xfId="46435"/>
    <cellStyle name="检查单元格 2 2 7 2 3" xfId="46436"/>
    <cellStyle name="检查单元格 2 2 7 2 3 2" xfId="46437"/>
    <cellStyle name="检查单元格 2 2 7 3" xfId="46438"/>
    <cellStyle name="检查单元格 2 2 7 3 2" xfId="46439"/>
    <cellStyle name="检查单元格 2 2 7 3 2 2" xfId="46440"/>
    <cellStyle name="检查单元格 2 2 7 4" xfId="46441"/>
    <cellStyle name="检查单元格 2 2 7 4 2" xfId="46442"/>
    <cellStyle name="检查单元格 2 2 8" xfId="46443"/>
    <cellStyle name="检查单元格 2 2 8 2" xfId="46444"/>
    <cellStyle name="检查单元格 2 2 8 2 2" xfId="46445"/>
    <cellStyle name="检查单元格 2 2 8 2 2 2" xfId="46446"/>
    <cellStyle name="检查单元格 2 2 8 3" xfId="46447"/>
    <cellStyle name="检查单元格 2 2 8 3 2" xfId="46448"/>
    <cellStyle name="检查单元格 2 2 9" xfId="46449"/>
    <cellStyle name="检查单元格 2 2 9 2" xfId="46450"/>
    <cellStyle name="检查单元格 2 2 9 2 2" xfId="46451"/>
    <cellStyle name="检查单元格 2 2 9 2 2 2" xfId="46452"/>
    <cellStyle name="检查单元格 2 2 9 3" xfId="46453"/>
    <cellStyle name="检查单元格 2 2 9 3 2" xfId="46454"/>
    <cellStyle name="检查单元格 2 3" xfId="46455"/>
    <cellStyle name="检查单元格 2 3 2" xfId="46456"/>
    <cellStyle name="检查单元格 2 3 2 2" xfId="46457"/>
    <cellStyle name="检查单元格 2 3 2 2 2" xfId="46458"/>
    <cellStyle name="检查单元格 2 3 2 2 2 2" xfId="46459"/>
    <cellStyle name="检查单元格 2 3 2 2 2 3" xfId="46460"/>
    <cellStyle name="检查单元格 2 3 2 2 2 3 2" xfId="46461"/>
    <cellStyle name="检查单元格 2 3 2 2 2 3 2 2" xfId="46462"/>
    <cellStyle name="检查单元格 2 3 2 2 2 4" xfId="46463"/>
    <cellStyle name="检查单元格 2 3 2 2 2 4 2" xfId="46464"/>
    <cellStyle name="检查单元格 2 3 2 2 3" xfId="46465"/>
    <cellStyle name="检查单元格 2 3 2 2 3 2" xfId="46466"/>
    <cellStyle name="检查单元格 2 3 2 2 3 2 2" xfId="46467"/>
    <cellStyle name="检查单元格 2 3 2 2 3 2 2 2" xfId="46468"/>
    <cellStyle name="检查单元格 2 3 2 2 3 3" xfId="46469"/>
    <cellStyle name="检查单元格 2 3 2 2 3 3 2" xfId="46470"/>
    <cellStyle name="检查单元格 2 3 2 2 4" xfId="46471"/>
    <cellStyle name="检查单元格 2 3 2 2 5" xfId="46472"/>
    <cellStyle name="检查单元格 2 3 2 2 6" xfId="46473"/>
    <cellStyle name="检查单元格 2 3 2 3" xfId="46474"/>
    <cellStyle name="检查单元格 2 3 2 3 2" xfId="46475"/>
    <cellStyle name="检查单元格 2 3 2 3 3" xfId="46476"/>
    <cellStyle name="检查单元格 2 3 2 3 3 2" xfId="46477"/>
    <cellStyle name="检查单元格 2 3 2 3 3 2 2" xfId="46478"/>
    <cellStyle name="检查单元格 2 3 2 3 4" xfId="46479"/>
    <cellStyle name="检查单元格 2 3 2 3 4 2" xfId="46480"/>
    <cellStyle name="检查单元格 2 3 2 4" xfId="46481"/>
    <cellStyle name="检查单元格 2 3 2 4 2" xfId="46482"/>
    <cellStyle name="检查单元格 2 3 2 4 2 2" xfId="46483"/>
    <cellStyle name="检查单元格 2 3 2 4 2 2 2" xfId="46484"/>
    <cellStyle name="检查单元格 2 3 2 4 3" xfId="46485"/>
    <cellStyle name="检查单元格 2 3 2 4 3 2" xfId="46486"/>
    <cellStyle name="检查单元格 2 3 2 5" xfId="46487"/>
    <cellStyle name="检查单元格 2 3 2 6" xfId="46488"/>
    <cellStyle name="检查单元格 2 3 2 7" xfId="46489"/>
    <cellStyle name="检查单元格 2 3 3" xfId="46490"/>
    <cellStyle name="检查单元格 2 3 3 2" xfId="46491"/>
    <cellStyle name="检查单元格 2 3 3 2 2" xfId="46492"/>
    <cellStyle name="检查单元格 2 3 3 2 3" xfId="46493"/>
    <cellStyle name="检查单元格 2 3 3 2 3 2" xfId="46494"/>
    <cellStyle name="检查单元格 2 3 3 2 3 2 2" xfId="46495"/>
    <cellStyle name="检查单元格 2 3 3 2 4" xfId="46496"/>
    <cellStyle name="检查单元格 2 3 3 2 4 2" xfId="46497"/>
    <cellStyle name="检查单元格 2 3 3 3" xfId="46498"/>
    <cellStyle name="检查单元格 2 3 3 3 2" xfId="46499"/>
    <cellStyle name="检查单元格 2 3 3 3 2 2" xfId="46500"/>
    <cellStyle name="检查单元格 2 3 3 3 2 2 2" xfId="46501"/>
    <cellStyle name="检查单元格 2 3 3 3 3" xfId="46502"/>
    <cellStyle name="检查单元格 2 3 3 3 3 2" xfId="46503"/>
    <cellStyle name="检查单元格 2 3 3 4" xfId="46504"/>
    <cellStyle name="检查单元格 2 3 3 5" xfId="46505"/>
    <cellStyle name="检查单元格 2 3 3 6" xfId="46506"/>
    <cellStyle name="检查单元格 2 3 4" xfId="46507"/>
    <cellStyle name="检查单元格 2 3 4 2" xfId="46508"/>
    <cellStyle name="检查单元格 2 3 4 2 2" xfId="46509"/>
    <cellStyle name="检查单元格 2 3 4 2 3" xfId="46510"/>
    <cellStyle name="检查单元格 2 3 4 2 3 2" xfId="46511"/>
    <cellStyle name="检查单元格 2 3 4 2 3 2 2" xfId="46512"/>
    <cellStyle name="检查单元格 2 3 4 2 4" xfId="46513"/>
    <cellStyle name="检查单元格 2 3 4 2 4 2" xfId="46514"/>
    <cellStyle name="检查单元格 2 3 4 3" xfId="46515"/>
    <cellStyle name="检查单元格 2 3 4 4" xfId="46516"/>
    <cellStyle name="检查单元格 2 3 4 5" xfId="46517"/>
    <cellStyle name="检查单元格 2 3 4 6" xfId="46518"/>
    <cellStyle name="检查单元格 2 3 5" xfId="46519"/>
    <cellStyle name="检查单元格 2 3 5 2" xfId="46520"/>
    <cellStyle name="检查单元格 2 3 5 2 2" xfId="46521"/>
    <cellStyle name="检查单元格 2 3 5 2 2 2" xfId="46522"/>
    <cellStyle name="检查单元格 2 3 5 2 2 2 2" xfId="46523"/>
    <cellStyle name="检查单元格 2 3 5 2 3" xfId="46524"/>
    <cellStyle name="检查单元格 2 3 5 2 3 2" xfId="46525"/>
    <cellStyle name="检查单元格 2 3 5 3" xfId="46526"/>
    <cellStyle name="检查单元格 2 3 5 3 2" xfId="46527"/>
    <cellStyle name="检查单元格 2 3 5 3 2 2" xfId="46528"/>
    <cellStyle name="检查单元格 2 3 5 4" xfId="46529"/>
    <cellStyle name="检查单元格 2 3 5 4 2" xfId="46530"/>
    <cellStyle name="检查单元格 2 3 6" xfId="46531"/>
    <cellStyle name="检查单元格 2 3 6 2" xfId="46532"/>
    <cellStyle name="检查单元格 2 3 6 2 2" xfId="46533"/>
    <cellStyle name="检查单元格 2 3 6 2 2 2" xfId="46534"/>
    <cellStyle name="检查单元格 2 3 6 3" xfId="46535"/>
    <cellStyle name="检查单元格 2 3 6 3 2" xfId="46536"/>
    <cellStyle name="检查单元格 2 3 7" xfId="46537"/>
    <cellStyle name="检查单元格 2 3 7 2" xfId="46538"/>
    <cellStyle name="检查单元格 2 3 7 2 2" xfId="46539"/>
    <cellStyle name="检查单元格 2 3 7 2 2 2" xfId="46540"/>
    <cellStyle name="检查单元格 2 3 7 3" xfId="46541"/>
    <cellStyle name="检查单元格 2 3 7 3 2" xfId="46542"/>
    <cellStyle name="检查单元格 2 3 8" xfId="46543"/>
    <cellStyle name="检查单元格 2 3 9" xfId="46544"/>
    <cellStyle name="检查单元格 2 4" xfId="46545"/>
    <cellStyle name="检查单元格 2 4 2" xfId="46546"/>
    <cellStyle name="检查单元格 2 4 2 2" xfId="46547"/>
    <cellStyle name="检查单元格 2 4 2 3" xfId="46548"/>
    <cellStyle name="检查单元格 2 4 2 3 2" xfId="46549"/>
    <cellStyle name="检查单元格 2 4 2 3 2 2" xfId="46550"/>
    <cellStyle name="检查单元格 2 4 2 4" xfId="46551"/>
    <cellStyle name="检查单元格 2 4 2 4 2" xfId="46552"/>
    <cellStyle name="检查单元格 2 4 3" xfId="46553"/>
    <cellStyle name="检查单元格 2 4 3 2" xfId="46554"/>
    <cellStyle name="检查单元格 2 4 3 2 2" xfId="46555"/>
    <cellStyle name="检查单元格 2 4 3 2 2 2" xfId="46556"/>
    <cellStyle name="检查单元格 2 4 3 3" xfId="46557"/>
    <cellStyle name="检查单元格 2 4 3 3 2" xfId="46558"/>
    <cellStyle name="检查单元格 2 4 4" xfId="46559"/>
    <cellStyle name="检查单元格 2 4 5" xfId="46560"/>
    <cellStyle name="检查单元格 2 4 6" xfId="46561"/>
    <cellStyle name="检查单元格 2 5" xfId="46562"/>
    <cellStyle name="检查单元格 2 5 2" xfId="46563"/>
    <cellStyle name="检查单元格 2 5 2 2" xfId="46564"/>
    <cellStyle name="检查单元格 2 5 2 3" xfId="46565"/>
    <cellStyle name="检查单元格 2 5 2 3 2" xfId="46566"/>
    <cellStyle name="检查单元格 2 5 2 3 2 2" xfId="46567"/>
    <cellStyle name="检查单元格 2 5 2 4" xfId="46568"/>
    <cellStyle name="检查单元格 2 5 2 4 2" xfId="46569"/>
    <cellStyle name="检查单元格 2 5 3" xfId="46570"/>
    <cellStyle name="检查单元格 2 5 4" xfId="46571"/>
    <cellStyle name="检查单元格 2 5 5" xfId="46572"/>
    <cellStyle name="检查单元格 2 5 6" xfId="46573"/>
    <cellStyle name="检查单元格 2 6" xfId="46574"/>
    <cellStyle name="检查单元格 2 6 2" xfId="46575"/>
    <cellStyle name="检查单元格 2 6 2 2" xfId="46576"/>
    <cellStyle name="检查单元格 2 6 2 2 2" xfId="46577"/>
    <cellStyle name="检查单元格 2 6 2 2 2 2" xfId="46578"/>
    <cellStyle name="检查单元格 2 6 2 3" xfId="46579"/>
    <cellStyle name="检查单元格 2 6 2 3 2" xfId="46580"/>
    <cellStyle name="检查单元格 2 6 3" xfId="46581"/>
    <cellStyle name="检查单元格 2 6 3 2" xfId="46582"/>
    <cellStyle name="检查单元格 2 6 3 2 2" xfId="46583"/>
    <cellStyle name="检查单元格 2 6 4" xfId="46584"/>
    <cellStyle name="检查单元格 2 6 4 2" xfId="46585"/>
    <cellStyle name="检查单元格 2 7" xfId="46586"/>
    <cellStyle name="检查单元格 2 7 2" xfId="46587"/>
    <cellStyle name="检查单元格 2 7 2 2" xfId="46588"/>
    <cellStyle name="检查单元格 2 7 2 2 2" xfId="46589"/>
    <cellStyle name="检查单元格 2 7 2 2 2 2" xfId="46590"/>
    <cellStyle name="检查单元格 2 7 2 3" xfId="46591"/>
    <cellStyle name="检查单元格 2 7 2 3 2" xfId="46592"/>
    <cellStyle name="检查单元格 2 7 3" xfId="46593"/>
    <cellStyle name="检查单元格 2 7 3 2" xfId="46594"/>
    <cellStyle name="检查单元格 2 7 3 2 2" xfId="46595"/>
    <cellStyle name="检查单元格 2 7 4" xfId="46596"/>
    <cellStyle name="检查单元格 2 7 4 2" xfId="46597"/>
    <cellStyle name="检查单元格 2 8" xfId="46598"/>
    <cellStyle name="检查单元格 2 8 2" xfId="46599"/>
    <cellStyle name="检查单元格 2 8 2 2" xfId="46600"/>
    <cellStyle name="检查单元格 2 8 2 2 2" xfId="46601"/>
    <cellStyle name="检查单元格 2 8 2 2 2 2" xfId="46602"/>
    <cellStyle name="检查单元格 2 8 2 3" xfId="46603"/>
    <cellStyle name="检查单元格 2 8 2 3 2" xfId="46604"/>
    <cellStyle name="检查单元格 2 8 3" xfId="46605"/>
    <cellStyle name="检查单元格 2 8 3 2" xfId="46606"/>
    <cellStyle name="检查单元格 2 8 3 2 2" xfId="46607"/>
    <cellStyle name="检查单元格 2 8 4" xfId="46608"/>
    <cellStyle name="检查单元格 2 8 4 2" xfId="46609"/>
    <cellStyle name="检查单元格 2 9" xfId="46610"/>
    <cellStyle name="检查单元格 2 9 2" xfId="46611"/>
    <cellStyle name="检查单元格 2 9 2 2" xfId="46612"/>
    <cellStyle name="检查单元格 2 9 2 2 2" xfId="46613"/>
    <cellStyle name="检查单元格 2 9 3" xfId="46614"/>
    <cellStyle name="检查单元格 2 9 3 2" xfId="46615"/>
    <cellStyle name="检查单元格 3" xfId="46616"/>
    <cellStyle name="检查单元格 3 2" xfId="46617"/>
    <cellStyle name="检查单元格 3 2 2" xfId="46618"/>
    <cellStyle name="检查单元格 3 2 2 2" xfId="46619"/>
    <cellStyle name="检查单元格 3 2 2 2 2" xfId="46620"/>
    <cellStyle name="检查单元格 3 2 2 2 3" xfId="46621"/>
    <cellStyle name="检查单元格 3 2 2 2 3 2" xfId="46622"/>
    <cellStyle name="检查单元格 3 2 2 2 3 2 2" xfId="46623"/>
    <cellStyle name="检查单元格 3 2 2 2 4" xfId="46624"/>
    <cellStyle name="检查单元格 3 2 2 2 4 2" xfId="46625"/>
    <cellStyle name="检查单元格 3 2 2 3" xfId="46626"/>
    <cellStyle name="检查单元格 3 2 2 3 2" xfId="46627"/>
    <cellStyle name="检查单元格 3 2 2 3 2 2" xfId="46628"/>
    <cellStyle name="检查单元格 3 2 2 3 2 2 2" xfId="46629"/>
    <cellStyle name="检查单元格 3 2 2 3 3" xfId="46630"/>
    <cellStyle name="检查单元格 3 2 2 3 3 2" xfId="46631"/>
    <cellStyle name="检查单元格 3 2 2 4" xfId="46632"/>
    <cellStyle name="检查单元格 3 2 2 5" xfId="46633"/>
    <cellStyle name="检查单元格 3 2 2 6" xfId="46634"/>
    <cellStyle name="检查单元格 3 2 3" xfId="46635"/>
    <cellStyle name="检查单元格 3 2 3 2" xfId="46636"/>
    <cellStyle name="检查单元格 3 2 3 3" xfId="46637"/>
    <cellStyle name="检查单元格 3 2 3 3 2" xfId="46638"/>
    <cellStyle name="检查单元格 3 2 3 3 2 2" xfId="46639"/>
    <cellStyle name="检查单元格 3 2 3 4" xfId="46640"/>
    <cellStyle name="检查单元格 3 2 3 4 2" xfId="46641"/>
    <cellStyle name="检查单元格 3 2 4" xfId="46642"/>
    <cellStyle name="检查单元格 3 2 4 2" xfId="46643"/>
    <cellStyle name="检查单元格 3 2 4 2 2" xfId="46644"/>
    <cellStyle name="检查单元格 3 2 4 2 2 2" xfId="46645"/>
    <cellStyle name="检查单元格 3 2 4 3" xfId="46646"/>
    <cellStyle name="检查单元格 3 2 4 3 2" xfId="46647"/>
    <cellStyle name="检查单元格 3 2 5" xfId="46648"/>
    <cellStyle name="检查单元格 3 2 6" xfId="46649"/>
    <cellStyle name="检查单元格 3 2 7" xfId="46650"/>
    <cellStyle name="检查单元格 3 3" xfId="46651"/>
    <cellStyle name="检查单元格 3 3 2" xfId="46652"/>
    <cellStyle name="检查单元格 3 3 2 2" xfId="46653"/>
    <cellStyle name="检查单元格 3 3 2 3" xfId="46654"/>
    <cellStyle name="检查单元格 3 3 2 3 2" xfId="46655"/>
    <cellStyle name="检查单元格 3 3 2 3 2 2" xfId="46656"/>
    <cellStyle name="检查单元格 3 3 2 4" xfId="46657"/>
    <cellStyle name="检查单元格 3 3 2 4 2" xfId="46658"/>
    <cellStyle name="检查单元格 3 3 3" xfId="46659"/>
    <cellStyle name="检查单元格 3 3 3 2" xfId="46660"/>
    <cellStyle name="检查单元格 3 3 3 2 2" xfId="46661"/>
    <cellStyle name="检查单元格 3 3 3 2 2 2" xfId="46662"/>
    <cellStyle name="检查单元格 3 3 3 3" xfId="46663"/>
    <cellStyle name="检查单元格 3 3 3 3 2" xfId="46664"/>
    <cellStyle name="检查单元格 3 3 4" xfId="46665"/>
    <cellStyle name="检查单元格 3 3 5" xfId="46666"/>
    <cellStyle name="检查单元格 3 3 6" xfId="46667"/>
    <cellStyle name="检查单元格 3 4" xfId="46668"/>
    <cellStyle name="检查单元格 3 4 2" xfId="46669"/>
    <cellStyle name="检查单元格 3 4 2 2" xfId="46670"/>
    <cellStyle name="检查单元格 3 4 2 3" xfId="46671"/>
    <cellStyle name="检查单元格 3 4 2 3 2" xfId="46672"/>
    <cellStyle name="检查单元格 3 4 2 3 2 2" xfId="46673"/>
    <cellStyle name="检查单元格 3 4 2 4" xfId="46674"/>
    <cellStyle name="检查单元格 3 4 2 4 2" xfId="46675"/>
    <cellStyle name="检查单元格 3 4 3" xfId="46676"/>
    <cellStyle name="检查单元格 3 4 4" xfId="46677"/>
    <cellStyle name="检查单元格 3 4 5" xfId="46678"/>
    <cellStyle name="检查单元格 3 4 6" xfId="46679"/>
    <cellStyle name="检查单元格 3 5" xfId="46680"/>
    <cellStyle name="检查单元格 3 5 2" xfId="46681"/>
    <cellStyle name="检查单元格 3 5 2 2" xfId="46682"/>
    <cellStyle name="检查单元格 3 5 2 2 2" xfId="46683"/>
    <cellStyle name="检查单元格 3 5 2 2 2 2" xfId="46684"/>
    <cellStyle name="检查单元格 3 5 2 3" xfId="46685"/>
    <cellStyle name="检查单元格 3 5 2 3 2" xfId="46686"/>
    <cellStyle name="检查单元格 3 5 3" xfId="46687"/>
    <cellStyle name="检查单元格 3 5 3 2" xfId="46688"/>
    <cellStyle name="检查单元格 3 5 3 2 2" xfId="46689"/>
    <cellStyle name="检查单元格 3 5 4" xfId="46690"/>
    <cellStyle name="检查单元格 3 5 4 2" xfId="46691"/>
    <cellStyle name="检查单元格 3 6" xfId="46692"/>
    <cellStyle name="检查单元格 3 6 2" xfId="46693"/>
    <cellStyle name="检查单元格 3 6 2 2" xfId="46694"/>
    <cellStyle name="检查单元格 3 6 2 2 2" xfId="46695"/>
    <cellStyle name="检查单元格 3 6 3" xfId="46696"/>
    <cellStyle name="检查单元格 3 6 3 2" xfId="46697"/>
    <cellStyle name="检查单元格 3 7" xfId="46698"/>
    <cellStyle name="检查单元格 3 8" xfId="46699"/>
    <cellStyle name="標準 2" xfId="46700"/>
    <cellStyle name="標準_2007AOP CAPEX WRC" xfId="46701"/>
    <cellStyle name="汇总 2" xfId="46702"/>
    <cellStyle name="汇总 2 10" xfId="46703"/>
    <cellStyle name="汇总 2 11" xfId="46704"/>
    <cellStyle name="汇总 2 2" xfId="46705"/>
    <cellStyle name="汇总 2 2 10" xfId="46706"/>
    <cellStyle name="汇总 2 2 11" xfId="46707"/>
    <cellStyle name="汇总 2 2 2" xfId="46708"/>
    <cellStyle name="汇总 2 2 2 2" xfId="46709"/>
    <cellStyle name="汇总 2 2 2 2 2" xfId="46710"/>
    <cellStyle name="汇总 2 2 2 2 2 2" xfId="46711"/>
    <cellStyle name="汇总 2 2 2 2 2 3" xfId="46712"/>
    <cellStyle name="汇总 2 2 2 2 2 3 2" xfId="46713"/>
    <cellStyle name="汇总 2 2 2 2 2 3 2 2" xfId="46714"/>
    <cellStyle name="汇总 2 2 2 2 2 4" xfId="46715"/>
    <cellStyle name="汇总 2 2 2 2 2 4 2" xfId="46716"/>
    <cellStyle name="汇总 2 2 2 2 3" xfId="46717"/>
    <cellStyle name="汇总 2 2 2 2 3 2" xfId="46718"/>
    <cellStyle name="汇总 2 2 2 2 3 2 2" xfId="46719"/>
    <cellStyle name="汇总 2 2 2 2 3 2 2 2" xfId="46720"/>
    <cellStyle name="汇总 2 2 2 2 3 3" xfId="46721"/>
    <cellStyle name="汇总 2 2 2 2 3 3 2" xfId="46722"/>
    <cellStyle name="汇总 2 2 2 2 4" xfId="46723"/>
    <cellStyle name="汇总 2 2 2 2 5" xfId="46724"/>
    <cellStyle name="汇总 2 2 2 2 6" xfId="46725"/>
    <cellStyle name="汇总 2 2 2 3" xfId="46726"/>
    <cellStyle name="汇总 2 2 2 3 2" xfId="46727"/>
    <cellStyle name="汇总 2 2 2 3 3" xfId="46728"/>
    <cellStyle name="汇总 2 2 2 3 3 2" xfId="46729"/>
    <cellStyle name="汇总 2 2 2 3 3 2 2" xfId="46730"/>
    <cellStyle name="汇总 2 2 2 3 4" xfId="46731"/>
    <cellStyle name="汇总 2 2 2 3 4 2" xfId="46732"/>
    <cellStyle name="汇总 2 2 2 4" xfId="46733"/>
    <cellStyle name="汇总 2 2 2 4 2" xfId="46734"/>
    <cellStyle name="汇总 2 2 2 4 2 2" xfId="46735"/>
    <cellStyle name="汇总 2 2 2 4 2 2 2" xfId="46736"/>
    <cellStyle name="汇总 2 2 2 4 3" xfId="46737"/>
    <cellStyle name="汇总 2 2 2 4 3 2" xfId="46738"/>
    <cellStyle name="汇总 2 2 2 5" xfId="46739"/>
    <cellStyle name="汇总 2 2 2 6" xfId="46740"/>
    <cellStyle name="汇总 2 2 2 7" xfId="46741"/>
    <cellStyle name="汇总 2 2 3" xfId="46742"/>
    <cellStyle name="汇总 2 2 3 2" xfId="46743"/>
    <cellStyle name="汇总 2 2 3 2 2" xfId="46744"/>
    <cellStyle name="汇总 2 2 3 2 3" xfId="46745"/>
    <cellStyle name="汇总 2 2 3 2 3 2" xfId="46746"/>
    <cellStyle name="汇总 2 2 3 2 3 2 2" xfId="46747"/>
    <cellStyle name="汇总 2 2 3 2 4" xfId="46748"/>
    <cellStyle name="汇总 2 2 3 2 4 2" xfId="46749"/>
    <cellStyle name="汇总 2 2 3 3" xfId="46750"/>
    <cellStyle name="汇总 2 2 3 3 2" xfId="46751"/>
    <cellStyle name="汇总 2 2 3 3 2 2" xfId="46752"/>
    <cellStyle name="汇总 2 2 3 3 2 2 2" xfId="46753"/>
    <cellStyle name="汇总 2 2 3 3 3" xfId="46754"/>
    <cellStyle name="汇总 2 2 3 3 3 2" xfId="46755"/>
    <cellStyle name="汇总 2 2 3 4" xfId="46756"/>
    <cellStyle name="汇总 2 2 3 5" xfId="46757"/>
    <cellStyle name="汇总 2 2 3 6" xfId="46758"/>
    <cellStyle name="汇总 2 2 4" xfId="46759"/>
    <cellStyle name="汇总 2 2 4 2" xfId="46760"/>
    <cellStyle name="汇总 2 2 4 2 2" xfId="46761"/>
    <cellStyle name="汇总 2 2 4 2 3" xfId="46762"/>
    <cellStyle name="汇总 2 2 4 2 3 2" xfId="46763"/>
    <cellStyle name="汇总 2 2 4 2 3 2 2" xfId="46764"/>
    <cellStyle name="汇总 2 2 4 2 4" xfId="46765"/>
    <cellStyle name="汇总 2 2 4 2 4 2" xfId="46766"/>
    <cellStyle name="汇总 2 2 4 3" xfId="46767"/>
    <cellStyle name="汇总 2 2 4 4" xfId="46768"/>
    <cellStyle name="汇总 2 2 4 5" xfId="46769"/>
    <cellStyle name="汇总 2 2 4 6" xfId="46770"/>
    <cellStyle name="汇总 2 2 5" xfId="46771"/>
    <cellStyle name="汇总 2 2 5 2" xfId="46772"/>
    <cellStyle name="汇总 2 2 5 2 2" xfId="46773"/>
    <cellStyle name="汇总 2 2 5 2 2 2" xfId="46774"/>
    <cellStyle name="汇总 2 2 5 2 2 2 2" xfId="46775"/>
    <cellStyle name="汇总 2 2 5 2 3" xfId="46776"/>
    <cellStyle name="汇总 2 2 5 2 3 2" xfId="46777"/>
    <cellStyle name="汇总 2 2 5 3" xfId="46778"/>
    <cellStyle name="汇总 2 2 5 3 2" xfId="46779"/>
    <cellStyle name="汇总 2 2 5 3 2 2" xfId="46780"/>
    <cellStyle name="汇总 2 2 5 4" xfId="46781"/>
    <cellStyle name="汇总 2 2 5 4 2" xfId="46782"/>
    <cellStyle name="汇总 2 2 6" xfId="46783"/>
    <cellStyle name="汇总 2 2 6 2" xfId="46784"/>
    <cellStyle name="汇总 2 2 6 2 2" xfId="46785"/>
    <cellStyle name="汇总 2 2 6 2 2 2" xfId="46786"/>
    <cellStyle name="汇总 2 2 6 2 2 2 2" xfId="46787"/>
    <cellStyle name="汇总 2 2 6 2 3" xfId="46788"/>
    <cellStyle name="汇总 2 2 6 2 3 2" xfId="46789"/>
    <cellStyle name="汇总 2 2 6 3" xfId="46790"/>
    <cellStyle name="汇总 2 2 6 3 2" xfId="46791"/>
    <cellStyle name="汇总 2 2 6 3 2 2" xfId="46792"/>
    <cellStyle name="汇总 2 2 6 4" xfId="46793"/>
    <cellStyle name="汇总 2 2 6 4 2" xfId="46794"/>
    <cellStyle name="汇总 2 2 7" xfId="46795"/>
    <cellStyle name="汇总 2 2 7 2" xfId="46796"/>
    <cellStyle name="汇总 2 2 7 2 2" xfId="46797"/>
    <cellStyle name="汇总 2 2 7 2 2 2" xfId="46798"/>
    <cellStyle name="汇总 2 2 7 2 2 2 2" xfId="46799"/>
    <cellStyle name="汇总 2 2 7 2 3" xfId="46800"/>
    <cellStyle name="汇总 2 2 7 2 3 2" xfId="46801"/>
    <cellStyle name="汇总 2 2 7 3" xfId="46802"/>
    <cellStyle name="汇总 2 2 7 3 2" xfId="46803"/>
    <cellStyle name="汇总 2 2 7 3 2 2" xfId="46804"/>
    <cellStyle name="汇总 2 2 7 4" xfId="46805"/>
    <cellStyle name="汇总 2 2 7 4 2" xfId="46806"/>
    <cellStyle name="汇总 2 2 8" xfId="46807"/>
    <cellStyle name="汇总 2 2 8 2" xfId="46808"/>
    <cellStyle name="汇总 2 2 8 2 2" xfId="46809"/>
    <cellStyle name="汇总 2 2 8 2 2 2" xfId="46810"/>
    <cellStyle name="汇总 2 2 8 3" xfId="46811"/>
    <cellStyle name="汇总 2 2 8 3 2" xfId="46812"/>
    <cellStyle name="汇总 2 2 9" xfId="46813"/>
    <cellStyle name="汇总 2 2 9 2" xfId="46814"/>
    <cellStyle name="汇总 2 2 9 2 2" xfId="46815"/>
    <cellStyle name="汇总 2 2 9 2 2 2" xfId="46816"/>
    <cellStyle name="汇总 2 2 9 3" xfId="46817"/>
    <cellStyle name="汇总 2 2 9 3 2" xfId="46818"/>
    <cellStyle name="汇总 2 3" xfId="46819"/>
    <cellStyle name="汇总 2 3 2" xfId="46820"/>
    <cellStyle name="汇总 2 3 2 2" xfId="46821"/>
    <cellStyle name="汇总 2 3 2 2 2" xfId="46822"/>
    <cellStyle name="汇总 2 3 2 2 2 2" xfId="46823"/>
    <cellStyle name="汇总 2 3 2 2 2 3" xfId="46824"/>
    <cellStyle name="汇总 2 3 2 2 2 3 2" xfId="46825"/>
    <cellStyle name="汇总 2 3 2 2 2 3 2 2" xfId="46826"/>
    <cellStyle name="汇总 2 3 2 2 2 4" xfId="46827"/>
    <cellStyle name="汇总 2 3 2 2 2 4 2" xfId="46828"/>
    <cellStyle name="汇总 2 3 2 2 3" xfId="46829"/>
    <cellStyle name="汇总 2 3 2 2 3 2" xfId="46830"/>
    <cellStyle name="汇总 2 3 2 2 3 2 2" xfId="46831"/>
    <cellStyle name="汇总 2 3 2 2 3 2 2 2" xfId="46832"/>
    <cellStyle name="汇总 2 3 2 2 3 3" xfId="46833"/>
    <cellStyle name="汇总 2 3 2 2 3 3 2" xfId="46834"/>
    <cellStyle name="汇总 2 3 2 2 4" xfId="46835"/>
    <cellStyle name="汇总 2 3 2 2 5" xfId="46836"/>
    <cellStyle name="汇总 2 3 2 2 6" xfId="46837"/>
    <cellStyle name="汇总 2 3 2 3" xfId="46838"/>
    <cellStyle name="汇总 2 3 2 3 2" xfId="46839"/>
    <cellStyle name="汇总 2 3 2 3 3" xfId="46840"/>
    <cellStyle name="汇总 2 3 2 3 3 2" xfId="46841"/>
    <cellStyle name="汇总 2 3 2 3 3 2 2" xfId="46842"/>
    <cellStyle name="汇总 2 3 2 3 4" xfId="46843"/>
    <cellStyle name="汇总 2 3 2 3 4 2" xfId="46844"/>
    <cellStyle name="汇总 2 3 2 4" xfId="46845"/>
    <cellStyle name="汇总 2 3 2 4 2" xfId="46846"/>
    <cellStyle name="汇总 2 3 2 4 2 2" xfId="46847"/>
    <cellStyle name="汇总 2 3 2 4 2 2 2" xfId="46848"/>
    <cellStyle name="汇总 2 3 2 4 3" xfId="46849"/>
    <cellStyle name="汇总 2 3 2 4 3 2" xfId="46850"/>
    <cellStyle name="汇总 2 3 2 5" xfId="46851"/>
    <cellStyle name="汇总 2 3 2 6" xfId="46852"/>
    <cellStyle name="汇总 2 3 2 7" xfId="46853"/>
    <cellStyle name="汇总 2 3 3" xfId="46854"/>
    <cellStyle name="汇总 2 3 3 2" xfId="46855"/>
    <cellStyle name="汇总 2 3 3 2 2" xfId="46856"/>
    <cellStyle name="汇总 2 3 3 2 3" xfId="46857"/>
    <cellStyle name="汇总 2 3 3 2 3 2" xfId="46858"/>
    <cellStyle name="汇总 2 3 3 2 3 2 2" xfId="46859"/>
    <cellStyle name="汇总 2 3 3 2 4" xfId="46860"/>
    <cellStyle name="汇总 2 3 3 2 4 2" xfId="46861"/>
    <cellStyle name="汇总 2 3 3 3" xfId="46862"/>
    <cellStyle name="汇总 2 3 3 3 2" xfId="46863"/>
    <cellStyle name="汇总 2 3 3 3 2 2" xfId="46864"/>
    <cellStyle name="汇总 2 3 3 3 2 2 2" xfId="46865"/>
    <cellStyle name="汇总 2 3 3 3 3" xfId="46866"/>
    <cellStyle name="汇总 2 3 3 3 3 2" xfId="46867"/>
    <cellStyle name="汇总 2 3 3 4" xfId="46868"/>
    <cellStyle name="汇总 2 3 3 5" xfId="46869"/>
    <cellStyle name="汇总 2 3 3 6" xfId="46870"/>
    <cellStyle name="汇总 2 3 4" xfId="46871"/>
    <cellStyle name="汇总 2 3 4 2" xfId="46872"/>
    <cellStyle name="汇总 2 3 4 2 2" xfId="46873"/>
    <cellStyle name="汇总 2 3 4 2 3" xfId="46874"/>
    <cellStyle name="汇总 2 3 4 2 3 2" xfId="46875"/>
    <cellStyle name="汇总 2 3 4 2 3 2 2" xfId="46876"/>
    <cellStyle name="汇总 2 3 4 2 4" xfId="46877"/>
    <cellStyle name="汇总 2 3 4 2 4 2" xfId="46878"/>
    <cellStyle name="汇总 2 3 4 3" xfId="46879"/>
    <cellStyle name="汇总 2 3 4 4" xfId="46880"/>
    <cellStyle name="汇总 2 3 4 5" xfId="46881"/>
    <cellStyle name="汇总 2 3 4 6" xfId="46882"/>
    <cellStyle name="汇总 2 3 5" xfId="46883"/>
    <cellStyle name="汇总 2 3 5 2" xfId="46884"/>
    <cellStyle name="汇总 2 3 5 2 2" xfId="46885"/>
    <cellStyle name="汇总 2 3 5 2 2 2" xfId="46886"/>
    <cellStyle name="汇总 2 3 5 2 2 2 2" xfId="46887"/>
    <cellStyle name="汇总 2 3 5 2 3" xfId="46888"/>
    <cellStyle name="汇总 2 3 5 2 3 2" xfId="46889"/>
    <cellStyle name="汇总 2 3 5 3" xfId="46890"/>
    <cellStyle name="汇总 2 3 5 3 2" xfId="46891"/>
    <cellStyle name="汇总 2 3 5 3 2 2" xfId="46892"/>
    <cellStyle name="汇总 2 3 5 4" xfId="46893"/>
    <cellStyle name="汇总 2 3 5 4 2" xfId="46894"/>
    <cellStyle name="汇总 2 3 6" xfId="46895"/>
    <cellStyle name="汇总 2 3 6 2" xfId="46896"/>
    <cellStyle name="汇总 2 3 6 2 2" xfId="46897"/>
    <cellStyle name="汇总 2 3 6 2 2 2" xfId="46898"/>
    <cellStyle name="汇总 2 3 6 3" xfId="46899"/>
    <cellStyle name="汇总 2 3 6 3 2" xfId="46900"/>
    <cellStyle name="汇总 2 3 7" xfId="46901"/>
    <cellStyle name="汇总 2 3 7 2" xfId="46902"/>
    <cellStyle name="汇总 2 3 7 2 2" xfId="46903"/>
    <cellStyle name="汇总 2 3 7 2 2 2" xfId="46904"/>
    <cellStyle name="汇总 2 3 7 3" xfId="46905"/>
    <cellStyle name="汇总 2 3 7 3 2" xfId="46906"/>
    <cellStyle name="汇总 2 3 8" xfId="46907"/>
    <cellStyle name="汇总 2 3 9" xfId="46908"/>
    <cellStyle name="汇总 2 4" xfId="46909"/>
    <cellStyle name="汇总 2 4 2" xfId="46910"/>
    <cellStyle name="汇总 2 4 2 2" xfId="46911"/>
    <cellStyle name="汇总 2 4 2 3" xfId="46912"/>
    <cellStyle name="汇总 2 4 2 3 2" xfId="46913"/>
    <cellStyle name="汇总 2 4 2 3 2 2" xfId="46914"/>
    <cellStyle name="汇总 2 4 2 4" xfId="46915"/>
    <cellStyle name="汇总 2 4 2 4 2" xfId="46916"/>
    <cellStyle name="汇总 2 4 3" xfId="46917"/>
    <cellStyle name="汇总 2 4 3 2" xfId="46918"/>
    <cellStyle name="汇总 2 4 3 2 2" xfId="46919"/>
    <cellStyle name="汇总 2 4 3 2 2 2" xfId="46920"/>
    <cellStyle name="汇总 2 4 3 3" xfId="46921"/>
    <cellStyle name="汇总 2 4 3 3 2" xfId="46922"/>
    <cellStyle name="汇总 2 4 4" xfId="46923"/>
    <cellStyle name="汇总 2 4 5" xfId="46924"/>
    <cellStyle name="汇总 2 4 6" xfId="46925"/>
    <cellStyle name="汇总 2 5" xfId="46926"/>
    <cellStyle name="汇总 2 5 2" xfId="46927"/>
    <cellStyle name="汇总 2 5 2 2" xfId="46928"/>
    <cellStyle name="汇总 2 5 2 3" xfId="46929"/>
    <cellStyle name="汇总 2 5 2 3 2" xfId="46930"/>
    <cellStyle name="汇总 2 5 2 3 2 2" xfId="46931"/>
    <cellStyle name="汇总 2 5 2 4" xfId="46932"/>
    <cellStyle name="汇总 2 5 2 4 2" xfId="46933"/>
    <cellStyle name="汇总 2 5 3" xfId="46934"/>
    <cellStyle name="汇总 2 5 4" xfId="46935"/>
    <cellStyle name="汇总 2 5 5" xfId="46936"/>
    <cellStyle name="汇总 2 5 6" xfId="46937"/>
    <cellStyle name="汇总 2 6" xfId="46938"/>
    <cellStyle name="汇总 2 6 2" xfId="46939"/>
    <cellStyle name="汇总 2 6 2 2" xfId="46940"/>
    <cellStyle name="汇总 2 6 2 2 2" xfId="46941"/>
    <cellStyle name="汇总 2 6 2 2 2 2" xfId="46942"/>
    <cellStyle name="汇总 2 6 2 3" xfId="46943"/>
    <cellStyle name="汇总 2 6 2 3 2" xfId="46944"/>
    <cellStyle name="汇总 2 6 3" xfId="46945"/>
    <cellStyle name="汇总 2 6 3 2" xfId="46946"/>
    <cellStyle name="汇总 2 6 3 2 2" xfId="46947"/>
    <cellStyle name="汇总 2 6 4" xfId="46948"/>
    <cellStyle name="汇总 2 6 4 2" xfId="46949"/>
    <cellStyle name="汇总 2 7" xfId="46950"/>
    <cellStyle name="汇总 2 7 2" xfId="46951"/>
    <cellStyle name="汇总 2 7 2 2" xfId="46952"/>
    <cellStyle name="汇总 2 7 2 2 2" xfId="46953"/>
    <cellStyle name="汇总 2 7 2 2 2 2" xfId="46954"/>
    <cellStyle name="汇总 2 7 2 3" xfId="46955"/>
    <cellStyle name="汇总 2 7 2 3 2" xfId="46956"/>
    <cellStyle name="汇总 2 7 3" xfId="46957"/>
    <cellStyle name="汇总 2 7 3 2" xfId="46958"/>
    <cellStyle name="汇总 2 7 3 2 2" xfId="46959"/>
    <cellStyle name="汇总 2 7 4" xfId="46960"/>
    <cellStyle name="汇总 2 7 4 2" xfId="46961"/>
    <cellStyle name="汇总 2 8" xfId="46962"/>
    <cellStyle name="汇总 2 8 2" xfId="46963"/>
    <cellStyle name="汇总 2 8 2 2" xfId="46964"/>
    <cellStyle name="汇总 2 8 2 2 2" xfId="46965"/>
    <cellStyle name="汇总 2 8 2 2 2 2" xfId="46966"/>
    <cellStyle name="汇总 2 8 2 3" xfId="46967"/>
    <cellStyle name="汇总 2 8 2 3 2" xfId="46968"/>
    <cellStyle name="汇总 2 8 3" xfId="46969"/>
    <cellStyle name="汇总 2 8 3 2" xfId="46970"/>
    <cellStyle name="汇总 2 8 3 2 2" xfId="46971"/>
    <cellStyle name="汇总 2 8 4" xfId="46972"/>
    <cellStyle name="汇总 2 8 4 2" xfId="46973"/>
    <cellStyle name="汇总 2 9" xfId="46974"/>
    <cellStyle name="汇总 2 9 2" xfId="46975"/>
    <cellStyle name="汇总 2 9 2 2" xfId="46976"/>
    <cellStyle name="汇总 2 9 2 2 2" xfId="46977"/>
    <cellStyle name="汇总 2 9 3" xfId="46978"/>
    <cellStyle name="汇总 2 9 3 2" xfId="46979"/>
    <cellStyle name="汇总 3" xfId="46980"/>
    <cellStyle name="汇总 3 2" xfId="46981"/>
    <cellStyle name="汇总 3 2 2" xfId="46982"/>
    <cellStyle name="汇总 3 2 2 2" xfId="46983"/>
    <cellStyle name="汇总 3 2 2 2 2" xfId="46984"/>
    <cellStyle name="汇总 3 2 2 2 3" xfId="46985"/>
    <cellStyle name="汇总 3 2 2 2 3 2" xfId="46986"/>
    <cellStyle name="汇总 3 2 2 2 3 2 2" xfId="46987"/>
    <cellStyle name="汇总 3 2 2 2 4" xfId="46988"/>
    <cellStyle name="汇总 3 2 2 2 4 2" xfId="46989"/>
    <cellStyle name="汇总 3 2 2 3" xfId="46990"/>
    <cellStyle name="汇总 3 2 2 3 2" xfId="46991"/>
    <cellStyle name="汇总 3 2 2 3 2 2" xfId="46992"/>
    <cellStyle name="汇总 3 2 2 3 2 2 2" xfId="46993"/>
    <cellStyle name="汇总 3 2 2 3 3" xfId="46994"/>
    <cellStyle name="汇总 3 2 2 3 3 2" xfId="46995"/>
    <cellStyle name="汇总 3 2 2 4" xfId="46996"/>
    <cellStyle name="汇总 3 2 2 5" xfId="46997"/>
    <cellStyle name="汇总 3 2 2 6" xfId="46998"/>
    <cellStyle name="汇总 3 2 3" xfId="46999"/>
    <cellStyle name="汇总 3 2 3 2" xfId="47000"/>
    <cellStyle name="汇总 3 2 3 3" xfId="47001"/>
    <cellStyle name="汇总 3 2 3 3 2" xfId="47002"/>
    <cellStyle name="汇总 3 2 3 3 2 2" xfId="47003"/>
    <cellStyle name="汇总 3 2 3 4" xfId="47004"/>
    <cellStyle name="汇总 3 2 3 4 2" xfId="47005"/>
    <cellStyle name="汇总 3 2 4" xfId="47006"/>
    <cellStyle name="汇总 3 2 4 2" xfId="47007"/>
    <cellStyle name="汇总 3 2 4 2 2" xfId="47008"/>
    <cellStyle name="汇总 3 2 4 2 2 2" xfId="47009"/>
    <cellStyle name="汇总 3 2 4 3" xfId="47010"/>
    <cellStyle name="汇总 3 2 4 3 2" xfId="47011"/>
    <cellStyle name="汇总 3 2 5" xfId="47012"/>
    <cellStyle name="汇总 3 2 6" xfId="47013"/>
    <cellStyle name="汇总 3 2 7" xfId="47014"/>
    <cellStyle name="汇总 3 3" xfId="47015"/>
    <cellStyle name="汇总 3 3 2" xfId="47016"/>
    <cellStyle name="汇总 3 3 2 2" xfId="47017"/>
    <cellStyle name="汇总 3 3 2 3" xfId="47018"/>
    <cellStyle name="汇总 3 3 2 3 2" xfId="47019"/>
    <cellStyle name="汇总 3 3 2 3 2 2" xfId="47020"/>
    <cellStyle name="汇总 3 3 2 4" xfId="47021"/>
    <cellStyle name="汇总 3 3 2 4 2" xfId="47022"/>
    <cellStyle name="汇总 3 3 3" xfId="47023"/>
    <cellStyle name="汇总 3 3 3 2" xfId="47024"/>
    <cellStyle name="汇总 3 3 3 2 2" xfId="47025"/>
    <cellStyle name="汇总 3 3 3 2 2 2" xfId="47026"/>
    <cellStyle name="汇总 3 3 3 3" xfId="47027"/>
    <cellStyle name="汇总 3 3 3 3 2" xfId="47028"/>
    <cellStyle name="汇总 3 3 4" xfId="47029"/>
    <cellStyle name="汇总 3 3 5" xfId="47030"/>
    <cellStyle name="汇总 3 3 6" xfId="47031"/>
    <cellStyle name="汇总 3 4" xfId="47032"/>
    <cellStyle name="汇总 3 4 2" xfId="47033"/>
    <cellStyle name="汇总 3 4 2 2" xfId="47034"/>
    <cellStyle name="汇总 3 4 2 3" xfId="47035"/>
    <cellStyle name="汇总 3 4 2 3 2" xfId="47036"/>
    <cellStyle name="汇总 3 4 2 3 2 2" xfId="47037"/>
    <cellStyle name="汇总 3 4 2 4" xfId="47038"/>
    <cellStyle name="汇总 3 4 2 4 2" xfId="47039"/>
    <cellStyle name="汇总 3 4 3" xfId="47040"/>
    <cellStyle name="汇总 3 4 4" xfId="47041"/>
    <cellStyle name="汇总 3 4 5" xfId="47042"/>
    <cellStyle name="汇总 3 4 6" xfId="47043"/>
    <cellStyle name="汇总 3 5" xfId="47044"/>
    <cellStyle name="汇总 3 5 2" xfId="47045"/>
    <cellStyle name="汇总 3 5 2 2" xfId="47046"/>
    <cellStyle name="汇总 3 5 2 2 2" xfId="47047"/>
    <cellStyle name="汇总 3 5 2 2 2 2" xfId="47048"/>
    <cellStyle name="汇总 3 5 2 3" xfId="47049"/>
    <cellStyle name="汇总 3 5 2 3 2" xfId="47050"/>
    <cellStyle name="汇总 3 5 3" xfId="47051"/>
    <cellStyle name="汇总 3 5 3 2" xfId="47052"/>
    <cellStyle name="汇总 3 5 3 2 2" xfId="47053"/>
    <cellStyle name="汇总 3 5 4" xfId="47054"/>
    <cellStyle name="汇总 3 5 4 2" xfId="47055"/>
    <cellStyle name="汇总 3 6" xfId="47056"/>
    <cellStyle name="汇总 3 6 2" xfId="47057"/>
    <cellStyle name="汇总 3 6 2 2" xfId="47058"/>
    <cellStyle name="汇总 3 6 2 2 2" xfId="47059"/>
    <cellStyle name="汇总 3 6 3" xfId="47060"/>
    <cellStyle name="汇总 3 6 3 2" xfId="47061"/>
    <cellStyle name="汇总 3 7" xfId="47062"/>
    <cellStyle name="汇总 3 8" xfId="47063"/>
    <cellStyle name="注释 2" xfId="47064"/>
    <cellStyle name="注释 2 10" xfId="47065"/>
    <cellStyle name="注释 2 10 2" xfId="47066"/>
    <cellStyle name="注释 2 11" xfId="47067"/>
    <cellStyle name="注释 2 11 2" xfId="47068"/>
    <cellStyle name="注释 2 2" xfId="47069"/>
    <cellStyle name="注释 2 2 10" xfId="47070"/>
    <cellStyle name="注释 2 2 10 2" xfId="47071"/>
    <cellStyle name="注释 2 2 11" xfId="47072"/>
    <cellStyle name="注释 2 2 11 2" xfId="47073"/>
    <cellStyle name="注释 2 2 2" xfId="47074"/>
    <cellStyle name="注释 2 2 2 10" xfId="47075"/>
    <cellStyle name="注释 2 2 2 10 2" xfId="47076"/>
    <cellStyle name="注释 2 2 2 2" xfId="47077"/>
    <cellStyle name="注释 2 2 2 2 2" xfId="47078"/>
    <cellStyle name="注释 2 2 2 2 2 2" xfId="47079"/>
    <cellStyle name="注释 2 2 2 2 2 2 2" xfId="47080"/>
    <cellStyle name="注释 2 2 2 2 2 2 3" xfId="47081"/>
    <cellStyle name="注释 2 2 2 2 2 2 4" xfId="47082"/>
    <cellStyle name="注释 2 2 2 2 2 2 4 2" xfId="47083"/>
    <cellStyle name="注释 2 2 2 2 2 2 5" xfId="47084"/>
    <cellStyle name="注释 2 2 2 2 2 2 5 2" xfId="47085"/>
    <cellStyle name="注释 2 2 2 2 2 3" xfId="47086"/>
    <cellStyle name="注释 2 2 2 2 2 3 2" xfId="47087"/>
    <cellStyle name="注释 2 2 2 2 2 3 2 2" xfId="47088"/>
    <cellStyle name="注释 2 2 2 2 2 3 2 2 2" xfId="47089"/>
    <cellStyle name="注释 2 2 2 2 2 3 3" xfId="47090"/>
    <cellStyle name="注释 2 2 2 2 2 3 3 2" xfId="47091"/>
    <cellStyle name="注释 2 2 2 2 2 3 4" xfId="47092"/>
    <cellStyle name="注释 2 2 2 2 2 3 4 2" xfId="47093"/>
    <cellStyle name="注释 2 2 2 2 2 3 5" xfId="47094"/>
    <cellStyle name="注释 2 2 2 2 2 4" xfId="47095"/>
    <cellStyle name="注释 2 2 2 2 2 5" xfId="47096"/>
    <cellStyle name="注释 2 2 2 2 2 6" xfId="47097"/>
    <cellStyle name="注释 2 2 2 2 2 7" xfId="47098"/>
    <cellStyle name="注释 2 2 2 2 2 7 2" xfId="47099"/>
    <cellStyle name="注释 2 2 2 2 2 8" xfId="47100"/>
    <cellStyle name="注释 2 2 2 2 2 8 2" xfId="47101"/>
    <cellStyle name="注释 2 2 2 2 3" xfId="47102"/>
    <cellStyle name="注释 2 2 2 2 3 2" xfId="47103"/>
    <cellStyle name="注释 2 2 2 2 3 3" xfId="47104"/>
    <cellStyle name="注释 2 2 2 2 3 4" xfId="47105"/>
    <cellStyle name="注释 2 2 2 2 3 4 2" xfId="47106"/>
    <cellStyle name="注释 2 2 2 2 3 5" xfId="47107"/>
    <cellStyle name="注释 2 2 2 2 3 5 2" xfId="47108"/>
    <cellStyle name="注释 2 2 2 2 4" xfId="47109"/>
    <cellStyle name="注释 2 2 2 2 5" xfId="47110"/>
    <cellStyle name="注释 2 2 2 2 6" xfId="47111"/>
    <cellStyle name="注释 2 2 2 2 7" xfId="47112"/>
    <cellStyle name="注释 2 2 2 2 8" xfId="47113"/>
    <cellStyle name="注释 2 2 2 2 8 2" xfId="47114"/>
    <cellStyle name="注释 2 2 2 2 9" xfId="47115"/>
    <cellStyle name="注释 2 2 2 2 9 2" xfId="47116"/>
    <cellStyle name="注释 2 2 2 3" xfId="47117"/>
    <cellStyle name="注释 2 2 2 3 2" xfId="47118"/>
    <cellStyle name="注释 2 2 2 3 2 2" xfId="47119"/>
    <cellStyle name="注释 2 2 2 3 2 3" xfId="47120"/>
    <cellStyle name="注释 2 2 2 3 2 4" xfId="47121"/>
    <cellStyle name="注释 2 2 2 3 2 4 2" xfId="47122"/>
    <cellStyle name="注释 2 2 2 3 2 5" xfId="47123"/>
    <cellStyle name="注释 2 2 2 3 2 5 2" xfId="47124"/>
    <cellStyle name="注释 2 2 2 3 3" xfId="47125"/>
    <cellStyle name="注释 2 2 2 3 3 2" xfId="47126"/>
    <cellStyle name="注释 2 2 2 3 3 2 2" xfId="47127"/>
    <cellStyle name="注释 2 2 2 3 3 2 2 2" xfId="47128"/>
    <cellStyle name="注释 2 2 2 3 3 3" xfId="47129"/>
    <cellStyle name="注释 2 2 2 3 3 3 2" xfId="47130"/>
    <cellStyle name="注释 2 2 2 3 3 4" xfId="47131"/>
    <cellStyle name="注释 2 2 2 3 3 4 2" xfId="47132"/>
    <cellStyle name="注释 2 2 2 3 3 5" xfId="47133"/>
    <cellStyle name="注释 2 2 2 3 4" xfId="47134"/>
    <cellStyle name="注释 2 2 2 3 5" xfId="47135"/>
    <cellStyle name="注释 2 2 2 3 6" xfId="47136"/>
    <cellStyle name="注释 2 2 2 3 7" xfId="47137"/>
    <cellStyle name="注释 2 2 2 3 7 2" xfId="47138"/>
    <cellStyle name="注释 2 2 2 3 8" xfId="47139"/>
    <cellStyle name="注释 2 2 2 3 8 2" xfId="47140"/>
    <cellStyle name="注释 2 2 2 4" xfId="47141"/>
    <cellStyle name="注释 2 2 2 4 2" xfId="47142"/>
    <cellStyle name="注释 2 2 2 4 3" xfId="47143"/>
    <cellStyle name="注释 2 2 2 4 4" xfId="47144"/>
    <cellStyle name="注释 2 2 2 4 4 2" xfId="47145"/>
    <cellStyle name="注释 2 2 2 4 5" xfId="47146"/>
    <cellStyle name="注释 2 2 2 4 5 2" xfId="47147"/>
    <cellStyle name="注释 2 2 2 5" xfId="47148"/>
    <cellStyle name="注释 2 2 2 6" xfId="47149"/>
    <cellStyle name="注释 2 2 2 7" xfId="47150"/>
    <cellStyle name="注释 2 2 2 8" xfId="47151"/>
    <cellStyle name="注释 2 2 2 9" xfId="47152"/>
    <cellStyle name="注释 2 2 2 9 2" xfId="47153"/>
    <cellStyle name="注释 2 2 3" xfId="47154"/>
    <cellStyle name="注释 2 2 3 2" xfId="47155"/>
    <cellStyle name="注释 2 2 3 2 2" xfId="47156"/>
    <cellStyle name="注释 2 2 3 2 3" xfId="47157"/>
    <cellStyle name="注释 2 2 3 2 4" xfId="47158"/>
    <cellStyle name="注释 2 2 3 2 4 2" xfId="47159"/>
    <cellStyle name="注释 2 2 3 2 5" xfId="47160"/>
    <cellStyle name="注释 2 2 3 2 5 2" xfId="47161"/>
    <cellStyle name="注释 2 2 3 3" xfId="47162"/>
    <cellStyle name="注释 2 2 3 3 2" xfId="47163"/>
    <cellStyle name="注释 2 2 3 3 2 2" xfId="47164"/>
    <cellStyle name="注释 2 2 3 3 2 2 2" xfId="47165"/>
    <cellStyle name="注释 2 2 3 3 3" xfId="47166"/>
    <cellStyle name="注释 2 2 3 3 3 2" xfId="47167"/>
    <cellStyle name="注释 2 2 3 3 4" xfId="47168"/>
    <cellStyle name="注释 2 2 3 3 4 2" xfId="47169"/>
    <cellStyle name="注释 2 2 3 3 5" xfId="47170"/>
    <cellStyle name="注释 2 2 3 4" xfId="47171"/>
    <cellStyle name="注释 2 2 3 5" xfId="47172"/>
    <cellStyle name="注释 2 2 3 6" xfId="47173"/>
    <cellStyle name="注释 2 2 3 7" xfId="47174"/>
    <cellStyle name="注释 2 2 3 7 2" xfId="47175"/>
    <cellStyle name="注释 2 2 3 8" xfId="47176"/>
    <cellStyle name="注释 2 2 3 8 2" xfId="47177"/>
    <cellStyle name="注释 2 2 4" xfId="47178"/>
    <cellStyle name="注释 2 2 4 2" xfId="47179"/>
    <cellStyle name="注释 2 2 4 2 2" xfId="47180"/>
    <cellStyle name="注释 2 2 4 2 3" xfId="47181"/>
    <cellStyle name="注释 2 2 4 2 4" xfId="47182"/>
    <cellStyle name="注释 2 2 4 2 4 2" xfId="47183"/>
    <cellStyle name="注释 2 2 4 2 5" xfId="47184"/>
    <cellStyle name="注释 2 2 4 2 5 2" xfId="47185"/>
    <cellStyle name="注释 2 2 4 3" xfId="47186"/>
    <cellStyle name="注释 2 2 4 4" xfId="47187"/>
    <cellStyle name="注释 2 2 4 5" xfId="47188"/>
    <cellStyle name="注释 2 2 4 6" xfId="47189"/>
    <cellStyle name="注释 2 2 4 7" xfId="47190"/>
    <cellStyle name="注释 2 2 4 7 2" xfId="47191"/>
    <cellStyle name="注释 2 2 4 8" xfId="47192"/>
    <cellStyle name="注释 2 2 4 8 2" xfId="47193"/>
    <cellStyle name="注释 2 2 5" xfId="47194"/>
    <cellStyle name="注释 2 2 5 2" xfId="47195"/>
    <cellStyle name="注释 2 2 5 2 2" xfId="47196"/>
    <cellStyle name="注释 2 2 5 2 2 2" xfId="47197"/>
    <cellStyle name="注释 2 2 5 2 2 2 2" xfId="47198"/>
    <cellStyle name="注释 2 2 5 2 3" xfId="47199"/>
    <cellStyle name="注释 2 2 5 2 3 2" xfId="47200"/>
    <cellStyle name="注释 2 2 5 2 4" xfId="47201"/>
    <cellStyle name="注释 2 2 5 2 4 2" xfId="47202"/>
    <cellStyle name="注释 2 2 5 2 5" xfId="47203"/>
    <cellStyle name="注释 2 2 5 3" xfId="47204"/>
    <cellStyle name="注释 2 2 5 4" xfId="47205"/>
    <cellStyle name="注释 2 2 5 4 2" xfId="47206"/>
    <cellStyle name="注释 2 2 5 5" xfId="47207"/>
    <cellStyle name="注释 2 2 5 5 2" xfId="47208"/>
    <cellStyle name="注释 2 2 6" xfId="47209"/>
    <cellStyle name="注释 2 2 6 2" xfId="47210"/>
    <cellStyle name="注释 2 2 6 2 2" xfId="47211"/>
    <cellStyle name="注释 2 2 6 2 2 2" xfId="47212"/>
    <cellStyle name="注释 2 2 6 2 2 2 2" xfId="47213"/>
    <cellStyle name="注释 2 2 6 2 3" xfId="47214"/>
    <cellStyle name="注释 2 2 6 2 3 2" xfId="47215"/>
    <cellStyle name="注释 2 2 6 2 4" xfId="47216"/>
    <cellStyle name="注释 2 2 6 2 4 2" xfId="47217"/>
    <cellStyle name="注释 2 2 6 2 5" xfId="47218"/>
    <cellStyle name="注释 2 2 6 3" xfId="47219"/>
    <cellStyle name="注释 2 2 6 3 2" xfId="47220"/>
    <cellStyle name="注释 2 2 6 3 2 2" xfId="47221"/>
    <cellStyle name="注释 2 2 6 4" xfId="47222"/>
    <cellStyle name="注释 2 2 6 4 2" xfId="47223"/>
    <cellStyle name="注释 2 2 6 5" xfId="47224"/>
    <cellStyle name="注释 2 2 6 5 2" xfId="47225"/>
    <cellStyle name="注释 2 2 6 6" xfId="47226"/>
    <cellStyle name="注释 2 2 7" xfId="47227"/>
    <cellStyle name="注释 2 2 7 2" xfId="47228"/>
    <cellStyle name="注释 2 2 7 2 2" xfId="47229"/>
    <cellStyle name="注释 2 2 7 2 2 2" xfId="47230"/>
    <cellStyle name="注释 2 2 7 2 2 2 2" xfId="47231"/>
    <cellStyle name="注释 2 2 7 2 3" xfId="47232"/>
    <cellStyle name="注释 2 2 7 2 3 2" xfId="47233"/>
    <cellStyle name="注释 2 2 7 2 4" xfId="47234"/>
    <cellStyle name="注释 2 2 7 2 4 2" xfId="47235"/>
    <cellStyle name="注释 2 2 7 2 5" xfId="47236"/>
    <cellStyle name="注释 2 2 7 3" xfId="47237"/>
    <cellStyle name="注释 2 2 7 3 2" xfId="47238"/>
    <cellStyle name="注释 2 2 7 3 2 2" xfId="47239"/>
    <cellStyle name="注释 2 2 7 4" xfId="47240"/>
    <cellStyle name="注释 2 2 7 4 2" xfId="47241"/>
    <cellStyle name="注释 2 2 7 5" xfId="47242"/>
    <cellStyle name="注释 2 2 7 5 2" xfId="47243"/>
    <cellStyle name="注释 2 2 7 6" xfId="47244"/>
    <cellStyle name="注释 2 2 8" xfId="47245"/>
    <cellStyle name="注释 2 2 8 2" xfId="47246"/>
    <cellStyle name="注释 2 2 8 2 2" xfId="47247"/>
    <cellStyle name="注释 2 2 8 2 2 2" xfId="47248"/>
    <cellStyle name="注释 2 2 8 3" xfId="47249"/>
    <cellStyle name="注释 2 2 8 3 2" xfId="47250"/>
    <cellStyle name="注释 2 2 8 4" xfId="47251"/>
    <cellStyle name="注释 2 2 8 4 2" xfId="47252"/>
    <cellStyle name="注释 2 2 8 5" xfId="47253"/>
    <cellStyle name="注释 2 2 9" xfId="47254"/>
    <cellStyle name="注释 2 3" xfId="47255"/>
    <cellStyle name="注释 2 3 10" xfId="47256"/>
    <cellStyle name="注释 2 3 10 2" xfId="47257"/>
    <cellStyle name="注释 2 3 2" xfId="47258"/>
    <cellStyle name="注释 2 3 2 10" xfId="47259"/>
    <cellStyle name="注释 2 3 2 10 2" xfId="47260"/>
    <cellStyle name="注释 2 3 2 2" xfId="47261"/>
    <cellStyle name="注释 2 3 2 2 2" xfId="47262"/>
    <cellStyle name="注释 2 3 2 2 2 2" xfId="47263"/>
    <cellStyle name="注释 2 3 2 2 2 2 2" xfId="47264"/>
    <cellStyle name="注释 2 3 2 2 2 2 3" xfId="47265"/>
    <cellStyle name="注释 2 3 2 2 2 2 4" xfId="47266"/>
    <cellStyle name="注释 2 3 2 2 2 2 4 2" xfId="47267"/>
    <cellStyle name="注释 2 3 2 2 2 2 5" xfId="47268"/>
    <cellStyle name="注释 2 3 2 2 2 2 5 2" xfId="47269"/>
    <cellStyle name="注释 2 3 2 2 2 3" xfId="47270"/>
    <cellStyle name="注释 2 3 2 2 2 3 2" xfId="47271"/>
    <cellStyle name="注释 2 3 2 2 2 3 2 2" xfId="47272"/>
    <cellStyle name="注释 2 3 2 2 2 3 2 2 2" xfId="47273"/>
    <cellStyle name="注释 2 3 2 2 2 3 3" xfId="47274"/>
    <cellStyle name="注释 2 3 2 2 2 3 3 2" xfId="47275"/>
    <cellStyle name="注释 2 3 2 2 2 3 4" xfId="47276"/>
    <cellStyle name="注释 2 3 2 2 2 3 4 2" xfId="47277"/>
    <cellStyle name="注释 2 3 2 2 2 3 5" xfId="47278"/>
    <cellStyle name="注释 2 3 2 2 2 4" xfId="47279"/>
    <cellStyle name="注释 2 3 2 2 2 5" xfId="47280"/>
    <cellStyle name="注释 2 3 2 2 2 6" xfId="47281"/>
    <cellStyle name="注释 2 3 2 2 2 7" xfId="47282"/>
    <cellStyle name="注释 2 3 2 2 2 7 2" xfId="47283"/>
    <cellStyle name="注释 2 3 2 2 2 8" xfId="47284"/>
    <cellStyle name="注释 2 3 2 2 2 8 2" xfId="47285"/>
    <cellStyle name="注释 2 3 2 2 3" xfId="47286"/>
    <cellStyle name="注释 2 3 2 2 3 2" xfId="47287"/>
    <cellStyle name="注释 2 3 2 2 3 3" xfId="47288"/>
    <cellStyle name="注释 2 3 2 2 3 4" xfId="47289"/>
    <cellStyle name="注释 2 3 2 2 3 4 2" xfId="47290"/>
    <cellStyle name="注释 2 3 2 2 3 5" xfId="47291"/>
    <cellStyle name="注释 2 3 2 2 3 5 2" xfId="47292"/>
    <cellStyle name="注释 2 3 2 2 4" xfId="47293"/>
    <cellStyle name="注释 2 3 2 2 5" xfId="47294"/>
    <cellStyle name="注释 2 3 2 2 6" xfId="47295"/>
    <cellStyle name="注释 2 3 2 2 7" xfId="47296"/>
    <cellStyle name="注释 2 3 2 2 8" xfId="47297"/>
    <cellStyle name="注释 2 3 2 2 8 2" xfId="47298"/>
    <cellStyle name="注释 2 3 2 2 9" xfId="47299"/>
    <cellStyle name="注释 2 3 2 2 9 2" xfId="47300"/>
    <cellStyle name="注释 2 3 2 3" xfId="47301"/>
    <cellStyle name="注释 2 3 2 3 2" xfId="47302"/>
    <cellStyle name="注释 2 3 2 3 2 2" xfId="47303"/>
    <cellStyle name="注释 2 3 2 3 2 3" xfId="47304"/>
    <cellStyle name="注释 2 3 2 3 2 4" xfId="47305"/>
    <cellStyle name="注释 2 3 2 3 2 4 2" xfId="47306"/>
    <cellStyle name="注释 2 3 2 3 2 5" xfId="47307"/>
    <cellStyle name="注释 2 3 2 3 2 5 2" xfId="47308"/>
    <cellStyle name="注释 2 3 2 3 3" xfId="47309"/>
    <cellStyle name="注释 2 3 2 3 3 2" xfId="47310"/>
    <cellStyle name="注释 2 3 2 3 3 2 2" xfId="47311"/>
    <cellStyle name="注释 2 3 2 3 3 2 2 2" xfId="47312"/>
    <cellStyle name="注释 2 3 2 3 3 3" xfId="47313"/>
    <cellStyle name="注释 2 3 2 3 3 3 2" xfId="47314"/>
    <cellStyle name="注释 2 3 2 3 3 4" xfId="47315"/>
    <cellStyle name="注释 2 3 2 3 3 4 2" xfId="47316"/>
    <cellStyle name="注释 2 3 2 3 3 5" xfId="47317"/>
    <cellStyle name="注释 2 3 2 3 4" xfId="47318"/>
    <cellStyle name="注释 2 3 2 3 5" xfId="47319"/>
    <cellStyle name="注释 2 3 2 3 6" xfId="47320"/>
    <cellStyle name="注释 2 3 2 3 7" xfId="47321"/>
    <cellStyle name="注释 2 3 2 3 7 2" xfId="47322"/>
    <cellStyle name="注释 2 3 2 3 8" xfId="47323"/>
    <cellStyle name="注释 2 3 2 3 8 2" xfId="47324"/>
    <cellStyle name="注释 2 3 2 4" xfId="47325"/>
    <cellStyle name="注释 2 3 2 4 2" xfId="47326"/>
    <cellStyle name="注释 2 3 2 4 3" xfId="47327"/>
    <cellStyle name="注释 2 3 2 4 4" xfId="47328"/>
    <cellStyle name="注释 2 3 2 4 4 2" xfId="47329"/>
    <cellStyle name="注释 2 3 2 4 5" xfId="47330"/>
    <cellStyle name="注释 2 3 2 4 5 2" xfId="47331"/>
    <cellStyle name="注释 2 3 2 5" xfId="47332"/>
    <cellStyle name="注释 2 3 2 6" xfId="47333"/>
    <cellStyle name="注释 2 3 2 7" xfId="47334"/>
    <cellStyle name="注释 2 3 2 8" xfId="47335"/>
    <cellStyle name="注释 2 3 2 9" xfId="47336"/>
    <cellStyle name="注释 2 3 2 9 2" xfId="47337"/>
    <cellStyle name="注释 2 3 3" xfId="47338"/>
    <cellStyle name="注释 2 3 3 2" xfId="47339"/>
    <cellStyle name="注释 2 3 3 2 2" xfId="47340"/>
    <cellStyle name="注释 2 3 3 2 3" xfId="47341"/>
    <cellStyle name="注释 2 3 3 2 4" xfId="47342"/>
    <cellStyle name="注释 2 3 3 2 4 2" xfId="47343"/>
    <cellStyle name="注释 2 3 3 2 5" xfId="47344"/>
    <cellStyle name="注释 2 3 3 2 5 2" xfId="47345"/>
    <cellStyle name="注释 2 3 3 3" xfId="47346"/>
    <cellStyle name="注释 2 3 3 3 2" xfId="47347"/>
    <cellStyle name="注释 2 3 3 3 2 2" xfId="47348"/>
    <cellStyle name="注释 2 3 3 3 2 2 2" xfId="47349"/>
    <cellStyle name="注释 2 3 3 3 3" xfId="47350"/>
    <cellStyle name="注释 2 3 3 3 3 2" xfId="47351"/>
    <cellStyle name="注释 2 3 3 3 4" xfId="47352"/>
    <cellStyle name="注释 2 3 3 3 4 2" xfId="47353"/>
    <cellStyle name="注释 2 3 3 3 5" xfId="47354"/>
    <cellStyle name="注释 2 3 3 4" xfId="47355"/>
    <cellStyle name="注释 2 3 3 5" xfId="47356"/>
    <cellStyle name="注释 2 3 3 6" xfId="47357"/>
    <cellStyle name="注释 2 3 3 7" xfId="47358"/>
    <cellStyle name="注释 2 3 3 7 2" xfId="47359"/>
    <cellStyle name="注释 2 3 3 8" xfId="47360"/>
    <cellStyle name="注释 2 3 3 8 2" xfId="47361"/>
    <cellStyle name="注释 2 3 4" xfId="47362"/>
    <cellStyle name="注释 2 3 4 2" xfId="47363"/>
    <cellStyle name="注释 2 3 4 2 2" xfId="47364"/>
    <cellStyle name="注释 2 3 4 2 3" xfId="47365"/>
    <cellStyle name="注释 2 3 4 2 4" xfId="47366"/>
    <cellStyle name="注释 2 3 4 2 4 2" xfId="47367"/>
    <cellStyle name="注释 2 3 4 2 5" xfId="47368"/>
    <cellStyle name="注释 2 3 4 2 5 2" xfId="47369"/>
    <cellStyle name="注释 2 3 4 3" xfId="47370"/>
    <cellStyle name="注释 2 3 4 4" xfId="47371"/>
    <cellStyle name="注释 2 3 4 5" xfId="47372"/>
    <cellStyle name="注释 2 3 4 6" xfId="47373"/>
    <cellStyle name="注释 2 3 4 7" xfId="47374"/>
    <cellStyle name="注释 2 3 4 7 2" xfId="47375"/>
    <cellStyle name="注释 2 3 4 8" xfId="47376"/>
    <cellStyle name="注释 2 3 4 8 2" xfId="47377"/>
    <cellStyle name="注释 2 3 5" xfId="47378"/>
    <cellStyle name="注释 2 3 5 2" xfId="47379"/>
    <cellStyle name="注释 2 3 5 2 2" xfId="47380"/>
    <cellStyle name="注释 2 3 5 2 2 2" xfId="47381"/>
    <cellStyle name="注释 2 3 5 2 2 2 2" xfId="47382"/>
    <cellStyle name="注释 2 3 5 2 3" xfId="47383"/>
    <cellStyle name="注释 2 3 5 2 3 2" xfId="47384"/>
    <cellStyle name="注释 2 3 5 2 4" xfId="47385"/>
    <cellStyle name="注释 2 3 5 2 4 2" xfId="47386"/>
    <cellStyle name="注释 2 3 5 2 5" xfId="47387"/>
    <cellStyle name="注释 2 3 5 3" xfId="47388"/>
    <cellStyle name="注释 2 3 5 4" xfId="47389"/>
    <cellStyle name="注释 2 3 5 4 2" xfId="47390"/>
    <cellStyle name="注释 2 3 5 5" xfId="47391"/>
    <cellStyle name="注释 2 3 5 5 2" xfId="47392"/>
    <cellStyle name="注释 2 3 6" xfId="47393"/>
    <cellStyle name="注释 2 3 6 2" xfId="47394"/>
    <cellStyle name="注释 2 3 6 2 2" xfId="47395"/>
    <cellStyle name="注释 2 3 6 2 2 2" xfId="47396"/>
    <cellStyle name="注释 2 3 6 3" xfId="47397"/>
    <cellStyle name="注释 2 3 6 3 2" xfId="47398"/>
    <cellStyle name="注释 2 3 6 4" xfId="47399"/>
    <cellStyle name="注释 2 3 6 4 2" xfId="47400"/>
    <cellStyle name="注释 2 3 6 5" xfId="47401"/>
    <cellStyle name="注释 2 3 7" xfId="47402"/>
    <cellStyle name="注释 2 3 8" xfId="47403"/>
    <cellStyle name="注释 2 3 9" xfId="47404"/>
    <cellStyle name="注释 2 3 9 2" xfId="47405"/>
    <cellStyle name="注释 2 4" xfId="47406"/>
    <cellStyle name="注释 2 4 2" xfId="47407"/>
    <cellStyle name="注释 2 4 2 2" xfId="47408"/>
    <cellStyle name="注释 2 4 2 3" xfId="47409"/>
    <cellStyle name="注释 2 4 2 4" xfId="47410"/>
    <cellStyle name="注释 2 4 2 4 2" xfId="47411"/>
    <cellStyle name="注释 2 4 2 5" xfId="47412"/>
    <cellStyle name="注释 2 4 2 5 2" xfId="47413"/>
    <cellStyle name="注释 2 4 3" xfId="47414"/>
    <cellStyle name="注释 2 4 3 2" xfId="47415"/>
    <cellStyle name="注释 2 4 3 2 2" xfId="47416"/>
    <cellStyle name="注释 2 4 3 2 2 2" xfId="47417"/>
    <cellStyle name="注释 2 4 3 3" xfId="47418"/>
    <cellStyle name="注释 2 4 3 3 2" xfId="47419"/>
    <cellStyle name="注释 2 4 3 4" xfId="47420"/>
    <cellStyle name="注释 2 4 3 4 2" xfId="47421"/>
    <cellStyle name="注释 2 4 3 5" xfId="47422"/>
    <cellStyle name="注释 2 4 4" xfId="47423"/>
    <cellStyle name="注释 2 4 5" xfId="47424"/>
    <cellStyle name="注释 2 4 6" xfId="47425"/>
    <cellStyle name="注释 2 4 7" xfId="47426"/>
    <cellStyle name="注释 2 4 7 2" xfId="47427"/>
    <cellStyle name="注释 2 4 8" xfId="47428"/>
    <cellStyle name="注释 2 4 8 2" xfId="47429"/>
    <cellStyle name="注释 2 5" xfId="47430"/>
    <cellStyle name="注释 2 5 2" xfId="47431"/>
    <cellStyle name="注释 2 5 2 2" xfId="47432"/>
    <cellStyle name="注释 2 5 2 3" xfId="47433"/>
    <cellStyle name="注释 2 5 2 4" xfId="47434"/>
    <cellStyle name="注释 2 5 2 4 2" xfId="47435"/>
    <cellStyle name="注释 2 5 2 5" xfId="47436"/>
    <cellStyle name="注释 2 5 2 5 2" xfId="47437"/>
    <cellStyle name="注释 2 5 3" xfId="47438"/>
    <cellStyle name="注释 2 5 4" xfId="47439"/>
    <cellStyle name="注释 2 5 5" xfId="47440"/>
    <cellStyle name="注释 2 5 6" xfId="47441"/>
    <cellStyle name="注释 2 5 7" xfId="47442"/>
    <cellStyle name="注释 2 5 7 2" xfId="47443"/>
    <cellStyle name="注释 2 5 8" xfId="47444"/>
    <cellStyle name="注释 2 5 8 2" xfId="47445"/>
    <cellStyle name="注释 2 6" xfId="47446"/>
    <cellStyle name="注释 2 6 2" xfId="47447"/>
    <cellStyle name="注释 2 6 2 2" xfId="47448"/>
    <cellStyle name="注释 2 6 2 2 2" xfId="47449"/>
    <cellStyle name="注释 2 6 2 2 2 2" xfId="47450"/>
    <cellStyle name="注释 2 6 2 3" xfId="47451"/>
    <cellStyle name="注释 2 6 2 3 2" xfId="47452"/>
    <cellStyle name="注释 2 6 2 4" xfId="47453"/>
    <cellStyle name="注释 2 6 2 4 2" xfId="47454"/>
    <cellStyle name="注释 2 6 2 5" xfId="47455"/>
    <cellStyle name="注释 2 6 3" xfId="47456"/>
    <cellStyle name="注释 2 6 4" xfId="47457"/>
    <cellStyle name="注释 2 6 4 2" xfId="47458"/>
    <cellStyle name="注释 2 6 5" xfId="47459"/>
    <cellStyle name="注释 2 6 5 2" xfId="47460"/>
    <cellStyle name="注释 2 7" xfId="47461"/>
    <cellStyle name="注释 2 7 2" xfId="47462"/>
    <cellStyle name="注释 2 7 2 2" xfId="47463"/>
    <cellStyle name="注释 2 7 2 2 2" xfId="47464"/>
    <cellStyle name="注释 2 7 2 2 2 2" xfId="47465"/>
    <cellStyle name="注释 2 7 2 3" xfId="47466"/>
    <cellStyle name="注释 2 7 2 3 2" xfId="47467"/>
    <cellStyle name="注释 2 7 2 4" xfId="47468"/>
    <cellStyle name="注释 2 7 2 4 2" xfId="47469"/>
    <cellStyle name="注释 2 7 2 5" xfId="47470"/>
    <cellStyle name="注释 2 7 3" xfId="47471"/>
    <cellStyle name="注释 2 7 3 2" xfId="47472"/>
    <cellStyle name="注释 2 7 3 2 2" xfId="47473"/>
    <cellStyle name="注释 2 7 4" xfId="47474"/>
    <cellStyle name="注释 2 7 4 2" xfId="47475"/>
    <cellStyle name="注释 2 7 5" xfId="47476"/>
    <cellStyle name="注释 2 7 5 2" xfId="47477"/>
    <cellStyle name="注释 2 7 6" xfId="47478"/>
    <cellStyle name="注释 2 8" xfId="47479"/>
    <cellStyle name="注释 2 8 2" xfId="47480"/>
    <cellStyle name="注释 2 8 2 2" xfId="47481"/>
    <cellStyle name="注释 2 8 2 2 2" xfId="47482"/>
    <cellStyle name="注释 2 8 3" xfId="47483"/>
    <cellStyle name="注释 2 8 3 2" xfId="47484"/>
    <cellStyle name="注释 2 8 4" xfId="47485"/>
    <cellStyle name="注释 2 8 4 2" xfId="47486"/>
    <cellStyle name="注释 2 8 5" xfId="47487"/>
    <cellStyle name="注释 2 9" xfId="47488"/>
    <cellStyle name="注释 3" xfId="47489"/>
    <cellStyle name="注释 3 10" xfId="47490"/>
    <cellStyle name="注释 3 10 2" xfId="47491"/>
    <cellStyle name="注释 3 2" xfId="47492"/>
    <cellStyle name="注释 3 2 10" xfId="47493"/>
    <cellStyle name="注释 3 2 10 2" xfId="47494"/>
    <cellStyle name="注释 3 2 2" xfId="47495"/>
    <cellStyle name="注释 3 2 2 2" xfId="47496"/>
    <cellStyle name="注释 3 2 2 2 2" xfId="47497"/>
    <cellStyle name="注释 3 2 2 2 2 2" xfId="47498"/>
    <cellStyle name="注释 3 2 2 2 2 3" xfId="47499"/>
    <cellStyle name="注释 3 2 2 2 2 4" xfId="47500"/>
    <cellStyle name="注释 3 2 2 2 2 4 2" xfId="47501"/>
    <cellStyle name="注释 3 2 2 2 2 5" xfId="47502"/>
    <cellStyle name="注释 3 2 2 2 2 5 2" xfId="47503"/>
    <cellStyle name="注释 3 2 2 2 3" xfId="47504"/>
    <cellStyle name="注释 3 2 2 2 3 2" xfId="47505"/>
    <cellStyle name="注释 3 2 2 2 3 2 2" xfId="47506"/>
    <cellStyle name="注释 3 2 2 2 3 2 2 2" xfId="47507"/>
    <cellStyle name="注释 3 2 2 2 3 3" xfId="47508"/>
    <cellStyle name="注释 3 2 2 2 3 3 2" xfId="47509"/>
    <cellStyle name="注释 3 2 2 2 3 4" xfId="47510"/>
    <cellStyle name="注释 3 2 2 2 3 4 2" xfId="47511"/>
    <cellStyle name="注释 3 2 2 2 3 5" xfId="47512"/>
    <cellStyle name="注释 3 2 2 2 4" xfId="47513"/>
    <cellStyle name="注释 3 2 2 2 5" xfId="47514"/>
    <cellStyle name="注释 3 2 2 2 6" xfId="47515"/>
    <cellStyle name="注释 3 2 2 2 7" xfId="47516"/>
    <cellStyle name="注释 3 2 2 2 7 2" xfId="47517"/>
    <cellStyle name="注释 3 2 2 2 8" xfId="47518"/>
    <cellStyle name="注释 3 2 2 2 8 2" xfId="47519"/>
    <cellStyle name="注释 3 2 2 3" xfId="47520"/>
    <cellStyle name="注释 3 2 2 3 2" xfId="47521"/>
    <cellStyle name="注释 3 2 2 3 3" xfId="47522"/>
    <cellStyle name="注释 3 2 2 3 4" xfId="47523"/>
    <cellStyle name="注释 3 2 2 3 4 2" xfId="47524"/>
    <cellStyle name="注释 3 2 2 3 5" xfId="47525"/>
    <cellStyle name="注释 3 2 2 3 5 2" xfId="47526"/>
    <cellStyle name="注释 3 2 2 4" xfId="47527"/>
    <cellStyle name="注释 3 2 2 5" xfId="47528"/>
    <cellStyle name="注释 3 2 2 6" xfId="47529"/>
    <cellStyle name="注释 3 2 2 7" xfId="47530"/>
    <cellStyle name="注释 3 2 2 8" xfId="47531"/>
    <cellStyle name="注释 3 2 2 8 2" xfId="47532"/>
    <cellStyle name="注释 3 2 2 9" xfId="47533"/>
    <cellStyle name="注释 3 2 2 9 2" xfId="47534"/>
    <cellStyle name="注释 3 2 3" xfId="47535"/>
    <cellStyle name="注释 3 2 3 2" xfId="47536"/>
    <cellStyle name="注释 3 2 3 2 2" xfId="47537"/>
    <cellStyle name="注释 3 2 3 2 3" xfId="47538"/>
    <cellStyle name="注释 3 2 3 2 4" xfId="47539"/>
    <cellStyle name="注释 3 2 3 2 4 2" xfId="47540"/>
    <cellStyle name="注释 3 2 3 2 5" xfId="47541"/>
    <cellStyle name="注释 3 2 3 2 5 2" xfId="47542"/>
    <cellStyle name="注释 3 2 3 3" xfId="47543"/>
    <cellStyle name="注释 3 2 3 3 2" xfId="47544"/>
    <cellStyle name="注释 3 2 3 3 2 2" xfId="47545"/>
    <cellStyle name="注释 3 2 3 3 2 2 2" xfId="47546"/>
    <cellStyle name="注释 3 2 3 3 3" xfId="47547"/>
    <cellStyle name="注释 3 2 3 3 3 2" xfId="47548"/>
    <cellStyle name="注释 3 2 3 3 4" xfId="47549"/>
    <cellStyle name="注释 3 2 3 3 4 2" xfId="47550"/>
    <cellStyle name="注释 3 2 3 3 5" xfId="47551"/>
    <cellStyle name="注释 3 2 3 4" xfId="47552"/>
    <cellStyle name="注释 3 2 3 5" xfId="47553"/>
    <cellStyle name="注释 3 2 3 6" xfId="47554"/>
    <cellStyle name="注释 3 2 3 7" xfId="47555"/>
    <cellStyle name="注释 3 2 3 7 2" xfId="47556"/>
    <cellStyle name="注释 3 2 3 8" xfId="47557"/>
    <cellStyle name="注释 3 2 3 8 2" xfId="47558"/>
    <cellStyle name="注释 3 2 4" xfId="47559"/>
    <cellStyle name="注释 3 2 4 2" xfId="47560"/>
    <cellStyle name="注释 3 2 4 3" xfId="47561"/>
    <cellStyle name="注释 3 2 4 4" xfId="47562"/>
    <cellStyle name="注释 3 2 4 4 2" xfId="47563"/>
    <cellStyle name="注释 3 2 4 5" xfId="47564"/>
    <cellStyle name="注释 3 2 4 5 2" xfId="47565"/>
    <cellStyle name="注释 3 2 5" xfId="47566"/>
    <cellStyle name="注释 3 2 6" xfId="47567"/>
    <cellStyle name="注释 3 2 7" xfId="47568"/>
    <cellStyle name="注释 3 2 8" xfId="47569"/>
    <cellStyle name="注释 3 2 9" xfId="47570"/>
    <cellStyle name="注释 3 2 9 2" xfId="47571"/>
    <cellStyle name="注释 3 3" xfId="47572"/>
    <cellStyle name="注释 3 3 2" xfId="47573"/>
    <cellStyle name="注释 3 3 2 2" xfId="47574"/>
    <cellStyle name="注释 3 3 2 3" xfId="47575"/>
    <cellStyle name="注释 3 3 2 4" xfId="47576"/>
    <cellStyle name="注释 3 3 2 4 2" xfId="47577"/>
    <cellStyle name="注释 3 3 2 5" xfId="47578"/>
    <cellStyle name="注释 3 3 2 5 2" xfId="47579"/>
    <cellStyle name="注释 3 3 3" xfId="47580"/>
    <cellStyle name="注释 3 3 3 2" xfId="47581"/>
    <cellStyle name="注释 3 3 3 2 2" xfId="47582"/>
    <cellStyle name="注释 3 3 3 2 2 2" xfId="47583"/>
    <cellStyle name="注释 3 3 3 3" xfId="47584"/>
    <cellStyle name="注释 3 3 3 3 2" xfId="47585"/>
    <cellStyle name="注释 3 3 3 4" xfId="47586"/>
    <cellStyle name="注释 3 3 3 4 2" xfId="47587"/>
    <cellStyle name="注释 3 3 3 5" xfId="47588"/>
    <cellStyle name="注释 3 3 4" xfId="47589"/>
    <cellStyle name="注释 3 3 5" xfId="47590"/>
    <cellStyle name="注释 3 3 6" xfId="47591"/>
    <cellStyle name="注释 3 3 7" xfId="47592"/>
    <cellStyle name="注释 3 3 7 2" xfId="47593"/>
    <cellStyle name="注释 3 3 8" xfId="47594"/>
    <cellStyle name="注释 3 3 8 2" xfId="47595"/>
    <cellStyle name="注释 3 4" xfId="47596"/>
    <cellStyle name="注释 3 4 2" xfId="47597"/>
    <cellStyle name="注释 3 4 2 2" xfId="47598"/>
    <cellStyle name="注释 3 4 2 3" xfId="47599"/>
    <cellStyle name="注释 3 4 2 4" xfId="47600"/>
    <cellStyle name="注释 3 4 2 4 2" xfId="47601"/>
    <cellStyle name="注释 3 4 2 5" xfId="47602"/>
    <cellStyle name="注释 3 4 2 5 2" xfId="47603"/>
    <cellStyle name="注释 3 4 3" xfId="47604"/>
    <cellStyle name="注释 3 4 4" xfId="47605"/>
    <cellStyle name="注释 3 4 5" xfId="47606"/>
    <cellStyle name="注释 3 4 6" xfId="47607"/>
    <cellStyle name="注释 3 4 7" xfId="47608"/>
    <cellStyle name="注释 3 4 7 2" xfId="47609"/>
    <cellStyle name="注释 3 4 8" xfId="47610"/>
    <cellStyle name="注释 3 4 8 2" xfId="47611"/>
    <cellStyle name="注释 3 5" xfId="47612"/>
    <cellStyle name="注释 3 5 2" xfId="47613"/>
    <cellStyle name="注释 3 5 2 2" xfId="47614"/>
    <cellStyle name="注释 3 5 2 2 2" xfId="47615"/>
    <cellStyle name="注释 3 5 2 2 2 2" xfId="47616"/>
    <cellStyle name="注释 3 5 2 3" xfId="47617"/>
    <cellStyle name="注释 3 5 2 3 2" xfId="47618"/>
    <cellStyle name="注释 3 5 2 4" xfId="47619"/>
    <cellStyle name="注释 3 5 2 4 2" xfId="47620"/>
    <cellStyle name="注释 3 5 2 5" xfId="47621"/>
    <cellStyle name="注释 3 5 3" xfId="47622"/>
    <cellStyle name="注释 3 5 4" xfId="47623"/>
    <cellStyle name="注释 3 5 4 2" xfId="47624"/>
    <cellStyle name="注释 3 5 5" xfId="47625"/>
    <cellStyle name="注释 3 5 5 2" xfId="47626"/>
    <cellStyle name="注释 3 6" xfId="47627"/>
    <cellStyle name="注释 3 6 2" xfId="47628"/>
    <cellStyle name="注释 3 6 2 2" xfId="47629"/>
    <cellStyle name="注释 3 6 2 2 2" xfId="47630"/>
    <cellStyle name="注释 3 6 3" xfId="47631"/>
    <cellStyle name="注释 3 6 3 2" xfId="47632"/>
    <cellStyle name="注释 3 6 4" xfId="47633"/>
    <cellStyle name="注释 3 6 4 2" xfId="47634"/>
    <cellStyle name="注释 3 6 5" xfId="47635"/>
    <cellStyle name="注释 3 7" xfId="47636"/>
    <cellStyle name="注释 3 8" xfId="47637"/>
    <cellStyle name="注释 3 9" xfId="47638"/>
    <cellStyle name="注释 3 9 2" xfId="47639"/>
    <cellStyle name="百分比 10" xfId="47640"/>
    <cellStyle name="百分比 2" xfId="47641"/>
    <cellStyle name="百分比 2 10" xfId="47642"/>
    <cellStyle name="百分比 2 10 2" xfId="47643"/>
    <cellStyle name="百分比 2 10 2 2" xfId="47644"/>
    <cellStyle name="百分比 2 10 2 3" xfId="47645"/>
    <cellStyle name="百分比 2 10 2 4" xfId="47646"/>
    <cellStyle name="百分比 2 10 3" xfId="47647"/>
    <cellStyle name="百分比 2 10 4" xfId="47648"/>
    <cellStyle name="百分比 2 10 5" xfId="47649"/>
    <cellStyle name="百分比 2 10 6" xfId="47650"/>
    <cellStyle name="百分比 2 11" xfId="47651"/>
    <cellStyle name="百分比 2 11 2" xfId="47652"/>
    <cellStyle name="百分比 2 11 2 2" xfId="47653"/>
    <cellStyle name="百分比 2 11 2 3" xfId="47654"/>
    <cellStyle name="百分比 2 11 2 4" xfId="47655"/>
    <cellStyle name="百分比 2 11 3" xfId="47656"/>
    <cellStyle name="百分比 2 11 4" xfId="47657"/>
    <cellStyle name="百分比 2 11 5" xfId="47658"/>
    <cellStyle name="百分比 2 12" xfId="47659"/>
    <cellStyle name="百分比 2 12 2" xfId="47660"/>
    <cellStyle name="百分比 2 12 2 2" xfId="47661"/>
    <cellStyle name="百分比 2 12 2 3" xfId="47662"/>
    <cellStyle name="百分比 2 12 2 4" xfId="47663"/>
    <cellStyle name="百分比 2 12 3" xfId="47664"/>
    <cellStyle name="百分比 2 12 4" xfId="47665"/>
    <cellStyle name="百分比 2 12 5" xfId="47666"/>
    <cellStyle name="百分比 2 13" xfId="47667"/>
    <cellStyle name="百分比 2 13 2" xfId="47668"/>
    <cellStyle name="百分比 2 13 3" xfId="47669"/>
    <cellStyle name="百分比 2 13 4" xfId="47670"/>
    <cellStyle name="百分比 2 14" xfId="47671"/>
    <cellStyle name="百分比 2 15" xfId="47672"/>
    <cellStyle name="百分比 2 16" xfId="47673"/>
    <cellStyle name="百分比 2 17" xfId="47674"/>
    <cellStyle name="百分比 2 18" xfId="47675"/>
    <cellStyle name="百分比 2 19" xfId="47676"/>
    <cellStyle name="百分比 2 19 2" xfId="47677"/>
    <cellStyle name="百分比 2 2" xfId="47678"/>
    <cellStyle name="百分比 2 2 10" xfId="47679"/>
    <cellStyle name="百分比 2 2 11" xfId="47680"/>
    <cellStyle name="百分比 2 2 2" xfId="47681"/>
    <cellStyle name="百分比 2 2 2 10" xfId="47682"/>
    <cellStyle name="百分比 2 2 2 2" xfId="47683"/>
    <cellStyle name="百分比 2 2 2 2 2" xfId="47684"/>
    <cellStyle name="百分比 2 2 2 2 2 2" xfId="47685"/>
    <cellStyle name="百分比 2 2 2 2 2 2 2" xfId="47686"/>
    <cellStyle name="百分比 2 2 2 2 2 2 3" xfId="47687"/>
    <cellStyle name="百分比 2 2 2 2 2 2 4" xfId="47688"/>
    <cellStyle name="百分比 2 2 2 2 2 3" xfId="47689"/>
    <cellStyle name="百分比 2 2 2 2 2 4" xfId="47690"/>
    <cellStyle name="百分比 2 2 2 2 2 5" xfId="47691"/>
    <cellStyle name="百分比 2 2 2 2 3" xfId="47692"/>
    <cellStyle name="百分比 2 2 2 2 3 2" xfId="47693"/>
    <cellStyle name="百分比 2 2 2 2 3 2 2" xfId="47694"/>
    <cellStyle name="百分比 2 2 2 2 3 2 3" xfId="47695"/>
    <cellStyle name="百分比 2 2 2 2 3 2 4" xfId="47696"/>
    <cellStyle name="百分比 2 2 2 2 3 3" xfId="47697"/>
    <cellStyle name="百分比 2 2 2 2 3 4" xfId="47698"/>
    <cellStyle name="百分比 2 2 2 2 3 5" xfId="47699"/>
    <cellStyle name="百分比 2 2 2 2 4" xfId="47700"/>
    <cellStyle name="百分比 2 2 2 2 4 2" xfId="47701"/>
    <cellStyle name="百分比 2 2 2 2 4 3" xfId="47702"/>
    <cellStyle name="百分比 2 2 2 2 4 4" xfId="47703"/>
    <cellStyle name="百分比 2 2 2 2 5" xfId="47704"/>
    <cellStyle name="百分比 2 2 2 2 6" xfId="47705"/>
    <cellStyle name="百分比 2 2 2 2 7" xfId="47706"/>
    <cellStyle name="百分比 2 2 2 2 8" xfId="47707"/>
    <cellStyle name="百分比 2 2 2 2 8 2" xfId="47708"/>
    <cellStyle name="百分比 2 2 2 3" xfId="47709"/>
    <cellStyle name="百分比 2 2 2 3 2" xfId="47710"/>
    <cellStyle name="百分比 2 2 2 3 2 2" xfId="47711"/>
    <cellStyle name="百分比 2 2 2 3 2 3" xfId="47712"/>
    <cellStyle name="百分比 2 2 2 3 2 4" xfId="47713"/>
    <cellStyle name="百分比 2 2 2 3 3" xfId="47714"/>
    <cellStyle name="百分比 2 2 2 3 4" xfId="47715"/>
    <cellStyle name="百分比 2 2 2 3 5" xfId="47716"/>
    <cellStyle name="百分比 2 2 2 3 6" xfId="47717"/>
    <cellStyle name="百分比 2 2 2 3 6 2" xfId="47718"/>
    <cellStyle name="百分比 2 2 2 4" xfId="47719"/>
    <cellStyle name="百分比 2 2 2 4 2" xfId="47720"/>
    <cellStyle name="百分比 2 2 2 4 2 2" xfId="47721"/>
    <cellStyle name="百分比 2 2 2 4 2 3" xfId="47722"/>
    <cellStyle name="百分比 2 2 2 4 2 4" xfId="47723"/>
    <cellStyle name="百分比 2 2 2 4 2 5" xfId="47724"/>
    <cellStyle name="百分比 2 2 2 4 3" xfId="47725"/>
    <cellStyle name="百分比 2 2 2 4 4" xfId="47726"/>
    <cellStyle name="百分比 2 2 2 4 5" xfId="47727"/>
    <cellStyle name="百分比 2 2 2 4 6" xfId="47728"/>
    <cellStyle name="百分比 2 2 2 5" xfId="47729"/>
    <cellStyle name="百分比 2 2 2 5 2" xfId="47730"/>
    <cellStyle name="百分比 2 2 2 5 2 2" xfId="47731"/>
    <cellStyle name="百分比 2 2 2 5 3" xfId="47732"/>
    <cellStyle name="百分比 2 2 2 5 4" xfId="47733"/>
    <cellStyle name="百分比 2 2 2 5 5" xfId="47734"/>
    <cellStyle name="百分比 2 2 2 6" xfId="47735"/>
    <cellStyle name="百分比 2 2 2 7" xfId="47736"/>
    <cellStyle name="百分比 2 2 2 8" xfId="47737"/>
    <cellStyle name="百分比 2 2 2 9" xfId="47738"/>
    <cellStyle name="百分比 2 2 2 9 2" xfId="47739"/>
    <cellStyle name="百分比 2 2 3" xfId="47740"/>
    <cellStyle name="百分比 2 2 3 2" xfId="47741"/>
    <cellStyle name="百分比 2 2 3 2 2" xfId="47742"/>
    <cellStyle name="百分比 2 2 3 2 3" xfId="47743"/>
    <cellStyle name="百分比 2 2 3 2 4" xfId="47744"/>
    <cellStyle name="百分比 2 2 3 3" xfId="47745"/>
    <cellStyle name="百分比 2 2 3 4" xfId="47746"/>
    <cellStyle name="百分比 2 2 3 5" xfId="47747"/>
    <cellStyle name="百分比 2 2 3 6" xfId="47748"/>
    <cellStyle name="百分比 2 2 3 6 2" xfId="47749"/>
    <cellStyle name="百分比 2 2 4" xfId="47750"/>
    <cellStyle name="百分比 2 2 4 2" xfId="47751"/>
    <cellStyle name="百分比 2 2 4 2 2" xfId="47752"/>
    <cellStyle name="百分比 2 2 4 2 3" xfId="47753"/>
    <cellStyle name="百分比 2 2 4 2 4" xfId="47754"/>
    <cellStyle name="百分比 2 2 4 3" xfId="47755"/>
    <cellStyle name="百分比 2 2 4 4" xfId="47756"/>
    <cellStyle name="百分比 2 2 4 5" xfId="47757"/>
    <cellStyle name="百分比 2 2 4 6" xfId="47758"/>
    <cellStyle name="百分比 2 2 4 6 2" xfId="47759"/>
    <cellStyle name="百分比 2 2 5" xfId="47760"/>
    <cellStyle name="百分比 2 2 5 2" xfId="47761"/>
    <cellStyle name="百分比 2 2 5 3" xfId="47762"/>
    <cellStyle name="百分比 2 2 5 4" xfId="47763"/>
    <cellStyle name="百分比 2 2 5 5" xfId="47764"/>
    <cellStyle name="百分比 2 2 5 5 2" xfId="47765"/>
    <cellStyle name="百分比 2 2 6" xfId="47766"/>
    <cellStyle name="百分比 2 2 6 2" xfId="47767"/>
    <cellStyle name="百分比 2 2 6 2 2" xfId="47768"/>
    <cellStyle name="百分比 2 2 7" xfId="47769"/>
    <cellStyle name="百分比 2 2 7 2" xfId="47770"/>
    <cellStyle name="百分比 2 2 7 3" xfId="47771"/>
    <cellStyle name="百分比 2 2 8" xfId="47772"/>
    <cellStyle name="百分比 2 2 9" xfId="47773"/>
    <cellStyle name="百分比 2 2 9 2" xfId="47774"/>
    <cellStyle name="百分比 2 20" xfId="47775"/>
    <cellStyle name="百分比 2 3" xfId="47776"/>
    <cellStyle name="百分比 2 3 10" xfId="47777"/>
    <cellStyle name="百分比 2 3 2" xfId="47778"/>
    <cellStyle name="百分比 2 3 2 2" xfId="47779"/>
    <cellStyle name="百分比 2 3 2 2 2" xfId="47780"/>
    <cellStyle name="百分比 2 3 2 2 2 2" xfId="47781"/>
    <cellStyle name="百分比 2 3 2 2 2 2 2" xfId="47782"/>
    <cellStyle name="百分比 2 3 2 2 2 2 3" xfId="47783"/>
    <cellStyle name="百分比 2 3 2 2 2 2 4" xfId="47784"/>
    <cellStyle name="百分比 2 3 2 2 2 3" xfId="47785"/>
    <cellStyle name="百分比 2 3 2 2 2 4" xfId="47786"/>
    <cellStyle name="百分比 2 3 2 2 2 5" xfId="47787"/>
    <cellStyle name="百分比 2 3 2 2 3" xfId="47788"/>
    <cellStyle name="百分比 2 3 2 2 3 2" xfId="47789"/>
    <cellStyle name="百分比 2 3 2 2 3 2 2" xfId="47790"/>
    <cellStyle name="百分比 2 3 2 2 3 2 3" xfId="47791"/>
    <cellStyle name="百分比 2 3 2 2 3 2 4" xfId="47792"/>
    <cellStyle name="百分比 2 3 2 2 3 3" xfId="47793"/>
    <cellStyle name="百分比 2 3 2 2 3 4" xfId="47794"/>
    <cellStyle name="百分比 2 3 2 2 3 5" xfId="47795"/>
    <cellStyle name="百分比 2 3 2 2 4" xfId="47796"/>
    <cellStyle name="百分比 2 3 2 2 4 2" xfId="47797"/>
    <cellStyle name="百分比 2 3 2 2 4 3" xfId="47798"/>
    <cellStyle name="百分比 2 3 2 2 4 4" xfId="47799"/>
    <cellStyle name="百分比 2 3 2 2 5" xfId="47800"/>
    <cellStyle name="百分比 2 3 2 2 6" xfId="47801"/>
    <cellStyle name="百分比 2 3 2 2 7" xfId="47802"/>
    <cellStyle name="百分比 2 3 2 3" xfId="47803"/>
    <cellStyle name="百分比 2 3 2 3 2" xfId="47804"/>
    <cellStyle name="百分比 2 3 2 3 2 2" xfId="47805"/>
    <cellStyle name="百分比 2 3 2 3 2 3" xfId="47806"/>
    <cellStyle name="百分比 2 3 2 3 2 4" xfId="47807"/>
    <cellStyle name="百分比 2 3 2 3 3" xfId="47808"/>
    <cellStyle name="百分比 2 3 2 3 4" xfId="47809"/>
    <cellStyle name="百分比 2 3 2 3 5" xfId="47810"/>
    <cellStyle name="百分比 2 3 2 4" xfId="47811"/>
    <cellStyle name="百分比 2 3 2 4 2" xfId="47812"/>
    <cellStyle name="百分比 2 3 2 4 2 2" xfId="47813"/>
    <cellStyle name="百分比 2 3 2 4 2 3" xfId="47814"/>
    <cellStyle name="百分比 2 3 2 4 2 4" xfId="47815"/>
    <cellStyle name="百分比 2 3 2 4 3" xfId="47816"/>
    <cellStyle name="百分比 2 3 2 4 4" xfId="47817"/>
    <cellStyle name="百分比 2 3 2 4 5" xfId="47818"/>
    <cellStyle name="百分比 2 3 2 5" xfId="47819"/>
    <cellStyle name="百分比 2 3 2 5 2" xfId="47820"/>
    <cellStyle name="百分比 2 3 2 5 3" xfId="47821"/>
    <cellStyle name="百分比 2 3 2 5 4" xfId="47822"/>
    <cellStyle name="百分比 2 3 2 6" xfId="47823"/>
    <cellStyle name="百分比 2 3 2 7" xfId="47824"/>
    <cellStyle name="百分比 2 3 2 8" xfId="47825"/>
    <cellStyle name="百分比 2 3 2 9" xfId="47826"/>
    <cellStyle name="百分比 2 3 2 9 2" xfId="47827"/>
    <cellStyle name="百分比 2 3 3" xfId="47828"/>
    <cellStyle name="百分比 2 3 3 2" xfId="47829"/>
    <cellStyle name="百分比 2 3 3 2 2" xfId="47830"/>
    <cellStyle name="百分比 2 3 3 2 3" xfId="47831"/>
    <cellStyle name="百分比 2 3 3 2 4" xfId="47832"/>
    <cellStyle name="百分比 2 3 3 3" xfId="47833"/>
    <cellStyle name="百分比 2 3 3 4" xfId="47834"/>
    <cellStyle name="百分比 2 3 3 5" xfId="47835"/>
    <cellStyle name="百分比 2 3 3 6" xfId="47836"/>
    <cellStyle name="百分比 2 3 3 6 2" xfId="47837"/>
    <cellStyle name="百分比 2 3 4" xfId="47838"/>
    <cellStyle name="百分比 2 3 4 2" xfId="47839"/>
    <cellStyle name="百分比 2 3 4 2 2" xfId="47840"/>
    <cellStyle name="百分比 2 3 4 2 3" xfId="47841"/>
    <cellStyle name="百分比 2 3 4 2 4" xfId="47842"/>
    <cellStyle name="百分比 2 3 4 2 5" xfId="47843"/>
    <cellStyle name="百分比 2 3 4 3" xfId="47844"/>
    <cellStyle name="百分比 2 3 4 4" xfId="47845"/>
    <cellStyle name="百分比 2 3 4 5" xfId="47846"/>
    <cellStyle name="百分比 2 3 4 6" xfId="47847"/>
    <cellStyle name="百分比 2 3 5" xfId="47848"/>
    <cellStyle name="百分比 2 3 5 2" xfId="47849"/>
    <cellStyle name="百分比 2 3 5 2 2" xfId="47850"/>
    <cellStyle name="百分比 2 3 5 3" xfId="47851"/>
    <cellStyle name="百分比 2 3 5 4" xfId="47852"/>
    <cellStyle name="百分比 2 3 5 5" xfId="47853"/>
    <cellStyle name="百分比 2 3 6" xfId="47854"/>
    <cellStyle name="百分比 2 3 7" xfId="47855"/>
    <cellStyle name="百分比 2 3 8" xfId="47856"/>
    <cellStyle name="百分比 2 3 9" xfId="47857"/>
    <cellStyle name="百分比 2 3 9 2" xfId="47858"/>
    <cellStyle name="百分比 2 4" xfId="47859"/>
    <cellStyle name="百分比 2 4 2" xfId="47860"/>
    <cellStyle name="百分比 2 4 2 2" xfId="47861"/>
    <cellStyle name="百分比 2 4 2 2 2" xfId="47862"/>
    <cellStyle name="百分比 2 4 2 2 2 2" xfId="47863"/>
    <cellStyle name="百分比 2 4 2 2 2 2 2" xfId="47864"/>
    <cellStyle name="百分比 2 4 2 2 2 2 3" xfId="47865"/>
    <cellStyle name="百分比 2 4 2 2 2 2 4" xfId="47866"/>
    <cellStyle name="百分比 2 4 2 2 2 3" xfId="47867"/>
    <cellStyle name="百分比 2 4 2 2 2 4" xfId="47868"/>
    <cellStyle name="百分比 2 4 2 2 2 5" xfId="47869"/>
    <cellStyle name="百分比 2 4 2 2 3" xfId="47870"/>
    <cellStyle name="百分比 2 4 2 2 3 2" xfId="47871"/>
    <cellStyle name="百分比 2 4 2 2 3 2 2" xfId="47872"/>
    <cellStyle name="百分比 2 4 2 2 3 2 3" xfId="47873"/>
    <cellStyle name="百分比 2 4 2 2 3 2 4" xfId="47874"/>
    <cellStyle name="百分比 2 4 2 2 3 3" xfId="47875"/>
    <cellStyle name="百分比 2 4 2 2 3 4" xfId="47876"/>
    <cellStyle name="百分比 2 4 2 2 3 5" xfId="47877"/>
    <cellStyle name="百分比 2 4 2 2 4" xfId="47878"/>
    <cellStyle name="百分比 2 4 2 2 4 2" xfId="47879"/>
    <cellStyle name="百分比 2 4 2 2 4 3" xfId="47880"/>
    <cellStyle name="百分比 2 4 2 2 4 4" xfId="47881"/>
    <cellStyle name="百分比 2 4 2 2 5" xfId="47882"/>
    <cellStyle name="百分比 2 4 2 2 6" xfId="47883"/>
    <cellStyle name="百分比 2 4 2 2 7" xfId="47884"/>
    <cellStyle name="百分比 2 4 2 3" xfId="47885"/>
    <cellStyle name="百分比 2 4 2 3 2" xfId="47886"/>
    <cellStyle name="百分比 2 4 2 3 2 2" xfId="47887"/>
    <cellStyle name="百分比 2 4 2 3 2 3" xfId="47888"/>
    <cellStyle name="百分比 2 4 2 3 2 4" xfId="47889"/>
    <cellStyle name="百分比 2 4 2 3 3" xfId="47890"/>
    <cellStyle name="百分比 2 4 2 3 4" xfId="47891"/>
    <cellStyle name="百分比 2 4 2 3 5" xfId="47892"/>
    <cellStyle name="百分比 2 4 2 4" xfId="47893"/>
    <cellStyle name="百分比 2 4 2 4 2" xfId="47894"/>
    <cellStyle name="百分比 2 4 2 4 2 2" xfId="47895"/>
    <cellStyle name="百分比 2 4 2 4 2 3" xfId="47896"/>
    <cellStyle name="百分比 2 4 2 4 2 4" xfId="47897"/>
    <cellStyle name="百分比 2 4 2 4 3" xfId="47898"/>
    <cellStyle name="百分比 2 4 2 4 4" xfId="47899"/>
    <cellStyle name="百分比 2 4 2 4 5" xfId="47900"/>
    <cellStyle name="百分比 2 4 2 5" xfId="47901"/>
    <cellStyle name="百分比 2 4 2 5 2" xfId="47902"/>
    <cellStyle name="百分比 2 4 2 5 3" xfId="47903"/>
    <cellStyle name="百分比 2 4 2 5 4" xfId="47904"/>
    <cellStyle name="百分比 2 4 2 6" xfId="47905"/>
    <cellStyle name="百分比 2 4 2 7" xfId="47906"/>
    <cellStyle name="百分比 2 4 2 8" xfId="47907"/>
    <cellStyle name="百分比 2 4 3" xfId="47908"/>
    <cellStyle name="百分比 2 4 3 2" xfId="47909"/>
    <cellStyle name="百分比 2 4 3 2 2" xfId="47910"/>
    <cellStyle name="百分比 2 4 3 2 3" xfId="47911"/>
    <cellStyle name="百分比 2 4 3 2 4" xfId="47912"/>
    <cellStyle name="百分比 2 4 3 3" xfId="47913"/>
    <cellStyle name="百分比 2 4 3 4" xfId="47914"/>
    <cellStyle name="百分比 2 4 3 5" xfId="47915"/>
    <cellStyle name="百分比 2 4 4" xfId="47916"/>
    <cellStyle name="百分比 2 4 4 2" xfId="47917"/>
    <cellStyle name="百分比 2 4 4 2 2" xfId="47918"/>
    <cellStyle name="百分比 2 4 4 2 3" xfId="47919"/>
    <cellStyle name="百分比 2 4 4 2 4" xfId="47920"/>
    <cellStyle name="百分比 2 4 4 3" xfId="47921"/>
    <cellStyle name="百分比 2 4 4 4" xfId="47922"/>
    <cellStyle name="百分比 2 4 4 5" xfId="47923"/>
    <cellStyle name="百分比 2 4 5" xfId="47924"/>
    <cellStyle name="百分比 2 4 5 2" xfId="47925"/>
    <cellStyle name="百分比 2 4 5 3" xfId="47926"/>
    <cellStyle name="百分比 2 4 5 4" xfId="47927"/>
    <cellStyle name="百分比 2 4 6" xfId="47928"/>
    <cellStyle name="百分比 2 4 7" xfId="47929"/>
    <cellStyle name="百分比 2 4 8" xfId="47930"/>
    <cellStyle name="百分比 2 4 9" xfId="47931"/>
    <cellStyle name="百分比 2 4 9 2" xfId="47932"/>
    <cellStyle name="百分比 2 5" xfId="47933"/>
    <cellStyle name="百分比 2 5 2" xfId="47934"/>
    <cellStyle name="百分比 2 5 2 2" xfId="47935"/>
    <cellStyle name="百分比 2 5 2 2 2" xfId="47936"/>
    <cellStyle name="百分比 2 5 2 2 2 2" xfId="47937"/>
    <cellStyle name="百分比 2 5 2 2 2 2 2" xfId="47938"/>
    <cellStyle name="百分比 2 5 2 2 2 2 3" xfId="47939"/>
    <cellStyle name="百分比 2 5 2 2 2 2 4" xfId="47940"/>
    <cellStyle name="百分比 2 5 2 2 2 3" xfId="47941"/>
    <cellStyle name="百分比 2 5 2 2 2 4" xfId="47942"/>
    <cellStyle name="百分比 2 5 2 2 2 5" xfId="47943"/>
    <cellStyle name="百分比 2 5 2 2 3" xfId="47944"/>
    <cellStyle name="百分比 2 5 2 2 3 2" xfId="47945"/>
    <cellStyle name="百分比 2 5 2 2 3 2 2" xfId="47946"/>
    <cellStyle name="百分比 2 5 2 2 3 2 3" xfId="47947"/>
    <cellStyle name="百分比 2 5 2 2 3 2 4" xfId="47948"/>
    <cellStyle name="百分比 2 5 2 2 3 3" xfId="47949"/>
    <cellStyle name="百分比 2 5 2 2 3 4" xfId="47950"/>
    <cellStyle name="百分比 2 5 2 2 3 5" xfId="47951"/>
    <cellStyle name="百分比 2 5 2 2 4" xfId="47952"/>
    <cellStyle name="百分比 2 5 2 2 4 2" xfId="47953"/>
    <cellStyle name="百分比 2 5 2 2 4 3" xfId="47954"/>
    <cellStyle name="百分比 2 5 2 2 4 4" xfId="47955"/>
    <cellStyle name="百分比 2 5 2 2 5" xfId="47956"/>
    <cellStyle name="百分比 2 5 2 2 6" xfId="47957"/>
    <cellStyle name="百分比 2 5 2 2 7" xfId="47958"/>
    <cellStyle name="百分比 2 5 2 3" xfId="47959"/>
    <cellStyle name="百分比 2 5 2 3 2" xfId="47960"/>
    <cellStyle name="百分比 2 5 2 3 2 2" xfId="47961"/>
    <cellStyle name="百分比 2 5 2 3 2 3" xfId="47962"/>
    <cellStyle name="百分比 2 5 2 3 2 4" xfId="47963"/>
    <cellStyle name="百分比 2 5 2 3 3" xfId="47964"/>
    <cellStyle name="百分比 2 5 2 3 4" xfId="47965"/>
    <cellStyle name="百分比 2 5 2 3 5" xfId="47966"/>
    <cellStyle name="百分比 2 5 2 4" xfId="47967"/>
    <cellStyle name="百分比 2 5 2 4 2" xfId="47968"/>
    <cellStyle name="百分比 2 5 2 4 2 2" xfId="47969"/>
    <cellStyle name="百分比 2 5 2 4 2 3" xfId="47970"/>
    <cellStyle name="百分比 2 5 2 4 2 4" xfId="47971"/>
    <cellStyle name="百分比 2 5 2 4 3" xfId="47972"/>
    <cellStyle name="百分比 2 5 2 4 4" xfId="47973"/>
    <cellStyle name="百分比 2 5 2 4 5" xfId="47974"/>
    <cellStyle name="百分比 2 5 2 5" xfId="47975"/>
    <cellStyle name="百分比 2 5 2 5 2" xfId="47976"/>
    <cellStyle name="百分比 2 5 2 5 3" xfId="47977"/>
    <cellStyle name="百分比 2 5 2 5 4" xfId="47978"/>
    <cellStyle name="百分比 2 5 2 6" xfId="47979"/>
    <cellStyle name="百分比 2 5 2 7" xfId="47980"/>
    <cellStyle name="百分比 2 5 2 8" xfId="47981"/>
    <cellStyle name="百分比 2 5 3" xfId="47982"/>
    <cellStyle name="百分比 2 5 3 2" xfId="47983"/>
    <cellStyle name="百分比 2 5 3 2 2" xfId="47984"/>
    <cellStyle name="百分比 2 5 3 2 3" xfId="47985"/>
    <cellStyle name="百分比 2 5 3 2 4" xfId="47986"/>
    <cellStyle name="百分比 2 5 3 3" xfId="47987"/>
    <cellStyle name="百分比 2 5 3 4" xfId="47988"/>
    <cellStyle name="百分比 2 5 3 5" xfId="47989"/>
    <cellStyle name="百分比 2 5 4" xfId="47990"/>
    <cellStyle name="百分比 2 5 4 2" xfId="47991"/>
    <cellStyle name="百分比 2 5 4 2 2" xfId="47992"/>
    <cellStyle name="百分比 2 5 4 2 3" xfId="47993"/>
    <cellStyle name="百分比 2 5 4 2 4" xfId="47994"/>
    <cellStyle name="百分比 2 5 4 3" xfId="47995"/>
    <cellStyle name="百分比 2 5 4 4" xfId="47996"/>
    <cellStyle name="百分比 2 5 4 5" xfId="47997"/>
    <cellStyle name="百分比 2 5 5" xfId="47998"/>
    <cellStyle name="百分比 2 5 5 2" xfId="47999"/>
    <cellStyle name="百分比 2 5 5 3" xfId="48000"/>
    <cellStyle name="百分比 2 5 5 4" xfId="48001"/>
    <cellStyle name="百分比 2 5 6" xfId="48002"/>
    <cellStyle name="百分比 2 5 7" xfId="48003"/>
    <cellStyle name="百分比 2 5 8" xfId="48004"/>
    <cellStyle name="百分比 2 5 9" xfId="48005"/>
    <cellStyle name="百分比 2 5 9 2" xfId="48006"/>
    <cellStyle name="百分比 2 6" xfId="48007"/>
    <cellStyle name="百分比 2 6 2" xfId="48008"/>
    <cellStyle name="百分比 2 6 2 2" xfId="48009"/>
    <cellStyle name="百分比 2 6 2 2 2" xfId="48010"/>
    <cellStyle name="百分比 2 6 2 2 2 2" xfId="48011"/>
    <cellStyle name="百分比 2 6 2 2 2 2 2" xfId="48012"/>
    <cellStyle name="百分比 2 6 2 2 2 2 3" xfId="48013"/>
    <cellStyle name="百分比 2 6 2 2 2 2 4" xfId="48014"/>
    <cellStyle name="百分比 2 6 2 2 2 3" xfId="48015"/>
    <cellStyle name="百分比 2 6 2 2 2 4" xfId="48016"/>
    <cellStyle name="百分比 2 6 2 2 2 5" xfId="48017"/>
    <cellStyle name="百分比 2 6 2 2 3" xfId="48018"/>
    <cellStyle name="百分比 2 6 2 2 3 2" xfId="48019"/>
    <cellStyle name="百分比 2 6 2 2 3 2 2" xfId="48020"/>
    <cellStyle name="百分比 2 6 2 2 3 2 3" xfId="48021"/>
    <cellStyle name="百分比 2 6 2 2 3 2 4" xfId="48022"/>
    <cellStyle name="百分比 2 6 2 2 3 3" xfId="48023"/>
    <cellStyle name="百分比 2 6 2 2 3 4" xfId="48024"/>
    <cellStyle name="百分比 2 6 2 2 3 5" xfId="48025"/>
    <cellStyle name="百分比 2 6 2 2 4" xfId="48026"/>
    <cellStyle name="百分比 2 6 2 2 4 2" xfId="48027"/>
    <cellStyle name="百分比 2 6 2 2 4 3" xfId="48028"/>
    <cellStyle name="百分比 2 6 2 2 4 4" xfId="48029"/>
    <cellStyle name="百分比 2 6 2 2 5" xfId="48030"/>
    <cellStyle name="百分比 2 6 2 2 6" xfId="48031"/>
    <cellStyle name="百分比 2 6 2 2 7" xfId="48032"/>
    <cellStyle name="百分比 2 6 2 3" xfId="48033"/>
    <cellStyle name="百分比 2 6 2 3 2" xfId="48034"/>
    <cellStyle name="百分比 2 6 2 3 2 2" xfId="48035"/>
    <cellStyle name="百分比 2 6 2 3 2 3" xfId="48036"/>
    <cellStyle name="百分比 2 6 2 3 2 4" xfId="48037"/>
    <cellStyle name="百分比 2 6 2 3 3" xfId="48038"/>
    <cellStyle name="百分比 2 6 2 3 4" xfId="48039"/>
    <cellStyle name="百分比 2 6 2 3 5" xfId="48040"/>
    <cellStyle name="百分比 2 6 2 4" xfId="48041"/>
    <cellStyle name="百分比 2 6 2 4 2" xfId="48042"/>
    <cellStyle name="百分比 2 6 2 4 2 2" xfId="48043"/>
    <cellStyle name="百分比 2 6 2 4 2 3" xfId="48044"/>
    <cellStyle name="百分比 2 6 2 4 2 4" xfId="48045"/>
    <cellStyle name="百分比 2 6 2 4 3" xfId="48046"/>
    <cellStyle name="百分比 2 6 2 4 4" xfId="48047"/>
    <cellStyle name="百分比 2 6 2 4 5" xfId="48048"/>
    <cellStyle name="百分比 2 6 2 5" xfId="48049"/>
    <cellStyle name="百分比 2 6 2 5 2" xfId="48050"/>
    <cellStyle name="百分比 2 6 2 5 3" xfId="48051"/>
    <cellStyle name="百分比 2 6 2 5 4" xfId="48052"/>
    <cellStyle name="百分比 2 6 2 6" xfId="48053"/>
    <cellStyle name="百分比 2 6 2 7" xfId="48054"/>
    <cellStyle name="百分比 2 6 2 8" xfId="48055"/>
    <cellStyle name="百分比 2 6 3" xfId="48056"/>
    <cellStyle name="百分比 2 6 3 2" xfId="48057"/>
    <cellStyle name="百分比 2 6 3 2 2" xfId="48058"/>
    <cellStyle name="百分比 2 6 3 2 3" xfId="48059"/>
    <cellStyle name="百分比 2 6 3 2 4" xfId="48060"/>
    <cellStyle name="百分比 2 6 3 3" xfId="48061"/>
    <cellStyle name="百分比 2 6 3 4" xfId="48062"/>
    <cellStyle name="百分比 2 6 3 5" xfId="48063"/>
    <cellStyle name="百分比 2 6 4" xfId="48064"/>
    <cellStyle name="百分比 2 6 4 2" xfId="48065"/>
    <cellStyle name="百分比 2 6 4 2 2" xfId="48066"/>
    <cellStyle name="百分比 2 6 4 2 3" xfId="48067"/>
    <cellStyle name="百分比 2 6 4 2 4" xfId="48068"/>
    <cellStyle name="百分比 2 6 4 3" xfId="48069"/>
    <cellStyle name="百分比 2 6 4 4" xfId="48070"/>
    <cellStyle name="百分比 2 6 4 5" xfId="48071"/>
    <cellStyle name="百分比 2 6 5" xfId="48072"/>
    <cellStyle name="百分比 2 6 5 2" xfId="48073"/>
    <cellStyle name="百分比 2 6 5 3" xfId="48074"/>
    <cellStyle name="百分比 2 6 5 4" xfId="48075"/>
    <cellStyle name="百分比 2 6 6" xfId="48076"/>
    <cellStyle name="百分比 2 6 7" xfId="48077"/>
    <cellStyle name="百分比 2 6 8" xfId="48078"/>
    <cellStyle name="百分比 2 6 9" xfId="48079"/>
    <cellStyle name="百分比 2 6 9 2" xfId="48080"/>
    <cellStyle name="百分比 2 7" xfId="48081"/>
    <cellStyle name="百分比 2 7 2" xfId="48082"/>
    <cellStyle name="百分比 2 7 2 2" xfId="48083"/>
    <cellStyle name="百分比 2 7 2 2 2" xfId="48084"/>
    <cellStyle name="百分比 2 7 2 2 2 2" xfId="48085"/>
    <cellStyle name="百分比 2 7 2 2 2 3" xfId="48086"/>
    <cellStyle name="百分比 2 7 2 2 2 4" xfId="48087"/>
    <cellStyle name="百分比 2 7 2 2 3" xfId="48088"/>
    <cellStyle name="百分比 2 7 2 2 4" xfId="48089"/>
    <cellStyle name="百分比 2 7 2 2 5" xfId="48090"/>
    <cellStyle name="百分比 2 7 2 3" xfId="48091"/>
    <cellStyle name="百分比 2 7 2 3 2" xfId="48092"/>
    <cellStyle name="百分比 2 7 2 3 2 2" xfId="48093"/>
    <cellStyle name="百分比 2 7 2 3 2 3" xfId="48094"/>
    <cellStyle name="百分比 2 7 2 3 2 4" xfId="48095"/>
    <cellStyle name="百分比 2 7 2 3 3" xfId="48096"/>
    <cellStyle name="百分比 2 7 2 3 4" xfId="48097"/>
    <cellStyle name="百分比 2 7 2 3 5" xfId="48098"/>
    <cellStyle name="百分比 2 7 2 4" xfId="48099"/>
    <cellStyle name="百分比 2 7 2 4 2" xfId="48100"/>
    <cellStyle name="百分比 2 7 2 4 3" xfId="48101"/>
    <cellStyle name="百分比 2 7 2 4 4" xfId="48102"/>
    <cellStyle name="百分比 2 7 2 5" xfId="48103"/>
    <cellStyle name="百分比 2 7 2 6" xfId="48104"/>
    <cellStyle name="百分比 2 7 2 7" xfId="48105"/>
    <cellStyle name="百分比 2 7 2 8" xfId="48106"/>
    <cellStyle name="百分比 2 7 3" xfId="48107"/>
    <cellStyle name="百分比 2 7 3 2" xfId="48108"/>
    <cellStyle name="百分比 2 7 3 2 2" xfId="48109"/>
    <cellStyle name="百分比 2 7 3 2 3" xfId="48110"/>
    <cellStyle name="百分比 2 7 3 2 4" xfId="48111"/>
    <cellStyle name="百分比 2 7 3 3" xfId="48112"/>
    <cellStyle name="百分比 2 7 3 4" xfId="48113"/>
    <cellStyle name="百分比 2 7 3 5" xfId="48114"/>
    <cellStyle name="百分比 2 7 4" xfId="48115"/>
    <cellStyle name="百分比 2 7 4 2" xfId="48116"/>
    <cellStyle name="百分比 2 7 4 2 2" xfId="48117"/>
    <cellStyle name="百分比 2 7 4 2 3" xfId="48118"/>
    <cellStyle name="百分比 2 7 4 2 4" xfId="48119"/>
    <cellStyle name="百分比 2 7 4 3" xfId="48120"/>
    <cellStyle name="百分比 2 7 4 4" xfId="48121"/>
    <cellStyle name="百分比 2 7 4 5" xfId="48122"/>
    <cellStyle name="百分比 2 7 5" xfId="48123"/>
    <cellStyle name="百分比 2 7 5 2" xfId="48124"/>
    <cellStyle name="百分比 2 7 5 3" xfId="48125"/>
    <cellStyle name="百分比 2 7 5 4" xfId="48126"/>
    <cellStyle name="百分比 2 7 6" xfId="48127"/>
    <cellStyle name="百分比 2 7 7" xfId="48128"/>
    <cellStyle name="百分比 2 7 8" xfId="48129"/>
    <cellStyle name="百分比 2 7 9" xfId="48130"/>
    <cellStyle name="百分比 2 8" xfId="48131"/>
    <cellStyle name="百分比 2 8 2" xfId="48132"/>
    <cellStyle name="百分比 2 8 2 2" xfId="48133"/>
    <cellStyle name="百分比 2 8 2 3" xfId="48134"/>
    <cellStyle name="百分比 2 8 2 4" xfId="48135"/>
    <cellStyle name="百分比 2 8 2 5" xfId="48136"/>
    <cellStyle name="百分比 2 8 3" xfId="48137"/>
    <cellStyle name="百分比 2 8 4" xfId="48138"/>
    <cellStyle name="百分比 2 8 5" xfId="48139"/>
    <cellStyle name="百分比 2 8 6" xfId="48140"/>
    <cellStyle name="百分比 2 9" xfId="48141"/>
    <cellStyle name="百分比 2 9 2" xfId="48142"/>
    <cellStyle name="百分比 2 9 2 2" xfId="48143"/>
    <cellStyle name="百分比 2 9 2 3" xfId="48144"/>
    <cellStyle name="百分比 2 9 2 4" xfId="48145"/>
    <cellStyle name="百分比 2 9 3" xfId="48146"/>
    <cellStyle name="百分比 2 9 4" xfId="48147"/>
    <cellStyle name="百分比 2 9 5" xfId="48148"/>
    <cellStyle name="百分比 3" xfId="48149"/>
    <cellStyle name="百分比 3 10" xfId="48150"/>
    <cellStyle name="百分比 3 10 2" xfId="48151"/>
    <cellStyle name="百分比 3 10 3" xfId="48152"/>
    <cellStyle name="百分比 3 10 4" xfId="48153"/>
    <cellStyle name="百分比 3 11" xfId="48154"/>
    <cellStyle name="百分比 3 12" xfId="48155"/>
    <cellStyle name="百分比 3 13" xfId="48156"/>
    <cellStyle name="百分比 3 14" xfId="48157"/>
    <cellStyle name="百分比 3 15" xfId="48158"/>
    <cellStyle name="百分比 3 2" xfId="48159"/>
    <cellStyle name="百分比 3 2 2" xfId="48160"/>
    <cellStyle name="百分比 3 2 2 2" xfId="48161"/>
    <cellStyle name="百分比 3 2 2 2 2" xfId="48162"/>
    <cellStyle name="百分比 3 2 2 2 2 2" xfId="48163"/>
    <cellStyle name="百分比 3 2 2 2 2 2 2" xfId="48164"/>
    <cellStyle name="百分比 3 2 2 2 2 2 3" xfId="48165"/>
    <cellStyle name="百分比 3 2 2 2 2 2 4" xfId="48166"/>
    <cellStyle name="百分比 3 2 2 2 2 3" xfId="48167"/>
    <cellStyle name="百分比 3 2 2 2 2 4" xfId="48168"/>
    <cellStyle name="百分比 3 2 2 2 2 5" xfId="48169"/>
    <cellStyle name="百分比 3 2 2 2 3" xfId="48170"/>
    <cellStyle name="百分比 3 2 2 2 3 2" xfId="48171"/>
    <cellStyle name="百分比 3 2 2 2 3 2 2" xfId="48172"/>
    <cellStyle name="百分比 3 2 2 2 3 2 3" xfId="48173"/>
    <cellStyle name="百分比 3 2 2 2 3 2 4" xfId="48174"/>
    <cellStyle name="百分比 3 2 2 2 3 3" xfId="48175"/>
    <cellStyle name="百分比 3 2 2 2 3 4" xfId="48176"/>
    <cellStyle name="百分比 3 2 2 2 3 5" xfId="48177"/>
    <cellStyle name="百分比 3 2 2 2 4" xfId="48178"/>
    <cellStyle name="百分比 3 2 2 2 4 2" xfId="48179"/>
    <cellStyle name="百分比 3 2 2 2 4 3" xfId="48180"/>
    <cellStyle name="百分比 3 2 2 2 4 4" xfId="48181"/>
    <cellStyle name="百分比 3 2 2 2 5" xfId="48182"/>
    <cellStyle name="百分比 3 2 2 2 6" xfId="48183"/>
    <cellStyle name="百分比 3 2 2 2 7" xfId="48184"/>
    <cellStyle name="百分比 3 2 2 3" xfId="48185"/>
    <cellStyle name="百分比 3 2 2 3 2" xfId="48186"/>
    <cellStyle name="百分比 3 2 2 3 2 2" xfId="48187"/>
    <cellStyle name="百分比 3 2 2 3 2 3" xfId="48188"/>
    <cellStyle name="百分比 3 2 2 3 2 4" xfId="48189"/>
    <cellStyle name="百分比 3 2 2 3 3" xfId="48190"/>
    <cellStyle name="百分比 3 2 2 3 4" xfId="48191"/>
    <cellStyle name="百分比 3 2 2 3 5" xfId="48192"/>
    <cellStyle name="百分比 3 2 2 4" xfId="48193"/>
    <cellStyle name="百分比 3 2 2 4 2" xfId="48194"/>
    <cellStyle name="百分比 3 2 2 4 2 2" xfId="48195"/>
    <cellStyle name="百分比 3 2 2 4 2 3" xfId="48196"/>
    <cellStyle name="百分比 3 2 2 4 2 4" xfId="48197"/>
    <cellStyle name="百分比 3 2 2 4 3" xfId="48198"/>
    <cellStyle name="百分比 3 2 2 4 4" xfId="48199"/>
    <cellStyle name="百分比 3 2 2 4 5" xfId="48200"/>
    <cellStyle name="百分比 3 2 2 5" xfId="48201"/>
    <cellStyle name="百分比 3 2 2 5 2" xfId="48202"/>
    <cellStyle name="百分比 3 2 2 5 3" xfId="48203"/>
    <cellStyle name="百分比 3 2 2 5 4" xfId="48204"/>
    <cellStyle name="百分比 3 2 2 6" xfId="48205"/>
    <cellStyle name="百分比 3 2 2 7" xfId="48206"/>
    <cellStyle name="百分比 3 2 2 8" xfId="48207"/>
    <cellStyle name="百分比 3 2 3" xfId="48208"/>
    <cellStyle name="百分比 3 2 3 2" xfId="48209"/>
    <cellStyle name="百分比 3 2 3 2 2" xfId="48210"/>
    <cellStyle name="百分比 3 2 3 2 3" xfId="48211"/>
    <cellStyle name="百分比 3 2 3 2 4" xfId="48212"/>
    <cellStyle name="百分比 3 2 3 3" xfId="48213"/>
    <cellStyle name="百分比 3 2 3 4" xfId="48214"/>
    <cellStyle name="百分比 3 2 3 5" xfId="48215"/>
    <cellStyle name="百分比 3 2 4" xfId="48216"/>
    <cellStyle name="百分比 3 2 4 2" xfId="48217"/>
    <cellStyle name="百分比 3 2 4 2 2" xfId="48218"/>
    <cellStyle name="百分比 3 2 4 2 3" xfId="48219"/>
    <cellStyle name="百分比 3 2 4 2 4" xfId="48220"/>
    <cellStyle name="百分比 3 2 4 3" xfId="48221"/>
    <cellStyle name="百分比 3 2 4 4" xfId="48222"/>
    <cellStyle name="百分比 3 2 4 5" xfId="48223"/>
    <cellStyle name="百分比 3 2 5" xfId="48224"/>
    <cellStyle name="百分比 3 2 5 2" xfId="48225"/>
    <cellStyle name="百分比 3 2 5 3" xfId="48226"/>
    <cellStyle name="百分比 3 2 5 4" xfId="48227"/>
    <cellStyle name="百分比 3 2 6" xfId="48228"/>
    <cellStyle name="百分比 3 2 7" xfId="48229"/>
    <cellStyle name="百分比 3 2 8" xfId="48230"/>
    <cellStyle name="百分比 3 3" xfId="48231"/>
    <cellStyle name="百分比 3 3 2" xfId="48232"/>
    <cellStyle name="百分比 3 3 2 2" xfId="48233"/>
    <cellStyle name="百分比 3 3 2 2 2" xfId="48234"/>
    <cellStyle name="百分比 3 3 2 2 2 2" xfId="48235"/>
    <cellStyle name="百分比 3 3 2 2 2 2 2" xfId="48236"/>
    <cellStyle name="百分比 3 3 2 2 2 2 3" xfId="48237"/>
    <cellStyle name="百分比 3 3 2 2 2 2 4" xfId="48238"/>
    <cellStyle name="百分比 3 3 2 2 2 3" xfId="48239"/>
    <cellStyle name="百分比 3 3 2 2 2 4" xfId="48240"/>
    <cellStyle name="百分比 3 3 2 2 2 5" xfId="48241"/>
    <cellStyle name="百分比 3 3 2 2 3" xfId="48242"/>
    <cellStyle name="百分比 3 3 2 2 3 2" xfId="48243"/>
    <cellStyle name="百分比 3 3 2 2 3 2 2" xfId="48244"/>
    <cellStyle name="百分比 3 3 2 2 3 2 3" xfId="48245"/>
    <cellStyle name="百分比 3 3 2 2 3 2 4" xfId="48246"/>
    <cellStyle name="百分比 3 3 2 2 3 3" xfId="48247"/>
    <cellStyle name="百分比 3 3 2 2 3 4" xfId="48248"/>
    <cellStyle name="百分比 3 3 2 2 3 5" xfId="48249"/>
    <cellStyle name="百分比 3 3 2 2 4" xfId="48250"/>
    <cellStyle name="百分比 3 3 2 2 4 2" xfId="48251"/>
    <cellStyle name="百分比 3 3 2 2 4 3" xfId="48252"/>
    <cellStyle name="百分比 3 3 2 2 4 4" xfId="48253"/>
    <cellStyle name="百分比 3 3 2 2 5" xfId="48254"/>
    <cellStyle name="百分比 3 3 2 2 6" xfId="48255"/>
    <cellStyle name="百分比 3 3 2 2 7" xfId="48256"/>
    <cellStyle name="百分比 3 3 2 3" xfId="48257"/>
    <cellStyle name="百分比 3 3 2 3 2" xfId="48258"/>
    <cellStyle name="百分比 3 3 2 3 2 2" xfId="48259"/>
    <cellStyle name="百分比 3 3 2 3 2 3" xfId="48260"/>
    <cellStyle name="百分比 3 3 2 3 2 4" xfId="48261"/>
    <cellStyle name="百分比 3 3 2 3 3" xfId="48262"/>
    <cellStyle name="百分比 3 3 2 3 4" xfId="48263"/>
    <cellStyle name="百分比 3 3 2 3 5" xfId="48264"/>
    <cellStyle name="百分比 3 3 2 4" xfId="48265"/>
    <cellStyle name="百分比 3 3 2 4 2" xfId="48266"/>
    <cellStyle name="百分比 3 3 2 4 2 2" xfId="48267"/>
    <cellStyle name="百分比 3 3 2 4 2 3" xfId="48268"/>
    <cellStyle name="百分比 3 3 2 4 2 4" xfId="48269"/>
    <cellStyle name="百分比 3 3 2 4 3" xfId="48270"/>
    <cellStyle name="百分比 3 3 2 4 4" xfId="48271"/>
    <cellStyle name="百分比 3 3 2 4 5" xfId="48272"/>
    <cellStyle name="百分比 3 3 2 5" xfId="48273"/>
    <cellStyle name="百分比 3 3 2 5 2" xfId="48274"/>
    <cellStyle name="百分比 3 3 2 5 3" xfId="48275"/>
    <cellStyle name="百分比 3 3 2 5 4" xfId="48276"/>
    <cellStyle name="百分比 3 3 2 6" xfId="48277"/>
    <cellStyle name="百分比 3 3 2 7" xfId="48278"/>
    <cellStyle name="百分比 3 3 2 8" xfId="48279"/>
    <cellStyle name="百分比 3 3 3" xfId="48280"/>
    <cellStyle name="百分比 3 3 3 2" xfId="48281"/>
    <cellStyle name="百分比 3 3 3 2 2" xfId="48282"/>
    <cellStyle name="百分比 3 3 3 2 3" xfId="48283"/>
    <cellStyle name="百分比 3 3 3 2 4" xfId="48284"/>
    <cellStyle name="百分比 3 3 3 3" xfId="48285"/>
    <cellStyle name="百分比 3 3 3 4" xfId="48286"/>
    <cellStyle name="百分比 3 3 3 5" xfId="48287"/>
    <cellStyle name="百分比 3 3 4" xfId="48288"/>
    <cellStyle name="百分比 3 3 4 2" xfId="48289"/>
    <cellStyle name="百分比 3 3 4 2 2" xfId="48290"/>
    <cellStyle name="百分比 3 3 4 2 3" xfId="48291"/>
    <cellStyle name="百分比 3 3 4 2 4" xfId="48292"/>
    <cellStyle name="百分比 3 3 4 3" xfId="48293"/>
    <cellStyle name="百分比 3 3 4 4" xfId="48294"/>
    <cellStyle name="百分比 3 3 4 5" xfId="48295"/>
    <cellStyle name="百分比 3 3 5" xfId="48296"/>
    <cellStyle name="百分比 3 3 5 2" xfId="48297"/>
    <cellStyle name="百分比 3 3 5 3" xfId="48298"/>
    <cellStyle name="百分比 3 3 5 4" xfId="48299"/>
    <cellStyle name="百分比 3 3 6" xfId="48300"/>
    <cellStyle name="百分比 3 3 7" xfId="48301"/>
    <cellStyle name="百分比 3 3 8" xfId="48302"/>
    <cellStyle name="百分比 3 4" xfId="48303"/>
    <cellStyle name="百分比 3 4 2" xfId="48304"/>
    <cellStyle name="百分比 3 4 2 2" xfId="48305"/>
    <cellStyle name="百分比 3 4 2 2 2" xfId="48306"/>
    <cellStyle name="百分比 3 4 2 2 2 2" xfId="48307"/>
    <cellStyle name="百分比 3 4 2 2 2 2 2" xfId="48308"/>
    <cellStyle name="百分比 3 4 2 2 2 2 3" xfId="48309"/>
    <cellStyle name="百分比 3 4 2 2 2 2 4" xfId="48310"/>
    <cellStyle name="百分比 3 4 2 2 2 3" xfId="48311"/>
    <cellStyle name="百分比 3 4 2 2 2 4" xfId="48312"/>
    <cellStyle name="百分比 3 4 2 2 2 5" xfId="48313"/>
    <cellStyle name="百分比 3 4 2 2 3" xfId="48314"/>
    <cellStyle name="百分比 3 4 2 2 3 2" xfId="48315"/>
    <cellStyle name="百分比 3 4 2 2 3 2 2" xfId="48316"/>
    <cellStyle name="百分比 3 4 2 2 3 2 3" xfId="48317"/>
    <cellStyle name="百分比 3 4 2 2 3 2 4" xfId="48318"/>
    <cellStyle name="百分比 3 4 2 2 3 3" xfId="48319"/>
    <cellStyle name="百分比 3 4 2 2 3 4" xfId="48320"/>
    <cellStyle name="百分比 3 4 2 2 3 5" xfId="48321"/>
    <cellStyle name="百分比 3 4 2 2 4" xfId="48322"/>
    <cellStyle name="百分比 3 4 2 2 4 2" xfId="48323"/>
    <cellStyle name="百分比 3 4 2 2 4 3" xfId="48324"/>
    <cellStyle name="百分比 3 4 2 2 4 4" xfId="48325"/>
    <cellStyle name="百分比 3 4 2 2 5" xfId="48326"/>
    <cellStyle name="百分比 3 4 2 2 6" xfId="48327"/>
    <cellStyle name="百分比 3 4 2 2 7" xfId="48328"/>
    <cellStyle name="百分比 3 4 2 3" xfId="48329"/>
    <cellStyle name="百分比 3 4 2 3 2" xfId="48330"/>
    <cellStyle name="百分比 3 4 2 3 2 2" xfId="48331"/>
    <cellStyle name="百分比 3 4 2 3 2 3" xfId="48332"/>
    <cellStyle name="百分比 3 4 2 3 2 4" xfId="48333"/>
    <cellStyle name="百分比 3 4 2 3 3" xfId="48334"/>
    <cellStyle name="百分比 3 4 2 3 4" xfId="48335"/>
    <cellStyle name="百分比 3 4 2 3 5" xfId="48336"/>
    <cellStyle name="百分比 3 4 2 4" xfId="48337"/>
    <cellStyle name="百分比 3 4 2 4 2" xfId="48338"/>
    <cellStyle name="百分比 3 4 2 4 2 2" xfId="48339"/>
    <cellStyle name="百分比 3 4 2 4 2 3" xfId="48340"/>
    <cellStyle name="百分比 3 4 2 4 2 4" xfId="48341"/>
    <cellStyle name="百分比 3 4 2 4 3" xfId="48342"/>
    <cellStyle name="百分比 3 4 2 4 4" xfId="48343"/>
    <cellStyle name="百分比 3 4 2 4 5" xfId="48344"/>
    <cellStyle name="百分比 3 4 2 5" xfId="48345"/>
    <cellStyle name="百分比 3 4 2 5 2" xfId="48346"/>
    <cellStyle name="百分比 3 4 2 5 3" xfId="48347"/>
    <cellStyle name="百分比 3 4 2 5 4" xfId="48348"/>
    <cellStyle name="百分比 3 4 2 6" xfId="48349"/>
    <cellStyle name="百分比 3 4 2 7" xfId="48350"/>
    <cellStyle name="百分比 3 4 2 8" xfId="48351"/>
    <cellStyle name="百分比 3 4 3" xfId="48352"/>
    <cellStyle name="百分比 3 4 3 2" xfId="48353"/>
    <cellStyle name="百分比 3 4 3 2 2" xfId="48354"/>
    <cellStyle name="百分比 3 4 3 2 3" xfId="48355"/>
    <cellStyle name="百分比 3 4 3 2 4" xfId="48356"/>
    <cellStyle name="百分比 3 4 3 3" xfId="48357"/>
    <cellStyle name="百分比 3 4 3 4" xfId="48358"/>
    <cellStyle name="百分比 3 4 3 5" xfId="48359"/>
    <cellStyle name="百分比 3 4 4" xfId="48360"/>
    <cellStyle name="百分比 3 4 4 2" xfId="48361"/>
    <cellStyle name="百分比 3 4 4 2 2" xfId="48362"/>
    <cellStyle name="百分比 3 4 4 2 3" xfId="48363"/>
    <cellStyle name="百分比 3 4 4 2 4" xfId="48364"/>
    <cellStyle name="百分比 3 4 4 3" xfId="48365"/>
    <cellStyle name="百分比 3 4 4 4" xfId="48366"/>
    <cellStyle name="百分比 3 4 4 5" xfId="48367"/>
    <cellStyle name="百分比 3 4 5" xfId="48368"/>
    <cellStyle name="百分比 3 4 5 2" xfId="48369"/>
    <cellStyle name="百分比 3 4 5 3" xfId="48370"/>
    <cellStyle name="百分比 3 4 5 4" xfId="48371"/>
    <cellStyle name="百分比 3 4 6" xfId="48372"/>
    <cellStyle name="百分比 3 4 7" xfId="48373"/>
    <cellStyle name="百分比 3 4 8" xfId="48374"/>
    <cellStyle name="百分比 3 5" xfId="48375"/>
    <cellStyle name="百分比 3 5 2" xfId="48376"/>
    <cellStyle name="百分比 3 5 2 2" xfId="48377"/>
    <cellStyle name="百分比 3 5 2 2 2" xfId="48378"/>
    <cellStyle name="百分比 3 5 2 2 2 2" xfId="48379"/>
    <cellStyle name="百分比 3 5 2 2 2 2 2" xfId="48380"/>
    <cellStyle name="百分比 3 5 2 2 2 2 3" xfId="48381"/>
    <cellStyle name="百分比 3 5 2 2 2 2 4" xfId="48382"/>
    <cellStyle name="百分比 3 5 2 2 2 3" xfId="48383"/>
    <cellStyle name="百分比 3 5 2 2 2 4" xfId="48384"/>
    <cellStyle name="百分比 3 5 2 2 2 5" xfId="48385"/>
    <cellStyle name="百分比 3 5 2 2 3" xfId="48386"/>
    <cellStyle name="百分比 3 5 2 2 3 2" xfId="48387"/>
    <cellStyle name="百分比 3 5 2 2 3 2 2" xfId="48388"/>
    <cellStyle name="百分比 3 5 2 2 3 2 3" xfId="48389"/>
    <cellStyle name="百分比 3 5 2 2 3 2 4" xfId="48390"/>
    <cellStyle name="百分比 3 5 2 2 3 3" xfId="48391"/>
    <cellStyle name="百分比 3 5 2 2 3 4" xfId="48392"/>
    <cellStyle name="百分比 3 5 2 2 3 5" xfId="48393"/>
    <cellStyle name="百分比 3 5 2 2 4" xfId="48394"/>
    <cellStyle name="百分比 3 5 2 2 4 2" xfId="48395"/>
    <cellStyle name="百分比 3 5 2 2 4 3" xfId="48396"/>
    <cellStyle name="百分比 3 5 2 2 4 4" xfId="48397"/>
    <cellStyle name="百分比 3 5 2 2 5" xfId="48398"/>
    <cellStyle name="百分比 3 5 2 2 6" xfId="48399"/>
    <cellStyle name="百分比 3 5 2 2 7" xfId="48400"/>
    <cellStyle name="百分比 3 5 2 3" xfId="48401"/>
    <cellStyle name="百分比 3 5 2 3 2" xfId="48402"/>
    <cellStyle name="百分比 3 5 2 3 2 2" xfId="48403"/>
    <cellStyle name="百分比 3 5 2 3 2 3" xfId="48404"/>
    <cellStyle name="百分比 3 5 2 3 2 4" xfId="48405"/>
    <cellStyle name="百分比 3 5 2 3 3" xfId="48406"/>
    <cellStyle name="百分比 3 5 2 3 4" xfId="48407"/>
    <cellStyle name="百分比 3 5 2 3 5" xfId="48408"/>
    <cellStyle name="百分比 3 5 2 4" xfId="48409"/>
    <cellStyle name="百分比 3 5 2 4 2" xfId="48410"/>
    <cellStyle name="百分比 3 5 2 4 2 2" xfId="48411"/>
    <cellStyle name="百分比 3 5 2 4 2 3" xfId="48412"/>
    <cellStyle name="百分比 3 5 2 4 2 4" xfId="48413"/>
    <cellStyle name="百分比 3 5 2 4 3" xfId="48414"/>
    <cellStyle name="百分比 3 5 2 4 4" xfId="48415"/>
    <cellStyle name="百分比 3 5 2 4 5" xfId="48416"/>
    <cellStyle name="百分比 3 5 2 5" xfId="48417"/>
    <cellStyle name="百分比 3 5 2 5 2" xfId="48418"/>
    <cellStyle name="百分比 3 5 2 5 3" xfId="48419"/>
    <cellStyle name="百分比 3 5 2 5 4" xfId="48420"/>
    <cellStyle name="百分比 3 5 2 6" xfId="48421"/>
    <cellStyle name="百分比 3 5 2 7" xfId="48422"/>
    <cellStyle name="百分比 3 5 2 8" xfId="48423"/>
    <cellStyle name="百分比 3 5 3" xfId="48424"/>
    <cellStyle name="百分比 3 5 3 2" xfId="48425"/>
    <cellStyle name="百分比 3 5 3 2 2" xfId="48426"/>
    <cellStyle name="百分比 3 5 3 2 3" xfId="48427"/>
    <cellStyle name="百分比 3 5 3 2 4" xfId="48428"/>
    <cellStyle name="百分比 3 5 3 3" xfId="48429"/>
    <cellStyle name="百分比 3 5 3 4" xfId="48430"/>
    <cellStyle name="百分比 3 5 3 5" xfId="48431"/>
    <cellStyle name="百分比 3 5 4" xfId="48432"/>
    <cellStyle name="百分比 3 5 4 2" xfId="48433"/>
    <cellStyle name="百分比 3 5 4 2 2" xfId="48434"/>
    <cellStyle name="百分比 3 5 4 2 3" xfId="48435"/>
    <cellStyle name="百分比 3 5 4 2 4" xfId="48436"/>
    <cellStyle name="百分比 3 5 4 3" xfId="48437"/>
    <cellStyle name="百分比 3 5 4 4" xfId="48438"/>
    <cellStyle name="百分比 3 5 4 5" xfId="48439"/>
    <cellStyle name="百分比 3 5 5" xfId="48440"/>
    <cellStyle name="百分比 3 5 5 2" xfId="48441"/>
    <cellStyle name="百分比 3 5 5 3" xfId="48442"/>
    <cellStyle name="百分比 3 5 5 4" xfId="48443"/>
    <cellStyle name="百分比 3 5 6" xfId="48444"/>
    <cellStyle name="百分比 3 5 7" xfId="48445"/>
    <cellStyle name="百分比 3 5 8" xfId="48446"/>
    <cellStyle name="百分比 3 6" xfId="48447"/>
    <cellStyle name="百分比 3 6 2" xfId="48448"/>
    <cellStyle name="百分比 3 6 2 2" xfId="48449"/>
    <cellStyle name="百分比 3 6 2 2 2" xfId="48450"/>
    <cellStyle name="百分比 3 6 2 2 2 2" xfId="48451"/>
    <cellStyle name="百分比 3 6 2 2 2 2 2" xfId="48452"/>
    <cellStyle name="百分比 3 6 2 2 2 2 3" xfId="48453"/>
    <cellStyle name="百分比 3 6 2 2 2 2 4" xfId="48454"/>
    <cellStyle name="百分比 3 6 2 2 2 3" xfId="48455"/>
    <cellStyle name="百分比 3 6 2 2 2 4" xfId="48456"/>
    <cellStyle name="百分比 3 6 2 2 2 5" xfId="48457"/>
    <cellStyle name="百分比 3 6 2 2 3" xfId="48458"/>
    <cellStyle name="百分比 3 6 2 2 3 2" xfId="48459"/>
    <cellStyle name="百分比 3 6 2 2 3 2 2" xfId="48460"/>
    <cellStyle name="百分比 3 6 2 2 3 2 3" xfId="48461"/>
    <cellStyle name="百分比 3 6 2 2 3 2 4" xfId="48462"/>
    <cellStyle name="百分比 3 6 2 2 3 3" xfId="48463"/>
    <cellStyle name="百分比 3 6 2 2 3 4" xfId="48464"/>
    <cellStyle name="百分比 3 6 2 2 3 5" xfId="48465"/>
    <cellStyle name="百分比 3 6 2 2 4" xfId="48466"/>
    <cellStyle name="百分比 3 6 2 2 4 2" xfId="48467"/>
    <cellStyle name="百分比 3 6 2 2 4 3" xfId="48468"/>
    <cellStyle name="百分比 3 6 2 2 4 4" xfId="48469"/>
    <cellStyle name="百分比 3 6 2 2 5" xfId="48470"/>
    <cellStyle name="百分比 3 6 2 2 6" xfId="48471"/>
    <cellStyle name="百分比 3 6 2 2 7" xfId="48472"/>
    <cellStyle name="百分比 3 6 2 3" xfId="48473"/>
    <cellStyle name="百分比 3 6 2 3 2" xfId="48474"/>
    <cellStyle name="百分比 3 6 2 3 2 2" xfId="48475"/>
    <cellStyle name="百分比 3 6 2 3 2 3" xfId="48476"/>
    <cellStyle name="百分比 3 6 2 3 2 4" xfId="48477"/>
    <cellStyle name="百分比 3 6 2 3 3" xfId="48478"/>
    <cellStyle name="百分比 3 6 2 3 4" xfId="48479"/>
    <cellStyle name="百分比 3 6 2 3 5" xfId="48480"/>
    <cellStyle name="百分比 3 6 2 4" xfId="48481"/>
    <cellStyle name="百分比 3 6 2 4 2" xfId="48482"/>
    <cellStyle name="百分比 3 6 2 4 2 2" xfId="48483"/>
    <cellStyle name="百分比 3 6 2 4 2 3" xfId="48484"/>
    <cellStyle name="百分比 3 6 2 4 2 4" xfId="48485"/>
    <cellStyle name="百分比 3 6 2 4 3" xfId="48486"/>
    <cellStyle name="百分比 3 6 2 4 4" xfId="48487"/>
    <cellStyle name="百分比 3 6 2 4 5" xfId="48488"/>
    <cellStyle name="百分比 3 6 2 5" xfId="48489"/>
    <cellStyle name="百分比 3 6 2 5 2" xfId="48490"/>
    <cellStyle name="百分比 3 6 2 5 3" xfId="48491"/>
    <cellStyle name="百分比 3 6 2 5 4" xfId="48492"/>
    <cellStyle name="百分比 3 6 2 6" xfId="48493"/>
    <cellStyle name="百分比 3 6 2 7" xfId="48494"/>
    <cellStyle name="百分比 3 6 2 8" xfId="48495"/>
    <cellStyle name="百分比 3 6 3" xfId="48496"/>
    <cellStyle name="百分比 3 6 3 2" xfId="48497"/>
    <cellStyle name="百分比 3 6 3 2 2" xfId="48498"/>
    <cellStyle name="百分比 3 6 3 2 3" xfId="48499"/>
    <cellStyle name="百分比 3 6 3 2 4" xfId="48500"/>
    <cellStyle name="百分比 3 6 3 3" xfId="48501"/>
    <cellStyle name="百分比 3 6 3 4" xfId="48502"/>
    <cellStyle name="百分比 3 6 3 5" xfId="48503"/>
    <cellStyle name="百分比 3 6 4" xfId="48504"/>
    <cellStyle name="百分比 3 6 4 2" xfId="48505"/>
    <cellStyle name="百分比 3 6 4 2 2" xfId="48506"/>
    <cellStyle name="百分比 3 6 4 2 3" xfId="48507"/>
    <cellStyle name="百分比 3 6 4 2 4" xfId="48508"/>
    <cellStyle name="百分比 3 6 4 3" xfId="48509"/>
    <cellStyle name="百分比 3 6 4 4" xfId="48510"/>
    <cellStyle name="百分比 3 6 4 5" xfId="48511"/>
    <cellStyle name="百分比 3 6 5" xfId="48512"/>
    <cellStyle name="百分比 3 6 5 2" xfId="48513"/>
    <cellStyle name="百分比 3 6 5 3" xfId="48514"/>
    <cellStyle name="百分比 3 6 5 4" xfId="48515"/>
    <cellStyle name="百分比 3 6 6" xfId="48516"/>
    <cellStyle name="百分比 3 6 7" xfId="48517"/>
    <cellStyle name="百分比 3 6 8" xfId="48518"/>
    <cellStyle name="百分比 3 7" xfId="48519"/>
    <cellStyle name="百分比 3 7 2" xfId="48520"/>
    <cellStyle name="百分比 3 7 2 2" xfId="48521"/>
    <cellStyle name="百分比 3 7 2 2 2" xfId="48522"/>
    <cellStyle name="百分比 3 7 2 2 2 2" xfId="48523"/>
    <cellStyle name="百分比 3 7 2 2 2 3" xfId="48524"/>
    <cellStyle name="百分比 3 7 2 2 2 4" xfId="48525"/>
    <cellStyle name="百分比 3 7 2 2 3" xfId="48526"/>
    <cellStyle name="百分比 3 7 2 2 4" xfId="48527"/>
    <cellStyle name="百分比 3 7 2 2 5" xfId="48528"/>
    <cellStyle name="百分比 3 7 2 3" xfId="48529"/>
    <cellStyle name="百分比 3 7 2 3 2" xfId="48530"/>
    <cellStyle name="百分比 3 7 2 3 2 2" xfId="48531"/>
    <cellStyle name="百分比 3 7 2 3 2 3" xfId="48532"/>
    <cellStyle name="百分比 3 7 2 3 2 4" xfId="48533"/>
    <cellStyle name="百分比 3 7 2 3 3" xfId="48534"/>
    <cellStyle name="百分比 3 7 2 3 4" xfId="48535"/>
    <cellStyle name="百分比 3 7 2 3 5" xfId="48536"/>
    <cellStyle name="百分比 3 7 2 4" xfId="48537"/>
    <cellStyle name="百分比 3 7 2 4 2" xfId="48538"/>
    <cellStyle name="百分比 3 7 2 4 3" xfId="48539"/>
    <cellStyle name="百分比 3 7 2 4 4" xfId="48540"/>
    <cellStyle name="百分比 3 7 2 5" xfId="48541"/>
    <cellStyle name="百分比 3 7 2 6" xfId="48542"/>
    <cellStyle name="百分比 3 7 2 7" xfId="48543"/>
    <cellStyle name="百分比 3 7 3" xfId="48544"/>
    <cellStyle name="百分比 3 7 3 2" xfId="48545"/>
    <cellStyle name="百分比 3 7 3 2 2" xfId="48546"/>
    <cellStyle name="百分比 3 7 3 2 3" xfId="48547"/>
    <cellStyle name="百分比 3 7 3 2 4" xfId="48548"/>
    <cellStyle name="百分比 3 7 3 3" xfId="48549"/>
    <cellStyle name="百分比 3 7 3 4" xfId="48550"/>
    <cellStyle name="百分比 3 7 3 5" xfId="48551"/>
    <cellStyle name="百分比 3 7 4" xfId="48552"/>
    <cellStyle name="百分比 3 7 4 2" xfId="48553"/>
    <cellStyle name="百分比 3 7 4 2 2" xfId="48554"/>
    <cellStyle name="百分比 3 7 4 2 3" xfId="48555"/>
    <cellStyle name="百分比 3 7 4 2 4" xfId="48556"/>
    <cellStyle name="百分比 3 7 4 3" xfId="48557"/>
    <cellStyle name="百分比 3 7 4 4" xfId="48558"/>
    <cellStyle name="百分比 3 7 4 5" xfId="48559"/>
    <cellStyle name="百分比 3 7 5" xfId="48560"/>
    <cellStyle name="百分比 3 7 5 2" xfId="48561"/>
    <cellStyle name="百分比 3 7 5 3" xfId="48562"/>
    <cellStyle name="百分比 3 7 5 4" xfId="48563"/>
    <cellStyle name="百分比 3 7 6" xfId="48564"/>
    <cellStyle name="百分比 3 7 7" xfId="48565"/>
    <cellStyle name="百分比 3 7 8" xfId="48566"/>
    <cellStyle name="百分比 3 8" xfId="48567"/>
    <cellStyle name="百分比 3 8 2" xfId="48568"/>
    <cellStyle name="百分比 3 8 2 2" xfId="48569"/>
    <cellStyle name="百分比 3 8 2 3" xfId="48570"/>
    <cellStyle name="百分比 3 8 2 4" xfId="48571"/>
    <cellStyle name="百分比 3 8 3" xfId="48572"/>
    <cellStyle name="百分比 3 8 4" xfId="48573"/>
    <cellStyle name="百分比 3 8 5" xfId="48574"/>
    <cellStyle name="百分比 3 9" xfId="48575"/>
    <cellStyle name="百分比 3 9 2" xfId="48576"/>
    <cellStyle name="百分比 3 9 2 2" xfId="48577"/>
    <cellStyle name="百分比 3 9 2 3" xfId="48578"/>
    <cellStyle name="百分比 3 9 2 4" xfId="48579"/>
    <cellStyle name="百分比 3 9 3" xfId="48580"/>
    <cellStyle name="百分比 3 9 4" xfId="48581"/>
    <cellStyle name="百分比 3 9 5" xfId="48582"/>
    <cellStyle name="百分比 4" xfId="48583"/>
    <cellStyle name="百分比 4 10" xfId="48584"/>
    <cellStyle name="百分比 4 10 2" xfId="48585"/>
    <cellStyle name="百分比 4 10 3" xfId="48586"/>
    <cellStyle name="百分比 4 10 4" xfId="48587"/>
    <cellStyle name="百分比 4 11" xfId="48588"/>
    <cellStyle name="百分比 4 12" xfId="48589"/>
    <cellStyle name="百分比 4 13" xfId="48590"/>
    <cellStyle name="百分比 4 2" xfId="48591"/>
    <cellStyle name="百分比 4 2 2" xfId="48592"/>
    <cellStyle name="百分比 4 2 2 2" xfId="48593"/>
    <cellStyle name="百分比 4 2 2 2 2" xfId="48594"/>
    <cellStyle name="百分比 4 2 2 2 2 2" xfId="48595"/>
    <cellStyle name="百分比 4 2 2 2 2 2 2" xfId="48596"/>
    <cellStyle name="百分比 4 2 2 2 2 2 3" xfId="48597"/>
    <cellStyle name="百分比 4 2 2 2 2 2 4" xfId="48598"/>
    <cellStyle name="百分比 4 2 2 2 2 3" xfId="48599"/>
    <cellStyle name="百分比 4 2 2 2 2 4" xfId="48600"/>
    <cellStyle name="百分比 4 2 2 2 2 5" xfId="48601"/>
    <cellStyle name="百分比 4 2 2 2 3" xfId="48602"/>
    <cellStyle name="百分比 4 2 2 2 3 2" xfId="48603"/>
    <cellStyle name="百分比 4 2 2 2 3 2 2" xfId="48604"/>
    <cellStyle name="百分比 4 2 2 2 3 2 3" xfId="48605"/>
    <cellStyle name="百分比 4 2 2 2 3 2 4" xfId="48606"/>
    <cellStyle name="百分比 4 2 2 2 3 3" xfId="48607"/>
    <cellStyle name="百分比 4 2 2 2 3 4" xfId="48608"/>
    <cellStyle name="百分比 4 2 2 2 3 5" xfId="48609"/>
    <cellStyle name="百分比 4 2 2 2 4" xfId="48610"/>
    <cellStyle name="百分比 4 2 2 2 4 2" xfId="48611"/>
    <cellStyle name="百分比 4 2 2 2 4 3" xfId="48612"/>
    <cellStyle name="百分比 4 2 2 2 4 4" xfId="48613"/>
    <cellStyle name="百分比 4 2 2 2 5" xfId="48614"/>
    <cellStyle name="百分比 4 2 2 2 6" xfId="48615"/>
    <cellStyle name="百分比 4 2 2 2 7" xfId="48616"/>
    <cellStyle name="百分比 4 2 2 3" xfId="48617"/>
    <cellStyle name="百分比 4 2 2 3 2" xfId="48618"/>
    <cellStyle name="百分比 4 2 2 3 2 2" xfId="48619"/>
    <cellStyle name="百分比 4 2 2 3 2 3" xfId="48620"/>
    <cellStyle name="百分比 4 2 2 3 2 4" xfId="48621"/>
    <cellStyle name="百分比 4 2 2 3 3" xfId="48622"/>
    <cellStyle name="百分比 4 2 2 3 4" xfId="48623"/>
    <cellStyle name="百分比 4 2 2 3 5" xfId="48624"/>
    <cellStyle name="百分比 4 2 2 4" xfId="48625"/>
    <cellStyle name="百分比 4 2 2 4 2" xfId="48626"/>
    <cellStyle name="百分比 4 2 2 4 2 2" xfId="48627"/>
    <cellStyle name="百分比 4 2 2 4 2 3" xfId="48628"/>
    <cellStyle name="百分比 4 2 2 4 2 4" xfId="48629"/>
    <cellStyle name="百分比 4 2 2 4 3" xfId="48630"/>
    <cellStyle name="百分比 4 2 2 4 4" xfId="48631"/>
    <cellStyle name="百分比 4 2 2 4 5" xfId="48632"/>
    <cellStyle name="百分比 4 2 2 5" xfId="48633"/>
    <cellStyle name="百分比 4 2 2 5 2" xfId="48634"/>
    <cellStyle name="百分比 4 2 2 5 3" xfId="48635"/>
    <cellStyle name="百分比 4 2 2 5 4" xfId="48636"/>
    <cellStyle name="百分比 4 2 2 6" xfId="48637"/>
    <cellStyle name="百分比 4 2 2 7" xfId="48638"/>
    <cellStyle name="百分比 4 2 2 8" xfId="48639"/>
    <cellStyle name="百分比 4 2 3" xfId="48640"/>
    <cellStyle name="百分比 4 2 3 2" xfId="48641"/>
    <cellStyle name="百分比 4 2 3 2 2" xfId="48642"/>
    <cellStyle name="百分比 4 2 3 2 3" xfId="48643"/>
    <cellStyle name="百分比 4 2 3 2 4" xfId="48644"/>
    <cellStyle name="百分比 4 2 3 3" xfId="48645"/>
    <cellStyle name="百分比 4 2 3 4" xfId="48646"/>
    <cellStyle name="百分比 4 2 3 5" xfId="48647"/>
    <cellStyle name="百分比 4 2 4" xfId="48648"/>
    <cellStyle name="百分比 4 2 4 2" xfId="48649"/>
    <cellStyle name="百分比 4 2 4 2 2" xfId="48650"/>
    <cellStyle name="百分比 4 2 4 2 3" xfId="48651"/>
    <cellStyle name="百分比 4 2 4 2 4" xfId="48652"/>
    <cellStyle name="百分比 4 2 4 3" xfId="48653"/>
    <cellStyle name="百分比 4 2 4 4" xfId="48654"/>
    <cellStyle name="百分比 4 2 4 5" xfId="48655"/>
    <cellStyle name="百分比 4 2 5" xfId="48656"/>
    <cellStyle name="百分比 4 2 5 2" xfId="48657"/>
    <cellStyle name="百分比 4 2 5 3" xfId="48658"/>
    <cellStyle name="百分比 4 2 5 4" xfId="48659"/>
    <cellStyle name="百分比 4 2 6" xfId="48660"/>
    <cellStyle name="百分比 4 2 7" xfId="48661"/>
    <cellStyle name="百分比 4 2 8" xfId="48662"/>
    <cellStyle name="百分比 4 3" xfId="48663"/>
    <cellStyle name="百分比 4 3 2" xfId="48664"/>
    <cellStyle name="百分比 4 3 2 2" xfId="48665"/>
    <cellStyle name="百分比 4 3 2 2 2" xfId="48666"/>
    <cellStyle name="百分比 4 3 2 2 2 2" xfId="48667"/>
    <cellStyle name="百分比 4 3 2 2 2 2 2" xfId="48668"/>
    <cellStyle name="百分比 4 3 2 2 2 2 3" xfId="48669"/>
    <cellStyle name="百分比 4 3 2 2 2 2 4" xfId="48670"/>
    <cellStyle name="百分比 4 3 2 2 2 3" xfId="48671"/>
    <cellStyle name="百分比 4 3 2 2 2 4" xfId="48672"/>
    <cellStyle name="百分比 4 3 2 2 2 5" xfId="48673"/>
    <cellStyle name="百分比 4 3 2 2 3" xfId="48674"/>
    <cellStyle name="百分比 4 3 2 2 3 2" xfId="48675"/>
    <cellStyle name="百分比 4 3 2 2 3 2 2" xfId="48676"/>
    <cellStyle name="百分比 4 3 2 2 3 2 3" xfId="48677"/>
    <cellStyle name="百分比 4 3 2 2 3 2 4" xfId="48678"/>
    <cellStyle name="百分比 4 3 2 2 3 3" xfId="48679"/>
    <cellStyle name="百分比 4 3 2 2 3 4" xfId="48680"/>
    <cellStyle name="百分比 4 3 2 2 3 5" xfId="48681"/>
    <cellStyle name="百分比 4 3 2 2 4" xfId="48682"/>
    <cellStyle name="百分比 4 3 2 2 4 2" xfId="48683"/>
    <cellStyle name="百分比 4 3 2 2 4 3" xfId="48684"/>
    <cellStyle name="百分比 4 3 2 2 4 4" xfId="48685"/>
    <cellStyle name="百分比 4 3 2 2 5" xfId="48686"/>
    <cellStyle name="百分比 4 3 2 2 6" xfId="48687"/>
    <cellStyle name="百分比 4 3 2 2 7" xfId="48688"/>
    <cellStyle name="百分比 4 3 2 3" xfId="48689"/>
    <cellStyle name="百分比 4 3 2 3 2" xfId="48690"/>
    <cellStyle name="百分比 4 3 2 3 2 2" xfId="48691"/>
    <cellStyle name="百分比 4 3 2 3 2 3" xfId="48692"/>
    <cellStyle name="百分比 4 3 2 3 2 4" xfId="48693"/>
    <cellStyle name="百分比 4 3 2 3 3" xfId="48694"/>
    <cellStyle name="百分比 4 3 2 3 4" xfId="48695"/>
    <cellStyle name="百分比 4 3 2 3 5" xfId="48696"/>
    <cellStyle name="百分比 4 3 2 4" xfId="48697"/>
    <cellStyle name="百分比 4 3 2 4 2" xfId="48698"/>
    <cellStyle name="百分比 4 3 2 4 2 2" xfId="48699"/>
    <cellStyle name="百分比 4 3 2 4 2 3" xfId="48700"/>
    <cellStyle name="百分比 4 3 2 4 2 4" xfId="48701"/>
    <cellStyle name="百分比 4 3 2 4 3" xfId="48702"/>
    <cellStyle name="百分比 4 3 2 4 4" xfId="48703"/>
    <cellStyle name="百分比 4 3 2 4 5" xfId="48704"/>
    <cellStyle name="百分比 4 3 2 5" xfId="48705"/>
    <cellStyle name="百分比 4 3 2 5 2" xfId="48706"/>
    <cellStyle name="百分比 4 3 2 5 3" xfId="48707"/>
    <cellStyle name="百分比 4 3 2 5 4" xfId="48708"/>
    <cellStyle name="百分比 4 3 2 6" xfId="48709"/>
    <cellStyle name="百分比 4 3 2 7" xfId="48710"/>
    <cellStyle name="百分比 4 3 2 8" xfId="48711"/>
    <cellStyle name="百分比 4 3 3" xfId="48712"/>
    <cellStyle name="百分比 4 3 3 2" xfId="48713"/>
    <cellStyle name="百分比 4 3 3 2 2" xfId="48714"/>
    <cellStyle name="百分比 4 3 3 2 3" xfId="48715"/>
    <cellStyle name="百分比 4 3 3 2 4" xfId="48716"/>
    <cellStyle name="百分比 4 3 3 3" xfId="48717"/>
    <cellStyle name="百分比 4 3 3 4" xfId="48718"/>
    <cellStyle name="百分比 4 3 3 5" xfId="48719"/>
    <cellStyle name="百分比 4 3 4" xfId="48720"/>
    <cellStyle name="百分比 4 3 4 2" xfId="48721"/>
    <cellStyle name="百分比 4 3 4 2 2" xfId="48722"/>
    <cellStyle name="百分比 4 3 4 2 3" xfId="48723"/>
    <cellStyle name="百分比 4 3 4 2 4" xfId="48724"/>
    <cellStyle name="百分比 4 3 4 3" xfId="48725"/>
    <cellStyle name="百分比 4 3 4 4" xfId="48726"/>
    <cellStyle name="百分比 4 3 4 5" xfId="48727"/>
    <cellStyle name="百分比 4 3 5" xfId="48728"/>
    <cellStyle name="百分比 4 3 5 2" xfId="48729"/>
    <cellStyle name="百分比 4 3 5 3" xfId="48730"/>
    <cellStyle name="百分比 4 3 5 4" xfId="48731"/>
    <cellStyle name="百分比 4 3 6" xfId="48732"/>
    <cellStyle name="百分比 4 3 7" xfId="48733"/>
    <cellStyle name="百分比 4 3 8" xfId="48734"/>
    <cellStyle name="百分比 4 4" xfId="48735"/>
    <cellStyle name="百分比 4 4 2" xfId="48736"/>
    <cellStyle name="百分比 4 4 2 2" xfId="48737"/>
    <cellStyle name="百分比 4 4 2 2 2" xfId="48738"/>
    <cellStyle name="百分比 4 4 2 2 2 2" xfId="48739"/>
    <cellStyle name="百分比 4 4 2 2 2 2 2" xfId="48740"/>
    <cellStyle name="百分比 4 4 2 2 2 2 3" xfId="48741"/>
    <cellStyle name="百分比 4 4 2 2 2 2 4" xfId="48742"/>
    <cellStyle name="百分比 4 4 2 2 2 3" xfId="48743"/>
    <cellStyle name="百分比 4 4 2 2 2 4" xfId="48744"/>
    <cellStyle name="百分比 4 4 2 2 2 5" xfId="48745"/>
    <cellStyle name="百分比 4 4 2 2 3" xfId="48746"/>
    <cellStyle name="百分比 4 4 2 2 3 2" xfId="48747"/>
    <cellStyle name="百分比 4 4 2 2 3 2 2" xfId="48748"/>
    <cellStyle name="百分比 4 4 2 2 3 2 3" xfId="48749"/>
    <cellStyle name="百分比 4 4 2 2 3 2 4" xfId="48750"/>
    <cellStyle name="百分比 4 4 2 2 3 3" xfId="48751"/>
    <cellStyle name="百分比 4 4 2 2 3 4" xfId="48752"/>
    <cellStyle name="百分比 4 4 2 2 3 5" xfId="48753"/>
    <cellStyle name="百分比 4 4 2 2 4" xfId="48754"/>
    <cellStyle name="百分比 4 4 2 2 4 2" xfId="48755"/>
    <cellStyle name="百分比 4 4 2 2 4 3" xfId="48756"/>
    <cellStyle name="百分比 4 4 2 2 4 4" xfId="48757"/>
    <cellStyle name="百分比 4 4 2 2 5" xfId="48758"/>
    <cellStyle name="百分比 4 4 2 2 6" xfId="48759"/>
    <cellStyle name="百分比 4 4 2 2 7" xfId="48760"/>
    <cellStyle name="百分比 4 4 2 3" xfId="48761"/>
    <cellStyle name="百分比 4 4 2 3 2" xfId="48762"/>
    <cellStyle name="百分比 4 4 2 3 2 2" xfId="48763"/>
    <cellStyle name="百分比 4 4 2 3 2 3" xfId="48764"/>
    <cellStyle name="百分比 4 4 2 3 2 4" xfId="48765"/>
    <cellStyle name="百分比 4 4 2 3 3" xfId="48766"/>
    <cellStyle name="百分比 4 4 2 3 4" xfId="48767"/>
    <cellStyle name="百分比 4 4 2 3 5" xfId="48768"/>
    <cellStyle name="百分比 4 4 2 4" xfId="48769"/>
    <cellStyle name="百分比 4 4 2 4 2" xfId="48770"/>
    <cellStyle name="百分比 4 4 2 4 2 2" xfId="48771"/>
    <cellStyle name="百分比 4 4 2 4 2 3" xfId="48772"/>
    <cellStyle name="百分比 4 4 2 4 2 4" xfId="48773"/>
    <cellStyle name="百分比 4 4 2 4 3" xfId="48774"/>
    <cellStyle name="百分比 4 4 2 4 4" xfId="48775"/>
    <cellStyle name="百分比 4 4 2 4 5" xfId="48776"/>
    <cellStyle name="百分比 4 4 2 5" xfId="48777"/>
    <cellStyle name="百分比 4 4 2 5 2" xfId="48778"/>
    <cellStyle name="百分比 4 4 2 5 3" xfId="48779"/>
    <cellStyle name="百分比 4 4 2 5 4" xfId="48780"/>
    <cellStyle name="百分比 4 4 2 6" xfId="48781"/>
    <cellStyle name="百分比 4 4 2 7" xfId="48782"/>
    <cellStyle name="百分比 4 4 2 8" xfId="48783"/>
    <cellStyle name="百分比 4 4 3" xfId="48784"/>
    <cellStyle name="百分比 4 4 3 2" xfId="48785"/>
    <cellStyle name="百分比 4 4 3 2 2" xfId="48786"/>
    <cellStyle name="百分比 4 4 3 2 3" xfId="48787"/>
    <cellStyle name="百分比 4 4 3 2 4" xfId="48788"/>
    <cellStyle name="百分比 4 4 3 3" xfId="48789"/>
    <cellStyle name="百分比 4 4 3 4" xfId="48790"/>
    <cellStyle name="百分比 4 4 3 5" xfId="48791"/>
    <cellStyle name="百分比 4 4 4" xfId="48792"/>
    <cellStyle name="百分比 4 4 4 2" xfId="48793"/>
    <cellStyle name="百分比 4 4 4 2 2" xfId="48794"/>
    <cellStyle name="百分比 4 4 4 2 3" xfId="48795"/>
    <cellStyle name="百分比 4 4 4 2 4" xfId="48796"/>
    <cellStyle name="百分比 4 4 4 3" xfId="48797"/>
    <cellStyle name="百分比 4 4 4 4" xfId="48798"/>
    <cellStyle name="百分比 4 4 4 5" xfId="48799"/>
    <cellStyle name="百分比 4 4 5" xfId="48800"/>
    <cellStyle name="百分比 4 4 5 2" xfId="48801"/>
    <cellStyle name="百分比 4 4 5 3" xfId="48802"/>
    <cellStyle name="百分比 4 4 5 4" xfId="48803"/>
    <cellStyle name="百分比 4 4 6" xfId="48804"/>
    <cellStyle name="百分比 4 4 7" xfId="48805"/>
    <cellStyle name="百分比 4 4 8" xfId="48806"/>
    <cellStyle name="百分比 4 5" xfId="48807"/>
    <cellStyle name="百分比 4 5 2" xfId="48808"/>
    <cellStyle name="百分比 4 5 2 2" xfId="48809"/>
    <cellStyle name="百分比 4 5 2 2 2" xfId="48810"/>
    <cellStyle name="百分比 4 5 2 2 2 2" xfId="48811"/>
    <cellStyle name="百分比 4 5 2 2 2 2 2" xfId="48812"/>
    <cellStyle name="百分比 4 5 2 2 2 2 3" xfId="48813"/>
    <cellStyle name="百分比 4 5 2 2 2 2 4" xfId="48814"/>
    <cellStyle name="百分比 4 5 2 2 2 3" xfId="48815"/>
    <cellStyle name="百分比 4 5 2 2 2 4" xfId="48816"/>
    <cellStyle name="百分比 4 5 2 2 2 5" xfId="48817"/>
    <cellStyle name="百分比 4 5 2 2 3" xfId="48818"/>
    <cellStyle name="百分比 4 5 2 2 3 2" xfId="48819"/>
    <cellStyle name="百分比 4 5 2 2 3 2 2" xfId="48820"/>
    <cellStyle name="百分比 4 5 2 2 3 2 3" xfId="48821"/>
    <cellStyle name="百分比 4 5 2 2 3 2 4" xfId="48822"/>
    <cellStyle name="百分比 4 5 2 2 3 3" xfId="48823"/>
    <cellStyle name="百分比 4 5 2 2 3 4" xfId="48824"/>
    <cellStyle name="百分比 4 5 2 2 3 5" xfId="48825"/>
    <cellStyle name="百分比 4 5 2 2 4" xfId="48826"/>
    <cellStyle name="百分比 4 5 2 2 4 2" xfId="48827"/>
    <cellStyle name="百分比 4 5 2 2 4 3" xfId="48828"/>
    <cellStyle name="百分比 4 5 2 2 4 4" xfId="48829"/>
    <cellStyle name="百分比 4 5 2 2 5" xfId="48830"/>
    <cellStyle name="百分比 4 5 2 2 6" xfId="48831"/>
    <cellStyle name="百分比 4 5 2 2 7" xfId="48832"/>
    <cellStyle name="百分比 4 5 2 3" xfId="48833"/>
    <cellStyle name="百分比 4 5 2 3 2" xfId="48834"/>
    <cellStyle name="百分比 4 5 2 3 2 2" xfId="48835"/>
    <cellStyle name="百分比 4 5 2 3 2 3" xfId="48836"/>
    <cellStyle name="百分比 4 5 2 3 2 4" xfId="48837"/>
    <cellStyle name="百分比 4 5 2 3 3" xfId="48838"/>
    <cellStyle name="百分比 4 5 2 3 4" xfId="48839"/>
    <cellStyle name="百分比 4 5 2 3 5" xfId="48840"/>
    <cellStyle name="百分比 4 5 2 4" xfId="48841"/>
    <cellStyle name="百分比 4 5 2 4 2" xfId="48842"/>
    <cellStyle name="百分比 4 5 2 4 2 2" xfId="48843"/>
    <cellStyle name="百分比 4 5 2 4 2 3" xfId="48844"/>
    <cellStyle name="百分比 4 5 2 4 2 4" xfId="48845"/>
    <cellStyle name="百分比 4 5 2 4 3" xfId="48846"/>
    <cellStyle name="百分比 4 5 2 4 4" xfId="48847"/>
    <cellStyle name="百分比 4 5 2 4 5" xfId="48848"/>
    <cellStyle name="百分比 4 5 2 5" xfId="48849"/>
    <cellStyle name="百分比 4 5 2 5 2" xfId="48850"/>
    <cellStyle name="百分比 4 5 2 5 3" xfId="48851"/>
    <cellStyle name="百分比 4 5 2 5 4" xfId="48852"/>
    <cellStyle name="百分比 4 5 2 6" xfId="48853"/>
    <cellStyle name="百分比 4 5 2 7" xfId="48854"/>
    <cellStyle name="百分比 4 5 2 8" xfId="48855"/>
    <cellStyle name="百分比 4 5 3" xfId="48856"/>
    <cellStyle name="百分比 4 5 3 2" xfId="48857"/>
    <cellStyle name="百分比 4 5 3 2 2" xfId="48858"/>
    <cellStyle name="百分比 4 5 3 2 3" xfId="48859"/>
    <cellStyle name="百分比 4 5 3 2 4" xfId="48860"/>
    <cellStyle name="百分比 4 5 3 3" xfId="48861"/>
    <cellStyle name="百分比 4 5 3 4" xfId="48862"/>
    <cellStyle name="百分比 4 5 3 5" xfId="48863"/>
    <cellStyle name="百分比 4 5 4" xfId="48864"/>
    <cellStyle name="百分比 4 5 4 2" xfId="48865"/>
    <cellStyle name="百分比 4 5 4 2 2" xfId="48866"/>
    <cellStyle name="百分比 4 5 4 2 3" xfId="48867"/>
    <cellStyle name="百分比 4 5 4 2 4" xfId="48868"/>
    <cellStyle name="百分比 4 5 4 3" xfId="48869"/>
    <cellStyle name="百分比 4 5 4 4" xfId="48870"/>
    <cellStyle name="百分比 4 5 4 5" xfId="48871"/>
    <cellStyle name="百分比 4 5 5" xfId="48872"/>
    <cellStyle name="百分比 4 5 5 2" xfId="48873"/>
    <cellStyle name="百分比 4 5 5 3" xfId="48874"/>
    <cellStyle name="百分比 4 5 5 4" xfId="48875"/>
    <cellStyle name="百分比 4 5 6" xfId="48876"/>
    <cellStyle name="百分比 4 5 7" xfId="48877"/>
    <cellStyle name="百分比 4 5 8" xfId="48878"/>
    <cellStyle name="百分比 4 6" xfId="48879"/>
    <cellStyle name="百分比 4 6 2" xfId="48880"/>
    <cellStyle name="百分比 4 6 2 2" xfId="48881"/>
    <cellStyle name="百分比 4 6 2 2 2" xfId="48882"/>
    <cellStyle name="百分比 4 6 2 2 2 2" xfId="48883"/>
    <cellStyle name="百分比 4 6 2 2 2 2 2" xfId="48884"/>
    <cellStyle name="百分比 4 6 2 2 2 2 3" xfId="48885"/>
    <cellStyle name="百分比 4 6 2 2 2 2 4" xfId="48886"/>
    <cellStyle name="百分比 4 6 2 2 2 3" xfId="48887"/>
    <cellStyle name="百分比 4 6 2 2 2 4" xfId="48888"/>
    <cellStyle name="百分比 4 6 2 2 2 5" xfId="48889"/>
    <cellStyle name="百分比 4 6 2 2 3" xfId="48890"/>
    <cellStyle name="百分比 4 6 2 2 3 2" xfId="48891"/>
    <cellStyle name="百分比 4 6 2 2 3 2 2" xfId="48892"/>
    <cellStyle name="百分比 4 6 2 2 3 2 3" xfId="48893"/>
    <cellStyle name="百分比 4 6 2 2 3 2 4" xfId="48894"/>
    <cellStyle name="百分比 4 6 2 2 3 3" xfId="48895"/>
    <cellStyle name="百分比 4 6 2 2 3 4" xfId="48896"/>
    <cellStyle name="百分比 4 6 2 2 3 5" xfId="48897"/>
    <cellStyle name="百分比 4 6 2 2 4" xfId="48898"/>
    <cellStyle name="百分比 4 6 2 2 4 2" xfId="48899"/>
    <cellStyle name="百分比 4 6 2 2 4 3" xfId="48900"/>
    <cellStyle name="百分比 4 6 2 2 4 4" xfId="48901"/>
    <cellStyle name="百分比 4 6 2 2 5" xfId="48902"/>
    <cellStyle name="百分比 4 6 2 2 6" xfId="48903"/>
    <cellStyle name="百分比 4 6 2 2 7" xfId="48904"/>
    <cellStyle name="百分比 4 6 2 3" xfId="48905"/>
    <cellStyle name="百分比 4 6 2 3 2" xfId="48906"/>
    <cellStyle name="百分比 4 6 2 3 2 2" xfId="48907"/>
    <cellStyle name="百分比 4 6 2 3 2 3" xfId="48908"/>
    <cellStyle name="百分比 4 6 2 3 2 4" xfId="48909"/>
    <cellStyle name="百分比 4 6 2 3 3" xfId="48910"/>
    <cellStyle name="百分比 4 6 2 3 4" xfId="48911"/>
    <cellStyle name="百分比 4 6 2 3 5" xfId="48912"/>
    <cellStyle name="百分比 4 6 2 4" xfId="48913"/>
    <cellStyle name="百分比 4 6 2 4 2" xfId="48914"/>
    <cellStyle name="百分比 4 6 2 4 2 2" xfId="48915"/>
    <cellStyle name="百分比 4 6 2 4 2 3" xfId="48916"/>
    <cellStyle name="百分比 4 6 2 4 2 4" xfId="48917"/>
    <cellStyle name="百分比 4 6 2 4 3" xfId="48918"/>
    <cellStyle name="百分比 4 6 2 4 4" xfId="48919"/>
    <cellStyle name="百分比 4 6 2 4 5" xfId="48920"/>
    <cellStyle name="百分比 4 6 2 5" xfId="48921"/>
    <cellStyle name="百分比 4 6 2 5 2" xfId="48922"/>
    <cellStyle name="百分比 4 6 2 5 3" xfId="48923"/>
    <cellStyle name="百分比 4 6 2 5 4" xfId="48924"/>
    <cellStyle name="百分比 4 6 2 6" xfId="48925"/>
    <cellStyle name="百分比 4 6 2 7" xfId="48926"/>
    <cellStyle name="百分比 4 6 2 8" xfId="48927"/>
    <cellStyle name="百分比 4 6 3" xfId="48928"/>
    <cellStyle name="百分比 4 6 3 2" xfId="48929"/>
    <cellStyle name="百分比 4 6 3 2 2" xfId="48930"/>
    <cellStyle name="百分比 4 6 3 2 3" xfId="48931"/>
    <cellStyle name="百分比 4 6 3 2 4" xfId="48932"/>
    <cellStyle name="百分比 4 6 3 3" xfId="48933"/>
    <cellStyle name="百分比 4 6 3 4" xfId="48934"/>
    <cellStyle name="百分比 4 6 3 5" xfId="48935"/>
    <cellStyle name="百分比 4 6 4" xfId="48936"/>
    <cellStyle name="百分比 4 6 4 2" xfId="48937"/>
    <cellStyle name="百分比 4 6 4 2 2" xfId="48938"/>
    <cellStyle name="百分比 4 6 4 2 3" xfId="48939"/>
    <cellStyle name="百分比 4 6 4 2 4" xfId="48940"/>
    <cellStyle name="百分比 4 6 4 3" xfId="48941"/>
    <cellStyle name="百分比 4 6 4 4" xfId="48942"/>
    <cellStyle name="百分比 4 6 4 5" xfId="48943"/>
    <cellStyle name="百分比 4 6 5" xfId="48944"/>
    <cellStyle name="百分比 4 6 5 2" xfId="48945"/>
    <cellStyle name="百分比 4 6 5 3" xfId="48946"/>
    <cellStyle name="百分比 4 6 5 4" xfId="48947"/>
    <cellStyle name="百分比 4 6 6" xfId="48948"/>
    <cellStyle name="百分比 4 6 7" xfId="48949"/>
    <cellStyle name="百分比 4 6 8" xfId="48950"/>
    <cellStyle name="百分比 4 7" xfId="48951"/>
    <cellStyle name="百分比 4 7 2" xfId="48952"/>
    <cellStyle name="百分比 4 7 2 2" xfId="48953"/>
    <cellStyle name="百分比 4 7 2 2 2" xfId="48954"/>
    <cellStyle name="百分比 4 7 2 2 2 2" xfId="48955"/>
    <cellStyle name="百分比 4 7 2 2 2 3" xfId="48956"/>
    <cellStyle name="百分比 4 7 2 2 2 4" xfId="48957"/>
    <cellStyle name="百分比 4 7 2 2 3" xfId="48958"/>
    <cellStyle name="百分比 4 7 2 2 4" xfId="48959"/>
    <cellStyle name="百分比 4 7 2 2 5" xfId="48960"/>
    <cellStyle name="百分比 4 7 2 3" xfId="48961"/>
    <cellStyle name="百分比 4 7 2 3 2" xfId="48962"/>
    <cellStyle name="百分比 4 7 2 3 2 2" xfId="48963"/>
    <cellStyle name="百分比 4 7 2 3 2 3" xfId="48964"/>
    <cellStyle name="百分比 4 7 2 3 2 4" xfId="48965"/>
    <cellStyle name="百分比 4 7 2 3 3" xfId="48966"/>
    <cellStyle name="百分比 4 7 2 3 4" xfId="48967"/>
    <cellStyle name="百分比 4 7 2 3 5" xfId="48968"/>
    <cellStyle name="百分比 4 7 2 4" xfId="48969"/>
    <cellStyle name="百分比 4 7 2 4 2" xfId="48970"/>
    <cellStyle name="百分比 4 7 2 4 3" xfId="48971"/>
    <cellStyle name="百分比 4 7 2 4 4" xfId="48972"/>
    <cellStyle name="百分比 4 7 2 5" xfId="48973"/>
    <cellStyle name="百分比 4 7 2 6" xfId="48974"/>
    <cellStyle name="百分比 4 7 2 7" xfId="48975"/>
    <cellStyle name="百分比 4 7 3" xfId="48976"/>
    <cellStyle name="百分比 4 7 3 2" xfId="48977"/>
    <cellStyle name="百分比 4 7 3 2 2" xfId="48978"/>
    <cellStyle name="百分比 4 7 3 2 3" xfId="48979"/>
    <cellStyle name="百分比 4 7 3 2 4" xfId="48980"/>
    <cellStyle name="百分比 4 7 3 3" xfId="48981"/>
    <cellStyle name="百分比 4 7 3 4" xfId="48982"/>
    <cellStyle name="百分比 4 7 3 5" xfId="48983"/>
    <cellStyle name="百分比 4 7 4" xfId="48984"/>
    <cellStyle name="百分比 4 7 4 2" xfId="48985"/>
    <cellStyle name="百分比 4 7 4 2 2" xfId="48986"/>
    <cellStyle name="百分比 4 7 4 2 3" xfId="48987"/>
    <cellStyle name="百分比 4 7 4 2 4" xfId="48988"/>
    <cellStyle name="百分比 4 7 4 3" xfId="48989"/>
    <cellStyle name="百分比 4 7 4 4" xfId="48990"/>
    <cellStyle name="百分比 4 7 4 5" xfId="48991"/>
    <cellStyle name="百分比 4 7 5" xfId="48992"/>
    <cellStyle name="百分比 4 7 5 2" xfId="48993"/>
    <cellStyle name="百分比 4 7 5 3" xfId="48994"/>
    <cellStyle name="百分比 4 7 5 4" xfId="48995"/>
    <cellStyle name="百分比 4 7 6" xfId="48996"/>
    <cellStyle name="百分比 4 7 7" xfId="48997"/>
    <cellStyle name="百分比 4 7 8" xfId="48998"/>
    <cellStyle name="百分比 4 8" xfId="48999"/>
    <cellStyle name="百分比 4 8 2" xfId="49000"/>
    <cellStyle name="百分比 4 8 2 2" xfId="49001"/>
    <cellStyle name="百分比 4 8 2 3" xfId="49002"/>
    <cellStyle name="百分比 4 8 2 4" xfId="49003"/>
    <cellStyle name="百分比 4 8 3" xfId="49004"/>
    <cellStyle name="百分比 4 8 4" xfId="49005"/>
    <cellStyle name="百分比 4 8 5" xfId="49006"/>
    <cellStyle name="百分比 4 9" xfId="49007"/>
    <cellStyle name="百分比 4 9 2" xfId="49008"/>
    <cellStyle name="百分比 4 9 2 2" xfId="49009"/>
    <cellStyle name="百分比 4 9 2 3" xfId="49010"/>
    <cellStyle name="百分比 4 9 2 4" xfId="49011"/>
    <cellStyle name="百分比 4 9 3" xfId="49012"/>
    <cellStyle name="百分比 4 9 4" xfId="49013"/>
    <cellStyle name="百分比 4 9 5" xfId="49014"/>
    <cellStyle name="百分比 5" xfId="49015"/>
    <cellStyle name="百分比 5 2" xfId="49016"/>
    <cellStyle name="百分比 5 2 2" xfId="49017"/>
    <cellStyle name="百分比 5 2 3" xfId="49018"/>
    <cellStyle name="百分比 5 2 4" xfId="49019"/>
    <cellStyle name="百分比 5 3" xfId="49020"/>
    <cellStyle name="百分比 5 4" xfId="49021"/>
    <cellStyle name="百分比 5 5" xfId="49022"/>
    <cellStyle name="百分比 6" xfId="49023"/>
    <cellStyle name="百分比 6 2" xfId="49024"/>
    <cellStyle name="百分比 6 3" xfId="49025"/>
    <cellStyle name="解释性文本 2" xfId="49026"/>
    <cellStyle name="解释性文本 2 10" xfId="49027"/>
    <cellStyle name="解释性文本 2 11" xfId="49028"/>
    <cellStyle name="解释性文本 2 2" xfId="49029"/>
    <cellStyle name="解释性文本 2 2 10" xfId="49030"/>
    <cellStyle name="解释性文本 2 2 11" xfId="49031"/>
    <cellStyle name="解释性文本 2 2 2" xfId="49032"/>
    <cellStyle name="解释性文本 2 2 2 2" xfId="49033"/>
    <cellStyle name="解释性文本 2 2 2 2 2" xfId="49034"/>
    <cellStyle name="解释性文本 2 2 2 2 2 2" xfId="49035"/>
    <cellStyle name="解释性文本 2 2 2 2 2 3" xfId="49036"/>
    <cellStyle name="解释性文本 2 2 2 2 2 3 2" xfId="49037"/>
    <cellStyle name="解释性文本 2 2 2 2 2 3 2 2" xfId="49038"/>
    <cellStyle name="解释性文本 2 2 2 2 2 4" xfId="49039"/>
    <cellStyle name="解释性文本 2 2 2 2 2 4 2" xfId="49040"/>
    <cellStyle name="解释性文本 2 2 2 2 3" xfId="49041"/>
    <cellStyle name="解释性文本 2 2 2 2 3 2" xfId="49042"/>
    <cellStyle name="解释性文本 2 2 2 2 3 2 2" xfId="49043"/>
    <cellStyle name="解释性文本 2 2 2 2 3 2 2 2" xfId="49044"/>
    <cellStyle name="解释性文本 2 2 2 2 3 3" xfId="49045"/>
    <cellStyle name="解释性文本 2 2 2 2 3 3 2" xfId="49046"/>
    <cellStyle name="解释性文本 2 2 2 2 4" xfId="49047"/>
    <cellStyle name="解释性文本 2 2 2 2 5" xfId="49048"/>
    <cellStyle name="解释性文本 2 2 2 2 6" xfId="49049"/>
    <cellStyle name="解释性文本 2 2 2 3" xfId="49050"/>
    <cellStyle name="解释性文本 2 2 2 3 2" xfId="49051"/>
    <cellStyle name="解释性文本 2 2 2 3 3" xfId="49052"/>
    <cellStyle name="解释性文本 2 2 2 3 3 2" xfId="49053"/>
    <cellStyle name="解释性文本 2 2 2 3 3 2 2" xfId="49054"/>
    <cellStyle name="解释性文本 2 2 2 3 4" xfId="49055"/>
    <cellStyle name="解释性文本 2 2 2 3 4 2" xfId="49056"/>
    <cellStyle name="解释性文本 2 2 2 4" xfId="49057"/>
    <cellStyle name="解释性文本 2 2 2 4 2" xfId="49058"/>
    <cellStyle name="解释性文本 2 2 2 4 2 2" xfId="49059"/>
    <cellStyle name="解释性文本 2 2 2 4 2 2 2" xfId="49060"/>
    <cellStyle name="解释性文本 2 2 2 4 3" xfId="49061"/>
    <cellStyle name="解释性文本 2 2 2 4 3 2" xfId="49062"/>
    <cellStyle name="解释性文本 2 2 2 5" xfId="49063"/>
    <cellStyle name="解释性文本 2 2 2 6" xfId="49064"/>
    <cellStyle name="解释性文本 2 2 2 7" xfId="49065"/>
    <cellStyle name="解释性文本 2 2 3" xfId="49066"/>
    <cellStyle name="解释性文本 2 2 3 2" xfId="49067"/>
    <cellStyle name="解释性文本 2 2 3 2 2" xfId="49068"/>
    <cellStyle name="解释性文本 2 2 3 2 3" xfId="49069"/>
    <cellStyle name="解释性文本 2 2 3 2 3 2" xfId="49070"/>
    <cellStyle name="解释性文本 2 2 3 2 3 2 2" xfId="49071"/>
    <cellStyle name="解释性文本 2 2 3 2 4" xfId="49072"/>
    <cellStyle name="解释性文本 2 2 3 2 4 2" xfId="49073"/>
    <cellStyle name="解释性文本 2 2 3 3" xfId="49074"/>
    <cellStyle name="解释性文本 2 2 3 3 2" xfId="49075"/>
    <cellStyle name="解释性文本 2 2 3 3 2 2" xfId="49076"/>
    <cellStyle name="解释性文本 2 2 3 3 2 2 2" xfId="49077"/>
    <cellStyle name="解释性文本 2 2 3 3 3" xfId="49078"/>
    <cellStyle name="解释性文本 2 2 3 3 3 2" xfId="49079"/>
    <cellStyle name="解释性文本 2 2 3 4" xfId="49080"/>
    <cellStyle name="解释性文本 2 2 3 5" xfId="49081"/>
    <cellStyle name="解释性文本 2 2 3 6" xfId="49082"/>
    <cellStyle name="解释性文本 2 2 4" xfId="49083"/>
    <cellStyle name="解释性文本 2 2 4 2" xfId="49084"/>
    <cellStyle name="解释性文本 2 2 4 2 2" xfId="49085"/>
    <cellStyle name="解释性文本 2 2 4 2 3" xfId="49086"/>
    <cellStyle name="解释性文本 2 2 4 2 3 2" xfId="49087"/>
    <cellStyle name="解释性文本 2 2 4 2 3 2 2" xfId="49088"/>
    <cellStyle name="解释性文本 2 2 4 2 4" xfId="49089"/>
    <cellStyle name="解释性文本 2 2 4 2 4 2" xfId="49090"/>
    <cellStyle name="解释性文本 2 2 4 3" xfId="49091"/>
    <cellStyle name="解释性文本 2 2 4 4" xfId="49092"/>
    <cellStyle name="解释性文本 2 2 4 5" xfId="49093"/>
    <cellStyle name="解释性文本 2 2 4 6" xfId="49094"/>
    <cellStyle name="解释性文本 2 2 5" xfId="49095"/>
    <cellStyle name="解释性文本 2 2 5 2" xfId="49096"/>
    <cellStyle name="解释性文本 2 2 5 2 2" xfId="49097"/>
    <cellStyle name="解释性文本 2 2 5 2 2 2" xfId="49098"/>
    <cellStyle name="解释性文本 2 2 5 2 2 2 2" xfId="49099"/>
    <cellStyle name="解释性文本 2 2 5 2 3" xfId="49100"/>
    <cellStyle name="解释性文本 2 2 5 2 3 2" xfId="49101"/>
    <cellStyle name="解释性文本 2 2 5 3" xfId="49102"/>
    <cellStyle name="解释性文本 2 2 5 3 2" xfId="49103"/>
    <cellStyle name="解释性文本 2 2 5 3 2 2" xfId="49104"/>
    <cellStyle name="解释性文本 2 2 5 4" xfId="49105"/>
    <cellStyle name="解释性文本 2 2 5 4 2" xfId="49106"/>
    <cellStyle name="解释性文本 2 2 6" xfId="49107"/>
    <cellStyle name="解释性文本 2 2 6 2" xfId="49108"/>
    <cellStyle name="解释性文本 2 2 6 2 2" xfId="49109"/>
    <cellStyle name="解释性文本 2 2 6 2 2 2" xfId="49110"/>
    <cellStyle name="解释性文本 2 2 6 2 2 2 2" xfId="49111"/>
    <cellStyle name="解释性文本 2 2 6 2 3" xfId="49112"/>
    <cellStyle name="解释性文本 2 2 6 2 3 2" xfId="49113"/>
    <cellStyle name="解释性文本 2 2 6 3" xfId="49114"/>
    <cellStyle name="解释性文本 2 2 6 3 2" xfId="49115"/>
    <cellStyle name="解释性文本 2 2 6 3 2 2" xfId="49116"/>
    <cellStyle name="解释性文本 2 2 6 4" xfId="49117"/>
    <cellStyle name="解释性文本 2 2 6 4 2" xfId="49118"/>
    <cellStyle name="解释性文本 2 2 7" xfId="49119"/>
    <cellStyle name="解释性文本 2 2 7 2" xfId="49120"/>
    <cellStyle name="解释性文本 2 2 7 2 2" xfId="49121"/>
    <cellStyle name="解释性文本 2 2 7 2 2 2" xfId="49122"/>
    <cellStyle name="解释性文本 2 2 7 2 2 2 2" xfId="49123"/>
    <cellStyle name="解释性文本 2 2 7 2 3" xfId="49124"/>
    <cellStyle name="解释性文本 2 2 7 2 3 2" xfId="49125"/>
    <cellStyle name="解释性文本 2 2 7 3" xfId="49126"/>
    <cellStyle name="解释性文本 2 2 7 3 2" xfId="49127"/>
    <cellStyle name="解释性文本 2 2 7 3 2 2" xfId="49128"/>
    <cellStyle name="解释性文本 2 2 7 4" xfId="49129"/>
    <cellStyle name="解释性文本 2 2 7 4 2" xfId="49130"/>
    <cellStyle name="解释性文本 2 2 8" xfId="49131"/>
    <cellStyle name="解释性文本 2 2 8 2" xfId="49132"/>
    <cellStyle name="解释性文本 2 2 8 2 2" xfId="49133"/>
    <cellStyle name="解释性文本 2 2 8 2 2 2" xfId="49134"/>
    <cellStyle name="解释性文本 2 2 8 3" xfId="49135"/>
    <cellStyle name="解释性文本 2 2 8 3 2" xfId="49136"/>
    <cellStyle name="解释性文本 2 2 9" xfId="49137"/>
    <cellStyle name="解释性文本 2 2 9 2" xfId="49138"/>
    <cellStyle name="解释性文本 2 2 9 2 2" xfId="49139"/>
    <cellStyle name="解释性文本 2 2 9 2 2 2" xfId="49140"/>
    <cellStyle name="解释性文本 2 2 9 3" xfId="49141"/>
    <cellStyle name="解释性文本 2 2 9 3 2" xfId="49142"/>
    <cellStyle name="解释性文本 2 3" xfId="49143"/>
    <cellStyle name="解释性文本 2 3 2" xfId="49144"/>
    <cellStyle name="解释性文本 2 3 2 2" xfId="49145"/>
    <cellStyle name="解释性文本 2 3 2 2 2" xfId="49146"/>
    <cellStyle name="解释性文本 2 3 2 2 2 2" xfId="49147"/>
    <cellStyle name="解释性文本 2 3 2 2 2 3" xfId="49148"/>
    <cellStyle name="解释性文本 2 3 2 2 2 3 2" xfId="49149"/>
    <cellStyle name="解释性文本 2 3 2 2 2 3 2 2" xfId="49150"/>
    <cellStyle name="解释性文本 2 3 2 2 2 4" xfId="49151"/>
    <cellStyle name="解释性文本 2 3 2 2 2 4 2" xfId="49152"/>
    <cellStyle name="解释性文本 2 3 2 2 3" xfId="49153"/>
    <cellStyle name="解释性文本 2 3 2 2 3 2" xfId="49154"/>
    <cellStyle name="解释性文本 2 3 2 2 3 2 2" xfId="49155"/>
    <cellStyle name="解释性文本 2 3 2 2 3 2 2 2" xfId="49156"/>
    <cellStyle name="解释性文本 2 3 2 2 3 3" xfId="49157"/>
    <cellStyle name="解释性文本 2 3 2 2 3 3 2" xfId="49158"/>
    <cellStyle name="解释性文本 2 3 2 2 4" xfId="49159"/>
    <cellStyle name="解释性文本 2 3 2 2 5" xfId="49160"/>
    <cellStyle name="解释性文本 2 3 2 2 6" xfId="49161"/>
    <cellStyle name="解释性文本 2 3 2 3" xfId="49162"/>
    <cellStyle name="解释性文本 2 3 2 3 2" xfId="49163"/>
    <cellStyle name="解释性文本 2 3 2 3 3" xfId="49164"/>
    <cellStyle name="解释性文本 2 3 2 3 3 2" xfId="49165"/>
    <cellStyle name="解释性文本 2 3 2 3 3 2 2" xfId="49166"/>
    <cellStyle name="解释性文本 2 3 2 3 4" xfId="49167"/>
    <cellStyle name="解释性文本 2 3 2 3 4 2" xfId="49168"/>
    <cellStyle name="解释性文本 2 3 2 4" xfId="49169"/>
    <cellStyle name="解释性文本 2 3 2 4 2" xfId="49170"/>
    <cellStyle name="解释性文本 2 3 2 4 2 2" xfId="49171"/>
    <cellStyle name="解释性文本 2 3 2 4 2 2 2" xfId="49172"/>
    <cellStyle name="解释性文本 2 3 2 4 3" xfId="49173"/>
    <cellStyle name="解释性文本 2 3 2 4 3 2" xfId="49174"/>
    <cellStyle name="解释性文本 2 3 2 5" xfId="49175"/>
    <cellStyle name="解释性文本 2 3 2 6" xfId="49176"/>
    <cellStyle name="解释性文本 2 3 2 7" xfId="49177"/>
    <cellStyle name="解释性文本 2 3 3" xfId="49178"/>
    <cellStyle name="解释性文本 2 3 3 2" xfId="49179"/>
    <cellStyle name="解释性文本 2 3 3 2 2" xfId="49180"/>
    <cellStyle name="解释性文本 2 3 3 2 3" xfId="49181"/>
    <cellStyle name="解释性文本 2 3 3 2 3 2" xfId="49182"/>
    <cellStyle name="解释性文本 2 3 3 2 3 2 2" xfId="49183"/>
    <cellStyle name="解释性文本 2 3 3 2 4" xfId="49184"/>
    <cellStyle name="解释性文本 2 3 3 2 4 2" xfId="49185"/>
    <cellStyle name="解释性文本 2 3 3 3" xfId="49186"/>
    <cellStyle name="解释性文本 2 3 3 3 2" xfId="49187"/>
    <cellStyle name="解释性文本 2 3 3 3 2 2" xfId="49188"/>
    <cellStyle name="解释性文本 2 3 3 3 2 2 2" xfId="49189"/>
    <cellStyle name="解释性文本 2 3 3 3 3" xfId="49190"/>
    <cellStyle name="解释性文本 2 3 3 3 3 2" xfId="49191"/>
    <cellStyle name="解释性文本 2 3 3 4" xfId="49192"/>
    <cellStyle name="解释性文本 2 3 3 5" xfId="49193"/>
    <cellStyle name="解释性文本 2 3 3 6" xfId="49194"/>
    <cellStyle name="解释性文本 2 3 4" xfId="49195"/>
    <cellStyle name="解释性文本 2 3 4 2" xfId="49196"/>
    <cellStyle name="解释性文本 2 3 4 2 2" xfId="49197"/>
    <cellStyle name="解释性文本 2 3 4 2 3" xfId="49198"/>
    <cellStyle name="解释性文本 2 3 4 2 3 2" xfId="49199"/>
    <cellStyle name="解释性文本 2 3 4 2 3 2 2" xfId="49200"/>
    <cellStyle name="解释性文本 2 3 4 2 4" xfId="49201"/>
    <cellStyle name="解释性文本 2 3 4 2 4 2" xfId="49202"/>
    <cellStyle name="解释性文本 2 3 4 3" xfId="49203"/>
    <cellStyle name="解释性文本 2 3 4 4" xfId="49204"/>
    <cellStyle name="解释性文本 2 3 4 5" xfId="49205"/>
    <cellStyle name="解释性文本 2 3 4 6" xfId="49206"/>
    <cellStyle name="解释性文本 2 3 5" xfId="49207"/>
    <cellStyle name="解释性文本 2 3 5 2" xfId="49208"/>
    <cellStyle name="解释性文本 2 3 5 2 2" xfId="49209"/>
    <cellStyle name="解释性文本 2 3 5 2 2 2" xfId="49210"/>
    <cellStyle name="解释性文本 2 3 5 2 2 2 2" xfId="49211"/>
    <cellStyle name="解释性文本 2 3 5 2 3" xfId="49212"/>
    <cellStyle name="解释性文本 2 3 5 2 3 2" xfId="49213"/>
    <cellStyle name="解释性文本 2 3 5 3" xfId="49214"/>
    <cellStyle name="解释性文本 2 3 5 3 2" xfId="49215"/>
    <cellStyle name="解释性文本 2 3 5 3 2 2" xfId="49216"/>
    <cellStyle name="解释性文本 2 3 5 4" xfId="49217"/>
    <cellStyle name="解释性文本 2 3 5 4 2" xfId="49218"/>
    <cellStyle name="解释性文本 2 3 6" xfId="49219"/>
    <cellStyle name="解释性文本 2 3 6 2" xfId="49220"/>
    <cellStyle name="解释性文本 2 3 6 2 2" xfId="49221"/>
    <cellStyle name="解释性文本 2 3 6 2 2 2" xfId="49222"/>
    <cellStyle name="解释性文本 2 3 6 3" xfId="49223"/>
    <cellStyle name="解释性文本 2 3 6 3 2" xfId="49224"/>
    <cellStyle name="解释性文本 2 3 7" xfId="49225"/>
    <cellStyle name="解释性文本 2 3 7 2" xfId="49226"/>
    <cellStyle name="解释性文本 2 3 7 2 2" xfId="49227"/>
    <cellStyle name="解释性文本 2 3 7 2 2 2" xfId="49228"/>
    <cellStyle name="解释性文本 2 3 7 3" xfId="49229"/>
    <cellStyle name="解释性文本 2 3 7 3 2" xfId="49230"/>
    <cellStyle name="解释性文本 2 3 8" xfId="49231"/>
    <cellStyle name="解释性文本 2 3 9" xfId="49232"/>
    <cellStyle name="解释性文本 2 4" xfId="49233"/>
    <cellStyle name="解释性文本 2 4 2" xfId="49234"/>
    <cellStyle name="解释性文本 2 4 2 2" xfId="49235"/>
    <cellStyle name="解释性文本 2 4 2 3" xfId="49236"/>
    <cellStyle name="解释性文本 2 4 2 3 2" xfId="49237"/>
    <cellStyle name="解释性文本 2 4 2 3 2 2" xfId="49238"/>
    <cellStyle name="解释性文本 2 4 2 4" xfId="49239"/>
    <cellStyle name="解释性文本 2 4 2 4 2" xfId="49240"/>
    <cellStyle name="解释性文本 2 4 3" xfId="49241"/>
    <cellStyle name="解释性文本 2 4 3 2" xfId="49242"/>
    <cellStyle name="解释性文本 2 4 3 2 2" xfId="49243"/>
    <cellStyle name="解释性文本 2 4 3 2 2 2" xfId="49244"/>
    <cellStyle name="解释性文本 2 4 3 3" xfId="49245"/>
    <cellStyle name="解释性文本 2 4 3 3 2" xfId="49246"/>
    <cellStyle name="解释性文本 2 4 4" xfId="49247"/>
    <cellStyle name="解释性文本 2 4 5" xfId="49248"/>
    <cellStyle name="解释性文本 2 4 6" xfId="49249"/>
    <cellStyle name="解释性文本 2 5" xfId="49250"/>
    <cellStyle name="解释性文本 2 5 2" xfId="49251"/>
    <cellStyle name="解释性文本 2 5 2 2" xfId="49252"/>
    <cellStyle name="解释性文本 2 5 2 3" xfId="49253"/>
    <cellStyle name="解释性文本 2 5 2 3 2" xfId="49254"/>
    <cellStyle name="解释性文本 2 5 2 3 2 2" xfId="49255"/>
    <cellStyle name="解释性文本 2 5 2 4" xfId="49256"/>
    <cellStyle name="解释性文本 2 5 2 4 2" xfId="49257"/>
    <cellStyle name="解释性文本 2 5 3" xfId="49258"/>
    <cellStyle name="解释性文本 2 5 4" xfId="49259"/>
    <cellStyle name="解释性文本 2 5 5" xfId="49260"/>
    <cellStyle name="解释性文本 2 5 6" xfId="49261"/>
    <cellStyle name="解释性文本 2 6" xfId="49262"/>
    <cellStyle name="解释性文本 2 6 2" xfId="49263"/>
    <cellStyle name="解释性文本 2 6 2 2" xfId="49264"/>
    <cellStyle name="解释性文本 2 6 2 2 2" xfId="49265"/>
    <cellStyle name="解释性文本 2 6 2 2 2 2" xfId="49266"/>
    <cellStyle name="解释性文本 2 6 2 3" xfId="49267"/>
    <cellStyle name="解释性文本 2 6 2 3 2" xfId="49268"/>
    <cellStyle name="解释性文本 2 6 3" xfId="49269"/>
    <cellStyle name="解释性文本 2 6 3 2" xfId="49270"/>
    <cellStyle name="解释性文本 2 6 3 2 2" xfId="49271"/>
    <cellStyle name="解释性文本 2 6 4" xfId="49272"/>
    <cellStyle name="解释性文本 2 6 4 2" xfId="49273"/>
    <cellStyle name="解释性文本 2 7" xfId="49274"/>
    <cellStyle name="解释性文本 2 7 2" xfId="49275"/>
    <cellStyle name="解释性文本 2 7 2 2" xfId="49276"/>
    <cellStyle name="解释性文本 2 7 2 2 2" xfId="49277"/>
    <cellStyle name="解释性文本 2 7 2 2 2 2" xfId="49278"/>
    <cellStyle name="解释性文本 2 7 2 3" xfId="49279"/>
    <cellStyle name="解释性文本 2 7 2 3 2" xfId="49280"/>
    <cellStyle name="解释性文本 2 7 3" xfId="49281"/>
    <cellStyle name="解释性文本 2 7 3 2" xfId="49282"/>
    <cellStyle name="解释性文本 2 7 3 2 2" xfId="49283"/>
    <cellStyle name="解释性文本 2 7 4" xfId="49284"/>
    <cellStyle name="解释性文本 2 7 4 2" xfId="49285"/>
    <cellStyle name="解释性文本 2 8" xfId="49286"/>
    <cellStyle name="解释性文本 2 8 2" xfId="49287"/>
    <cellStyle name="解释性文本 2 8 2 2" xfId="49288"/>
    <cellStyle name="解释性文本 2 8 2 2 2" xfId="49289"/>
    <cellStyle name="解释性文本 2 8 2 2 2 2" xfId="49290"/>
    <cellStyle name="解释性文本 2 8 2 3" xfId="49291"/>
    <cellStyle name="解释性文本 2 8 2 3 2" xfId="49292"/>
    <cellStyle name="解释性文本 2 8 3" xfId="49293"/>
    <cellStyle name="解释性文本 2 8 3 2" xfId="49294"/>
    <cellStyle name="解释性文本 2 8 3 2 2" xfId="49295"/>
    <cellStyle name="解释性文本 2 8 4" xfId="49296"/>
    <cellStyle name="解释性文本 2 8 4 2" xfId="49297"/>
    <cellStyle name="解释性文本 2 9" xfId="49298"/>
    <cellStyle name="解释性文本 2 9 2" xfId="49299"/>
    <cellStyle name="解释性文本 2 9 2 2" xfId="49300"/>
    <cellStyle name="解释性文本 2 9 2 2 2" xfId="49301"/>
    <cellStyle name="解释性文本 2 9 3" xfId="49302"/>
    <cellStyle name="解释性文本 2 9 3 2" xfId="49303"/>
    <cellStyle name="解释性文本 3" xfId="49304"/>
    <cellStyle name="解释性文本 3 2" xfId="49305"/>
    <cellStyle name="解释性文本 3 2 2" xfId="49306"/>
    <cellStyle name="解释性文本 3 2 2 2" xfId="49307"/>
    <cellStyle name="解释性文本 3 2 2 2 2" xfId="49308"/>
    <cellStyle name="解释性文本 3 2 2 2 3" xfId="49309"/>
    <cellStyle name="解释性文本 3 2 2 2 3 2" xfId="49310"/>
    <cellStyle name="解释性文本 3 2 2 2 3 2 2" xfId="49311"/>
    <cellStyle name="解释性文本 3 2 2 2 4" xfId="49312"/>
    <cellStyle name="解释性文本 3 2 2 2 4 2" xfId="49313"/>
    <cellStyle name="解释性文本 3 2 2 3" xfId="49314"/>
    <cellStyle name="解释性文本 3 2 2 3 2" xfId="49315"/>
    <cellStyle name="解释性文本 3 2 2 3 2 2" xfId="49316"/>
    <cellStyle name="解释性文本 3 2 2 3 2 2 2" xfId="49317"/>
    <cellStyle name="解释性文本 3 2 2 3 3" xfId="49318"/>
    <cellStyle name="解释性文本 3 2 2 3 3 2" xfId="49319"/>
    <cellStyle name="解释性文本 3 2 2 4" xfId="49320"/>
    <cellStyle name="解释性文本 3 2 2 5" xfId="49321"/>
    <cellStyle name="解释性文本 3 2 2 6" xfId="49322"/>
    <cellStyle name="解释性文本 3 2 3" xfId="49323"/>
    <cellStyle name="解释性文本 3 2 3 2" xfId="49324"/>
    <cellStyle name="解释性文本 3 2 3 3" xfId="49325"/>
    <cellStyle name="解释性文本 3 2 3 3 2" xfId="49326"/>
    <cellStyle name="解释性文本 3 2 3 3 2 2" xfId="49327"/>
    <cellStyle name="解释性文本 3 2 3 4" xfId="49328"/>
    <cellStyle name="解释性文本 3 2 3 4 2" xfId="49329"/>
    <cellStyle name="解释性文本 3 2 4" xfId="49330"/>
    <cellStyle name="解释性文本 3 2 4 2" xfId="49331"/>
    <cellStyle name="解释性文本 3 2 4 2 2" xfId="49332"/>
    <cellStyle name="解释性文本 3 2 4 2 2 2" xfId="49333"/>
    <cellStyle name="解释性文本 3 2 4 3" xfId="49334"/>
    <cellStyle name="解释性文本 3 2 4 3 2" xfId="49335"/>
    <cellStyle name="解释性文本 3 2 5" xfId="49336"/>
    <cellStyle name="解释性文本 3 2 6" xfId="49337"/>
    <cellStyle name="解释性文本 3 2 7" xfId="49338"/>
    <cellStyle name="解释性文本 3 3" xfId="49339"/>
    <cellStyle name="解释性文本 3 3 2" xfId="49340"/>
    <cellStyle name="解释性文本 3 3 2 2" xfId="49341"/>
    <cellStyle name="解释性文本 3 3 2 3" xfId="49342"/>
    <cellStyle name="解释性文本 3 3 2 3 2" xfId="49343"/>
    <cellStyle name="解释性文本 3 3 2 3 2 2" xfId="49344"/>
    <cellStyle name="解释性文本 3 3 2 4" xfId="49345"/>
    <cellStyle name="解释性文本 3 3 2 4 2" xfId="49346"/>
    <cellStyle name="解释性文本 3 3 3" xfId="49347"/>
    <cellStyle name="解释性文本 3 3 3 2" xfId="49348"/>
    <cellStyle name="解释性文本 3 3 3 2 2" xfId="49349"/>
    <cellStyle name="解释性文本 3 3 3 2 2 2" xfId="49350"/>
    <cellStyle name="解释性文本 3 3 3 3" xfId="49351"/>
    <cellStyle name="解释性文本 3 3 3 3 2" xfId="49352"/>
    <cellStyle name="解释性文本 3 3 4" xfId="49353"/>
    <cellStyle name="解释性文本 3 3 5" xfId="49354"/>
    <cellStyle name="解释性文本 3 3 6" xfId="49355"/>
    <cellStyle name="解释性文本 3 4" xfId="49356"/>
    <cellStyle name="解释性文本 3 4 2" xfId="49357"/>
    <cellStyle name="解释性文本 3 4 2 2" xfId="49358"/>
    <cellStyle name="解释性文本 3 4 2 3" xfId="49359"/>
    <cellStyle name="解释性文本 3 4 2 3 2" xfId="49360"/>
    <cellStyle name="解释性文本 3 4 2 3 2 2" xfId="49361"/>
    <cellStyle name="解释性文本 3 4 2 4" xfId="49362"/>
    <cellStyle name="解释性文本 3 4 2 4 2" xfId="49363"/>
    <cellStyle name="解释性文本 3 4 3" xfId="49364"/>
    <cellStyle name="解释性文本 3 4 4" xfId="49365"/>
    <cellStyle name="解释性文本 3 4 5" xfId="49366"/>
    <cellStyle name="解释性文本 3 4 6" xfId="49367"/>
    <cellStyle name="解释性文本 3 5" xfId="49368"/>
    <cellStyle name="解释性文本 3 5 2" xfId="49369"/>
    <cellStyle name="解释性文本 3 5 2 2" xfId="49370"/>
    <cellStyle name="解释性文本 3 5 2 2 2" xfId="49371"/>
    <cellStyle name="解释性文本 3 5 2 2 2 2" xfId="49372"/>
    <cellStyle name="解释性文本 3 5 2 3" xfId="49373"/>
    <cellStyle name="解释性文本 3 5 2 3 2" xfId="49374"/>
    <cellStyle name="解释性文本 3 5 3" xfId="49375"/>
    <cellStyle name="解释性文本 3 5 3 2" xfId="49376"/>
    <cellStyle name="解释性文本 3 5 3 2 2" xfId="49377"/>
    <cellStyle name="解释性文本 3 5 4" xfId="49378"/>
    <cellStyle name="解释性文本 3 5 4 2" xfId="49379"/>
    <cellStyle name="解释性文本 3 6" xfId="49380"/>
    <cellStyle name="解释性文本 3 6 2" xfId="49381"/>
    <cellStyle name="解释性文本 3 6 2 2" xfId="49382"/>
    <cellStyle name="解释性文本 3 6 2 2 2" xfId="49383"/>
    <cellStyle name="解释性文本 3 6 3" xfId="49384"/>
    <cellStyle name="解释性文本 3 6 3 2" xfId="49385"/>
    <cellStyle name="解释性文本 3 7" xfId="49386"/>
    <cellStyle name="解释性文本 3 8" xfId="49387"/>
    <cellStyle name="警告文本 2" xfId="49388"/>
    <cellStyle name="警告文本 2 10" xfId="49389"/>
    <cellStyle name="警告文本 2 11" xfId="49390"/>
    <cellStyle name="警告文本 2 2" xfId="49391"/>
    <cellStyle name="警告文本 2 2 10" xfId="49392"/>
    <cellStyle name="警告文本 2 2 11" xfId="49393"/>
    <cellStyle name="警告文本 2 2 2" xfId="49394"/>
    <cellStyle name="警告文本 2 2 2 2" xfId="49395"/>
    <cellStyle name="警告文本 2 2 2 2 2" xfId="49396"/>
    <cellStyle name="警告文本 2 2 2 2 2 2" xfId="49397"/>
    <cellStyle name="警告文本 2 2 2 2 2 3" xfId="49398"/>
    <cellStyle name="警告文本 2 2 2 2 2 3 2" xfId="49399"/>
    <cellStyle name="警告文本 2 2 2 2 2 3 2 2" xfId="49400"/>
    <cellStyle name="警告文本 2 2 2 2 2 4" xfId="49401"/>
    <cellStyle name="警告文本 2 2 2 2 2 4 2" xfId="49402"/>
    <cellStyle name="警告文本 2 2 2 2 3" xfId="49403"/>
    <cellStyle name="警告文本 2 2 2 2 3 2" xfId="49404"/>
    <cellStyle name="警告文本 2 2 2 2 3 2 2" xfId="49405"/>
    <cellStyle name="警告文本 2 2 2 2 3 2 2 2" xfId="49406"/>
    <cellStyle name="警告文本 2 2 2 2 3 3" xfId="49407"/>
    <cellStyle name="警告文本 2 2 2 2 3 3 2" xfId="49408"/>
    <cellStyle name="警告文本 2 2 2 2 4" xfId="49409"/>
    <cellStyle name="警告文本 2 2 2 2 5" xfId="49410"/>
    <cellStyle name="警告文本 2 2 2 2 6" xfId="49411"/>
    <cellStyle name="警告文本 2 2 2 3" xfId="49412"/>
    <cellStyle name="警告文本 2 2 2 3 2" xfId="49413"/>
    <cellStyle name="警告文本 2 2 2 3 3" xfId="49414"/>
    <cellStyle name="警告文本 2 2 2 3 3 2" xfId="49415"/>
    <cellStyle name="警告文本 2 2 2 3 3 2 2" xfId="49416"/>
    <cellStyle name="警告文本 2 2 2 3 4" xfId="49417"/>
    <cellStyle name="警告文本 2 2 2 3 4 2" xfId="49418"/>
    <cellStyle name="警告文本 2 2 2 4" xfId="49419"/>
    <cellStyle name="警告文本 2 2 2 4 2" xfId="49420"/>
    <cellStyle name="警告文本 2 2 2 4 2 2" xfId="49421"/>
    <cellStyle name="警告文本 2 2 2 4 2 2 2" xfId="49422"/>
    <cellStyle name="警告文本 2 2 2 4 3" xfId="49423"/>
    <cellStyle name="警告文本 2 2 2 4 3 2" xfId="49424"/>
    <cellStyle name="警告文本 2 2 2 5" xfId="49425"/>
    <cellStyle name="警告文本 2 2 2 6" xfId="49426"/>
    <cellStyle name="警告文本 2 2 2 7" xfId="49427"/>
    <cellStyle name="警告文本 2 2 3" xfId="49428"/>
    <cellStyle name="警告文本 2 2 3 2" xfId="49429"/>
    <cellStyle name="警告文本 2 2 3 2 2" xfId="49430"/>
    <cellStyle name="警告文本 2 2 3 2 3" xfId="49431"/>
    <cellStyle name="警告文本 2 2 3 2 3 2" xfId="49432"/>
    <cellStyle name="警告文本 2 2 3 2 3 2 2" xfId="49433"/>
    <cellStyle name="警告文本 2 2 3 2 4" xfId="49434"/>
    <cellStyle name="警告文本 2 2 3 2 4 2" xfId="49435"/>
    <cellStyle name="警告文本 2 2 3 3" xfId="49436"/>
    <cellStyle name="警告文本 2 2 3 3 2" xfId="49437"/>
    <cellStyle name="警告文本 2 2 3 3 2 2" xfId="49438"/>
    <cellStyle name="警告文本 2 2 3 3 2 2 2" xfId="49439"/>
    <cellStyle name="警告文本 2 2 3 3 3" xfId="49440"/>
    <cellStyle name="警告文本 2 2 3 3 3 2" xfId="49441"/>
    <cellStyle name="警告文本 2 2 3 4" xfId="49442"/>
    <cellStyle name="警告文本 2 2 3 5" xfId="49443"/>
    <cellStyle name="警告文本 2 2 3 6" xfId="49444"/>
    <cellStyle name="警告文本 2 2 4" xfId="49445"/>
    <cellStyle name="警告文本 2 2 4 2" xfId="49446"/>
    <cellStyle name="警告文本 2 2 4 2 2" xfId="49447"/>
    <cellStyle name="警告文本 2 2 4 2 3" xfId="49448"/>
    <cellStyle name="警告文本 2 2 4 2 3 2" xfId="49449"/>
    <cellStyle name="警告文本 2 2 4 2 3 2 2" xfId="49450"/>
    <cellStyle name="警告文本 2 2 4 2 4" xfId="49451"/>
    <cellStyle name="警告文本 2 2 4 2 4 2" xfId="49452"/>
    <cellStyle name="警告文本 2 2 4 3" xfId="49453"/>
    <cellStyle name="警告文本 2 2 4 4" xfId="49454"/>
    <cellStyle name="警告文本 2 2 4 5" xfId="49455"/>
    <cellStyle name="警告文本 2 2 4 6" xfId="49456"/>
    <cellStyle name="警告文本 2 2 5" xfId="49457"/>
    <cellStyle name="警告文本 2 2 5 2" xfId="49458"/>
    <cellStyle name="警告文本 2 2 5 2 2" xfId="49459"/>
    <cellStyle name="警告文本 2 2 5 2 2 2" xfId="49460"/>
    <cellStyle name="警告文本 2 2 5 2 2 2 2" xfId="49461"/>
    <cellStyle name="警告文本 2 2 5 2 3" xfId="49462"/>
    <cellStyle name="警告文本 2 2 5 2 3 2" xfId="49463"/>
    <cellStyle name="警告文本 2 2 5 3" xfId="49464"/>
    <cellStyle name="警告文本 2 2 5 3 2" xfId="49465"/>
    <cellStyle name="警告文本 2 2 5 3 2 2" xfId="49466"/>
    <cellStyle name="警告文本 2 2 5 4" xfId="49467"/>
    <cellStyle name="警告文本 2 2 5 4 2" xfId="49468"/>
    <cellStyle name="警告文本 2 2 6" xfId="49469"/>
    <cellStyle name="警告文本 2 2 6 2" xfId="49470"/>
    <cellStyle name="警告文本 2 2 6 2 2" xfId="49471"/>
    <cellStyle name="警告文本 2 2 6 2 2 2" xfId="49472"/>
    <cellStyle name="警告文本 2 2 6 2 2 2 2" xfId="49473"/>
    <cellStyle name="警告文本 2 2 6 2 3" xfId="49474"/>
    <cellStyle name="警告文本 2 2 6 2 3 2" xfId="49475"/>
    <cellStyle name="警告文本 2 2 6 3" xfId="49476"/>
    <cellStyle name="警告文本 2 2 6 3 2" xfId="49477"/>
    <cellStyle name="警告文本 2 2 6 3 2 2" xfId="49478"/>
    <cellStyle name="警告文本 2 2 6 4" xfId="49479"/>
    <cellStyle name="警告文本 2 2 6 4 2" xfId="49480"/>
    <cellStyle name="警告文本 2 2 7" xfId="49481"/>
    <cellStyle name="警告文本 2 2 7 2" xfId="49482"/>
    <cellStyle name="警告文本 2 2 7 2 2" xfId="49483"/>
    <cellStyle name="警告文本 2 2 7 2 2 2" xfId="49484"/>
    <cellStyle name="警告文本 2 2 7 2 2 2 2" xfId="49485"/>
    <cellStyle name="警告文本 2 2 7 2 3" xfId="49486"/>
    <cellStyle name="警告文本 2 2 7 2 3 2" xfId="49487"/>
    <cellStyle name="警告文本 2 2 7 3" xfId="49488"/>
    <cellStyle name="警告文本 2 2 7 3 2" xfId="49489"/>
    <cellStyle name="警告文本 2 2 7 3 2 2" xfId="49490"/>
    <cellStyle name="警告文本 2 2 7 4" xfId="49491"/>
    <cellStyle name="警告文本 2 2 7 4 2" xfId="49492"/>
    <cellStyle name="警告文本 2 2 8" xfId="49493"/>
    <cellStyle name="警告文本 2 2 8 2" xfId="49494"/>
    <cellStyle name="警告文本 2 2 8 2 2" xfId="49495"/>
    <cellStyle name="警告文本 2 2 8 2 2 2" xfId="49496"/>
    <cellStyle name="警告文本 2 2 8 3" xfId="49497"/>
    <cellStyle name="警告文本 2 2 8 3 2" xfId="49498"/>
    <cellStyle name="警告文本 2 2 9" xfId="49499"/>
    <cellStyle name="警告文本 2 2 9 2" xfId="49500"/>
    <cellStyle name="警告文本 2 2 9 2 2" xfId="49501"/>
    <cellStyle name="警告文本 2 2 9 2 2 2" xfId="49502"/>
    <cellStyle name="警告文本 2 2 9 3" xfId="49503"/>
    <cellStyle name="警告文本 2 2 9 3 2" xfId="49504"/>
    <cellStyle name="警告文本 2 3" xfId="49505"/>
    <cellStyle name="警告文本 2 3 2" xfId="49506"/>
    <cellStyle name="警告文本 2 3 2 2" xfId="49507"/>
    <cellStyle name="警告文本 2 3 2 2 2" xfId="49508"/>
    <cellStyle name="警告文本 2 3 2 2 2 2" xfId="49509"/>
    <cellStyle name="警告文本 2 3 2 2 2 3" xfId="49510"/>
    <cellStyle name="警告文本 2 3 2 2 2 3 2" xfId="49511"/>
    <cellStyle name="警告文本 2 3 2 2 2 3 2 2" xfId="49512"/>
    <cellStyle name="警告文本 2 3 2 2 2 4" xfId="49513"/>
    <cellStyle name="警告文本 2 3 2 2 2 4 2" xfId="49514"/>
    <cellStyle name="警告文本 2 3 2 2 3" xfId="49515"/>
    <cellStyle name="警告文本 2 3 2 2 3 2" xfId="49516"/>
    <cellStyle name="警告文本 2 3 2 2 3 2 2" xfId="49517"/>
    <cellStyle name="警告文本 2 3 2 2 3 2 2 2" xfId="49518"/>
    <cellStyle name="警告文本 2 3 2 2 3 3" xfId="49519"/>
    <cellStyle name="警告文本 2 3 2 2 3 3 2" xfId="49520"/>
    <cellStyle name="警告文本 2 3 2 2 4" xfId="49521"/>
    <cellStyle name="警告文本 2 3 2 2 5" xfId="49522"/>
    <cellStyle name="警告文本 2 3 2 2 6" xfId="49523"/>
    <cellStyle name="警告文本 2 3 2 3" xfId="49524"/>
    <cellStyle name="警告文本 2 3 2 3 2" xfId="49525"/>
    <cellStyle name="警告文本 2 3 2 3 3" xfId="49526"/>
    <cellStyle name="警告文本 2 3 2 3 3 2" xfId="49527"/>
    <cellStyle name="警告文本 2 3 2 3 3 2 2" xfId="49528"/>
    <cellStyle name="警告文本 2 3 2 3 4" xfId="49529"/>
    <cellStyle name="警告文本 2 3 2 3 4 2" xfId="49530"/>
    <cellStyle name="警告文本 2 3 2 4" xfId="49531"/>
    <cellStyle name="警告文本 2 3 2 4 2" xfId="49532"/>
    <cellStyle name="警告文本 2 3 2 4 2 2" xfId="49533"/>
    <cellStyle name="警告文本 2 3 2 4 2 2 2" xfId="49534"/>
    <cellStyle name="警告文本 2 3 2 4 3" xfId="49535"/>
    <cellStyle name="警告文本 2 3 2 4 3 2" xfId="49536"/>
    <cellStyle name="警告文本 2 3 2 5" xfId="49537"/>
    <cellStyle name="警告文本 2 3 2 6" xfId="49538"/>
    <cellStyle name="警告文本 2 3 2 7" xfId="49539"/>
    <cellStyle name="警告文本 2 3 3" xfId="49540"/>
    <cellStyle name="警告文本 2 3 3 2" xfId="49541"/>
    <cellStyle name="警告文本 2 3 3 2 2" xfId="49542"/>
    <cellStyle name="警告文本 2 3 3 2 3" xfId="49543"/>
    <cellStyle name="警告文本 2 3 3 2 3 2" xfId="49544"/>
    <cellStyle name="警告文本 2 3 3 2 3 2 2" xfId="49545"/>
    <cellStyle name="警告文本 2 3 3 2 4" xfId="49546"/>
    <cellStyle name="警告文本 2 3 3 2 4 2" xfId="49547"/>
    <cellStyle name="警告文本 2 3 3 3" xfId="49548"/>
    <cellStyle name="警告文本 2 3 3 3 2" xfId="49549"/>
    <cellStyle name="警告文本 2 3 3 3 2 2" xfId="49550"/>
    <cellStyle name="警告文本 2 3 3 3 2 2 2" xfId="49551"/>
    <cellStyle name="警告文本 2 3 3 3 3" xfId="49552"/>
    <cellStyle name="警告文本 2 3 3 3 3 2" xfId="49553"/>
    <cellStyle name="警告文本 2 3 3 4" xfId="49554"/>
    <cellStyle name="警告文本 2 3 3 5" xfId="49555"/>
    <cellStyle name="警告文本 2 3 3 6" xfId="49556"/>
    <cellStyle name="警告文本 2 3 4" xfId="49557"/>
    <cellStyle name="警告文本 2 3 4 2" xfId="49558"/>
    <cellStyle name="警告文本 2 3 4 2 2" xfId="49559"/>
    <cellStyle name="警告文本 2 3 4 2 3" xfId="49560"/>
    <cellStyle name="警告文本 2 3 4 2 3 2" xfId="49561"/>
    <cellStyle name="警告文本 2 3 4 2 3 2 2" xfId="49562"/>
    <cellStyle name="警告文本 2 3 4 2 4" xfId="49563"/>
    <cellStyle name="警告文本 2 3 4 2 4 2" xfId="49564"/>
    <cellStyle name="警告文本 2 3 4 3" xfId="49565"/>
    <cellStyle name="警告文本 2 3 4 4" xfId="49566"/>
    <cellStyle name="警告文本 2 3 4 5" xfId="49567"/>
    <cellStyle name="警告文本 2 3 4 6" xfId="49568"/>
    <cellStyle name="警告文本 2 3 5" xfId="49569"/>
    <cellStyle name="警告文本 2 3 5 2" xfId="49570"/>
    <cellStyle name="警告文本 2 3 5 2 2" xfId="49571"/>
    <cellStyle name="警告文本 2 3 5 2 2 2" xfId="49572"/>
    <cellStyle name="警告文本 2 3 5 2 2 2 2" xfId="49573"/>
    <cellStyle name="警告文本 2 3 5 2 3" xfId="49574"/>
    <cellStyle name="警告文本 2 3 5 2 3 2" xfId="49575"/>
    <cellStyle name="警告文本 2 3 5 3" xfId="49576"/>
    <cellStyle name="警告文本 2 3 5 3 2" xfId="49577"/>
    <cellStyle name="警告文本 2 3 5 3 2 2" xfId="49578"/>
    <cellStyle name="警告文本 2 3 5 4" xfId="49579"/>
    <cellStyle name="警告文本 2 3 5 4 2" xfId="49580"/>
    <cellStyle name="警告文本 2 3 6" xfId="49581"/>
    <cellStyle name="警告文本 2 3 6 2" xfId="49582"/>
    <cellStyle name="警告文本 2 3 6 2 2" xfId="49583"/>
    <cellStyle name="警告文本 2 3 6 2 2 2" xfId="49584"/>
    <cellStyle name="警告文本 2 3 6 3" xfId="49585"/>
    <cellStyle name="警告文本 2 3 6 3 2" xfId="49586"/>
    <cellStyle name="警告文本 2 3 7" xfId="49587"/>
    <cellStyle name="警告文本 2 3 7 2" xfId="49588"/>
    <cellStyle name="警告文本 2 3 7 2 2" xfId="49589"/>
    <cellStyle name="警告文本 2 3 7 2 2 2" xfId="49590"/>
    <cellStyle name="警告文本 2 3 7 3" xfId="49591"/>
    <cellStyle name="警告文本 2 3 7 3 2" xfId="49592"/>
    <cellStyle name="警告文本 2 3 8" xfId="49593"/>
    <cellStyle name="警告文本 2 3 9" xfId="49594"/>
    <cellStyle name="警告文本 2 4" xfId="49595"/>
    <cellStyle name="警告文本 2 4 2" xfId="49596"/>
    <cellStyle name="警告文本 2 4 2 2" xfId="49597"/>
    <cellStyle name="警告文本 2 4 2 3" xfId="49598"/>
    <cellStyle name="警告文本 2 4 2 3 2" xfId="49599"/>
    <cellStyle name="警告文本 2 4 2 3 2 2" xfId="49600"/>
    <cellStyle name="警告文本 2 4 2 4" xfId="49601"/>
    <cellStyle name="警告文本 2 4 2 4 2" xfId="49602"/>
    <cellStyle name="警告文本 2 4 3" xfId="49603"/>
    <cellStyle name="警告文本 2 4 3 2" xfId="49604"/>
    <cellStyle name="警告文本 2 4 3 2 2" xfId="49605"/>
    <cellStyle name="警告文本 2 4 3 2 2 2" xfId="49606"/>
    <cellStyle name="警告文本 2 4 3 3" xfId="49607"/>
    <cellStyle name="警告文本 2 4 3 3 2" xfId="49608"/>
    <cellStyle name="警告文本 2 4 4" xfId="49609"/>
    <cellStyle name="警告文本 2 4 5" xfId="49610"/>
    <cellStyle name="警告文本 2 4 6" xfId="49611"/>
    <cellStyle name="警告文本 2 5" xfId="49612"/>
    <cellStyle name="警告文本 2 5 2" xfId="49613"/>
    <cellStyle name="警告文本 2 5 2 2" xfId="49614"/>
    <cellStyle name="警告文本 2 5 2 3" xfId="49615"/>
    <cellStyle name="警告文本 2 5 2 3 2" xfId="49616"/>
    <cellStyle name="警告文本 2 5 2 3 2 2" xfId="49617"/>
    <cellStyle name="警告文本 2 5 2 4" xfId="49618"/>
    <cellStyle name="警告文本 2 5 2 4 2" xfId="49619"/>
    <cellStyle name="警告文本 2 5 3" xfId="49620"/>
    <cellStyle name="警告文本 2 5 4" xfId="49621"/>
    <cellStyle name="警告文本 2 5 5" xfId="49622"/>
    <cellStyle name="警告文本 2 5 6" xfId="49623"/>
    <cellStyle name="警告文本 2 6" xfId="49624"/>
    <cellStyle name="警告文本 2 6 2" xfId="49625"/>
    <cellStyle name="警告文本 2 6 2 2" xfId="49626"/>
    <cellStyle name="警告文本 2 6 2 2 2" xfId="49627"/>
    <cellStyle name="警告文本 2 6 2 2 2 2" xfId="49628"/>
    <cellStyle name="警告文本 2 6 2 3" xfId="49629"/>
    <cellStyle name="警告文本 2 6 2 3 2" xfId="49630"/>
    <cellStyle name="警告文本 2 6 3" xfId="49631"/>
    <cellStyle name="警告文本 2 6 3 2" xfId="49632"/>
    <cellStyle name="警告文本 2 6 3 2 2" xfId="49633"/>
    <cellStyle name="警告文本 2 6 4" xfId="49634"/>
    <cellStyle name="警告文本 2 6 4 2" xfId="49635"/>
    <cellStyle name="警告文本 2 7" xfId="49636"/>
    <cellStyle name="警告文本 2 7 2" xfId="49637"/>
    <cellStyle name="警告文本 2 7 2 2" xfId="49638"/>
    <cellStyle name="警告文本 2 7 2 2 2" xfId="49639"/>
    <cellStyle name="警告文本 2 7 2 2 2 2" xfId="49640"/>
    <cellStyle name="警告文本 2 7 2 3" xfId="49641"/>
    <cellStyle name="警告文本 2 7 2 3 2" xfId="49642"/>
    <cellStyle name="警告文本 2 7 3" xfId="49643"/>
    <cellStyle name="警告文本 2 7 3 2" xfId="49644"/>
    <cellStyle name="警告文本 2 7 3 2 2" xfId="49645"/>
    <cellStyle name="警告文本 2 7 4" xfId="49646"/>
    <cellStyle name="警告文本 2 7 4 2" xfId="49647"/>
    <cellStyle name="警告文本 2 8" xfId="49648"/>
    <cellStyle name="警告文本 2 8 2" xfId="49649"/>
    <cellStyle name="警告文本 2 8 2 2" xfId="49650"/>
    <cellStyle name="警告文本 2 8 2 2 2" xfId="49651"/>
    <cellStyle name="警告文本 2 8 2 2 2 2" xfId="49652"/>
    <cellStyle name="警告文本 2 8 2 3" xfId="49653"/>
    <cellStyle name="警告文本 2 8 2 3 2" xfId="49654"/>
    <cellStyle name="警告文本 2 8 3" xfId="49655"/>
    <cellStyle name="警告文本 2 8 3 2" xfId="49656"/>
    <cellStyle name="警告文本 2 8 3 2 2" xfId="49657"/>
    <cellStyle name="警告文本 2 8 4" xfId="49658"/>
    <cellStyle name="警告文本 2 8 4 2" xfId="49659"/>
    <cellStyle name="警告文本 2 9" xfId="49660"/>
    <cellStyle name="警告文本 2 9 2" xfId="49661"/>
    <cellStyle name="警告文本 2 9 2 2" xfId="49662"/>
    <cellStyle name="警告文本 2 9 2 2 2" xfId="49663"/>
    <cellStyle name="警告文本 2 9 3" xfId="49664"/>
    <cellStyle name="警告文本 2 9 3 2" xfId="49665"/>
    <cellStyle name="警告文本 3" xfId="49666"/>
    <cellStyle name="警告文本 3 2" xfId="49667"/>
    <cellStyle name="警告文本 3 2 2" xfId="49668"/>
    <cellStyle name="警告文本 3 2 2 2" xfId="49669"/>
    <cellStyle name="警告文本 3 2 2 2 2" xfId="49670"/>
    <cellStyle name="警告文本 3 2 2 2 3" xfId="49671"/>
    <cellStyle name="警告文本 3 2 2 2 3 2" xfId="49672"/>
    <cellStyle name="警告文本 3 2 2 2 3 2 2" xfId="49673"/>
    <cellStyle name="警告文本 3 2 2 2 4" xfId="49674"/>
    <cellStyle name="警告文本 3 2 2 2 4 2" xfId="49675"/>
    <cellStyle name="警告文本 3 2 2 3" xfId="49676"/>
    <cellStyle name="警告文本 3 2 2 3 2" xfId="49677"/>
    <cellStyle name="警告文本 3 2 2 3 2 2" xfId="49678"/>
    <cellStyle name="警告文本 3 2 2 3 2 2 2" xfId="49679"/>
    <cellStyle name="警告文本 3 2 2 3 3" xfId="49680"/>
    <cellStyle name="警告文本 3 2 2 3 3 2" xfId="49681"/>
    <cellStyle name="警告文本 3 2 2 4" xfId="49682"/>
    <cellStyle name="警告文本 3 2 2 5" xfId="49683"/>
    <cellStyle name="警告文本 3 2 2 6" xfId="49684"/>
    <cellStyle name="警告文本 3 2 3" xfId="49685"/>
    <cellStyle name="警告文本 3 2 3 2" xfId="49686"/>
    <cellStyle name="警告文本 3 2 3 3" xfId="49687"/>
    <cellStyle name="警告文本 3 2 3 3 2" xfId="49688"/>
    <cellStyle name="警告文本 3 2 3 3 2 2" xfId="49689"/>
    <cellStyle name="警告文本 3 2 3 4" xfId="49690"/>
    <cellStyle name="警告文本 3 2 3 4 2" xfId="49691"/>
    <cellStyle name="警告文本 3 2 4" xfId="49692"/>
    <cellStyle name="警告文本 3 2 4 2" xfId="49693"/>
    <cellStyle name="警告文本 3 2 4 2 2" xfId="49694"/>
    <cellStyle name="警告文本 3 2 4 2 2 2" xfId="49695"/>
    <cellStyle name="警告文本 3 2 4 3" xfId="49696"/>
    <cellStyle name="警告文本 3 2 4 3 2" xfId="49697"/>
    <cellStyle name="警告文本 3 2 5" xfId="49698"/>
    <cellStyle name="警告文本 3 2 6" xfId="49699"/>
    <cellStyle name="警告文本 3 2 7" xfId="49700"/>
    <cellStyle name="警告文本 3 3" xfId="49701"/>
    <cellStyle name="警告文本 3 3 2" xfId="49702"/>
    <cellStyle name="警告文本 3 3 2 2" xfId="49703"/>
    <cellStyle name="警告文本 3 3 2 3" xfId="49704"/>
    <cellStyle name="警告文本 3 3 2 3 2" xfId="49705"/>
    <cellStyle name="警告文本 3 3 2 3 2 2" xfId="49706"/>
    <cellStyle name="警告文本 3 3 2 4" xfId="49707"/>
    <cellStyle name="警告文本 3 3 2 4 2" xfId="49708"/>
    <cellStyle name="警告文本 3 3 3" xfId="49709"/>
    <cellStyle name="警告文本 3 3 3 2" xfId="49710"/>
    <cellStyle name="警告文本 3 3 3 2 2" xfId="49711"/>
    <cellStyle name="警告文本 3 3 3 2 2 2" xfId="49712"/>
    <cellStyle name="警告文本 3 3 3 3" xfId="49713"/>
    <cellStyle name="警告文本 3 3 3 3 2" xfId="49714"/>
    <cellStyle name="警告文本 3 3 4" xfId="49715"/>
    <cellStyle name="警告文本 3 3 5" xfId="49716"/>
    <cellStyle name="警告文本 3 3 6" xfId="49717"/>
    <cellStyle name="警告文本 3 4" xfId="49718"/>
    <cellStyle name="警告文本 3 4 2" xfId="49719"/>
    <cellStyle name="警告文本 3 4 2 2" xfId="49720"/>
    <cellStyle name="警告文本 3 4 2 3" xfId="49721"/>
    <cellStyle name="警告文本 3 4 2 3 2" xfId="49722"/>
    <cellStyle name="警告文本 3 4 2 3 2 2" xfId="49723"/>
    <cellStyle name="警告文本 3 4 2 4" xfId="49724"/>
    <cellStyle name="警告文本 3 4 2 4 2" xfId="49725"/>
    <cellStyle name="警告文本 3 4 3" xfId="49726"/>
    <cellStyle name="警告文本 3 4 4" xfId="49727"/>
    <cellStyle name="警告文本 3 4 5" xfId="49728"/>
    <cellStyle name="警告文本 3 4 6" xfId="49729"/>
    <cellStyle name="警告文本 3 5" xfId="49730"/>
    <cellStyle name="警告文本 3 5 2" xfId="49731"/>
    <cellStyle name="警告文本 3 5 2 2" xfId="49732"/>
    <cellStyle name="警告文本 3 5 2 2 2" xfId="49733"/>
    <cellStyle name="警告文本 3 5 2 2 2 2" xfId="49734"/>
    <cellStyle name="警告文本 3 5 2 3" xfId="49735"/>
    <cellStyle name="警告文本 3 5 2 3 2" xfId="49736"/>
    <cellStyle name="警告文本 3 5 3" xfId="49737"/>
    <cellStyle name="警告文本 3 5 3 2" xfId="49738"/>
    <cellStyle name="警告文本 3 5 3 2 2" xfId="49739"/>
    <cellStyle name="警告文本 3 5 4" xfId="49740"/>
    <cellStyle name="警告文本 3 5 4 2" xfId="49741"/>
    <cellStyle name="警告文本 3 6" xfId="49742"/>
    <cellStyle name="警告文本 3 6 2" xfId="49743"/>
    <cellStyle name="警告文本 3 6 2 2" xfId="49744"/>
    <cellStyle name="警告文本 3 6 2 2 2" xfId="49745"/>
    <cellStyle name="警告文本 3 6 3" xfId="49746"/>
    <cellStyle name="警告文本 3 6 3 2" xfId="49747"/>
    <cellStyle name="警告文本 3 7" xfId="49748"/>
    <cellStyle name="警告文本 3 8" xfId="49749"/>
    <cellStyle name="计算 2" xfId="49750"/>
    <cellStyle name="计算 2 10" xfId="49751"/>
    <cellStyle name="计算 2 11" xfId="49752"/>
    <cellStyle name="计算 2 2" xfId="49753"/>
    <cellStyle name="计算 2 2 10" xfId="49754"/>
    <cellStyle name="计算 2 2 11" xfId="49755"/>
    <cellStyle name="计算 2 2 2" xfId="49756"/>
    <cellStyle name="计算 2 2 2 2" xfId="49757"/>
    <cellStyle name="计算 2 2 2 2 2" xfId="49758"/>
    <cellStyle name="计算 2 2 2 2 2 2" xfId="49759"/>
    <cellStyle name="计算 2 2 2 2 2 3" xfId="49760"/>
    <cellStyle name="计算 2 2 2 2 2 3 2" xfId="49761"/>
    <cellStyle name="计算 2 2 2 2 2 3 2 2" xfId="49762"/>
    <cellStyle name="计算 2 2 2 2 2 4" xfId="49763"/>
    <cellStyle name="计算 2 2 2 2 2 4 2" xfId="49764"/>
    <cellStyle name="计算 2 2 2 2 3" xfId="49765"/>
    <cellStyle name="计算 2 2 2 2 3 2" xfId="49766"/>
    <cellStyle name="计算 2 2 2 2 3 2 2" xfId="49767"/>
    <cellStyle name="计算 2 2 2 2 3 2 2 2" xfId="49768"/>
    <cellStyle name="计算 2 2 2 2 3 3" xfId="49769"/>
    <cellStyle name="计算 2 2 2 2 3 3 2" xfId="49770"/>
    <cellStyle name="计算 2 2 2 2 4" xfId="49771"/>
    <cellStyle name="计算 2 2 2 2 5" xfId="49772"/>
    <cellStyle name="计算 2 2 2 2 6" xfId="49773"/>
    <cellStyle name="计算 2 2 2 3" xfId="49774"/>
    <cellStyle name="计算 2 2 2 3 2" xfId="49775"/>
    <cellStyle name="计算 2 2 2 3 3" xfId="49776"/>
    <cellStyle name="计算 2 2 2 3 3 2" xfId="49777"/>
    <cellStyle name="计算 2 2 2 3 3 2 2" xfId="49778"/>
    <cellStyle name="计算 2 2 2 3 4" xfId="49779"/>
    <cellStyle name="计算 2 2 2 3 4 2" xfId="49780"/>
    <cellStyle name="计算 2 2 2 4" xfId="49781"/>
    <cellStyle name="计算 2 2 2 4 2" xfId="49782"/>
    <cellStyle name="计算 2 2 2 4 2 2" xfId="49783"/>
    <cellStyle name="计算 2 2 2 4 2 2 2" xfId="49784"/>
    <cellStyle name="计算 2 2 2 4 3" xfId="49785"/>
    <cellStyle name="计算 2 2 2 4 3 2" xfId="49786"/>
    <cellStyle name="计算 2 2 2 5" xfId="49787"/>
    <cellStyle name="计算 2 2 2 6" xfId="49788"/>
    <cellStyle name="计算 2 2 2 7" xfId="49789"/>
    <cellStyle name="计算 2 2 3" xfId="49790"/>
    <cellStyle name="计算 2 2 3 2" xfId="49791"/>
    <cellStyle name="计算 2 2 3 2 2" xfId="49792"/>
    <cellStyle name="计算 2 2 3 2 3" xfId="49793"/>
    <cellStyle name="计算 2 2 3 2 3 2" xfId="49794"/>
    <cellStyle name="计算 2 2 3 2 3 2 2" xfId="49795"/>
    <cellStyle name="计算 2 2 3 2 4" xfId="49796"/>
    <cellStyle name="计算 2 2 3 2 4 2" xfId="49797"/>
    <cellStyle name="计算 2 2 3 3" xfId="49798"/>
    <cellStyle name="计算 2 2 3 3 2" xfId="49799"/>
    <cellStyle name="计算 2 2 3 3 2 2" xfId="49800"/>
    <cellStyle name="计算 2 2 3 3 2 2 2" xfId="49801"/>
    <cellStyle name="计算 2 2 3 3 3" xfId="49802"/>
    <cellStyle name="计算 2 2 3 3 3 2" xfId="49803"/>
    <cellStyle name="计算 2 2 3 4" xfId="49804"/>
    <cellStyle name="计算 2 2 3 5" xfId="49805"/>
    <cellStyle name="计算 2 2 3 6" xfId="49806"/>
    <cellStyle name="计算 2 2 4" xfId="49807"/>
    <cellStyle name="计算 2 2 4 2" xfId="49808"/>
    <cellStyle name="计算 2 2 4 2 2" xfId="49809"/>
    <cellStyle name="计算 2 2 4 2 3" xfId="49810"/>
    <cellStyle name="计算 2 2 4 2 3 2" xfId="49811"/>
    <cellStyle name="计算 2 2 4 2 3 2 2" xfId="49812"/>
    <cellStyle name="计算 2 2 4 2 4" xfId="49813"/>
    <cellStyle name="计算 2 2 4 2 4 2" xfId="49814"/>
    <cellStyle name="计算 2 2 4 3" xfId="49815"/>
    <cellStyle name="计算 2 2 4 4" xfId="49816"/>
    <cellStyle name="计算 2 2 4 5" xfId="49817"/>
    <cellStyle name="计算 2 2 4 6" xfId="49818"/>
    <cellStyle name="计算 2 2 5" xfId="49819"/>
    <cellStyle name="计算 2 2 5 2" xfId="49820"/>
    <cellStyle name="计算 2 2 5 2 2" xfId="49821"/>
    <cellStyle name="计算 2 2 5 2 2 2" xfId="49822"/>
    <cellStyle name="计算 2 2 5 2 2 2 2" xfId="49823"/>
    <cellStyle name="计算 2 2 5 2 3" xfId="49824"/>
    <cellStyle name="计算 2 2 5 2 3 2" xfId="49825"/>
    <cellStyle name="计算 2 2 5 3" xfId="49826"/>
    <cellStyle name="计算 2 2 5 3 2" xfId="49827"/>
    <cellStyle name="计算 2 2 5 3 2 2" xfId="49828"/>
    <cellStyle name="计算 2 2 5 4" xfId="49829"/>
    <cellStyle name="计算 2 2 5 4 2" xfId="49830"/>
    <cellStyle name="计算 2 2 6" xfId="49831"/>
    <cellStyle name="计算 2 2 6 2" xfId="49832"/>
    <cellStyle name="计算 2 2 6 2 2" xfId="49833"/>
    <cellStyle name="计算 2 2 6 2 2 2" xfId="49834"/>
    <cellStyle name="计算 2 2 6 2 2 2 2" xfId="49835"/>
    <cellStyle name="计算 2 2 6 2 3" xfId="49836"/>
    <cellStyle name="计算 2 2 6 2 3 2" xfId="49837"/>
    <cellStyle name="计算 2 2 6 3" xfId="49838"/>
    <cellStyle name="计算 2 2 6 3 2" xfId="49839"/>
    <cellStyle name="计算 2 2 6 3 2 2" xfId="49840"/>
    <cellStyle name="计算 2 2 6 4" xfId="49841"/>
    <cellStyle name="计算 2 2 6 4 2" xfId="49842"/>
    <cellStyle name="计算 2 2 7" xfId="49843"/>
    <cellStyle name="计算 2 2 7 2" xfId="49844"/>
    <cellStyle name="计算 2 2 7 2 2" xfId="49845"/>
    <cellStyle name="计算 2 2 7 2 2 2" xfId="49846"/>
    <cellStyle name="计算 2 2 7 2 2 2 2" xfId="49847"/>
    <cellStyle name="计算 2 2 7 2 3" xfId="49848"/>
    <cellStyle name="计算 2 2 7 2 3 2" xfId="49849"/>
    <cellStyle name="计算 2 2 7 3" xfId="49850"/>
    <cellStyle name="计算 2 2 7 3 2" xfId="49851"/>
    <cellStyle name="计算 2 2 7 3 2 2" xfId="49852"/>
    <cellStyle name="计算 2 2 7 4" xfId="49853"/>
    <cellStyle name="计算 2 2 7 4 2" xfId="49854"/>
    <cellStyle name="计算 2 2 8" xfId="49855"/>
    <cellStyle name="计算 2 2 8 2" xfId="49856"/>
    <cellStyle name="计算 2 2 8 2 2" xfId="49857"/>
    <cellStyle name="计算 2 2 8 2 2 2" xfId="49858"/>
    <cellStyle name="计算 2 2 8 3" xfId="49859"/>
    <cellStyle name="计算 2 2 8 3 2" xfId="49860"/>
    <cellStyle name="计算 2 2 9" xfId="49861"/>
    <cellStyle name="计算 2 2 9 2" xfId="49862"/>
    <cellStyle name="计算 2 2 9 2 2" xfId="49863"/>
    <cellStyle name="计算 2 2 9 2 2 2" xfId="49864"/>
    <cellStyle name="计算 2 2 9 3" xfId="49865"/>
    <cellStyle name="计算 2 2 9 3 2" xfId="49866"/>
    <cellStyle name="计算 2 3" xfId="49867"/>
    <cellStyle name="计算 2 3 2" xfId="49868"/>
    <cellStyle name="计算 2 3 2 2" xfId="49869"/>
    <cellStyle name="计算 2 3 2 2 2" xfId="49870"/>
    <cellStyle name="计算 2 3 2 2 2 2" xfId="49871"/>
    <cellStyle name="计算 2 3 2 2 2 3" xfId="49872"/>
    <cellStyle name="计算 2 3 2 2 2 3 2" xfId="49873"/>
    <cellStyle name="计算 2 3 2 2 2 3 2 2" xfId="49874"/>
    <cellStyle name="计算 2 3 2 2 2 4" xfId="49875"/>
    <cellStyle name="计算 2 3 2 2 2 4 2" xfId="49876"/>
    <cellStyle name="计算 2 3 2 2 3" xfId="49877"/>
    <cellStyle name="计算 2 3 2 2 3 2" xfId="49878"/>
    <cellStyle name="计算 2 3 2 2 3 2 2" xfId="49879"/>
    <cellStyle name="计算 2 3 2 2 3 2 2 2" xfId="49880"/>
    <cellStyle name="计算 2 3 2 2 3 3" xfId="49881"/>
    <cellStyle name="计算 2 3 2 2 3 3 2" xfId="49882"/>
    <cellStyle name="计算 2 3 2 2 4" xfId="49883"/>
    <cellStyle name="计算 2 3 2 2 5" xfId="49884"/>
    <cellStyle name="计算 2 3 2 2 6" xfId="49885"/>
    <cellStyle name="计算 2 3 2 3" xfId="49886"/>
    <cellStyle name="计算 2 3 2 3 2" xfId="49887"/>
    <cellStyle name="计算 2 3 2 3 3" xfId="49888"/>
    <cellStyle name="计算 2 3 2 3 3 2" xfId="49889"/>
    <cellStyle name="计算 2 3 2 3 3 2 2" xfId="49890"/>
    <cellStyle name="计算 2 3 2 3 4" xfId="49891"/>
    <cellStyle name="计算 2 3 2 3 4 2" xfId="49892"/>
    <cellStyle name="计算 2 3 2 4" xfId="49893"/>
    <cellStyle name="计算 2 3 2 4 2" xfId="49894"/>
    <cellStyle name="计算 2 3 2 4 2 2" xfId="49895"/>
    <cellStyle name="计算 2 3 2 4 2 2 2" xfId="49896"/>
    <cellStyle name="计算 2 3 2 4 3" xfId="49897"/>
    <cellStyle name="计算 2 3 2 4 3 2" xfId="49898"/>
    <cellStyle name="计算 2 3 2 5" xfId="49899"/>
    <cellStyle name="计算 2 3 2 6" xfId="49900"/>
    <cellStyle name="计算 2 3 2 7" xfId="49901"/>
    <cellStyle name="计算 2 3 3" xfId="49902"/>
    <cellStyle name="计算 2 3 3 2" xfId="49903"/>
    <cellStyle name="计算 2 3 3 2 2" xfId="49904"/>
    <cellStyle name="计算 2 3 3 2 3" xfId="49905"/>
    <cellStyle name="计算 2 3 3 2 3 2" xfId="49906"/>
    <cellStyle name="计算 2 3 3 2 3 2 2" xfId="49907"/>
    <cellStyle name="计算 2 3 3 2 4" xfId="49908"/>
    <cellStyle name="计算 2 3 3 2 4 2" xfId="49909"/>
    <cellStyle name="计算 2 3 3 3" xfId="49910"/>
    <cellStyle name="计算 2 3 3 3 2" xfId="49911"/>
    <cellStyle name="计算 2 3 3 3 2 2" xfId="49912"/>
    <cellStyle name="计算 2 3 3 3 2 2 2" xfId="49913"/>
    <cellStyle name="计算 2 3 3 3 3" xfId="49914"/>
    <cellStyle name="计算 2 3 3 3 3 2" xfId="49915"/>
    <cellStyle name="计算 2 3 3 4" xfId="49916"/>
    <cellStyle name="计算 2 3 3 5" xfId="49917"/>
    <cellStyle name="计算 2 3 3 6" xfId="49918"/>
    <cellStyle name="计算 2 3 4" xfId="49919"/>
    <cellStyle name="计算 2 3 4 2" xfId="49920"/>
    <cellStyle name="计算 2 3 4 2 2" xfId="49921"/>
    <cellStyle name="计算 2 3 4 2 3" xfId="49922"/>
    <cellStyle name="计算 2 3 4 2 3 2" xfId="49923"/>
    <cellStyle name="计算 2 3 4 2 3 2 2" xfId="49924"/>
    <cellStyle name="计算 2 3 4 2 4" xfId="49925"/>
    <cellStyle name="计算 2 3 4 2 4 2" xfId="49926"/>
    <cellStyle name="计算 2 3 4 3" xfId="49927"/>
    <cellStyle name="计算 2 3 4 4" xfId="49928"/>
    <cellStyle name="计算 2 3 4 5" xfId="49929"/>
    <cellStyle name="计算 2 3 4 6" xfId="49930"/>
    <cellStyle name="计算 2 3 5" xfId="49931"/>
    <cellStyle name="计算 2 3 5 2" xfId="49932"/>
    <cellStyle name="计算 2 3 5 2 2" xfId="49933"/>
    <cellStyle name="计算 2 3 5 2 2 2" xfId="49934"/>
    <cellStyle name="计算 2 3 5 2 2 2 2" xfId="49935"/>
    <cellStyle name="计算 2 3 5 2 3" xfId="49936"/>
    <cellStyle name="计算 2 3 5 2 3 2" xfId="49937"/>
    <cellStyle name="计算 2 3 5 3" xfId="49938"/>
    <cellStyle name="计算 2 3 5 3 2" xfId="49939"/>
    <cellStyle name="计算 2 3 5 3 2 2" xfId="49940"/>
    <cellStyle name="计算 2 3 5 4" xfId="49941"/>
    <cellStyle name="计算 2 3 5 4 2" xfId="49942"/>
    <cellStyle name="计算 2 3 6" xfId="49943"/>
    <cellStyle name="计算 2 3 6 2" xfId="49944"/>
    <cellStyle name="计算 2 3 6 2 2" xfId="49945"/>
    <cellStyle name="计算 2 3 6 2 2 2" xfId="49946"/>
    <cellStyle name="计算 2 3 6 3" xfId="49947"/>
    <cellStyle name="计算 2 3 6 3 2" xfId="49948"/>
    <cellStyle name="计算 2 3 7" xfId="49949"/>
    <cellStyle name="计算 2 3 7 2" xfId="49950"/>
    <cellStyle name="计算 2 3 7 2 2" xfId="49951"/>
    <cellStyle name="计算 2 3 7 2 2 2" xfId="49952"/>
    <cellStyle name="计算 2 3 7 3" xfId="49953"/>
    <cellStyle name="计算 2 3 7 3 2" xfId="49954"/>
    <cellStyle name="计算 2 3 8" xfId="49955"/>
    <cellStyle name="计算 2 3 9" xfId="49956"/>
    <cellStyle name="计算 2 4" xfId="49957"/>
    <cellStyle name="计算 2 4 2" xfId="49958"/>
    <cellStyle name="计算 2 4 2 2" xfId="49959"/>
    <cellStyle name="计算 2 4 2 3" xfId="49960"/>
    <cellStyle name="计算 2 4 2 3 2" xfId="49961"/>
    <cellStyle name="计算 2 4 2 3 2 2" xfId="49962"/>
    <cellStyle name="计算 2 4 2 4" xfId="49963"/>
    <cellStyle name="计算 2 4 2 4 2" xfId="49964"/>
    <cellStyle name="计算 2 4 3" xfId="49965"/>
    <cellStyle name="计算 2 4 3 2" xfId="49966"/>
    <cellStyle name="计算 2 4 3 2 2" xfId="49967"/>
    <cellStyle name="计算 2 4 3 2 2 2" xfId="49968"/>
    <cellStyle name="计算 2 4 3 3" xfId="49969"/>
    <cellStyle name="计算 2 4 3 3 2" xfId="49970"/>
    <cellStyle name="计算 2 4 4" xfId="49971"/>
    <cellStyle name="计算 2 4 5" xfId="49972"/>
    <cellStyle name="计算 2 4 6" xfId="49973"/>
    <cellStyle name="计算 2 5" xfId="49974"/>
    <cellStyle name="计算 2 5 2" xfId="49975"/>
    <cellStyle name="计算 2 5 2 2" xfId="49976"/>
    <cellStyle name="计算 2 5 2 3" xfId="49977"/>
    <cellStyle name="计算 2 5 2 3 2" xfId="49978"/>
    <cellStyle name="计算 2 5 2 3 2 2" xfId="49979"/>
    <cellStyle name="计算 2 5 2 4" xfId="49980"/>
    <cellStyle name="计算 2 5 2 4 2" xfId="49981"/>
    <cellStyle name="计算 2 5 3" xfId="49982"/>
    <cellStyle name="计算 2 5 4" xfId="49983"/>
    <cellStyle name="计算 2 5 5" xfId="49984"/>
    <cellStyle name="计算 2 5 6" xfId="49985"/>
    <cellStyle name="计算 2 6" xfId="49986"/>
    <cellStyle name="计算 2 6 2" xfId="49987"/>
    <cellStyle name="计算 2 6 2 2" xfId="49988"/>
    <cellStyle name="计算 2 6 2 2 2" xfId="49989"/>
    <cellStyle name="计算 2 6 2 2 2 2" xfId="49990"/>
    <cellStyle name="计算 2 6 2 3" xfId="49991"/>
    <cellStyle name="计算 2 6 2 3 2" xfId="49992"/>
    <cellStyle name="计算 2 6 3" xfId="49993"/>
    <cellStyle name="计算 2 6 3 2" xfId="49994"/>
    <cellStyle name="计算 2 6 3 2 2" xfId="49995"/>
    <cellStyle name="计算 2 6 4" xfId="49996"/>
    <cellStyle name="计算 2 6 4 2" xfId="49997"/>
    <cellStyle name="计算 2 7" xfId="49998"/>
    <cellStyle name="计算 2 7 2" xfId="49999"/>
    <cellStyle name="计算 2 7 2 2" xfId="50000"/>
    <cellStyle name="计算 2 7 2 2 2" xfId="50001"/>
    <cellStyle name="计算 2 7 2 2 2 2" xfId="50002"/>
    <cellStyle name="计算 2 7 2 3" xfId="50003"/>
    <cellStyle name="计算 2 7 2 3 2" xfId="50004"/>
    <cellStyle name="计算 2 7 3" xfId="50005"/>
    <cellStyle name="计算 2 7 3 2" xfId="50006"/>
    <cellStyle name="计算 2 7 3 2 2" xfId="50007"/>
    <cellStyle name="计算 2 7 4" xfId="50008"/>
    <cellStyle name="计算 2 7 4 2" xfId="50009"/>
    <cellStyle name="计算 2 8" xfId="50010"/>
    <cellStyle name="计算 2 8 2" xfId="50011"/>
    <cellStyle name="计算 2 8 2 2" xfId="50012"/>
    <cellStyle name="计算 2 8 2 2 2" xfId="50013"/>
    <cellStyle name="计算 2 8 2 2 2 2" xfId="50014"/>
    <cellStyle name="计算 2 8 2 3" xfId="50015"/>
    <cellStyle name="计算 2 8 2 3 2" xfId="50016"/>
    <cellStyle name="计算 2 8 3" xfId="50017"/>
    <cellStyle name="计算 2 8 3 2" xfId="50018"/>
    <cellStyle name="计算 2 8 3 2 2" xfId="50019"/>
    <cellStyle name="计算 2 8 4" xfId="50020"/>
    <cellStyle name="计算 2 8 4 2" xfId="50021"/>
    <cellStyle name="计算 2 9" xfId="50022"/>
    <cellStyle name="计算 2 9 2" xfId="50023"/>
    <cellStyle name="计算 2 9 2 2" xfId="50024"/>
    <cellStyle name="计算 2 9 2 2 2" xfId="50025"/>
    <cellStyle name="计算 2 9 3" xfId="50026"/>
    <cellStyle name="计算 2 9 3 2" xfId="50027"/>
    <cellStyle name="计算 3" xfId="50028"/>
    <cellStyle name="计算 3 2" xfId="50029"/>
    <cellStyle name="计算 3 2 2" xfId="50030"/>
    <cellStyle name="计算 3 2 2 2" xfId="50031"/>
    <cellStyle name="计算 3 2 2 2 2" xfId="50032"/>
    <cellStyle name="计算 3 2 2 2 3" xfId="50033"/>
    <cellStyle name="计算 3 2 2 2 3 2" xfId="50034"/>
    <cellStyle name="计算 3 2 2 2 3 2 2" xfId="50035"/>
    <cellStyle name="计算 3 2 2 2 4" xfId="50036"/>
    <cellStyle name="计算 3 2 2 2 4 2" xfId="50037"/>
    <cellStyle name="计算 3 2 2 3" xfId="50038"/>
    <cellStyle name="计算 3 2 2 3 2" xfId="50039"/>
    <cellStyle name="计算 3 2 2 3 2 2" xfId="50040"/>
    <cellStyle name="计算 3 2 2 3 2 2 2" xfId="50041"/>
    <cellStyle name="计算 3 2 2 3 3" xfId="50042"/>
    <cellStyle name="计算 3 2 2 3 3 2" xfId="50043"/>
    <cellStyle name="计算 3 2 2 4" xfId="50044"/>
    <cellStyle name="计算 3 2 2 5" xfId="50045"/>
    <cellStyle name="计算 3 2 2 6" xfId="50046"/>
    <cellStyle name="计算 3 2 3" xfId="50047"/>
    <cellStyle name="计算 3 2 3 2" xfId="50048"/>
    <cellStyle name="计算 3 2 3 3" xfId="50049"/>
    <cellStyle name="计算 3 2 3 3 2" xfId="50050"/>
    <cellStyle name="计算 3 2 3 3 2 2" xfId="50051"/>
    <cellStyle name="计算 3 2 3 4" xfId="50052"/>
    <cellStyle name="计算 3 2 3 4 2" xfId="50053"/>
    <cellStyle name="计算 3 2 4" xfId="50054"/>
    <cellStyle name="计算 3 2 4 2" xfId="50055"/>
    <cellStyle name="计算 3 2 4 2 2" xfId="50056"/>
    <cellStyle name="计算 3 2 4 2 2 2" xfId="50057"/>
    <cellStyle name="计算 3 2 4 3" xfId="50058"/>
    <cellStyle name="计算 3 2 4 3 2" xfId="50059"/>
    <cellStyle name="计算 3 2 5" xfId="50060"/>
    <cellStyle name="计算 3 2 6" xfId="50061"/>
    <cellStyle name="计算 3 2 7" xfId="50062"/>
    <cellStyle name="计算 3 3" xfId="50063"/>
    <cellStyle name="计算 3 3 2" xfId="50064"/>
    <cellStyle name="计算 3 3 2 2" xfId="50065"/>
    <cellStyle name="计算 3 3 2 3" xfId="50066"/>
    <cellStyle name="计算 3 3 2 3 2" xfId="50067"/>
    <cellStyle name="计算 3 3 2 3 2 2" xfId="50068"/>
    <cellStyle name="计算 3 3 2 4" xfId="50069"/>
    <cellStyle name="计算 3 3 2 4 2" xfId="50070"/>
    <cellStyle name="计算 3 3 3" xfId="50071"/>
    <cellStyle name="计算 3 3 3 2" xfId="50072"/>
    <cellStyle name="计算 3 3 3 2 2" xfId="50073"/>
    <cellStyle name="计算 3 3 3 2 2 2" xfId="50074"/>
    <cellStyle name="计算 3 3 3 3" xfId="50075"/>
    <cellStyle name="计算 3 3 3 3 2" xfId="50076"/>
    <cellStyle name="计算 3 3 4" xfId="50077"/>
    <cellStyle name="计算 3 3 5" xfId="50078"/>
    <cellStyle name="计算 3 3 6" xfId="50079"/>
    <cellStyle name="计算 3 4" xfId="50080"/>
    <cellStyle name="计算 3 4 2" xfId="50081"/>
    <cellStyle name="计算 3 4 2 2" xfId="50082"/>
    <cellStyle name="计算 3 4 2 3" xfId="50083"/>
    <cellStyle name="计算 3 4 2 3 2" xfId="50084"/>
    <cellStyle name="计算 3 4 2 3 2 2" xfId="50085"/>
    <cellStyle name="计算 3 4 2 4" xfId="50086"/>
    <cellStyle name="计算 3 4 2 4 2" xfId="50087"/>
    <cellStyle name="计算 3 4 3" xfId="50088"/>
    <cellStyle name="计算 3 4 4" xfId="50089"/>
    <cellStyle name="计算 3 4 5" xfId="50090"/>
    <cellStyle name="计算 3 4 6" xfId="50091"/>
    <cellStyle name="计算 3 5" xfId="50092"/>
    <cellStyle name="计算 3 5 2" xfId="50093"/>
    <cellStyle name="计算 3 5 2 2" xfId="50094"/>
    <cellStyle name="计算 3 5 2 2 2" xfId="50095"/>
    <cellStyle name="计算 3 5 2 2 2 2" xfId="50096"/>
    <cellStyle name="计算 3 5 2 3" xfId="50097"/>
    <cellStyle name="计算 3 5 2 3 2" xfId="50098"/>
    <cellStyle name="计算 3 5 3" xfId="50099"/>
    <cellStyle name="计算 3 5 3 2" xfId="50100"/>
    <cellStyle name="计算 3 5 3 2 2" xfId="50101"/>
    <cellStyle name="计算 3 5 4" xfId="50102"/>
    <cellStyle name="计算 3 5 4 2" xfId="50103"/>
    <cellStyle name="计算 3 6" xfId="50104"/>
    <cellStyle name="计算 3 6 2" xfId="50105"/>
    <cellStyle name="计算 3 6 2 2" xfId="50106"/>
    <cellStyle name="计算 3 6 2 2 2" xfId="50107"/>
    <cellStyle name="计算 3 6 3" xfId="50108"/>
    <cellStyle name="计算 3 6 3 2" xfId="50109"/>
    <cellStyle name="计算 3 7" xfId="50110"/>
    <cellStyle name="计算 3 8" xfId="50111"/>
    <cellStyle name="貨幣 [0]_DrayageRevenueWorking" xfId="50112"/>
    <cellStyle name="貨幣[0]_ 活動指標 (S1)" xfId="50113"/>
    <cellStyle name="貨幣_DrayageRevenueWorking" xfId="50114"/>
    <cellStyle name="货币 2" xfId="50115"/>
    <cellStyle name="货币 2 2" xfId="50116"/>
    <cellStyle name="货币 2 2 2" xfId="50117"/>
    <cellStyle name="货币 2 2 2 2" xfId="50118"/>
    <cellStyle name="货币 2 2 2 2 2" xfId="50119"/>
    <cellStyle name="货币 2 2 2 2 3" xfId="50120"/>
    <cellStyle name="货币 2 2 2 3" xfId="50121"/>
    <cellStyle name="货币 2 2 2 4" xfId="50122"/>
    <cellStyle name="货币 2 2 2 5" xfId="50123"/>
    <cellStyle name="货币 2 2 2 6" xfId="50124"/>
    <cellStyle name="货币 2 2 2 6 2" xfId="50125"/>
    <cellStyle name="货币 2 2 2 7" xfId="50126"/>
    <cellStyle name="货币 2 2 2 7 2" xfId="50127"/>
    <cellStyle name="货币 2 2 2 7 3" xfId="50128"/>
    <cellStyle name="货币 2 2 2 8" xfId="50129"/>
    <cellStyle name="货币 2 2 3" xfId="50130"/>
    <cellStyle name="货币 2 2 3 2" xfId="50131"/>
    <cellStyle name="货币 2 2 3 3" xfId="50132"/>
    <cellStyle name="货币 2 2 4" xfId="50133"/>
    <cellStyle name="货币 2 2 5" xfId="50134"/>
    <cellStyle name="货币 2 2 6" xfId="50135"/>
    <cellStyle name="货币 2 2 7" xfId="50136"/>
    <cellStyle name="货币 2 2 7 2" xfId="50137"/>
    <cellStyle name="货币 2 2 7 2 2" xfId="50138"/>
    <cellStyle name="货币 2 2 7 3" xfId="50139"/>
    <cellStyle name="货币 2 2 8" xfId="50140"/>
    <cellStyle name="货币 2 2 8 2" xfId="50141"/>
    <cellStyle name="货币 2 2 9" xfId="50142"/>
    <cellStyle name="货币 2 2 9 2" xfId="50143"/>
    <cellStyle name="货币 2 3" xfId="50144"/>
    <cellStyle name="货币 2 3 2" xfId="50145"/>
    <cellStyle name="货币 2 3 2 2" xfId="50146"/>
    <cellStyle name="货币 2 3 2 3" xfId="50147"/>
    <cellStyle name="货币 2 3 3" xfId="50148"/>
    <cellStyle name="货币 2 3 4" xfId="50149"/>
    <cellStyle name="货币 2 3 5" xfId="50150"/>
    <cellStyle name="货币 2 3 6" xfId="50151"/>
    <cellStyle name="货币 2 3 6 2" xfId="50152"/>
    <cellStyle name="货币 2 3 6 2 2" xfId="50153"/>
    <cellStyle name="货币 2 3 6 3" xfId="50154"/>
    <cellStyle name="货币 2 3 7" xfId="50155"/>
    <cellStyle name="货币 2 3 7 2" xfId="50156"/>
    <cellStyle name="货币 2 3 8" xfId="50157"/>
    <cellStyle name="货币 2 3 8 2" xfId="50158"/>
    <cellStyle name="货币 2 4" xfId="50159"/>
    <cellStyle name="货币 2 4 2" xfId="50160"/>
    <cellStyle name="货币 2 4 2 2" xfId="50161"/>
    <cellStyle name="货币 2 4 2 3" xfId="50162"/>
    <cellStyle name="货币 2 4 3" xfId="50163"/>
    <cellStyle name="货币 2 4 4" xfId="50164"/>
    <cellStyle name="货币 2 4 5" xfId="50165"/>
    <cellStyle name="货币 2 4 6" xfId="50166"/>
    <cellStyle name="货币 2 4 6 2" xfId="50167"/>
    <cellStyle name="货币 2 4 7" xfId="50168"/>
    <cellStyle name="货币 2 4 7 2" xfId="50169"/>
    <cellStyle name="货币 2 4 7 3" xfId="50170"/>
    <cellStyle name="货币 2 4 8" xfId="50171"/>
    <cellStyle name="货币 2 5" xfId="50172"/>
    <cellStyle name="货币 2 5 2" xfId="50173"/>
    <cellStyle name="货币 2 5 2 2" xfId="50174"/>
    <cellStyle name="货币 2 5 2 2 2" xfId="50175"/>
    <cellStyle name="货币 2 5 3" xfId="50176"/>
    <cellStyle name="货币 2 5 3 2" xfId="50177"/>
    <cellStyle name="货币 2 5 4" xfId="50178"/>
    <cellStyle name="货币 2 5 4 2" xfId="50179"/>
    <cellStyle name="货币 2 5 5" xfId="50180"/>
    <cellStyle name="货币 2 6" xfId="50181"/>
    <cellStyle name="货币 2 6 2" xfId="50182"/>
    <cellStyle name="货币[0]_061 explanation" xfId="50183"/>
    <cellStyle name="货币_061 explanation" xfId="50184"/>
    <cellStyle name="超级链接_Ji Fa - SOICT Pd 023 Mgmt Report" xfId="50185"/>
    <cellStyle name="超链接 2" xfId="50186"/>
    <cellStyle name="超链接 2 2" xfId="50187"/>
    <cellStyle name="超链接 2 2 2" xfId="50188"/>
    <cellStyle name="超链接 2 2 2 2" xfId="50189"/>
    <cellStyle name="超链接 2 2 2 3" xfId="50190"/>
    <cellStyle name="超链接 2 2 3" xfId="50191"/>
    <cellStyle name="超链接 2 2 4" xfId="50192"/>
    <cellStyle name="超链接 2 2 5" xfId="50193"/>
    <cellStyle name="超链接 2 2 6" xfId="50194"/>
    <cellStyle name="超链接 2 3" xfId="50195"/>
    <cellStyle name="超链接 2 3 2" xfId="50196"/>
    <cellStyle name="超链接 2 3 3" xfId="50197"/>
    <cellStyle name="超链接 2 4" xfId="50198"/>
    <cellStyle name="超链接 2 5" xfId="50199"/>
    <cellStyle name="超链接 2 6" xfId="50200"/>
    <cellStyle name="超链接 2 7" xfId="50201"/>
    <cellStyle name="输入 2" xfId="50202"/>
    <cellStyle name="输入 2 10" xfId="50203"/>
    <cellStyle name="输入 2 11" xfId="50204"/>
    <cellStyle name="输入 2 2" xfId="50205"/>
    <cellStyle name="输入 2 2 10" xfId="50206"/>
    <cellStyle name="输入 2 2 11" xfId="50207"/>
    <cellStyle name="输入 2 2 2" xfId="50208"/>
    <cellStyle name="输入 2 2 2 2" xfId="50209"/>
    <cellStyle name="输入 2 2 2 2 2" xfId="50210"/>
    <cellStyle name="输入 2 2 2 2 2 2" xfId="50211"/>
    <cellStyle name="输入 2 2 2 2 2 3" xfId="50212"/>
    <cellStyle name="输入 2 2 2 2 2 3 2" xfId="50213"/>
    <cellStyle name="输入 2 2 2 2 2 3 2 2" xfId="50214"/>
    <cellStyle name="输入 2 2 2 2 2 4" xfId="50215"/>
    <cellStyle name="输入 2 2 2 2 2 4 2" xfId="50216"/>
    <cellStyle name="输入 2 2 2 2 3" xfId="50217"/>
    <cellStyle name="输入 2 2 2 2 3 2" xfId="50218"/>
    <cellStyle name="输入 2 2 2 2 3 2 2" xfId="50219"/>
    <cellStyle name="输入 2 2 2 2 3 2 2 2" xfId="50220"/>
    <cellStyle name="输入 2 2 2 2 3 3" xfId="50221"/>
    <cellStyle name="输入 2 2 2 2 3 3 2" xfId="50222"/>
    <cellStyle name="输入 2 2 2 2 4" xfId="50223"/>
    <cellStyle name="输入 2 2 2 2 5" xfId="50224"/>
    <cellStyle name="输入 2 2 2 2 6" xfId="50225"/>
    <cellStyle name="输入 2 2 2 3" xfId="50226"/>
    <cellStyle name="输入 2 2 2 3 2" xfId="50227"/>
    <cellStyle name="输入 2 2 2 3 3" xfId="50228"/>
    <cellStyle name="输入 2 2 2 3 3 2" xfId="50229"/>
    <cellStyle name="输入 2 2 2 3 3 2 2" xfId="50230"/>
    <cellStyle name="输入 2 2 2 3 4" xfId="50231"/>
    <cellStyle name="输入 2 2 2 3 4 2" xfId="50232"/>
    <cellStyle name="输入 2 2 2 4" xfId="50233"/>
    <cellStyle name="输入 2 2 2 4 2" xfId="50234"/>
    <cellStyle name="输入 2 2 2 4 2 2" xfId="50235"/>
    <cellStyle name="输入 2 2 2 4 2 2 2" xfId="50236"/>
    <cellStyle name="输入 2 2 2 4 3" xfId="50237"/>
    <cellStyle name="输入 2 2 2 4 3 2" xfId="50238"/>
    <cellStyle name="输入 2 2 2 5" xfId="50239"/>
    <cellStyle name="输入 2 2 2 6" xfId="50240"/>
    <cellStyle name="输入 2 2 2 7" xfId="50241"/>
    <cellStyle name="输入 2 2 3" xfId="50242"/>
    <cellStyle name="输入 2 2 3 2" xfId="50243"/>
    <cellStyle name="输入 2 2 3 2 2" xfId="50244"/>
    <cellStyle name="输入 2 2 3 2 3" xfId="50245"/>
    <cellStyle name="输入 2 2 3 2 3 2" xfId="50246"/>
    <cellStyle name="输入 2 2 3 2 3 2 2" xfId="50247"/>
    <cellStyle name="输入 2 2 3 2 4" xfId="50248"/>
    <cellStyle name="输入 2 2 3 2 4 2" xfId="50249"/>
    <cellStyle name="输入 2 2 3 3" xfId="50250"/>
    <cellStyle name="输入 2 2 3 3 2" xfId="50251"/>
    <cellStyle name="输入 2 2 3 3 2 2" xfId="50252"/>
    <cellStyle name="输入 2 2 3 3 2 2 2" xfId="50253"/>
    <cellStyle name="输入 2 2 3 3 3" xfId="50254"/>
    <cellStyle name="输入 2 2 3 3 3 2" xfId="50255"/>
    <cellStyle name="输入 2 2 3 4" xfId="50256"/>
    <cellStyle name="输入 2 2 3 5" xfId="50257"/>
    <cellStyle name="输入 2 2 3 6" xfId="50258"/>
    <cellStyle name="输入 2 2 4" xfId="50259"/>
    <cellStyle name="输入 2 2 4 2" xfId="50260"/>
    <cellStyle name="输入 2 2 4 2 2" xfId="50261"/>
    <cellStyle name="输入 2 2 4 2 3" xfId="50262"/>
    <cellStyle name="输入 2 2 4 2 3 2" xfId="50263"/>
    <cellStyle name="输入 2 2 4 2 3 2 2" xfId="50264"/>
    <cellStyle name="输入 2 2 4 2 4" xfId="50265"/>
    <cellStyle name="输入 2 2 4 2 4 2" xfId="50266"/>
    <cellStyle name="输入 2 2 4 3" xfId="50267"/>
    <cellStyle name="输入 2 2 4 4" xfId="50268"/>
    <cellStyle name="输入 2 2 4 5" xfId="50269"/>
    <cellStyle name="输入 2 2 4 6" xfId="50270"/>
    <cellStyle name="输入 2 2 5" xfId="50271"/>
    <cellStyle name="输入 2 2 5 2" xfId="50272"/>
    <cellStyle name="输入 2 2 5 2 2" xfId="50273"/>
    <cellStyle name="输入 2 2 5 2 2 2" xfId="50274"/>
    <cellStyle name="输入 2 2 5 2 2 2 2" xfId="50275"/>
    <cellStyle name="输入 2 2 5 2 3" xfId="50276"/>
    <cellStyle name="输入 2 2 5 2 3 2" xfId="50277"/>
    <cellStyle name="输入 2 2 5 3" xfId="50278"/>
    <cellStyle name="输入 2 2 5 3 2" xfId="50279"/>
    <cellStyle name="输入 2 2 5 3 2 2" xfId="50280"/>
    <cellStyle name="输入 2 2 5 4" xfId="50281"/>
    <cellStyle name="输入 2 2 5 4 2" xfId="50282"/>
    <cellStyle name="输入 2 2 6" xfId="50283"/>
    <cellStyle name="输入 2 2 6 2" xfId="50284"/>
    <cellStyle name="输入 2 2 6 2 2" xfId="50285"/>
    <cellStyle name="输入 2 2 6 2 2 2" xfId="50286"/>
    <cellStyle name="输入 2 2 6 2 2 2 2" xfId="50287"/>
    <cellStyle name="输入 2 2 6 2 3" xfId="50288"/>
    <cellStyle name="输入 2 2 6 2 3 2" xfId="50289"/>
    <cellStyle name="输入 2 2 6 3" xfId="50290"/>
    <cellStyle name="输入 2 2 6 3 2" xfId="50291"/>
    <cellStyle name="输入 2 2 6 3 2 2" xfId="50292"/>
    <cellStyle name="输入 2 2 6 4" xfId="50293"/>
    <cellStyle name="输入 2 2 6 4 2" xfId="50294"/>
    <cellStyle name="输入 2 2 7" xfId="50295"/>
    <cellStyle name="输入 2 2 7 2" xfId="50296"/>
    <cellStyle name="输入 2 2 7 2 2" xfId="50297"/>
    <cellStyle name="输入 2 2 7 2 2 2" xfId="50298"/>
    <cellStyle name="输入 2 2 7 2 2 2 2" xfId="50299"/>
    <cellStyle name="输入 2 2 7 2 3" xfId="50300"/>
    <cellStyle name="输入 2 2 7 2 3 2" xfId="50301"/>
    <cellStyle name="输入 2 2 7 3" xfId="50302"/>
    <cellStyle name="输入 2 2 7 3 2" xfId="50303"/>
    <cellStyle name="输入 2 2 7 3 2 2" xfId="50304"/>
    <cellStyle name="输入 2 2 7 4" xfId="50305"/>
    <cellStyle name="输入 2 2 7 4 2" xfId="50306"/>
    <cellStyle name="输入 2 2 8" xfId="50307"/>
    <cellStyle name="输入 2 2 8 2" xfId="50308"/>
    <cellStyle name="输入 2 2 8 2 2" xfId="50309"/>
    <cellStyle name="输入 2 2 8 2 2 2" xfId="50310"/>
    <cellStyle name="输入 2 2 8 3" xfId="50311"/>
    <cellStyle name="输入 2 2 8 3 2" xfId="50312"/>
    <cellStyle name="输入 2 2 9" xfId="50313"/>
    <cellStyle name="输入 2 2 9 2" xfId="50314"/>
    <cellStyle name="输入 2 2 9 2 2" xfId="50315"/>
    <cellStyle name="输入 2 2 9 2 2 2" xfId="50316"/>
    <cellStyle name="输入 2 2 9 3" xfId="50317"/>
    <cellStyle name="输入 2 2 9 3 2" xfId="50318"/>
    <cellStyle name="输入 2 3" xfId="50319"/>
    <cellStyle name="输入 2 3 2" xfId="50320"/>
    <cellStyle name="输入 2 3 2 2" xfId="50321"/>
    <cellStyle name="输入 2 3 2 2 2" xfId="50322"/>
    <cellStyle name="输入 2 3 2 2 2 2" xfId="50323"/>
    <cellStyle name="输入 2 3 2 2 2 3" xfId="50324"/>
    <cellStyle name="输入 2 3 2 2 2 3 2" xfId="50325"/>
    <cellStyle name="输入 2 3 2 2 2 3 2 2" xfId="50326"/>
    <cellStyle name="输入 2 3 2 2 2 4" xfId="50327"/>
    <cellStyle name="输入 2 3 2 2 2 4 2" xfId="50328"/>
    <cellStyle name="输入 2 3 2 2 3" xfId="50329"/>
    <cellStyle name="输入 2 3 2 2 3 2" xfId="50330"/>
    <cellStyle name="输入 2 3 2 2 3 2 2" xfId="50331"/>
    <cellStyle name="输入 2 3 2 2 3 2 2 2" xfId="50332"/>
    <cellStyle name="输入 2 3 2 2 3 3" xfId="50333"/>
    <cellStyle name="输入 2 3 2 2 3 3 2" xfId="50334"/>
    <cellStyle name="输入 2 3 2 2 4" xfId="50335"/>
    <cellStyle name="输入 2 3 2 2 5" xfId="50336"/>
    <cellStyle name="输入 2 3 2 2 6" xfId="50337"/>
    <cellStyle name="输入 2 3 2 3" xfId="50338"/>
    <cellStyle name="输入 2 3 2 3 2" xfId="50339"/>
    <cellStyle name="输入 2 3 2 3 3" xfId="50340"/>
    <cellStyle name="输入 2 3 2 3 3 2" xfId="50341"/>
    <cellStyle name="输入 2 3 2 3 3 2 2" xfId="50342"/>
    <cellStyle name="输入 2 3 2 3 4" xfId="50343"/>
    <cellStyle name="输入 2 3 2 3 4 2" xfId="50344"/>
    <cellStyle name="输入 2 3 2 4" xfId="50345"/>
    <cellStyle name="输入 2 3 2 4 2" xfId="50346"/>
    <cellStyle name="输入 2 3 2 4 2 2" xfId="50347"/>
    <cellStyle name="输入 2 3 2 4 2 2 2" xfId="50348"/>
    <cellStyle name="输入 2 3 2 4 3" xfId="50349"/>
    <cellStyle name="输入 2 3 2 4 3 2" xfId="50350"/>
    <cellStyle name="输入 2 3 2 5" xfId="50351"/>
    <cellStyle name="输入 2 3 2 6" xfId="50352"/>
    <cellStyle name="输入 2 3 2 7" xfId="50353"/>
    <cellStyle name="输入 2 3 3" xfId="50354"/>
    <cellStyle name="输入 2 3 3 2" xfId="50355"/>
    <cellStyle name="输入 2 3 3 2 2" xfId="50356"/>
    <cellStyle name="输入 2 3 3 2 3" xfId="50357"/>
    <cellStyle name="输入 2 3 3 2 3 2" xfId="50358"/>
    <cellStyle name="输入 2 3 3 2 3 2 2" xfId="50359"/>
    <cellStyle name="输入 2 3 3 2 4" xfId="50360"/>
    <cellStyle name="输入 2 3 3 2 4 2" xfId="50361"/>
    <cellStyle name="输入 2 3 3 3" xfId="50362"/>
    <cellStyle name="输入 2 3 3 3 2" xfId="50363"/>
    <cellStyle name="输入 2 3 3 3 2 2" xfId="50364"/>
    <cellStyle name="输入 2 3 3 3 2 2 2" xfId="50365"/>
    <cellStyle name="输入 2 3 3 3 3" xfId="50366"/>
    <cellStyle name="输入 2 3 3 3 3 2" xfId="50367"/>
    <cellStyle name="输入 2 3 3 4" xfId="50368"/>
    <cellStyle name="输入 2 3 3 5" xfId="50369"/>
    <cellStyle name="输入 2 3 3 6" xfId="50370"/>
    <cellStyle name="输入 2 3 4" xfId="50371"/>
    <cellStyle name="输入 2 3 4 2" xfId="50372"/>
    <cellStyle name="输入 2 3 4 2 2" xfId="50373"/>
    <cellStyle name="输入 2 3 4 2 3" xfId="50374"/>
    <cellStyle name="输入 2 3 4 2 3 2" xfId="50375"/>
    <cellStyle name="输入 2 3 4 2 3 2 2" xfId="50376"/>
    <cellStyle name="输入 2 3 4 2 4" xfId="50377"/>
    <cellStyle name="输入 2 3 4 2 4 2" xfId="50378"/>
    <cellStyle name="输入 2 3 4 3" xfId="50379"/>
    <cellStyle name="输入 2 3 4 4" xfId="50380"/>
    <cellStyle name="输入 2 3 4 5" xfId="50381"/>
    <cellStyle name="输入 2 3 4 6" xfId="50382"/>
    <cellStyle name="输入 2 3 5" xfId="50383"/>
    <cellStyle name="输入 2 3 5 2" xfId="50384"/>
    <cellStyle name="输入 2 3 5 2 2" xfId="50385"/>
    <cellStyle name="输入 2 3 5 2 2 2" xfId="50386"/>
    <cellStyle name="输入 2 3 5 2 2 2 2" xfId="50387"/>
    <cellStyle name="输入 2 3 5 2 3" xfId="50388"/>
    <cellStyle name="输入 2 3 5 2 3 2" xfId="50389"/>
    <cellStyle name="输入 2 3 5 3" xfId="50390"/>
    <cellStyle name="输入 2 3 5 3 2" xfId="50391"/>
    <cellStyle name="输入 2 3 5 3 2 2" xfId="50392"/>
    <cellStyle name="输入 2 3 5 4" xfId="50393"/>
    <cellStyle name="输入 2 3 5 4 2" xfId="50394"/>
    <cellStyle name="输入 2 3 6" xfId="50395"/>
    <cellStyle name="输入 2 3 6 2" xfId="50396"/>
    <cellStyle name="输入 2 3 6 2 2" xfId="50397"/>
    <cellStyle name="输入 2 3 6 2 2 2" xfId="50398"/>
    <cellStyle name="输入 2 3 6 3" xfId="50399"/>
    <cellStyle name="输入 2 3 6 3 2" xfId="50400"/>
    <cellStyle name="输入 2 3 7" xfId="50401"/>
    <cellStyle name="输入 2 3 7 2" xfId="50402"/>
    <cellStyle name="输入 2 3 7 2 2" xfId="50403"/>
    <cellStyle name="输入 2 3 7 2 2 2" xfId="50404"/>
    <cellStyle name="输入 2 3 7 3" xfId="50405"/>
    <cellStyle name="输入 2 3 7 3 2" xfId="50406"/>
    <cellStyle name="输入 2 3 8" xfId="50407"/>
    <cellStyle name="输入 2 3 9" xfId="50408"/>
    <cellStyle name="输入 2 4" xfId="50409"/>
    <cellStyle name="输入 2 4 2" xfId="50410"/>
    <cellStyle name="输入 2 4 2 2" xfId="50411"/>
    <cellStyle name="输入 2 4 2 3" xfId="50412"/>
    <cellStyle name="输入 2 4 2 3 2" xfId="50413"/>
    <cellStyle name="输入 2 4 2 3 2 2" xfId="50414"/>
    <cellStyle name="输入 2 4 2 4" xfId="50415"/>
    <cellStyle name="输入 2 4 2 4 2" xfId="50416"/>
    <cellStyle name="输入 2 4 3" xfId="50417"/>
    <cellStyle name="输入 2 4 3 2" xfId="50418"/>
    <cellStyle name="输入 2 4 3 2 2" xfId="50419"/>
    <cellStyle name="输入 2 4 3 2 2 2" xfId="50420"/>
    <cellStyle name="输入 2 4 3 3" xfId="50421"/>
    <cellStyle name="输入 2 4 3 3 2" xfId="50422"/>
    <cellStyle name="输入 2 4 4" xfId="50423"/>
    <cellStyle name="输入 2 4 5" xfId="50424"/>
    <cellStyle name="输入 2 4 6" xfId="50425"/>
    <cellStyle name="输入 2 5" xfId="50426"/>
    <cellStyle name="输入 2 5 2" xfId="50427"/>
    <cellStyle name="输入 2 5 2 2" xfId="50428"/>
    <cellStyle name="输入 2 5 2 3" xfId="50429"/>
    <cellStyle name="输入 2 5 2 3 2" xfId="50430"/>
    <cellStyle name="输入 2 5 2 3 2 2" xfId="50431"/>
    <cellStyle name="输入 2 5 2 4" xfId="50432"/>
    <cellStyle name="输入 2 5 2 4 2" xfId="50433"/>
    <cellStyle name="输入 2 5 3" xfId="50434"/>
    <cellStyle name="输入 2 5 4" xfId="50435"/>
    <cellStyle name="输入 2 5 5" xfId="50436"/>
    <cellStyle name="输入 2 5 6" xfId="50437"/>
    <cellStyle name="输入 2 6" xfId="50438"/>
    <cellStyle name="输入 2 6 2" xfId="50439"/>
    <cellStyle name="输入 2 6 2 2" xfId="50440"/>
    <cellStyle name="输入 2 6 2 2 2" xfId="50441"/>
    <cellStyle name="输入 2 6 2 2 2 2" xfId="50442"/>
    <cellStyle name="输入 2 6 2 3" xfId="50443"/>
    <cellStyle name="输入 2 6 2 3 2" xfId="50444"/>
    <cellStyle name="输入 2 6 3" xfId="50445"/>
    <cellStyle name="输入 2 6 3 2" xfId="50446"/>
    <cellStyle name="输入 2 6 3 2 2" xfId="50447"/>
    <cellStyle name="输入 2 6 4" xfId="50448"/>
    <cellStyle name="输入 2 6 4 2" xfId="50449"/>
    <cellStyle name="输入 2 7" xfId="50450"/>
    <cellStyle name="输入 2 7 2" xfId="50451"/>
    <cellStyle name="输入 2 7 2 2" xfId="50452"/>
    <cellStyle name="输入 2 7 2 2 2" xfId="50453"/>
    <cellStyle name="输入 2 7 2 2 2 2" xfId="50454"/>
    <cellStyle name="输入 2 7 2 3" xfId="50455"/>
    <cellStyle name="输入 2 7 2 3 2" xfId="50456"/>
    <cellStyle name="输入 2 7 3" xfId="50457"/>
    <cellStyle name="输入 2 7 3 2" xfId="50458"/>
    <cellStyle name="输入 2 7 3 2 2" xfId="50459"/>
    <cellStyle name="输入 2 7 4" xfId="50460"/>
    <cellStyle name="输入 2 7 4 2" xfId="50461"/>
    <cellStyle name="输入 2 8" xfId="50462"/>
    <cellStyle name="输入 2 8 2" xfId="50463"/>
    <cellStyle name="输入 2 8 2 2" xfId="50464"/>
    <cellStyle name="输入 2 8 2 2 2" xfId="50465"/>
    <cellStyle name="输入 2 8 2 2 2 2" xfId="50466"/>
    <cellStyle name="输入 2 8 2 3" xfId="50467"/>
    <cellStyle name="输入 2 8 2 3 2" xfId="50468"/>
    <cellStyle name="输入 2 8 3" xfId="50469"/>
    <cellStyle name="输入 2 8 3 2" xfId="50470"/>
    <cellStyle name="输入 2 8 3 2 2" xfId="50471"/>
    <cellStyle name="输入 2 8 4" xfId="50472"/>
    <cellStyle name="输入 2 8 4 2" xfId="50473"/>
    <cellStyle name="输入 2 9" xfId="50474"/>
    <cellStyle name="输入 2 9 2" xfId="50475"/>
    <cellStyle name="输入 2 9 2 2" xfId="50476"/>
    <cellStyle name="输入 2 9 2 2 2" xfId="50477"/>
    <cellStyle name="输入 2 9 3" xfId="50478"/>
    <cellStyle name="输入 2 9 3 2" xfId="50479"/>
    <cellStyle name="输入 3" xfId="50480"/>
    <cellStyle name="输入 3 2" xfId="50481"/>
    <cellStyle name="输入 3 2 2" xfId="50482"/>
    <cellStyle name="输入 3 2 2 2" xfId="50483"/>
    <cellStyle name="输入 3 2 2 2 2" xfId="50484"/>
    <cellStyle name="输入 3 2 2 2 3" xfId="50485"/>
    <cellStyle name="输入 3 2 2 2 3 2" xfId="50486"/>
    <cellStyle name="输入 3 2 2 2 3 2 2" xfId="50487"/>
    <cellStyle name="输入 3 2 2 2 4" xfId="50488"/>
    <cellStyle name="输入 3 2 2 2 4 2" xfId="50489"/>
    <cellStyle name="输入 3 2 2 3" xfId="50490"/>
    <cellStyle name="输入 3 2 2 3 2" xfId="50491"/>
    <cellStyle name="输入 3 2 2 3 2 2" xfId="50492"/>
    <cellStyle name="输入 3 2 2 3 2 2 2" xfId="50493"/>
    <cellStyle name="输入 3 2 2 3 3" xfId="50494"/>
    <cellStyle name="输入 3 2 2 3 3 2" xfId="50495"/>
    <cellStyle name="输入 3 2 2 4" xfId="50496"/>
    <cellStyle name="输入 3 2 2 5" xfId="50497"/>
    <cellStyle name="输入 3 2 2 6" xfId="50498"/>
    <cellStyle name="输入 3 2 3" xfId="50499"/>
    <cellStyle name="输入 3 2 3 2" xfId="50500"/>
    <cellStyle name="输入 3 2 3 3" xfId="50501"/>
    <cellStyle name="输入 3 2 3 3 2" xfId="50502"/>
    <cellStyle name="输入 3 2 3 3 2 2" xfId="50503"/>
    <cellStyle name="输入 3 2 3 4" xfId="50504"/>
    <cellStyle name="输入 3 2 3 4 2" xfId="50505"/>
    <cellStyle name="输入 3 2 4" xfId="50506"/>
    <cellStyle name="输入 3 2 4 2" xfId="50507"/>
    <cellStyle name="输入 3 2 4 2 2" xfId="50508"/>
    <cellStyle name="输入 3 2 4 2 2 2" xfId="50509"/>
    <cellStyle name="输入 3 2 4 3" xfId="50510"/>
    <cellStyle name="输入 3 2 4 3 2" xfId="50511"/>
    <cellStyle name="输入 3 2 5" xfId="50512"/>
    <cellStyle name="输入 3 2 6" xfId="50513"/>
    <cellStyle name="输入 3 2 7" xfId="50514"/>
    <cellStyle name="输入 3 3" xfId="50515"/>
    <cellStyle name="输入 3 3 2" xfId="50516"/>
    <cellStyle name="输入 3 3 2 2" xfId="50517"/>
    <cellStyle name="输入 3 3 2 3" xfId="50518"/>
    <cellStyle name="输入 3 3 2 3 2" xfId="50519"/>
    <cellStyle name="输入 3 3 2 3 2 2" xfId="50520"/>
    <cellStyle name="输入 3 3 2 4" xfId="50521"/>
    <cellStyle name="输入 3 3 2 4 2" xfId="50522"/>
    <cellStyle name="输入 3 3 3" xfId="50523"/>
    <cellStyle name="输入 3 3 3 2" xfId="50524"/>
    <cellStyle name="输入 3 3 3 2 2" xfId="50525"/>
    <cellStyle name="输入 3 3 3 2 2 2" xfId="50526"/>
    <cellStyle name="输入 3 3 3 3" xfId="50527"/>
    <cellStyle name="输入 3 3 3 3 2" xfId="50528"/>
    <cellStyle name="输入 3 3 4" xfId="50529"/>
    <cellStyle name="输入 3 3 5" xfId="50530"/>
    <cellStyle name="输入 3 3 6" xfId="50531"/>
    <cellStyle name="输入 3 4" xfId="50532"/>
    <cellStyle name="输入 3 4 2" xfId="50533"/>
    <cellStyle name="输入 3 4 2 2" xfId="50534"/>
    <cellStyle name="输入 3 4 2 3" xfId="50535"/>
    <cellStyle name="输入 3 4 2 3 2" xfId="50536"/>
    <cellStyle name="输入 3 4 2 3 2 2" xfId="50537"/>
    <cellStyle name="输入 3 4 2 4" xfId="50538"/>
    <cellStyle name="输入 3 4 2 4 2" xfId="50539"/>
    <cellStyle name="输入 3 4 3" xfId="50540"/>
    <cellStyle name="输入 3 4 4" xfId="50541"/>
    <cellStyle name="输入 3 4 5" xfId="50542"/>
    <cellStyle name="输入 3 4 6" xfId="50543"/>
    <cellStyle name="输入 3 5" xfId="50544"/>
    <cellStyle name="输入 3 5 2" xfId="50545"/>
    <cellStyle name="输入 3 5 2 2" xfId="50546"/>
    <cellStyle name="输入 3 5 2 2 2" xfId="50547"/>
    <cellStyle name="输入 3 5 2 2 2 2" xfId="50548"/>
    <cellStyle name="输入 3 5 2 3" xfId="50549"/>
    <cellStyle name="输入 3 5 2 3 2" xfId="50550"/>
    <cellStyle name="输入 3 5 3" xfId="50551"/>
    <cellStyle name="输入 3 5 3 2" xfId="50552"/>
    <cellStyle name="输入 3 5 3 2 2" xfId="50553"/>
    <cellStyle name="输入 3 5 4" xfId="50554"/>
    <cellStyle name="输入 3 5 4 2" xfId="50555"/>
    <cellStyle name="输入 3 6" xfId="50556"/>
    <cellStyle name="输入 3 6 2" xfId="50557"/>
    <cellStyle name="输入 3 6 2 2" xfId="50558"/>
    <cellStyle name="输入 3 6 2 2 2" xfId="50559"/>
    <cellStyle name="输入 3 6 3" xfId="50560"/>
    <cellStyle name="输入 3 6 3 2" xfId="50561"/>
    <cellStyle name="输入 3 7" xfId="50562"/>
    <cellStyle name="输入 3 8" xfId="50563"/>
    <cellStyle name="输出 2" xfId="50564"/>
    <cellStyle name="输出 2 10" xfId="50565"/>
    <cellStyle name="输出 2 11" xfId="50566"/>
    <cellStyle name="输出 2 2" xfId="50567"/>
    <cellStyle name="输出 2 2 10" xfId="50568"/>
    <cellStyle name="输出 2 2 11" xfId="50569"/>
    <cellStyle name="输出 2 2 2" xfId="50570"/>
    <cellStyle name="输出 2 2 2 2" xfId="50571"/>
    <cellStyle name="输出 2 2 2 2 2" xfId="50572"/>
    <cellStyle name="输出 2 2 2 2 2 2" xfId="50573"/>
    <cellStyle name="输出 2 2 2 2 2 3" xfId="50574"/>
    <cellStyle name="输出 2 2 2 2 2 3 2" xfId="50575"/>
    <cellStyle name="输出 2 2 2 2 2 3 2 2" xfId="50576"/>
    <cellStyle name="输出 2 2 2 2 2 4" xfId="50577"/>
    <cellStyle name="输出 2 2 2 2 2 4 2" xfId="50578"/>
    <cellStyle name="输出 2 2 2 2 3" xfId="50579"/>
    <cellStyle name="输出 2 2 2 2 3 2" xfId="50580"/>
    <cellStyle name="输出 2 2 2 2 3 2 2" xfId="50581"/>
    <cellStyle name="输出 2 2 2 2 3 2 2 2" xfId="50582"/>
    <cellStyle name="输出 2 2 2 2 3 3" xfId="50583"/>
    <cellStyle name="输出 2 2 2 2 3 3 2" xfId="50584"/>
    <cellStyle name="输出 2 2 2 2 4" xfId="50585"/>
    <cellStyle name="输出 2 2 2 2 5" xfId="50586"/>
    <cellStyle name="输出 2 2 2 2 6" xfId="50587"/>
    <cellStyle name="输出 2 2 2 3" xfId="50588"/>
    <cellStyle name="输出 2 2 2 3 2" xfId="50589"/>
    <cellStyle name="输出 2 2 2 3 3" xfId="50590"/>
    <cellStyle name="输出 2 2 2 3 3 2" xfId="50591"/>
    <cellStyle name="输出 2 2 2 3 3 2 2" xfId="50592"/>
    <cellStyle name="输出 2 2 2 3 4" xfId="50593"/>
    <cellStyle name="输出 2 2 2 3 4 2" xfId="50594"/>
    <cellStyle name="输出 2 2 2 4" xfId="50595"/>
    <cellStyle name="输出 2 2 2 4 2" xfId="50596"/>
    <cellStyle name="输出 2 2 2 4 2 2" xfId="50597"/>
    <cellStyle name="输出 2 2 2 4 2 2 2" xfId="50598"/>
    <cellStyle name="输出 2 2 2 4 3" xfId="50599"/>
    <cellStyle name="输出 2 2 2 4 3 2" xfId="50600"/>
    <cellStyle name="输出 2 2 2 5" xfId="50601"/>
    <cellStyle name="输出 2 2 2 6" xfId="50602"/>
    <cellStyle name="输出 2 2 2 7" xfId="50603"/>
    <cellStyle name="输出 2 2 3" xfId="50604"/>
    <cellStyle name="输出 2 2 3 2" xfId="50605"/>
    <cellStyle name="输出 2 2 3 2 2" xfId="50606"/>
    <cellStyle name="输出 2 2 3 2 3" xfId="50607"/>
    <cellStyle name="输出 2 2 3 2 3 2" xfId="50608"/>
    <cellStyle name="输出 2 2 3 2 3 2 2" xfId="50609"/>
    <cellStyle name="输出 2 2 3 2 4" xfId="50610"/>
    <cellStyle name="输出 2 2 3 2 4 2" xfId="50611"/>
    <cellStyle name="输出 2 2 3 3" xfId="50612"/>
    <cellStyle name="输出 2 2 3 3 2" xfId="50613"/>
    <cellStyle name="输出 2 2 3 3 2 2" xfId="50614"/>
    <cellStyle name="输出 2 2 3 3 2 2 2" xfId="50615"/>
    <cellStyle name="输出 2 2 3 3 3" xfId="50616"/>
    <cellStyle name="输出 2 2 3 3 3 2" xfId="50617"/>
    <cellStyle name="输出 2 2 3 4" xfId="50618"/>
    <cellStyle name="输出 2 2 3 5" xfId="50619"/>
    <cellStyle name="输出 2 2 3 6" xfId="50620"/>
    <cellStyle name="输出 2 2 4" xfId="50621"/>
    <cellStyle name="输出 2 2 4 2" xfId="50622"/>
    <cellStyle name="输出 2 2 4 2 2" xfId="50623"/>
    <cellStyle name="输出 2 2 4 2 3" xfId="50624"/>
    <cellStyle name="输出 2 2 4 2 3 2" xfId="50625"/>
    <cellStyle name="输出 2 2 4 2 3 2 2" xfId="50626"/>
    <cellStyle name="输出 2 2 4 2 4" xfId="50627"/>
    <cellStyle name="输出 2 2 4 2 4 2" xfId="50628"/>
    <cellStyle name="输出 2 2 4 3" xfId="50629"/>
    <cellStyle name="输出 2 2 4 4" xfId="50630"/>
    <cellStyle name="输出 2 2 4 5" xfId="50631"/>
    <cellStyle name="输出 2 2 4 6" xfId="50632"/>
    <cellStyle name="输出 2 2 5" xfId="50633"/>
    <cellStyle name="输出 2 2 5 2" xfId="50634"/>
    <cellStyle name="输出 2 2 5 2 2" xfId="50635"/>
    <cellStyle name="输出 2 2 5 2 2 2" xfId="50636"/>
    <cellStyle name="输出 2 2 5 2 2 2 2" xfId="50637"/>
    <cellStyle name="输出 2 2 5 2 3" xfId="50638"/>
    <cellStyle name="输出 2 2 5 2 3 2" xfId="50639"/>
    <cellStyle name="输出 2 2 5 3" xfId="50640"/>
    <cellStyle name="输出 2 2 5 3 2" xfId="50641"/>
    <cellStyle name="输出 2 2 5 3 2 2" xfId="50642"/>
    <cellStyle name="输出 2 2 5 4" xfId="50643"/>
    <cellStyle name="输出 2 2 5 4 2" xfId="50644"/>
    <cellStyle name="输出 2 2 6" xfId="50645"/>
    <cellStyle name="输出 2 2 6 2" xfId="50646"/>
    <cellStyle name="输出 2 2 6 2 2" xfId="50647"/>
    <cellStyle name="输出 2 2 6 2 2 2" xfId="50648"/>
    <cellStyle name="输出 2 2 6 2 2 2 2" xfId="50649"/>
    <cellStyle name="输出 2 2 6 2 3" xfId="50650"/>
    <cellStyle name="输出 2 2 6 2 3 2" xfId="50651"/>
    <cellStyle name="输出 2 2 6 3" xfId="50652"/>
    <cellStyle name="输出 2 2 6 3 2" xfId="50653"/>
    <cellStyle name="输出 2 2 6 3 2 2" xfId="50654"/>
    <cellStyle name="输出 2 2 6 4" xfId="50655"/>
    <cellStyle name="输出 2 2 6 4 2" xfId="50656"/>
    <cellStyle name="输出 2 2 7" xfId="50657"/>
    <cellStyle name="输出 2 2 7 2" xfId="50658"/>
    <cellStyle name="输出 2 2 7 2 2" xfId="50659"/>
    <cellStyle name="输出 2 2 7 2 2 2" xfId="50660"/>
    <cellStyle name="输出 2 2 7 2 2 2 2" xfId="50661"/>
    <cellStyle name="输出 2 2 7 2 3" xfId="50662"/>
    <cellStyle name="输出 2 2 7 2 3 2" xfId="50663"/>
    <cellStyle name="输出 2 2 7 3" xfId="50664"/>
    <cellStyle name="输出 2 2 7 3 2" xfId="50665"/>
    <cellStyle name="输出 2 2 7 3 2 2" xfId="50666"/>
    <cellStyle name="输出 2 2 7 4" xfId="50667"/>
    <cellStyle name="输出 2 2 7 4 2" xfId="50668"/>
    <cellStyle name="输出 2 2 8" xfId="50669"/>
    <cellStyle name="输出 2 2 8 2" xfId="50670"/>
    <cellStyle name="输出 2 2 8 2 2" xfId="50671"/>
    <cellStyle name="输出 2 2 8 2 2 2" xfId="50672"/>
    <cellStyle name="输出 2 2 8 3" xfId="50673"/>
    <cellStyle name="输出 2 2 8 3 2" xfId="50674"/>
    <cellStyle name="输出 2 2 9" xfId="50675"/>
    <cellStyle name="输出 2 2 9 2" xfId="50676"/>
    <cellStyle name="输出 2 2 9 2 2" xfId="50677"/>
    <cellStyle name="输出 2 2 9 2 2 2" xfId="50678"/>
    <cellStyle name="输出 2 2 9 3" xfId="50679"/>
    <cellStyle name="输出 2 2 9 3 2" xfId="50680"/>
    <cellStyle name="输出 2 3" xfId="50681"/>
    <cellStyle name="输出 2 3 2" xfId="50682"/>
    <cellStyle name="输出 2 3 2 2" xfId="50683"/>
    <cellStyle name="输出 2 3 2 2 2" xfId="50684"/>
    <cellStyle name="输出 2 3 2 2 2 2" xfId="50685"/>
    <cellStyle name="输出 2 3 2 2 2 3" xfId="50686"/>
    <cellStyle name="输出 2 3 2 2 2 3 2" xfId="50687"/>
    <cellStyle name="输出 2 3 2 2 2 3 2 2" xfId="50688"/>
    <cellStyle name="输出 2 3 2 2 2 4" xfId="50689"/>
    <cellStyle name="输出 2 3 2 2 2 4 2" xfId="50690"/>
    <cellStyle name="输出 2 3 2 2 3" xfId="50691"/>
    <cellStyle name="输出 2 3 2 2 3 2" xfId="50692"/>
    <cellStyle name="输出 2 3 2 2 3 2 2" xfId="50693"/>
    <cellStyle name="输出 2 3 2 2 3 2 2 2" xfId="50694"/>
    <cellStyle name="输出 2 3 2 2 3 3" xfId="50695"/>
    <cellStyle name="输出 2 3 2 2 3 3 2" xfId="50696"/>
    <cellStyle name="输出 2 3 2 2 4" xfId="50697"/>
    <cellStyle name="输出 2 3 2 2 5" xfId="50698"/>
    <cellStyle name="输出 2 3 2 2 6" xfId="50699"/>
    <cellStyle name="输出 2 3 2 3" xfId="50700"/>
    <cellStyle name="输出 2 3 2 3 2" xfId="50701"/>
    <cellStyle name="输出 2 3 2 3 3" xfId="50702"/>
    <cellStyle name="输出 2 3 2 3 3 2" xfId="50703"/>
    <cellStyle name="输出 2 3 2 3 3 2 2" xfId="50704"/>
    <cellStyle name="输出 2 3 2 3 4" xfId="50705"/>
    <cellStyle name="输出 2 3 2 3 4 2" xfId="50706"/>
    <cellStyle name="输出 2 3 2 4" xfId="50707"/>
    <cellStyle name="输出 2 3 2 4 2" xfId="50708"/>
    <cellStyle name="输出 2 3 2 4 2 2" xfId="50709"/>
    <cellStyle name="输出 2 3 2 4 2 2 2" xfId="50710"/>
    <cellStyle name="输出 2 3 2 4 3" xfId="50711"/>
    <cellStyle name="输出 2 3 2 4 3 2" xfId="50712"/>
    <cellStyle name="输出 2 3 2 5" xfId="50713"/>
    <cellStyle name="输出 2 3 2 6" xfId="50714"/>
    <cellStyle name="输出 2 3 2 7" xfId="50715"/>
    <cellStyle name="输出 2 3 3" xfId="50716"/>
    <cellStyle name="输出 2 3 3 2" xfId="50717"/>
    <cellStyle name="输出 2 3 3 2 2" xfId="50718"/>
    <cellStyle name="输出 2 3 3 2 3" xfId="50719"/>
    <cellStyle name="输出 2 3 3 2 3 2" xfId="50720"/>
    <cellStyle name="输出 2 3 3 2 3 2 2" xfId="50721"/>
    <cellStyle name="输出 2 3 3 2 4" xfId="50722"/>
    <cellStyle name="输出 2 3 3 2 4 2" xfId="50723"/>
    <cellStyle name="输出 2 3 3 3" xfId="50724"/>
    <cellStyle name="输出 2 3 3 3 2" xfId="50725"/>
    <cellStyle name="输出 2 3 3 3 2 2" xfId="50726"/>
    <cellStyle name="输出 2 3 3 3 2 2 2" xfId="50727"/>
    <cellStyle name="输出 2 3 3 3 3" xfId="50728"/>
    <cellStyle name="输出 2 3 3 3 3 2" xfId="50729"/>
    <cellStyle name="输出 2 3 3 4" xfId="50730"/>
    <cellStyle name="输出 2 3 3 5" xfId="50731"/>
    <cellStyle name="输出 2 3 3 6" xfId="50732"/>
    <cellStyle name="输出 2 3 4" xfId="50733"/>
    <cellStyle name="输出 2 3 4 2" xfId="50734"/>
    <cellStyle name="输出 2 3 4 2 2" xfId="50735"/>
    <cellStyle name="输出 2 3 4 2 3" xfId="50736"/>
    <cellStyle name="输出 2 3 4 2 3 2" xfId="50737"/>
    <cellStyle name="输出 2 3 4 2 3 2 2" xfId="50738"/>
    <cellStyle name="输出 2 3 4 2 4" xfId="50739"/>
    <cellStyle name="输出 2 3 4 2 4 2" xfId="50740"/>
    <cellStyle name="输出 2 3 4 3" xfId="50741"/>
    <cellStyle name="输出 2 3 4 4" xfId="50742"/>
    <cellStyle name="输出 2 3 4 5" xfId="50743"/>
    <cellStyle name="输出 2 3 4 6" xfId="50744"/>
    <cellStyle name="输出 2 3 5" xfId="50745"/>
    <cellStyle name="输出 2 3 5 2" xfId="50746"/>
    <cellStyle name="输出 2 3 5 2 2" xfId="50747"/>
    <cellStyle name="输出 2 3 5 2 2 2" xfId="50748"/>
    <cellStyle name="输出 2 3 5 2 2 2 2" xfId="50749"/>
    <cellStyle name="输出 2 3 5 2 3" xfId="50750"/>
    <cellStyle name="输出 2 3 5 2 3 2" xfId="50751"/>
    <cellStyle name="输出 2 3 5 3" xfId="50752"/>
    <cellStyle name="输出 2 3 5 3 2" xfId="50753"/>
    <cellStyle name="输出 2 3 5 3 2 2" xfId="50754"/>
    <cellStyle name="输出 2 3 5 4" xfId="50755"/>
    <cellStyle name="输出 2 3 5 4 2" xfId="50756"/>
    <cellStyle name="输出 2 3 6" xfId="50757"/>
    <cellStyle name="输出 2 3 6 2" xfId="50758"/>
    <cellStyle name="输出 2 3 6 2 2" xfId="50759"/>
    <cellStyle name="输出 2 3 6 2 2 2" xfId="50760"/>
    <cellStyle name="输出 2 3 6 3" xfId="50761"/>
    <cellStyle name="输出 2 3 6 3 2" xfId="50762"/>
    <cellStyle name="输出 2 3 7" xfId="50763"/>
    <cellStyle name="输出 2 3 7 2" xfId="50764"/>
    <cellStyle name="输出 2 3 7 2 2" xfId="50765"/>
    <cellStyle name="输出 2 3 7 2 2 2" xfId="50766"/>
    <cellStyle name="输出 2 3 7 3" xfId="50767"/>
    <cellStyle name="输出 2 3 7 3 2" xfId="50768"/>
    <cellStyle name="输出 2 3 8" xfId="50769"/>
    <cellStyle name="输出 2 3 9" xfId="50770"/>
    <cellStyle name="输出 2 4" xfId="50771"/>
    <cellStyle name="输出 2 4 2" xfId="50772"/>
    <cellStyle name="输出 2 4 2 2" xfId="50773"/>
    <cellStyle name="输出 2 4 2 3" xfId="50774"/>
    <cellStyle name="输出 2 4 2 3 2" xfId="50775"/>
    <cellStyle name="输出 2 4 2 3 2 2" xfId="50776"/>
    <cellStyle name="输出 2 4 2 4" xfId="50777"/>
    <cellStyle name="输出 2 4 2 4 2" xfId="50778"/>
    <cellStyle name="输出 2 4 3" xfId="50779"/>
    <cellStyle name="输出 2 4 3 2" xfId="50780"/>
    <cellStyle name="输出 2 4 3 2 2" xfId="50781"/>
    <cellStyle name="输出 2 4 3 2 2 2" xfId="50782"/>
    <cellStyle name="输出 2 4 3 3" xfId="50783"/>
    <cellStyle name="输出 2 4 3 3 2" xfId="50784"/>
    <cellStyle name="输出 2 4 4" xfId="50785"/>
    <cellStyle name="输出 2 4 5" xfId="50786"/>
    <cellStyle name="输出 2 4 6" xfId="50787"/>
    <cellStyle name="输出 2 5" xfId="50788"/>
    <cellStyle name="输出 2 5 2" xfId="50789"/>
    <cellStyle name="输出 2 5 2 2" xfId="50790"/>
    <cellStyle name="输出 2 5 2 3" xfId="50791"/>
    <cellStyle name="输出 2 5 2 3 2" xfId="50792"/>
    <cellStyle name="输出 2 5 2 3 2 2" xfId="50793"/>
    <cellStyle name="输出 2 5 2 4" xfId="50794"/>
    <cellStyle name="输出 2 5 2 4 2" xfId="50795"/>
    <cellStyle name="输出 2 5 3" xfId="50796"/>
    <cellStyle name="输出 2 5 4" xfId="50797"/>
    <cellStyle name="输出 2 5 5" xfId="50798"/>
    <cellStyle name="输出 2 5 6" xfId="50799"/>
    <cellStyle name="输出 2 6" xfId="50800"/>
    <cellStyle name="输出 2 6 2" xfId="50801"/>
    <cellStyle name="输出 2 6 2 2" xfId="50802"/>
    <cellStyle name="输出 2 6 2 2 2" xfId="50803"/>
    <cellStyle name="输出 2 6 2 2 2 2" xfId="50804"/>
    <cellStyle name="输出 2 6 2 3" xfId="50805"/>
    <cellStyle name="输出 2 6 2 3 2" xfId="50806"/>
    <cellStyle name="输出 2 6 3" xfId="50807"/>
    <cellStyle name="输出 2 6 3 2" xfId="50808"/>
    <cellStyle name="输出 2 6 3 2 2" xfId="50809"/>
    <cellStyle name="输出 2 6 4" xfId="50810"/>
    <cellStyle name="输出 2 6 4 2" xfId="50811"/>
    <cellStyle name="输出 2 7" xfId="50812"/>
    <cellStyle name="输出 2 7 2" xfId="50813"/>
    <cellStyle name="输出 2 7 2 2" xfId="50814"/>
    <cellStyle name="输出 2 7 2 2 2" xfId="50815"/>
    <cellStyle name="输出 2 7 2 2 2 2" xfId="50816"/>
    <cellStyle name="输出 2 7 2 3" xfId="50817"/>
    <cellStyle name="输出 2 7 2 3 2" xfId="50818"/>
    <cellStyle name="输出 2 7 3" xfId="50819"/>
    <cellStyle name="输出 2 7 3 2" xfId="50820"/>
    <cellStyle name="输出 2 7 3 2 2" xfId="50821"/>
    <cellStyle name="输出 2 7 4" xfId="50822"/>
    <cellStyle name="输出 2 7 4 2" xfId="50823"/>
    <cellStyle name="输出 2 8" xfId="50824"/>
    <cellStyle name="输出 2 8 2" xfId="50825"/>
    <cellStyle name="输出 2 8 2 2" xfId="50826"/>
    <cellStyle name="输出 2 8 2 2 2" xfId="50827"/>
    <cellStyle name="输出 2 8 2 2 2 2" xfId="50828"/>
    <cellStyle name="输出 2 8 2 3" xfId="50829"/>
    <cellStyle name="输出 2 8 2 3 2" xfId="50830"/>
    <cellStyle name="输出 2 8 3" xfId="50831"/>
    <cellStyle name="输出 2 8 3 2" xfId="50832"/>
    <cellStyle name="输出 2 8 3 2 2" xfId="50833"/>
    <cellStyle name="输出 2 8 4" xfId="50834"/>
    <cellStyle name="输出 2 8 4 2" xfId="50835"/>
    <cellStyle name="输出 2 9" xfId="50836"/>
    <cellStyle name="输出 2 9 2" xfId="50837"/>
    <cellStyle name="输出 2 9 2 2" xfId="50838"/>
    <cellStyle name="输出 2 9 2 2 2" xfId="50839"/>
    <cellStyle name="输出 2 9 3" xfId="50840"/>
    <cellStyle name="输出 2 9 3 2" xfId="50841"/>
    <cellStyle name="输出 3" xfId="50842"/>
    <cellStyle name="输出 3 2" xfId="50843"/>
    <cellStyle name="输出 3 2 2" xfId="50844"/>
    <cellStyle name="输出 3 2 2 2" xfId="50845"/>
    <cellStyle name="输出 3 2 2 2 2" xfId="50846"/>
    <cellStyle name="输出 3 2 2 2 3" xfId="50847"/>
    <cellStyle name="输出 3 2 2 2 3 2" xfId="50848"/>
    <cellStyle name="输出 3 2 2 2 3 2 2" xfId="50849"/>
    <cellStyle name="输出 3 2 2 2 4" xfId="50850"/>
    <cellStyle name="输出 3 2 2 2 4 2" xfId="50851"/>
    <cellStyle name="输出 3 2 2 3" xfId="50852"/>
    <cellStyle name="输出 3 2 2 3 2" xfId="50853"/>
    <cellStyle name="输出 3 2 2 3 2 2" xfId="50854"/>
    <cellStyle name="输出 3 2 2 3 2 2 2" xfId="50855"/>
    <cellStyle name="输出 3 2 2 3 3" xfId="50856"/>
    <cellStyle name="输出 3 2 2 3 3 2" xfId="50857"/>
    <cellStyle name="输出 3 2 2 4" xfId="50858"/>
    <cellStyle name="输出 3 2 2 5" xfId="50859"/>
    <cellStyle name="输出 3 2 2 6" xfId="50860"/>
    <cellStyle name="输出 3 2 3" xfId="50861"/>
    <cellStyle name="输出 3 2 3 2" xfId="50862"/>
    <cellStyle name="输出 3 2 3 3" xfId="50863"/>
    <cellStyle name="输出 3 2 3 3 2" xfId="50864"/>
    <cellStyle name="输出 3 2 3 3 2 2" xfId="50865"/>
    <cellStyle name="输出 3 2 3 4" xfId="50866"/>
    <cellStyle name="输出 3 2 3 4 2" xfId="50867"/>
    <cellStyle name="输出 3 2 4" xfId="50868"/>
    <cellStyle name="输出 3 2 4 2" xfId="50869"/>
    <cellStyle name="输出 3 2 4 2 2" xfId="50870"/>
    <cellStyle name="输出 3 2 4 2 2 2" xfId="50871"/>
    <cellStyle name="输出 3 2 4 3" xfId="50872"/>
    <cellStyle name="输出 3 2 4 3 2" xfId="50873"/>
    <cellStyle name="输出 3 2 5" xfId="50874"/>
    <cellStyle name="输出 3 2 6" xfId="50875"/>
    <cellStyle name="输出 3 2 7" xfId="50876"/>
    <cellStyle name="输出 3 3" xfId="50877"/>
    <cellStyle name="输出 3 3 2" xfId="50878"/>
    <cellStyle name="输出 3 3 2 2" xfId="50879"/>
    <cellStyle name="输出 3 3 2 3" xfId="50880"/>
    <cellStyle name="输出 3 3 2 3 2" xfId="50881"/>
    <cellStyle name="输出 3 3 2 3 2 2" xfId="50882"/>
    <cellStyle name="输出 3 3 2 4" xfId="50883"/>
    <cellStyle name="输出 3 3 2 4 2" xfId="50884"/>
    <cellStyle name="输出 3 3 3" xfId="50885"/>
    <cellStyle name="输出 3 3 3 2" xfId="50886"/>
    <cellStyle name="输出 3 3 3 2 2" xfId="50887"/>
    <cellStyle name="输出 3 3 3 2 2 2" xfId="50888"/>
    <cellStyle name="输出 3 3 3 3" xfId="50889"/>
    <cellStyle name="输出 3 3 3 3 2" xfId="50890"/>
    <cellStyle name="输出 3 3 4" xfId="50891"/>
    <cellStyle name="输出 3 3 5" xfId="50892"/>
    <cellStyle name="输出 3 3 6" xfId="50893"/>
    <cellStyle name="输出 3 4" xfId="50894"/>
    <cellStyle name="输出 3 4 2" xfId="50895"/>
    <cellStyle name="输出 3 4 2 2" xfId="50896"/>
    <cellStyle name="输出 3 4 2 3" xfId="50897"/>
    <cellStyle name="输出 3 4 2 3 2" xfId="50898"/>
    <cellStyle name="输出 3 4 2 3 2 2" xfId="50899"/>
    <cellStyle name="输出 3 4 2 4" xfId="50900"/>
    <cellStyle name="输出 3 4 2 4 2" xfId="50901"/>
    <cellStyle name="输出 3 4 3" xfId="50902"/>
    <cellStyle name="输出 3 4 4" xfId="50903"/>
    <cellStyle name="输出 3 4 5" xfId="50904"/>
    <cellStyle name="输出 3 4 6" xfId="50905"/>
    <cellStyle name="输出 3 5" xfId="50906"/>
    <cellStyle name="输出 3 5 2" xfId="50907"/>
    <cellStyle name="输出 3 5 2 2" xfId="50908"/>
    <cellStyle name="输出 3 5 2 2 2" xfId="50909"/>
    <cellStyle name="输出 3 5 2 2 2 2" xfId="50910"/>
    <cellStyle name="输出 3 5 2 3" xfId="50911"/>
    <cellStyle name="输出 3 5 2 3 2" xfId="50912"/>
    <cellStyle name="输出 3 5 3" xfId="50913"/>
    <cellStyle name="输出 3 5 3 2" xfId="50914"/>
    <cellStyle name="输出 3 5 3 2 2" xfId="50915"/>
    <cellStyle name="输出 3 5 4" xfId="50916"/>
    <cellStyle name="输出 3 5 4 2" xfId="50917"/>
    <cellStyle name="输出 3 6" xfId="50918"/>
    <cellStyle name="输出 3 6 2" xfId="50919"/>
    <cellStyle name="输出 3 6 2 2" xfId="50920"/>
    <cellStyle name="输出 3 6 2 2 2" xfId="50921"/>
    <cellStyle name="输出 3 6 3" xfId="50922"/>
    <cellStyle name="输出 3 6 3 2" xfId="50923"/>
    <cellStyle name="输出 3 7" xfId="50924"/>
    <cellStyle name="输出 3 8" xfId="50925"/>
    <cellStyle name="适中 2" xfId="50926"/>
    <cellStyle name="适中 2 10" xfId="50927"/>
    <cellStyle name="适中 2 11" xfId="50928"/>
    <cellStyle name="适中 2 2" xfId="50929"/>
    <cellStyle name="适中 2 2 10" xfId="50930"/>
    <cellStyle name="适中 2 2 11" xfId="50931"/>
    <cellStyle name="适中 2 2 2" xfId="50932"/>
    <cellStyle name="适中 2 2 2 2" xfId="50933"/>
    <cellStyle name="适中 2 2 2 2 2" xfId="50934"/>
    <cellStyle name="适中 2 2 2 2 2 2" xfId="50935"/>
    <cellStyle name="适中 2 2 2 2 2 3" xfId="50936"/>
    <cellStyle name="适中 2 2 2 2 2 3 2" xfId="50937"/>
    <cellStyle name="适中 2 2 2 2 2 3 2 2" xfId="50938"/>
    <cellStyle name="适中 2 2 2 2 2 4" xfId="50939"/>
    <cellStyle name="适中 2 2 2 2 2 4 2" xfId="50940"/>
    <cellStyle name="适中 2 2 2 2 3" xfId="50941"/>
    <cellStyle name="适中 2 2 2 2 3 2" xfId="50942"/>
    <cellStyle name="适中 2 2 2 2 3 2 2" xfId="50943"/>
    <cellStyle name="适中 2 2 2 2 3 2 2 2" xfId="50944"/>
    <cellStyle name="适中 2 2 2 2 3 3" xfId="50945"/>
    <cellStyle name="适中 2 2 2 2 3 3 2" xfId="50946"/>
    <cellStyle name="适中 2 2 2 2 4" xfId="50947"/>
    <cellStyle name="适中 2 2 2 2 5" xfId="50948"/>
    <cellStyle name="适中 2 2 2 2 6" xfId="50949"/>
    <cellStyle name="适中 2 2 2 3" xfId="50950"/>
    <cellStyle name="适中 2 2 2 3 2" xfId="50951"/>
    <cellStyle name="适中 2 2 2 3 3" xfId="50952"/>
    <cellStyle name="适中 2 2 2 3 3 2" xfId="50953"/>
    <cellStyle name="适中 2 2 2 3 3 2 2" xfId="50954"/>
    <cellStyle name="适中 2 2 2 3 4" xfId="50955"/>
    <cellStyle name="适中 2 2 2 3 4 2" xfId="50956"/>
    <cellStyle name="适中 2 2 2 4" xfId="50957"/>
    <cellStyle name="适中 2 2 2 4 2" xfId="50958"/>
    <cellStyle name="适中 2 2 2 4 2 2" xfId="50959"/>
    <cellStyle name="适中 2 2 2 4 2 2 2" xfId="50960"/>
    <cellStyle name="适中 2 2 2 4 3" xfId="50961"/>
    <cellStyle name="适中 2 2 2 4 3 2" xfId="50962"/>
    <cellStyle name="适中 2 2 2 5" xfId="50963"/>
    <cellStyle name="适中 2 2 2 6" xfId="50964"/>
    <cellStyle name="适中 2 2 2 7" xfId="50965"/>
    <cellStyle name="适中 2 2 3" xfId="50966"/>
    <cellStyle name="适中 2 2 3 2" xfId="50967"/>
    <cellStyle name="适中 2 2 3 2 2" xfId="50968"/>
    <cellStyle name="适中 2 2 3 2 3" xfId="50969"/>
    <cellStyle name="适中 2 2 3 2 3 2" xfId="50970"/>
    <cellStyle name="适中 2 2 3 2 3 2 2" xfId="50971"/>
    <cellStyle name="适中 2 2 3 2 4" xfId="50972"/>
    <cellStyle name="适中 2 2 3 2 4 2" xfId="50973"/>
    <cellStyle name="适中 2 2 3 3" xfId="50974"/>
    <cellStyle name="适中 2 2 3 3 2" xfId="50975"/>
    <cellStyle name="适中 2 2 3 3 2 2" xfId="50976"/>
    <cellStyle name="适中 2 2 3 3 2 2 2" xfId="50977"/>
    <cellStyle name="适中 2 2 3 3 3" xfId="50978"/>
    <cellStyle name="适中 2 2 3 3 3 2" xfId="50979"/>
    <cellStyle name="适中 2 2 3 4" xfId="50980"/>
    <cellStyle name="适中 2 2 3 5" xfId="50981"/>
    <cellStyle name="适中 2 2 3 6" xfId="50982"/>
    <cellStyle name="适中 2 2 4" xfId="50983"/>
    <cellStyle name="适中 2 2 4 2" xfId="50984"/>
    <cellStyle name="适中 2 2 4 2 2" xfId="50985"/>
    <cellStyle name="适中 2 2 4 2 3" xfId="50986"/>
    <cellStyle name="适中 2 2 4 2 3 2" xfId="50987"/>
    <cellStyle name="适中 2 2 4 2 3 2 2" xfId="50988"/>
    <cellStyle name="适中 2 2 4 2 4" xfId="50989"/>
    <cellStyle name="适中 2 2 4 2 4 2" xfId="50990"/>
    <cellStyle name="适中 2 2 4 3" xfId="50991"/>
    <cellStyle name="适中 2 2 4 4" xfId="50992"/>
    <cellStyle name="适中 2 2 4 5" xfId="50993"/>
    <cellStyle name="适中 2 2 4 6" xfId="50994"/>
    <cellStyle name="适中 2 2 5" xfId="50995"/>
    <cellStyle name="适中 2 2 5 2" xfId="50996"/>
    <cellStyle name="适中 2 2 5 2 2" xfId="50997"/>
    <cellStyle name="适中 2 2 5 2 2 2" xfId="50998"/>
    <cellStyle name="适中 2 2 5 2 2 2 2" xfId="50999"/>
    <cellStyle name="适中 2 2 5 2 3" xfId="51000"/>
    <cellStyle name="适中 2 2 5 2 3 2" xfId="51001"/>
    <cellStyle name="适中 2 2 5 3" xfId="51002"/>
    <cellStyle name="适中 2 2 5 3 2" xfId="51003"/>
    <cellStyle name="适中 2 2 5 3 2 2" xfId="51004"/>
    <cellStyle name="适中 2 2 5 4" xfId="51005"/>
    <cellStyle name="适中 2 2 5 4 2" xfId="51006"/>
    <cellStyle name="适中 2 2 6" xfId="51007"/>
    <cellStyle name="适中 2 2 6 2" xfId="51008"/>
    <cellStyle name="适中 2 2 6 2 2" xfId="51009"/>
    <cellStyle name="适中 2 2 6 2 2 2" xfId="51010"/>
    <cellStyle name="适中 2 2 6 2 2 2 2" xfId="51011"/>
    <cellStyle name="适中 2 2 6 2 3" xfId="51012"/>
    <cellStyle name="适中 2 2 6 2 3 2" xfId="51013"/>
    <cellStyle name="适中 2 2 6 3" xfId="51014"/>
    <cellStyle name="适中 2 2 6 3 2" xfId="51015"/>
    <cellStyle name="适中 2 2 6 3 2 2" xfId="51016"/>
    <cellStyle name="适中 2 2 6 4" xfId="51017"/>
    <cellStyle name="适中 2 2 6 4 2" xfId="51018"/>
    <cellStyle name="适中 2 2 7" xfId="51019"/>
    <cellStyle name="适中 2 2 7 2" xfId="51020"/>
    <cellStyle name="适中 2 2 7 2 2" xfId="51021"/>
    <cellStyle name="适中 2 2 7 2 2 2" xfId="51022"/>
    <cellStyle name="适中 2 2 7 2 2 2 2" xfId="51023"/>
    <cellStyle name="适中 2 2 7 2 3" xfId="51024"/>
    <cellStyle name="适中 2 2 7 2 3 2" xfId="51025"/>
    <cellStyle name="适中 2 2 7 3" xfId="51026"/>
    <cellStyle name="适中 2 2 7 3 2" xfId="51027"/>
    <cellStyle name="适中 2 2 7 3 2 2" xfId="51028"/>
    <cellStyle name="适中 2 2 7 4" xfId="51029"/>
    <cellStyle name="适中 2 2 7 4 2" xfId="51030"/>
    <cellStyle name="适中 2 2 8" xfId="51031"/>
    <cellStyle name="适中 2 2 8 2" xfId="51032"/>
    <cellStyle name="适中 2 2 8 2 2" xfId="51033"/>
    <cellStyle name="适中 2 2 8 2 2 2" xfId="51034"/>
    <cellStyle name="适中 2 2 8 3" xfId="51035"/>
    <cellStyle name="适中 2 2 8 3 2" xfId="51036"/>
    <cellStyle name="适中 2 2 9" xfId="51037"/>
    <cellStyle name="适中 2 2 9 2" xfId="51038"/>
    <cellStyle name="适中 2 2 9 2 2" xfId="51039"/>
    <cellStyle name="适中 2 2 9 2 2 2" xfId="51040"/>
    <cellStyle name="适中 2 2 9 3" xfId="51041"/>
    <cellStyle name="适中 2 2 9 3 2" xfId="51042"/>
    <cellStyle name="适中 2 3" xfId="51043"/>
    <cellStyle name="适中 2 3 2" xfId="51044"/>
    <cellStyle name="适中 2 3 2 2" xfId="51045"/>
    <cellStyle name="适中 2 3 2 2 2" xfId="51046"/>
    <cellStyle name="适中 2 3 2 2 2 2" xfId="51047"/>
    <cellStyle name="适中 2 3 2 2 2 3" xfId="51048"/>
    <cellStyle name="适中 2 3 2 2 2 3 2" xfId="51049"/>
    <cellStyle name="适中 2 3 2 2 2 3 2 2" xfId="51050"/>
    <cellStyle name="适中 2 3 2 2 2 4" xfId="51051"/>
    <cellStyle name="适中 2 3 2 2 2 4 2" xfId="51052"/>
    <cellStyle name="适中 2 3 2 2 3" xfId="51053"/>
    <cellStyle name="适中 2 3 2 2 3 2" xfId="51054"/>
    <cellStyle name="适中 2 3 2 2 3 2 2" xfId="51055"/>
    <cellStyle name="适中 2 3 2 2 3 2 2 2" xfId="51056"/>
    <cellStyle name="适中 2 3 2 2 3 3" xfId="51057"/>
    <cellStyle name="适中 2 3 2 2 3 3 2" xfId="51058"/>
    <cellStyle name="适中 2 3 2 2 4" xfId="51059"/>
    <cellStyle name="适中 2 3 2 2 5" xfId="51060"/>
    <cellStyle name="适中 2 3 2 2 6" xfId="51061"/>
    <cellStyle name="适中 2 3 2 3" xfId="51062"/>
    <cellStyle name="适中 2 3 2 3 2" xfId="51063"/>
    <cellStyle name="适中 2 3 2 3 3" xfId="51064"/>
    <cellStyle name="适中 2 3 2 3 3 2" xfId="51065"/>
    <cellStyle name="适中 2 3 2 3 3 2 2" xfId="51066"/>
    <cellStyle name="适中 2 3 2 3 4" xfId="51067"/>
    <cellStyle name="适中 2 3 2 3 4 2" xfId="51068"/>
    <cellStyle name="适中 2 3 2 4" xfId="51069"/>
    <cellStyle name="适中 2 3 2 4 2" xfId="51070"/>
    <cellStyle name="适中 2 3 2 4 2 2" xfId="51071"/>
    <cellStyle name="适中 2 3 2 4 2 2 2" xfId="51072"/>
    <cellStyle name="适中 2 3 2 4 3" xfId="51073"/>
    <cellStyle name="适中 2 3 2 4 3 2" xfId="51074"/>
    <cellStyle name="适中 2 3 2 5" xfId="51075"/>
    <cellStyle name="适中 2 3 2 6" xfId="51076"/>
    <cellStyle name="适中 2 3 2 7" xfId="51077"/>
    <cellStyle name="适中 2 3 3" xfId="51078"/>
    <cellStyle name="适中 2 3 3 2" xfId="51079"/>
    <cellStyle name="适中 2 3 3 2 2" xfId="51080"/>
    <cellStyle name="适中 2 3 3 2 3" xfId="51081"/>
    <cellStyle name="适中 2 3 3 2 3 2" xfId="51082"/>
    <cellStyle name="适中 2 3 3 2 3 2 2" xfId="51083"/>
    <cellStyle name="适中 2 3 3 2 4" xfId="51084"/>
    <cellStyle name="适中 2 3 3 2 4 2" xfId="51085"/>
    <cellStyle name="适中 2 3 3 3" xfId="51086"/>
    <cellStyle name="适中 2 3 3 3 2" xfId="51087"/>
    <cellStyle name="适中 2 3 3 3 2 2" xfId="51088"/>
    <cellStyle name="适中 2 3 3 3 2 2 2" xfId="51089"/>
    <cellStyle name="适中 2 3 3 3 3" xfId="51090"/>
    <cellStyle name="适中 2 3 3 3 3 2" xfId="51091"/>
    <cellStyle name="适中 2 3 3 4" xfId="51092"/>
    <cellStyle name="适中 2 3 3 5" xfId="51093"/>
    <cellStyle name="适中 2 3 3 6" xfId="51094"/>
    <cellStyle name="适中 2 3 4" xfId="51095"/>
    <cellStyle name="适中 2 3 4 2" xfId="51096"/>
    <cellStyle name="适中 2 3 4 2 2" xfId="51097"/>
    <cellStyle name="适中 2 3 4 2 3" xfId="51098"/>
    <cellStyle name="适中 2 3 4 2 3 2" xfId="51099"/>
    <cellStyle name="适中 2 3 4 2 3 2 2" xfId="51100"/>
    <cellStyle name="适中 2 3 4 2 4" xfId="51101"/>
    <cellStyle name="适中 2 3 4 2 4 2" xfId="51102"/>
    <cellStyle name="适中 2 3 4 3" xfId="51103"/>
    <cellStyle name="适中 2 3 4 4" xfId="51104"/>
    <cellStyle name="适中 2 3 4 5" xfId="51105"/>
    <cellStyle name="适中 2 3 4 6" xfId="51106"/>
    <cellStyle name="适中 2 3 5" xfId="51107"/>
    <cellStyle name="适中 2 3 5 2" xfId="51108"/>
    <cellStyle name="适中 2 3 5 2 2" xfId="51109"/>
    <cellStyle name="适中 2 3 5 2 2 2" xfId="51110"/>
    <cellStyle name="适中 2 3 5 2 2 2 2" xfId="51111"/>
    <cellStyle name="适中 2 3 5 2 3" xfId="51112"/>
    <cellStyle name="适中 2 3 5 2 3 2" xfId="51113"/>
    <cellStyle name="适中 2 3 5 3" xfId="51114"/>
    <cellStyle name="适中 2 3 5 3 2" xfId="51115"/>
    <cellStyle name="适中 2 3 5 3 2 2" xfId="51116"/>
    <cellStyle name="适中 2 3 5 4" xfId="51117"/>
    <cellStyle name="适中 2 3 5 4 2" xfId="51118"/>
    <cellStyle name="适中 2 3 6" xfId="51119"/>
    <cellStyle name="适中 2 3 6 2" xfId="51120"/>
    <cellStyle name="适中 2 3 6 2 2" xfId="51121"/>
    <cellStyle name="适中 2 3 6 2 2 2" xfId="51122"/>
    <cellStyle name="适中 2 3 6 3" xfId="51123"/>
    <cellStyle name="适中 2 3 6 3 2" xfId="51124"/>
    <cellStyle name="适中 2 3 7" xfId="51125"/>
    <cellStyle name="适中 2 3 7 2" xfId="51126"/>
    <cellStyle name="适中 2 3 7 2 2" xfId="51127"/>
    <cellStyle name="适中 2 3 7 2 2 2" xfId="51128"/>
    <cellStyle name="适中 2 3 7 3" xfId="51129"/>
    <cellStyle name="适中 2 3 7 3 2" xfId="51130"/>
    <cellStyle name="适中 2 3 8" xfId="51131"/>
    <cellStyle name="适中 2 3 9" xfId="51132"/>
    <cellStyle name="适中 2 4" xfId="51133"/>
    <cellStyle name="适中 2 4 2" xfId="51134"/>
    <cellStyle name="适中 2 4 2 2" xfId="51135"/>
    <cellStyle name="适中 2 4 2 3" xfId="51136"/>
    <cellStyle name="适中 2 4 2 3 2" xfId="51137"/>
    <cellStyle name="适中 2 4 2 3 2 2" xfId="51138"/>
    <cellStyle name="适中 2 4 2 4" xfId="51139"/>
    <cellStyle name="适中 2 4 2 4 2" xfId="51140"/>
    <cellStyle name="适中 2 4 3" xfId="51141"/>
    <cellStyle name="适中 2 4 3 2" xfId="51142"/>
    <cellStyle name="适中 2 4 3 2 2" xfId="51143"/>
    <cellStyle name="适中 2 4 3 2 2 2" xfId="51144"/>
    <cellStyle name="适中 2 4 3 3" xfId="51145"/>
    <cellStyle name="适中 2 4 3 3 2" xfId="51146"/>
    <cellStyle name="适中 2 4 4" xfId="51147"/>
    <cellStyle name="适中 2 4 5" xfId="51148"/>
    <cellStyle name="适中 2 4 6" xfId="51149"/>
    <cellStyle name="适中 2 5" xfId="51150"/>
    <cellStyle name="适中 2 5 2" xfId="51151"/>
    <cellStyle name="适中 2 5 2 2" xfId="51152"/>
    <cellStyle name="适中 2 5 2 3" xfId="51153"/>
    <cellStyle name="适中 2 5 2 3 2" xfId="51154"/>
    <cellStyle name="适中 2 5 2 3 2 2" xfId="51155"/>
    <cellStyle name="适中 2 5 2 4" xfId="51156"/>
    <cellStyle name="适中 2 5 2 4 2" xfId="51157"/>
    <cellStyle name="适中 2 5 3" xfId="51158"/>
    <cellStyle name="适中 2 5 4" xfId="51159"/>
    <cellStyle name="适中 2 5 5" xfId="51160"/>
    <cellStyle name="适中 2 5 6" xfId="51161"/>
    <cellStyle name="适中 2 6" xfId="51162"/>
    <cellStyle name="适中 2 6 2" xfId="51163"/>
    <cellStyle name="适中 2 6 2 2" xfId="51164"/>
    <cellStyle name="适中 2 6 2 2 2" xfId="51165"/>
    <cellStyle name="适中 2 6 2 2 2 2" xfId="51166"/>
    <cellStyle name="适中 2 6 2 3" xfId="51167"/>
    <cellStyle name="适中 2 6 2 3 2" xfId="51168"/>
    <cellStyle name="适中 2 6 3" xfId="51169"/>
    <cellStyle name="适中 2 6 3 2" xfId="51170"/>
    <cellStyle name="适中 2 6 3 2 2" xfId="51171"/>
    <cellStyle name="适中 2 6 4" xfId="51172"/>
    <cellStyle name="适中 2 6 4 2" xfId="51173"/>
    <cellStyle name="适中 2 7" xfId="51174"/>
    <cellStyle name="适中 2 7 2" xfId="51175"/>
    <cellStyle name="适中 2 7 2 2" xfId="51176"/>
    <cellStyle name="适中 2 7 2 2 2" xfId="51177"/>
    <cellStyle name="适中 2 7 2 2 2 2" xfId="51178"/>
    <cellStyle name="适中 2 7 2 3" xfId="51179"/>
    <cellStyle name="适中 2 7 2 3 2" xfId="51180"/>
    <cellStyle name="适中 2 7 3" xfId="51181"/>
    <cellStyle name="适中 2 7 3 2" xfId="51182"/>
    <cellStyle name="适中 2 7 3 2 2" xfId="51183"/>
    <cellStyle name="适中 2 7 4" xfId="51184"/>
    <cellStyle name="适中 2 7 4 2" xfId="51185"/>
    <cellStyle name="适中 2 8" xfId="51186"/>
    <cellStyle name="适中 2 8 2" xfId="51187"/>
    <cellStyle name="适中 2 8 2 2" xfId="51188"/>
    <cellStyle name="适中 2 8 2 2 2" xfId="51189"/>
    <cellStyle name="适中 2 8 2 2 2 2" xfId="51190"/>
    <cellStyle name="适中 2 8 2 3" xfId="51191"/>
    <cellStyle name="适中 2 8 2 3 2" xfId="51192"/>
    <cellStyle name="适中 2 8 3" xfId="51193"/>
    <cellStyle name="适中 2 8 3 2" xfId="51194"/>
    <cellStyle name="适中 2 8 3 2 2" xfId="51195"/>
    <cellStyle name="适中 2 8 4" xfId="51196"/>
    <cellStyle name="适中 2 8 4 2" xfId="51197"/>
    <cellStyle name="适中 2 9" xfId="51198"/>
    <cellStyle name="适中 2 9 2" xfId="51199"/>
    <cellStyle name="适中 2 9 2 2" xfId="51200"/>
    <cellStyle name="适中 2 9 2 2 2" xfId="51201"/>
    <cellStyle name="适中 2 9 3" xfId="51202"/>
    <cellStyle name="适中 2 9 3 2" xfId="51203"/>
    <cellStyle name="适中 3" xfId="51204"/>
    <cellStyle name="适中 3 2" xfId="51205"/>
    <cellStyle name="适中 3 2 2" xfId="51206"/>
    <cellStyle name="适中 3 2 2 2" xfId="51207"/>
    <cellStyle name="适中 3 2 2 2 2" xfId="51208"/>
    <cellStyle name="适中 3 2 2 2 3" xfId="51209"/>
    <cellStyle name="适中 3 2 2 2 3 2" xfId="51210"/>
    <cellStyle name="适中 3 2 2 2 3 2 2" xfId="51211"/>
    <cellStyle name="适中 3 2 2 2 4" xfId="51212"/>
    <cellStyle name="适中 3 2 2 2 4 2" xfId="51213"/>
    <cellStyle name="适中 3 2 2 3" xfId="51214"/>
    <cellStyle name="适中 3 2 2 3 2" xfId="51215"/>
    <cellStyle name="适中 3 2 2 3 2 2" xfId="51216"/>
    <cellStyle name="适中 3 2 2 3 2 2 2" xfId="51217"/>
    <cellStyle name="适中 3 2 2 3 3" xfId="51218"/>
    <cellStyle name="适中 3 2 2 3 3 2" xfId="51219"/>
    <cellStyle name="适中 3 2 2 4" xfId="51220"/>
    <cellStyle name="适中 3 2 2 5" xfId="51221"/>
    <cellStyle name="适中 3 2 2 6" xfId="51222"/>
    <cellStyle name="适中 3 2 3" xfId="51223"/>
    <cellStyle name="适中 3 2 3 2" xfId="51224"/>
    <cellStyle name="适中 3 2 3 3" xfId="51225"/>
    <cellStyle name="适中 3 2 3 3 2" xfId="51226"/>
    <cellStyle name="适中 3 2 3 3 2 2" xfId="51227"/>
    <cellStyle name="适中 3 2 3 4" xfId="51228"/>
    <cellStyle name="适中 3 2 3 4 2" xfId="51229"/>
    <cellStyle name="适中 3 2 4" xfId="51230"/>
    <cellStyle name="适中 3 2 4 2" xfId="51231"/>
    <cellStyle name="适中 3 2 4 2 2" xfId="51232"/>
    <cellStyle name="适中 3 2 4 2 2 2" xfId="51233"/>
    <cellStyle name="适中 3 2 4 3" xfId="51234"/>
    <cellStyle name="适中 3 2 4 3 2" xfId="51235"/>
    <cellStyle name="适中 3 2 5" xfId="51236"/>
    <cellStyle name="适中 3 2 6" xfId="51237"/>
    <cellStyle name="适中 3 2 7" xfId="51238"/>
    <cellStyle name="适中 3 3" xfId="51239"/>
    <cellStyle name="适中 3 3 2" xfId="51240"/>
    <cellStyle name="适中 3 3 2 2" xfId="51241"/>
    <cellStyle name="适中 3 3 2 3" xfId="51242"/>
    <cellStyle name="适中 3 3 2 3 2" xfId="51243"/>
    <cellStyle name="适中 3 3 2 3 2 2" xfId="51244"/>
    <cellStyle name="适中 3 3 2 4" xfId="51245"/>
    <cellStyle name="适中 3 3 2 4 2" xfId="51246"/>
    <cellStyle name="适中 3 3 3" xfId="51247"/>
    <cellStyle name="适中 3 3 3 2" xfId="51248"/>
    <cellStyle name="适中 3 3 3 2 2" xfId="51249"/>
    <cellStyle name="适中 3 3 3 2 2 2" xfId="51250"/>
    <cellStyle name="适中 3 3 3 3" xfId="51251"/>
    <cellStyle name="适中 3 3 3 3 2" xfId="51252"/>
    <cellStyle name="适中 3 3 4" xfId="51253"/>
    <cellStyle name="适中 3 3 5" xfId="51254"/>
    <cellStyle name="适中 3 3 6" xfId="51255"/>
    <cellStyle name="适中 3 4" xfId="51256"/>
    <cellStyle name="适中 3 4 2" xfId="51257"/>
    <cellStyle name="适中 3 4 2 2" xfId="51258"/>
    <cellStyle name="适中 3 4 2 3" xfId="51259"/>
    <cellStyle name="适中 3 4 2 3 2" xfId="51260"/>
    <cellStyle name="适中 3 4 2 3 2 2" xfId="51261"/>
    <cellStyle name="适中 3 4 2 4" xfId="51262"/>
    <cellStyle name="适中 3 4 2 4 2" xfId="51263"/>
    <cellStyle name="适中 3 4 3" xfId="51264"/>
    <cellStyle name="适中 3 4 4" xfId="51265"/>
    <cellStyle name="适中 3 4 5" xfId="51266"/>
    <cellStyle name="适中 3 4 6" xfId="51267"/>
    <cellStyle name="适中 3 5" xfId="51268"/>
    <cellStyle name="适中 3 5 2" xfId="51269"/>
    <cellStyle name="适中 3 5 2 2" xfId="51270"/>
    <cellStyle name="适中 3 5 2 2 2" xfId="51271"/>
    <cellStyle name="适中 3 5 2 2 2 2" xfId="51272"/>
    <cellStyle name="适中 3 5 2 3" xfId="51273"/>
    <cellStyle name="适中 3 5 2 3 2" xfId="51274"/>
    <cellStyle name="适中 3 5 3" xfId="51275"/>
    <cellStyle name="适中 3 5 3 2" xfId="51276"/>
    <cellStyle name="适中 3 5 3 2 2" xfId="51277"/>
    <cellStyle name="适中 3 5 4" xfId="51278"/>
    <cellStyle name="适中 3 5 4 2" xfId="51279"/>
    <cellStyle name="适中 3 6" xfId="51280"/>
    <cellStyle name="适中 3 6 2" xfId="51281"/>
    <cellStyle name="适中 3 6 2 2" xfId="51282"/>
    <cellStyle name="适中 3 6 2 2 2" xfId="51283"/>
    <cellStyle name="适中 3 6 3" xfId="51284"/>
    <cellStyle name="适中 3 6 3 2" xfId="51285"/>
    <cellStyle name="适中 3 7" xfId="51286"/>
    <cellStyle name="适中 3 8" xfId="51287"/>
    <cellStyle name="链接单元格 2" xfId="51288"/>
    <cellStyle name="链接单元格 2 10" xfId="51289"/>
    <cellStyle name="链接单元格 2 11" xfId="51290"/>
    <cellStyle name="链接单元格 2 2" xfId="51291"/>
    <cellStyle name="链接单元格 2 2 10" xfId="51292"/>
    <cellStyle name="链接单元格 2 2 11" xfId="51293"/>
    <cellStyle name="链接单元格 2 2 2" xfId="51294"/>
    <cellStyle name="链接单元格 2 2 2 2" xfId="51295"/>
    <cellStyle name="链接单元格 2 2 2 2 2" xfId="51296"/>
    <cellStyle name="链接单元格 2 2 2 2 2 2" xfId="51297"/>
    <cellStyle name="链接单元格 2 2 2 2 2 3" xfId="51298"/>
    <cellStyle name="链接单元格 2 2 2 2 2 3 2" xfId="51299"/>
    <cellStyle name="链接单元格 2 2 2 2 2 3 2 2" xfId="51300"/>
    <cellStyle name="链接单元格 2 2 2 2 2 4" xfId="51301"/>
    <cellStyle name="链接单元格 2 2 2 2 2 4 2" xfId="51302"/>
    <cellStyle name="链接单元格 2 2 2 2 3" xfId="51303"/>
    <cellStyle name="链接单元格 2 2 2 2 3 2" xfId="51304"/>
    <cellStyle name="链接单元格 2 2 2 2 3 2 2" xfId="51305"/>
    <cellStyle name="链接单元格 2 2 2 2 3 2 2 2" xfId="51306"/>
    <cellStyle name="链接单元格 2 2 2 2 3 3" xfId="51307"/>
    <cellStyle name="链接单元格 2 2 2 2 3 3 2" xfId="51308"/>
    <cellStyle name="链接单元格 2 2 2 2 4" xfId="51309"/>
    <cellStyle name="链接单元格 2 2 2 2 5" xfId="51310"/>
    <cellStyle name="链接单元格 2 2 2 2 6" xfId="51311"/>
    <cellStyle name="链接单元格 2 2 2 3" xfId="51312"/>
    <cellStyle name="链接单元格 2 2 2 3 2" xfId="51313"/>
    <cellStyle name="链接单元格 2 2 2 3 3" xfId="51314"/>
    <cellStyle name="链接单元格 2 2 2 3 3 2" xfId="51315"/>
    <cellStyle name="链接单元格 2 2 2 3 3 2 2" xfId="51316"/>
    <cellStyle name="链接单元格 2 2 2 3 4" xfId="51317"/>
    <cellStyle name="链接单元格 2 2 2 3 4 2" xfId="51318"/>
    <cellStyle name="链接单元格 2 2 2 4" xfId="51319"/>
    <cellStyle name="链接单元格 2 2 2 4 2" xfId="51320"/>
    <cellStyle name="链接单元格 2 2 2 4 2 2" xfId="51321"/>
    <cellStyle name="链接单元格 2 2 2 4 2 2 2" xfId="51322"/>
    <cellStyle name="链接单元格 2 2 2 4 3" xfId="51323"/>
    <cellStyle name="链接单元格 2 2 2 4 3 2" xfId="51324"/>
    <cellStyle name="链接单元格 2 2 2 5" xfId="51325"/>
    <cellStyle name="链接单元格 2 2 2 6" xfId="51326"/>
    <cellStyle name="链接单元格 2 2 2 7" xfId="51327"/>
    <cellStyle name="链接单元格 2 2 3" xfId="51328"/>
    <cellStyle name="链接单元格 2 2 3 2" xfId="51329"/>
    <cellStyle name="链接单元格 2 2 3 2 2" xfId="51330"/>
    <cellStyle name="链接单元格 2 2 3 2 3" xfId="51331"/>
    <cellStyle name="链接单元格 2 2 3 2 3 2" xfId="51332"/>
    <cellStyle name="链接单元格 2 2 3 2 3 2 2" xfId="51333"/>
    <cellStyle name="链接单元格 2 2 3 2 4" xfId="51334"/>
    <cellStyle name="链接单元格 2 2 3 2 4 2" xfId="51335"/>
    <cellStyle name="链接单元格 2 2 3 3" xfId="51336"/>
    <cellStyle name="链接单元格 2 2 3 3 2" xfId="51337"/>
    <cellStyle name="链接单元格 2 2 3 3 2 2" xfId="51338"/>
    <cellStyle name="链接单元格 2 2 3 3 2 2 2" xfId="51339"/>
    <cellStyle name="链接单元格 2 2 3 3 3" xfId="51340"/>
    <cellStyle name="链接单元格 2 2 3 3 3 2" xfId="51341"/>
    <cellStyle name="链接单元格 2 2 3 4" xfId="51342"/>
    <cellStyle name="链接单元格 2 2 3 5" xfId="51343"/>
    <cellStyle name="链接单元格 2 2 3 6" xfId="51344"/>
    <cellStyle name="链接单元格 2 2 4" xfId="51345"/>
    <cellStyle name="链接单元格 2 2 4 2" xfId="51346"/>
    <cellStyle name="链接单元格 2 2 4 2 2" xfId="51347"/>
    <cellStyle name="链接单元格 2 2 4 2 3" xfId="51348"/>
    <cellStyle name="链接单元格 2 2 4 2 3 2" xfId="51349"/>
    <cellStyle name="链接单元格 2 2 4 2 3 2 2" xfId="51350"/>
    <cellStyle name="链接单元格 2 2 4 2 4" xfId="51351"/>
    <cellStyle name="链接单元格 2 2 4 2 4 2" xfId="51352"/>
    <cellStyle name="链接单元格 2 2 4 3" xfId="51353"/>
    <cellStyle name="链接单元格 2 2 4 4" xfId="51354"/>
    <cellStyle name="链接单元格 2 2 4 5" xfId="51355"/>
    <cellStyle name="链接单元格 2 2 4 6" xfId="51356"/>
    <cellStyle name="链接单元格 2 2 5" xfId="51357"/>
    <cellStyle name="链接单元格 2 2 5 2" xfId="51358"/>
    <cellStyle name="链接单元格 2 2 5 2 2" xfId="51359"/>
    <cellStyle name="链接单元格 2 2 5 2 2 2" xfId="51360"/>
    <cellStyle name="链接单元格 2 2 5 2 2 2 2" xfId="51361"/>
    <cellStyle name="链接单元格 2 2 5 2 3" xfId="51362"/>
    <cellStyle name="链接单元格 2 2 5 2 3 2" xfId="51363"/>
    <cellStyle name="链接单元格 2 2 5 3" xfId="51364"/>
    <cellStyle name="链接单元格 2 2 5 3 2" xfId="51365"/>
    <cellStyle name="链接单元格 2 2 5 3 2 2" xfId="51366"/>
    <cellStyle name="链接单元格 2 2 5 4" xfId="51367"/>
    <cellStyle name="链接单元格 2 2 5 4 2" xfId="51368"/>
    <cellStyle name="链接单元格 2 2 6" xfId="51369"/>
    <cellStyle name="链接单元格 2 2 6 2" xfId="51370"/>
    <cellStyle name="链接单元格 2 2 6 2 2" xfId="51371"/>
    <cellStyle name="链接单元格 2 2 6 2 2 2" xfId="51372"/>
    <cellStyle name="链接单元格 2 2 6 2 2 2 2" xfId="51373"/>
    <cellStyle name="链接单元格 2 2 6 2 3" xfId="51374"/>
    <cellStyle name="链接单元格 2 2 6 2 3 2" xfId="51375"/>
    <cellStyle name="链接单元格 2 2 6 3" xfId="51376"/>
    <cellStyle name="链接单元格 2 2 6 3 2" xfId="51377"/>
    <cellStyle name="链接单元格 2 2 6 3 2 2" xfId="51378"/>
    <cellStyle name="链接单元格 2 2 6 4" xfId="51379"/>
    <cellStyle name="链接单元格 2 2 6 4 2" xfId="51380"/>
    <cellStyle name="链接单元格 2 2 7" xfId="51381"/>
    <cellStyle name="链接单元格 2 2 7 2" xfId="51382"/>
    <cellStyle name="链接单元格 2 2 7 2 2" xfId="51383"/>
    <cellStyle name="链接单元格 2 2 7 2 2 2" xfId="51384"/>
    <cellStyle name="链接单元格 2 2 7 2 2 2 2" xfId="51385"/>
    <cellStyle name="链接单元格 2 2 7 2 3" xfId="51386"/>
    <cellStyle name="链接单元格 2 2 7 2 3 2" xfId="51387"/>
    <cellStyle name="链接单元格 2 2 7 3" xfId="51388"/>
    <cellStyle name="链接单元格 2 2 7 3 2" xfId="51389"/>
    <cellStyle name="链接单元格 2 2 7 3 2 2" xfId="51390"/>
    <cellStyle name="链接单元格 2 2 7 4" xfId="51391"/>
    <cellStyle name="链接单元格 2 2 7 4 2" xfId="51392"/>
    <cellStyle name="链接单元格 2 2 8" xfId="51393"/>
    <cellStyle name="链接单元格 2 2 8 2" xfId="51394"/>
    <cellStyle name="链接单元格 2 2 8 2 2" xfId="51395"/>
    <cellStyle name="链接单元格 2 2 8 2 2 2" xfId="51396"/>
    <cellStyle name="链接单元格 2 2 8 3" xfId="51397"/>
    <cellStyle name="链接单元格 2 2 8 3 2" xfId="51398"/>
    <cellStyle name="链接单元格 2 2 9" xfId="51399"/>
    <cellStyle name="链接单元格 2 2 9 2" xfId="51400"/>
    <cellStyle name="链接单元格 2 2 9 2 2" xfId="51401"/>
    <cellStyle name="链接单元格 2 2 9 2 2 2" xfId="51402"/>
    <cellStyle name="链接单元格 2 2 9 3" xfId="51403"/>
    <cellStyle name="链接单元格 2 2 9 3 2" xfId="51404"/>
    <cellStyle name="链接单元格 2 3" xfId="51405"/>
    <cellStyle name="链接单元格 2 3 2" xfId="51406"/>
    <cellStyle name="链接单元格 2 3 2 2" xfId="51407"/>
    <cellStyle name="链接单元格 2 3 2 2 2" xfId="51408"/>
    <cellStyle name="链接单元格 2 3 2 2 2 2" xfId="51409"/>
    <cellStyle name="链接单元格 2 3 2 2 2 3" xfId="51410"/>
    <cellStyle name="链接单元格 2 3 2 2 2 3 2" xfId="51411"/>
    <cellStyle name="链接单元格 2 3 2 2 2 3 2 2" xfId="51412"/>
    <cellStyle name="链接单元格 2 3 2 2 2 4" xfId="51413"/>
    <cellStyle name="链接单元格 2 3 2 2 2 4 2" xfId="51414"/>
    <cellStyle name="链接单元格 2 3 2 2 3" xfId="51415"/>
    <cellStyle name="链接单元格 2 3 2 2 3 2" xfId="51416"/>
    <cellStyle name="链接单元格 2 3 2 2 3 2 2" xfId="51417"/>
    <cellStyle name="链接单元格 2 3 2 2 3 2 2 2" xfId="51418"/>
    <cellStyle name="链接单元格 2 3 2 2 3 3" xfId="51419"/>
    <cellStyle name="链接单元格 2 3 2 2 3 3 2" xfId="51420"/>
    <cellStyle name="链接单元格 2 3 2 2 4" xfId="51421"/>
    <cellStyle name="链接单元格 2 3 2 2 5" xfId="51422"/>
    <cellStyle name="链接单元格 2 3 2 2 6" xfId="51423"/>
    <cellStyle name="链接单元格 2 3 2 3" xfId="51424"/>
    <cellStyle name="链接单元格 2 3 2 3 2" xfId="51425"/>
    <cellStyle name="链接单元格 2 3 2 3 3" xfId="51426"/>
    <cellStyle name="链接单元格 2 3 2 3 3 2" xfId="51427"/>
    <cellStyle name="链接单元格 2 3 2 3 3 2 2" xfId="51428"/>
    <cellStyle name="链接单元格 2 3 2 3 4" xfId="51429"/>
    <cellStyle name="链接单元格 2 3 2 3 4 2" xfId="51430"/>
    <cellStyle name="链接单元格 2 3 2 4" xfId="51431"/>
    <cellStyle name="链接单元格 2 3 2 4 2" xfId="51432"/>
    <cellStyle name="链接单元格 2 3 2 4 2 2" xfId="51433"/>
    <cellStyle name="链接单元格 2 3 2 4 2 2 2" xfId="51434"/>
    <cellStyle name="链接单元格 2 3 2 4 3" xfId="51435"/>
    <cellStyle name="链接单元格 2 3 2 4 3 2" xfId="51436"/>
    <cellStyle name="链接单元格 2 3 2 5" xfId="51437"/>
    <cellStyle name="链接单元格 2 3 2 6" xfId="51438"/>
    <cellStyle name="链接单元格 2 3 2 7" xfId="51439"/>
    <cellStyle name="链接单元格 2 3 3" xfId="51440"/>
    <cellStyle name="链接单元格 2 3 3 2" xfId="51441"/>
    <cellStyle name="链接单元格 2 3 3 2 2" xfId="51442"/>
    <cellStyle name="链接单元格 2 3 3 2 3" xfId="51443"/>
    <cellStyle name="链接单元格 2 3 3 2 3 2" xfId="51444"/>
    <cellStyle name="链接单元格 2 3 3 2 3 2 2" xfId="51445"/>
    <cellStyle name="链接单元格 2 3 3 2 4" xfId="51446"/>
    <cellStyle name="链接单元格 2 3 3 2 4 2" xfId="51447"/>
    <cellStyle name="链接单元格 2 3 3 3" xfId="51448"/>
    <cellStyle name="链接单元格 2 3 3 3 2" xfId="51449"/>
    <cellStyle name="链接单元格 2 3 3 3 2 2" xfId="51450"/>
    <cellStyle name="链接单元格 2 3 3 3 2 2 2" xfId="51451"/>
    <cellStyle name="链接单元格 2 3 3 3 3" xfId="51452"/>
    <cellStyle name="链接单元格 2 3 3 3 3 2" xfId="51453"/>
    <cellStyle name="链接单元格 2 3 3 4" xfId="51454"/>
    <cellStyle name="链接单元格 2 3 3 5" xfId="51455"/>
    <cellStyle name="链接单元格 2 3 3 6" xfId="51456"/>
    <cellStyle name="链接单元格 2 3 4" xfId="51457"/>
    <cellStyle name="链接单元格 2 3 4 2" xfId="51458"/>
    <cellStyle name="链接单元格 2 3 4 2 2" xfId="51459"/>
    <cellStyle name="链接单元格 2 3 4 2 3" xfId="51460"/>
    <cellStyle name="链接单元格 2 3 4 2 3 2" xfId="51461"/>
    <cellStyle name="链接单元格 2 3 4 2 3 2 2" xfId="51462"/>
    <cellStyle name="链接单元格 2 3 4 2 4" xfId="51463"/>
    <cellStyle name="链接单元格 2 3 4 2 4 2" xfId="51464"/>
    <cellStyle name="链接单元格 2 3 4 3" xfId="51465"/>
    <cellStyle name="链接单元格 2 3 4 4" xfId="51466"/>
    <cellStyle name="链接单元格 2 3 4 5" xfId="51467"/>
    <cellStyle name="链接单元格 2 3 4 6" xfId="51468"/>
    <cellStyle name="链接单元格 2 3 5" xfId="51469"/>
    <cellStyle name="链接单元格 2 3 5 2" xfId="51470"/>
    <cellStyle name="链接单元格 2 3 5 2 2" xfId="51471"/>
    <cellStyle name="链接单元格 2 3 5 2 2 2" xfId="51472"/>
    <cellStyle name="链接单元格 2 3 5 2 2 2 2" xfId="51473"/>
    <cellStyle name="链接单元格 2 3 5 2 3" xfId="51474"/>
    <cellStyle name="链接单元格 2 3 5 2 3 2" xfId="51475"/>
    <cellStyle name="链接单元格 2 3 5 3" xfId="51476"/>
    <cellStyle name="链接单元格 2 3 5 3 2" xfId="51477"/>
    <cellStyle name="链接单元格 2 3 5 3 2 2" xfId="51478"/>
    <cellStyle name="链接单元格 2 3 5 4" xfId="51479"/>
    <cellStyle name="链接单元格 2 3 5 4 2" xfId="51480"/>
    <cellStyle name="链接单元格 2 3 6" xfId="51481"/>
    <cellStyle name="链接单元格 2 3 6 2" xfId="51482"/>
    <cellStyle name="链接单元格 2 3 6 2 2" xfId="51483"/>
    <cellStyle name="链接单元格 2 3 6 2 2 2" xfId="51484"/>
    <cellStyle name="链接单元格 2 3 6 3" xfId="51485"/>
    <cellStyle name="链接单元格 2 3 6 3 2" xfId="51486"/>
    <cellStyle name="链接单元格 2 3 7" xfId="51487"/>
    <cellStyle name="链接单元格 2 3 7 2" xfId="51488"/>
    <cellStyle name="链接单元格 2 3 7 2 2" xfId="51489"/>
    <cellStyle name="链接单元格 2 3 7 2 2 2" xfId="51490"/>
    <cellStyle name="链接单元格 2 3 7 3" xfId="51491"/>
    <cellStyle name="链接单元格 2 3 7 3 2" xfId="51492"/>
    <cellStyle name="链接单元格 2 3 8" xfId="51493"/>
    <cellStyle name="链接单元格 2 3 9" xfId="51494"/>
    <cellStyle name="链接单元格 2 4" xfId="51495"/>
    <cellStyle name="链接单元格 2 4 2" xfId="51496"/>
    <cellStyle name="链接单元格 2 4 2 2" xfId="51497"/>
    <cellStyle name="链接单元格 2 4 2 3" xfId="51498"/>
    <cellStyle name="链接单元格 2 4 2 3 2" xfId="51499"/>
    <cellStyle name="链接单元格 2 4 2 3 2 2" xfId="51500"/>
    <cellStyle name="链接单元格 2 4 2 4" xfId="51501"/>
    <cellStyle name="链接单元格 2 4 2 4 2" xfId="51502"/>
    <cellStyle name="链接单元格 2 4 3" xfId="51503"/>
    <cellStyle name="链接单元格 2 4 3 2" xfId="51504"/>
    <cellStyle name="链接单元格 2 4 3 2 2" xfId="51505"/>
    <cellStyle name="链接单元格 2 4 3 2 2 2" xfId="51506"/>
    <cellStyle name="链接单元格 2 4 3 3" xfId="51507"/>
    <cellStyle name="链接单元格 2 4 3 3 2" xfId="51508"/>
    <cellStyle name="链接单元格 2 4 4" xfId="51509"/>
    <cellStyle name="链接单元格 2 4 5" xfId="51510"/>
    <cellStyle name="链接单元格 2 4 6" xfId="51511"/>
    <cellStyle name="链接单元格 2 5" xfId="51512"/>
    <cellStyle name="链接单元格 2 5 2" xfId="51513"/>
    <cellStyle name="链接单元格 2 5 2 2" xfId="51514"/>
    <cellStyle name="链接单元格 2 5 2 3" xfId="51515"/>
    <cellStyle name="链接单元格 2 5 2 3 2" xfId="51516"/>
    <cellStyle name="链接单元格 2 5 2 3 2 2" xfId="51517"/>
    <cellStyle name="链接单元格 2 5 2 4" xfId="51518"/>
    <cellStyle name="链接单元格 2 5 2 4 2" xfId="51519"/>
    <cellStyle name="链接单元格 2 5 3" xfId="51520"/>
    <cellStyle name="链接单元格 2 5 4" xfId="51521"/>
    <cellStyle name="链接单元格 2 5 5" xfId="51522"/>
    <cellStyle name="链接单元格 2 5 6" xfId="51523"/>
    <cellStyle name="链接单元格 2 6" xfId="51524"/>
    <cellStyle name="链接单元格 2 6 2" xfId="51525"/>
    <cellStyle name="链接单元格 2 6 2 2" xfId="51526"/>
    <cellStyle name="链接单元格 2 6 2 2 2" xfId="51527"/>
    <cellStyle name="链接单元格 2 6 2 2 2 2" xfId="51528"/>
    <cellStyle name="链接单元格 2 6 2 3" xfId="51529"/>
    <cellStyle name="链接单元格 2 6 2 3 2" xfId="51530"/>
    <cellStyle name="链接单元格 2 6 3" xfId="51531"/>
    <cellStyle name="链接单元格 2 6 3 2" xfId="51532"/>
    <cellStyle name="链接单元格 2 6 3 2 2" xfId="51533"/>
    <cellStyle name="链接单元格 2 6 4" xfId="51534"/>
    <cellStyle name="链接单元格 2 6 4 2" xfId="51535"/>
    <cellStyle name="链接单元格 2 7" xfId="51536"/>
    <cellStyle name="链接单元格 2 7 2" xfId="51537"/>
    <cellStyle name="链接单元格 2 7 2 2" xfId="51538"/>
    <cellStyle name="链接单元格 2 7 2 2 2" xfId="51539"/>
    <cellStyle name="链接单元格 2 7 2 2 2 2" xfId="51540"/>
    <cellStyle name="链接单元格 2 7 2 3" xfId="51541"/>
    <cellStyle name="链接单元格 2 7 2 3 2" xfId="51542"/>
    <cellStyle name="链接单元格 2 7 3" xfId="51543"/>
    <cellStyle name="链接单元格 2 7 3 2" xfId="51544"/>
    <cellStyle name="链接单元格 2 7 3 2 2" xfId="51545"/>
    <cellStyle name="链接单元格 2 7 4" xfId="51546"/>
    <cellStyle name="链接单元格 2 7 4 2" xfId="51547"/>
    <cellStyle name="链接单元格 2 8" xfId="51548"/>
    <cellStyle name="链接单元格 2 8 2" xfId="51549"/>
    <cellStyle name="链接单元格 2 8 2 2" xfId="51550"/>
    <cellStyle name="链接单元格 2 8 2 2 2" xfId="51551"/>
    <cellStyle name="链接单元格 2 8 2 2 2 2" xfId="51552"/>
    <cellStyle name="链接单元格 2 8 2 3" xfId="51553"/>
    <cellStyle name="链接单元格 2 8 2 3 2" xfId="51554"/>
    <cellStyle name="链接单元格 2 8 3" xfId="51555"/>
    <cellStyle name="链接单元格 2 8 3 2" xfId="51556"/>
    <cellStyle name="链接单元格 2 8 3 2 2" xfId="51557"/>
    <cellStyle name="链接单元格 2 8 4" xfId="51558"/>
    <cellStyle name="链接单元格 2 8 4 2" xfId="51559"/>
    <cellStyle name="链接单元格 2 9" xfId="51560"/>
    <cellStyle name="链接单元格 2 9 2" xfId="51561"/>
    <cellStyle name="链接单元格 2 9 2 2" xfId="51562"/>
    <cellStyle name="链接单元格 2 9 2 2 2" xfId="51563"/>
    <cellStyle name="链接单元格 2 9 3" xfId="51564"/>
    <cellStyle name="链接单元格 2 9 3 2" xfId="51565"/>
    <cellStyle name="链接单元格 3" xfId="51566"/>
    <cellStyle name="链接单元格 3 2" xfId="51567"/>
    <cellStyle name="链接单元格 3 2 2" xfId="51568"/>
    <cellStyle name="链接单元格 3 2 2 2" xfId="51569"/>
    <cellStyle name="链接单元格 3 2 2 2 2" xfId="51570"/>
    <cellStyle name="链接单元格 3 2 2 2 3" xfId="51571"/>
    <cellStyle name="链接单元格 3 2 2 2 3 2" xfId="51572"/>
    <cellStyle name="链接单元格 3 2 2 2 3 2 2" xfId="51573"/>
    <cellStyle name="链接单元格 3 2 2 2 4" xfId="51574"/>
    <cellStyle name="链接单元格 3 2 2 2 4 2" xfId="51575"/>
    <cellStyle name="链接单元格 3 2 2 3" xfId="51576"/>
    <cellStyle name="链接单元格 3 2 2 3 2" xfId="51577"/>
    <cellStyle name="链接单元格 3 2 2 3 2 2" xfId="51578"/>
    <cellStyle name="链接单元格 3 2 2 3 2 2 2" xfId="51579"/>
    <cellStyle name="链接单元格 3 2 2 3 3" xfId="51580"/>
    <cellStyle name="链接单元格 3 2 2 3 3 2" xfId="51581"/>
    <cellStyle name="链接单元格 3 2 2 4" xfId="51582"/>
    <cellStyle name="链接单元格 3 2 2 5" xfId="51583"/>
    <cellStyle name="链接单元格 3 2 2 6" xfId="51584"/>
    <cellStyle name="链接单元格 3 2 3" xfId="51585"/>
    <cellStyle name="链接单元格 3 2 3 2" xfId="51586"/>
    <cellStyle name="链接单元格 3 2 3 3" xfId="51587"/>
    <cellStyle name="链接单元格 3 2 3 3 2" xfId="51588"/>
    <cellStyle name="链接单元格 3 2 3 3 2 2" xfId="51589"/>
    <cellStyle name="链接单元格 3 2 3 4" xfId="51590"/>
    <cellStyle name="链接单元格 3 2 3 4 2" xfId="51591"/>
    <cellStyle name="链接单元格 3 2 4" xfId="51592"/>
    <cellStyle name="链接单元格 3 2 4 2" xfId="51593"/>
    <cellStyle name="链接单元格 3 2 4 2 2" xfId="51594"/>
    <cellStyle name="链接单元格 3 2 4 2 2 2" xfId="51595"/>
    <cellStyle name="链接单元格 3 2 4 3" xfId="51596"/>
    <cellStyle name="链接单元格 3 2 4 3 2" xfId="51597"/>
    <cellStyle name="链接单元格 3 2 5" xfId="51598"/>
    <cellStyle name="链接单元格 3 2 6" xfId="51599"/>
    <cellStyle name="链接单元格 3 2 7" xfId="51600"/>
    <cellStyle name="链接单元格 3 3" xfId="51601"/>
    <cellStyle name="链接单元格 3 3 2" xfId="51602"/>
    <cellStyle name="链接单元格 3 3 2 2" xfId="51603"/>
    <cellStyle name="链接单元格 3 3 2 3" xfId="51604"/>
    <cellStyle name="链接单元格 3 3 2 3 2" xfId="51605"/>
    <cellStyle name="链接单元格 3 3 2 3 2 2" xfId="51606"/>
    <cellStyle name="链接单元格 3 3 2 4" xfId="51607"/>
    <cellStyle name="链接单元格 3 3 2 4 2" xfId="51608"/>
    <cellStyle name="链接单元格 3 3 3" xfId="51609"/>
    <cellStyle name="链接单元格 3 3 3 2" xfId="51610"/>
    <cellStyle name="链接单元格 3 3 3 2 2" xfId="51611"/>
    <cellStyle name="链接单元格 3 3 3 2 2 2" xfId="51612"/>
    <cellStyle name="链接单元格 3 3 3 3" xfId="51613"/>
    <cellStyle name="链接单元格 3 3 3 3 2" xfId="51614"/>
    <cellStyle name="链接单元格 3 3 4" xfId="51615"/>
    <cellStyle name="链接单元格 3 3 5" xfId="51616"/>
    <cellStyle name="链接单元格 3 3 6" xfId="51617"/>
    <cellStyle name="链接单元格 3 4" xfId="51618"/>
    <cellStyle name="链接单元格 3 4 2" xfId="51619"/>
    <cellStyle name="链接单元格 3 4 2 2" xfId="51620"/>
    <cellStyle name="链接单元格 3 4 2 3" xfId="51621"/>
    <cellStyle name="链接单元格 3 4 2 3 2" xfId="51622"/>
    <cellStyle name="链接单元格 3 4 2 3 2 2" xfId="51623"/>
    <cellStyle name="链接单元格 3 4 2 4" xfId="51624"/>
    <cellStyle name="链接单元格 3 4 2 4 2" xfId="51625"/>
    <cellStyle name="链接单元格 3 4 3" xfId="51626"/>
    <cellStyle name="链接单元格 3 4 4" xfId="51627"/>
    <cellStyle name="链接单元格 3 4 5" xfId="51628"/>
    <cellStyle name="链接单元格 3 4 6" xfId="51629"/>
    <cellStyle name="链接单元格 3 5" xfId="51630"/>
    <cellStyle name="链接单元格 3 5 2" xfId="51631"/>
    <cellStyle name="链接单元格 3 5 2 2" xfId="51632"/>
    <cellStyle name="链接单元格 3 5 2 2 2" xfId="51633"/>
    <cellStyle name="链接单元格 3 5 2 2 2 2" xfId="51634"/>
    <cellStyle name="链接单元格 3 5 2 3" xfId="51635"/>
    <cellStyle name="链接单元格 3 5 2 3 2" xfId="51636"/>
    <cellStyle name="链接单元格 3 5 3" xfId="51637"/>
    <cellStyle name="链接单元格 3 5 3 2" xfId="51638"/>
    <cellStyle name="链接单元格 3 5 3 2 2" xfId="51639"/>
    <cellStyle name="链接单元格 3 5 4" xfId="51640"/>
    <cellStyle name="链接单元格 3 5 4 2" xfId="51641"/>
    <cellStyle name="链接单元格 3 6" xfId="51642"/>
    <cellStyle name="链接单元格 3 6 2" xfId="51643"/>
    <cellStyle name="链接单元格 3 6 2 2" xfId="51644"/>
    <cellStyle name="链接单元格 3 6 2 2 2" xfId="51645"/>
    <cellStyle name="链接单元格 3 6 3" xfId="51646"/>
    <cellStyle name="链接单元格 3 6 3 2" xfId="51647"/>
    <cellStyle name="链接单元格 3 7" xfId="51648"/>
    <cellStyle name="链接单元格 3 8" xfId="51649"/>
  </cellStyles>
  <dxfs count="443"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ill>
        <patternFill patternType="solid">
          <fgColor indexed="2"/>
          <bgColor indexed="2"/>
        </patternFill>
      </fill>
    </dxf>
    <dxf>
      <fill>
        <patternFill>
          <bgColor theme="9"/>
        </patternFill>
      </fill>
    </dxf>
    <dxf>
      <fill>
        <patternFill>
          <bgColor theme="9" tint="-0.249946592608417"/>
        </patternFill>
      </fill>
    </dxf>
    <dxf>
      <fill>
        <patternFill patternType="solid">
          <fgColor theme="8" tint="0.3999450666829432"/>
          <bgColor theme="8" tint="0.3999450666829432"/>
        </patternFill>
      </fill>
    </dxf>
    <dxf>
      <fill>
        <patternFill patternType="solid">
          <fgColor theme="9" tint="0.3999450666829432"/>
          <bgColor theme="9" tint="0.3999450666829432"/>
        </patternFill>
      </fill>
    </dxf>
    <dxf>
      <fill>
        <patternFill>
          <bgColor theme="9" tint="0.5999633777886288"/>
        </patternFill>
      </fill>
    </dxf>
    <dxf>
      <fill>
        <patternFill patternType="solid">
          <fgColor theme="5" tint="0.3999450666829432"/>
          <bgColor theme="5" tint="0.3999450666829432"/>
        </patternFill>
      </fill>
    </dxf>
    <dxf>
      <fill>
        <patternFill>
          <bgColor theme="5" tint="0.5999633777886288"/>
        </patternFill>
      </fill>
    </dxf>
    <dxf>
      <fill>
        <patternFill patternType="solid">
          <fgColor theme="7" tint="0.3999450666829432"/>
          <bgColor theme="7" tint="0.3999450666829432"/>
        </patternFill>
      </fill>
    </dxf>
    <dxf>
      <fill>
        <patternFill>
          <bgColor theme="3" tint="0.7999816888943144"/>
        </patternFill>
      </fill>
    </dxf>
    <dxf>
      <fill>
        <patternFill>
          <bgColor theme="3" tint="0.5999633777886288"/>
        </patternFill>
      </fill>
    </dxf>
    <dxf>
      <fill>
        <patternFill>
          <bgColor theme="4"/>
        </patternFill>
      </fill>
    </dxf>
    <dxf>
      <fill>
        <patternFill>
          <bgColor theme="4" tint="0.7999816888943144"/>
        </patternFill>
      </fill>
    </dxf>
    <dxf>
      <fill>
        <gradientFill type="linear" degree="225">
          <stop position="0">
            <color theme="0"/>
          </stop>
          <stop position="1">
            <color rgb="FF32D925"/>
          </stop>
        </gradientFill>
      </fill>
    </dxf>
    <dxf>
      <fill>
        <patternFill patternType="solid">
          <fgColor rgb="FFFFC000"/>
          <bgColor indexed="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4" tint="0.5999633777886288"/>
          <bgColor theme="4" tint="0.5999633777886288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5999633777886288"/>
          <bgColor theme="4" tint="0.5999633777886288"/>
        </patternFill>
      </fill>
    </dxf>
    <dxf>
      <fill>
        <patternFill patternType="solid">
          <fgColor theme="4" tint="0.5999633777886288"/>
          <bgColor theme="4" tint="0.5999633777886288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8000122074037904"/>
          </stop>
        </gradientFill>
      </fill>
    </dxf>
    <dxf>
      <fill>
        <gradientFill type="path" left="0.5" right="0.5" top="0.5" bottom="0.5">
          <stop position="0">
            <color theme="7" tint="0.5999938962981048"/>
          </stop>
          <stop position="1">
            <color theme="9" tint="0.8000122074037904"/>
          </stop>
        </gradient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9" tint="0.3999450666829432"/>
          <bgColor theme="9" tint="0.3999450666829432"/>
        </patternFill>
      </fill>
    </dxf>
    <dxf>
      <fill>
        <patternFill patternType="solid">
          <fgColor theme="5" tint="0.3999450666829432"/>
          <bgColor theme="5" tint="0.3999450666829432"/>
        </patternFill>
      </fill>
    </dxf>
    <dxf>
      <fill>
        <patternFill patternType="solid">
          <fgColor rgb="FFFF4B4B"/>
          <bgColor rgb="FFFF4B4B"/>
        </patternFill>
      </fill>
    </dxf>
    <dxf>
      <fill>
        <patternFill patternType="solid">
          <fgColor rgb="FF00B0F0"/>
          <bgColor rgb="FF00B0F0"/>
        </patternFill>
      </fill>
    </dxf>
    <dxf>
      <font>
        <i val="1"/>
      </font>
    </dxf>
    <dxf>
      <fill>
        <gradientFill type="linear" degree="45">
          <stop position="0">
            <color theme="0"/>
          </stop>
          <stop position="1">
            <color theme="9" tint="0.4000061037018952"/>
          </stop>
        </gradientFill>
      </fill>
    </dxf>
    <dxf>
      <fill>
        <gradientFill type="linear" degree="22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theme="4" tint="0.5999633777886288"/>
          <bgColor theme="4" tint="0.3999450666829432"/>
        </patternFill>
      </fill>
    </dxf>
    <dxf>
      <fill>
        <patternFill>
          <bgColor theme="0" tint="-0.3499862666707358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 tint="0.5999633777886288"/>
          <bgColor theme="9" tint="0.5999633777886288"/>
        </patternFill>
      </fill>
    </dxf>
    <dxf>
      <font>
        <b val="1"/>
      </font>
    </dxf>
    <dxf>
      <fill>
        <gradientFill type="path" left="0.5" right="0.5" top="0.5" bottom="0.5">
          <stop position="0">
            <color theme="0"/>
          </stop>
          <stop position="1">
            <color theme="9" tint="0.8000122074037904"/>
          </stop>
        </gradient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9" tint="0.3999450666829432"/>
          <bgColor theme="9" tint="0.3999450666829432"/>
        </patternFill>
      </fill>
    </dxf>
    <dxf>
      <fill>
        <patternFill patternType="solid">
          <fgColor theme="5" tint="0.3999450666829432"/>
          <bgColor theme="5" tint="0.3999450666829432"/>
        </patternFill>
      </fill>
    </dxf>
    <dxf>
      <fill>
        <patternFill patternType="solid">
          <fgColor rgb="FFFF4B4B"/>
          <bgColor rgb="FFFF4B4B"/>
        </patternFill>
      </fill>
    </dxf>
    <dxf>
      <fill>
        <patternFill patternType="solid">
          <fgColor rgb="FF00B0F0"/>
          <bgColor rgb="FF00B0F0"/>
        </patternFill>
      </fill>
    </dxf>
    <dxf>
      <fill>
        <gradientFill type="linear" degree="45">
          <stop position="0">
            <color theme="0"/>
          </stop>
          <stop position="1">
            <color theme="9" tint="0.4000061037018952"/>
          </stop>
        </gradientFill>
      </fill>
    </dxf>
    <dxf>
      <fill>
        <gradientFill type="linear" degree="22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fgColor rgb="FFC00000"/>
          <bgColor rgb="FFFF0000"/>
        </patternFill>
      </fill>
    </dxf>
    <dxf>
      <fill>
        <patternFill>
          <bgColor theme="0" tint="-0.3499862666707358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5999633777886288"/>
          <bgColor theme="4" tint="0.399945066682943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fill>
        <patternFill>
          <bgColor theme="7" tint="0.7999816888943144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b val="1"/>
        <strike val="0"/>
        <color theme="1"/>
        <sz val="11"/>
        <vertAlign val="baseline"/>
        <scheme val="minor"/>
      </font>
      <numFmt numFmtId="3" formatCode="#,##0"/>
      <alignment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b val="1"/>
        <strike val="0"/>
        <color theme="1"/>
        <sz val="11"/>
        <vertAlign val="baseline"/>
        <scheme val="minor"/>
      </font>
      <numFmt numFmtId="0" formatCode="General"/>
      <fill>
        <patternFill>
          <bgColor theme="7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b val="1"/>
        <strike val="0"/>
        <color theme="1"/>
        <sz val="11"/>
        <vertAlign val="baseline"/>
        <scheme val="minor"/>
      </font>
      <numFmt numFmtId="3" formatCode="#,##0"/>
      <alignment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sz val="11"/>
        <vertAlign val="baseline"/>
        <scheme val="minor"/>
      </font>
      <numFmt numFmtId="0" formatCode="General"/>
      <fill>
        <patternFill/>
      </fill>
      <alignment horizontal="left" vertical="center" wrapText="1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color theme="1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sz val="11"/>
        <vertAlign val="baseline"/>
        <scheme val="minor"/>
      </font>
      <fill>
        <patternFill patternType="solid">
          <fgColor indexed="5"/>
          <bgColor indexed="5"/>
        </patternFill>
      </fill>
      <alignment horizontal="left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sz val="11"/>
        <vertAlign val="baseline"/>
        <scheme val="minor"/>
      </font>
      <fill>
        <patternFill patternType="solid">
          <fgColor indexed="5"/>
          <bgColor indexed="5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top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fill>
        <patternFill>
          <bgColor theme="7" tint="0.7999816888943144"/>
        </patternFill>
      </fill>
      <alignment horizontal="general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/>
        <sz val="11"/>
        <vertAlign val="baseline"/>
        <scheme val="minor"/>
      </font>
      <numFmt numFmtId="3" formatCode="#,##0"/>
      <alignment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b val="1"/>
        <strike val="0"/>
        <color theme="1"/>
        <sz val="11"/>
        <vertAlign val="baseline"/>
        <scheme val="minor"/>
      </font>
      <numFmt numFmtId="3" formatCode="#,##0"/>
      <fill>
        <patternFill>
          <bgColor theme="7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b val="1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3" formatCode="#,##0"/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sz val="11"/>
        <vertAlign val="baseline"/>
        <scheme val="minor"/>
      </font>
      <numFmt numFmtId="0" formatCode="General"/>
      <fill>
        <patternFill/>
      </fill>
      <alignment horizontal="left" vertical="center" wrapText="1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color theme="1"/>
        <sz val="11"/>
        <vertAlign val="baseline"/>
        <scheme val="minor"/>
      </font>
      <numFmt numFmtId="0" formatCode="General"/>
      <fill>
        <patternFill>
          <fgColor indexed="5"/>
          <bgColor auto="1"/>
        </patternFill>
      </fill>
      <alignment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5"/>
          <bgColor auto="1"/>
        </patternFill>
      </fill>
      <alignment horizontal="center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sz val="11"/>
        <vertAlign val="baseline"/>
        <scheme val="minor"/>
      </font>
      <fill>
        <patternFill patternType="solid">
          <fgColor indexed="5"/>
          <bgColor indexed="5"/>
        </patternFill>
      </fill>
      <alignment horizontal="left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sz val="11"/>
        <vertAlign val="baseline"/>
        <scheme val="minor"/>
      </font>
      <fill>
        <patternFill patternType="solid">
          <fgColor indexed="5"/>
          <bgColor indexed="5"/>
        </patternFill>
      </fill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top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auto="1"/>
        </bottom>
      </border>
    </dxf>
    <dxf>
      <font>
        <b val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1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b val="1"/>
        <strike val="0"/>
        <color theme="1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b val="1"/>
        <strike val="0"/>
        <color theme="1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b val="1"/>
        <strike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sz val="11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color theme="1"/>
        <sz val="11"/>
        <vertAlign val="baseline"/>
        <scheme val="minor"/>
      </font>
      <numFmt numFmtId="0" formatCode="General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color theme="1"/>
        <sz val="11"/>
        <vertAlign val="baseline"/>
        <scheme val="minor"/>
      </font>
      <numFmt numFmtId="19" formatCode="d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204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charset val="204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trike val="0"/>
        <sz val="11"/>
        <vertAlign val="baseline"/>
        <scheme val="minor"/>
      </font>
      <numFmt numFmtId="0" formatCode="General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1"/>
      </font>
      <numFmt numFmtId="0" formatCode="General"/>
      <fill>
        <patternFill patternType="solid">
          <fgColor theme="0" tint="-0.1499984740745262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1"/>
      </font>
      <numFmt numFmtId="0" formatCode="General"/>
      <fill>
        <patternFill patternType="solid">
          <fgColor theme="0" tint="-0.1499984740745262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204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0" tint="-0.1499984740745262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1"/>
      </font>
      <numFmt numFmtId="0" formatCode="General"/>
      <fill>
        <patternFill patternType="solid">
          <fgColor theme="0" tint="-0.1499984740745262"/>
          <bgColor theme="0" tint="-0.149998474074526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sz val="11"/>
        <vertAlign val="baseline"/>
        <scheme val="minor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sz val="11"/>
        <vertAlign val="baseline"/>
        <scheme val="minor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sz val="11"/>
        <vertAlign val="baseline"/>
        <scheme val="minor"/>
      </font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sz val="11"/>
        <vertAlign val="baseline"/>
        <scheme val="minor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olor rgb="FF222222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color rgb="FF222222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rgb="FF222222"/>
        <sz val="11"/>
        <vertAlign val="baseline"/>
        <scheme val="minor"/>
      </font>
      <numFmt numFmtId="3" formatCode="#,##0"/>
      <fill>
        <patternFill patternType="solid">
          <fgColor theme="0" tint="-0.249977111117893"/>
          <bgColor theme="4" tint="0.7999816888943144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trike val="0"/>
        <color rgb="FF222222"/>
        <sz val="11"/>
        <vertAlign val="baseline"/>
        <scheme val="minor"/>
      </font>
      <numFmt numFmtId="3" formatCode="#,##0"/>
      <fill>
        <patternFill patternType="solid">
          <fgColor theme="0" tint="-0.249977111117893"/>
          <bgColor theme="4" tint="0.7999816888943144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color rgb="FF222222"/>
        <scheme val="minor"/>
      </font>
      <numFmt numFmtId="3" formatCode="#,##0"/>
      <fill>
        <patternFill patternType="solid">
          <fgColor theme="0" tint="-0.249977111117893"/>
          <bgColor theme="4" tint="0.7999816888943144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color rgb="FF222222"/>
        <scheme val="minor"/>
      </font>
      <numFmt numFmtId="0" formatCode="General"/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color rgb="FF222222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rgb="FF222222"/>
        <sz val="11"/>
        <vertAlign val="baseline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color rgb="FF222222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rgb="FF222222"/>
        <sz val="11"/>
        <vertAlign val="baseline"/>
        <scheme val="minor"/>
      </font>
      <numFmt numFmtId="3" formatCode="#,##0"/>
      <fill>
        <patternFill patternType="solid">
          <fgColor theme="0" tint="-0.249977111117893"/>
          <bgColor theme="4" tint="0.7999816888943144"/>
        </patternFill>
      </fill>
      <alignment horizontal="right"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rgb="FF222222"/>
        <sz val="11"/>
        <vertAlign val="baseline"/>
        <scheme val="minor"/>
      </font>
      <numFmt numFmtId="0" formatCode="General"/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rgb="FF222222"/>
        <sz val="11"/>
        <vertAlign val="baseline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sz val="11"/>
        <vertAlign val="baseline"/>
        <scheme val="minor"/>
      </font>
      <numFmt numFmtId="210" formatCode="#,##0.0"/>
      <fill>
        <patternFill patternType="solid">
          <fgColor theme="0"/>
          <bgColor theme="0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sz val="11"/>
        <vertAlign val="baseline"/>
        <scheme val="minor"/>
      </font>
      <numFmt numFmtId="210" formatCode="#,##0.0"/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sz val="11"/>
        <vertAlign val="baseline"/>
        <scheme val="minor"/>
      </font>
      <fill>
        <patternFill patternType="solid">
          <fgColor theme="0" tint="-0.1499984740745262"/>
          <bgColor theme="0" tint="-0.1499984740745262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sz val="11"/>
        <vertAlign val="baseline"/>
        <scheme val="minor"/>
      </font>
      <fill>
        <patternFill patternType="solid">
          <fgColor theme="0" tint="-0.1499984740745262"/>
          <bgColor theme="0" tint="-0.149998474074526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1499984740745262"/>
          <bgColor theme="0" tint="-0.1499984740745262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b val="1"/>
        <strike val="0"/>
        <color theme="1"/>
        <sz val="11"/>
        <vertAlign val="baseline"/>
        <scheme val="minor"/>
      </font>
      <fill>
        <patternFill patternType="solid">
          <fgColor indexed="5"/>
          <bgColor indexed="5"/>
        </patternFill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b val="1"/>
        <strike val="0"/>
        <color theme="1"/>
        <sz val="11"/>
        <vertAlign val="baseline"/>
        <scheme val="minor"/>
      </font>
      <fill>
        <patternFill/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color rgb="FF222222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horizontal="righ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color rgb="FF222222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rgb="FF222222"/>
        <sz val="11"/>
        <vertAlign val="baseline"/>
        <scheme val="minor"/>
      </font>
      <numFmt numFmtId="3" formatCode="#,##0"/>
      <fill>
        <patternFill patternType="solid">
          <fgColor theme="0" tint="-0.249977111117893"/>
          <bgColor theme="8" tint="0.5999938962981048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rgb="FF222222"/>
        <sz val="11"/>
        <vertAlign val="baseline"/>
        <scheme val="minor"/>
      </font>
      <numFmt numFmtId="0" formatCode="General"/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color rgb="FF222222"/>
        <scheme val="minor"/>
      </font>
      <numFmt numFmtId="3" formatCode="#,##0"/>
      <fill>
        <patternFill patternType="solid">
          <fgColor theme="0" tint="-0.249977111117893"/>
          <bgColor theme="4" tint="0.7999816888943144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color rgb="FF222222"/>
        <scheme val="minor"/>
      </font>
      <numFmt numFmtId="0" formatCode="General"/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color rgb="FF222222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rgb="FF222222"/>
        <sz val="11"/>
        <vertAlign val="baseline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color rgb="FF222222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rgb="FF222222"/>
        <sz val="11"/>
        <vertAlign val="baseline"/>
        <scheme val="minor"/>
      </font>
      <numFmt numFmtId="3" formatCode="#,##0"/>
      <fill>
        <patternFill patternType="solid">
          <fgColor theme="0" tint="-0.249977111117893"/>
          <bgColor theme="4" tint="0.7999816888943144"/>
        </patternFill>
      </fill>
      <alignment horizontal="righ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rgb="FF222222"/>
        <sz val="11"/>
        <vertAlign val="baseline"/>
        <scheme val="minor"/>
      </font>
      <numFmt numFmtId="0" formatCode="General"/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color rgb="FF222222"/>
        <sz val="11"/>
        <vertAlign val="baseline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4" tint="0.799981688894314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numFmt numFmtId="210" formatCode="#,##0.0"/>
      <fill>
        <patternFill patternType="solid">
          <fgColor theme="0"/>
          <bgColor theme="0"/>
        </patternFill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sz val="11"/>
        <vertAlign val="baseline"/>
        <scheme val="minor"/>
      </font>
      <numFmt numFmtId="210" formatCode="#,##0.0"/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b val="1"/>
        <strike val="0"/>
        <color theme="1"/>
        <sz val="11"/>
        <vertAlign val="baseline"/>
        <scheme val="minor"/>
      </font>
      <fill>
        <patternFill/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Виктор</author>
  </authors>
  <commentList>
    <comment ref="I38" authorId="0" shapeId="0">
      <text>
        <t xml:space="preserve">Как у Полякова
</t>
      </text>
    </comment>
  </commentList>
</comments>
</file>

<file path=xl/comments/comment2.xml><?xml version="1.0" encoding="utf-8"?>
<comments xmlns="http://schemas.openxmlformats.org/spreadsheetml/2006/main">
  <authors>
    <author>Виктор</author>
  </authors>
  <commentList>
    <comment ref="AD267" authorId="0" shapeId="0">
      <text>
        <t>должно быть 120</t>
      </text>
    </comment>
    <comment ref="AL267" authorId="0" shapeId="0">
      <text>
        <t>должно быть 120</t>
      </text>
    </comment>
    <comment ref="AD271" authorId="0" shapeId="0">
      <text>
        <t>ВАБКО - 400 м</t>
      </text>
    </comment>
  </commentList>
</comments>
</file>

<file path=xl/comments/comment3.xml><?xml version="1.0" encoding="utf-8"?>
<comments xmlns="http://schemas.openxmlformats.org/spreadsheetml/2006/main">
  <authors>
    <author>tc={004700E0-00F3-4FB8-B233-00A900E4004D}</author>
  </authors>
  <commentList>
    <comment ref="H4" authorId="0" shapeId="0">
      <text>
        <t xml:space="preserve">tc={006F0072-0069-49D9-8E9B-00D6002D00AB}:
Виктор:
Внутри раздела не должно быть одинаковых артикулов
</t>
      </text>
    </comment>
  </commentList>
</comments>
</file>

<file path=xl/comments/comment4.xml><?xml version="1.0" encoding="utf-8"?>
<comments xmlns="http://schemas.openxmlformats.org/spreadsheetml/2006/main">
  <authors>
    <author>tc={009600CE-00C4-411F-852A-00BB00B40010}</author>
  </authors>
  <commentList>
    <comment ref="D1" authorId="0" shapeId="0">
      <text>
        <t xml:space="preserve">Виктор:
базовое (не показаны суффиксы 
и префиксы: артикул и W)
</t>
      </text>
    </comment>
  </commentList>
</comments>
</file>

<file path=xl/tables/table1.xml><?xml version="1.0" encoding="utf-8"?>
<table xmlns="http://schemas.openxmlformats.org/spreadsheetml/2006/main" id="1" name="Автовик" displayName="Автовик" ref="A4:EC71" headerRowCount="1" totalsRowCount="1">
  <autoFilter ref="A4:EC70"/>
  <tableColumns count="133">
    <tableColumn id="1" name="№" dataDxfId="442"/>
    <tableColumn id="2" name="Клиент" dataDxfId="441"/>
    <tableColumn id="3" name="Раздел" dataDxfId="440"/>
    <tableColumn id="4" name="Сет" dataDxfId="439"/>
    <tableColumn id="5" name="Кол-во в сете" dataDxfId="438"/>
    <tableColumn id="6" name="п\п" dataDxfId="437"/>
    <tableColumn id="7" name="2 - продукт WABCO" dataDxfId="436"/>
    <tableColumn id="8" name="Номер изделия/ артикул" dataDxfId="435"/>
    <tableColumn id="9" name="Наименование" totalsRowLabel="Итого:" dataDxfId="434"/>
    <tableColumn id="10" name="Цена, _x000a_юань, без НДС 1" dataDxfId="433"/>
    <tableColumn id="11" name="Цена, _x000a_юань, без НДС 2" dataDxfId="432"/>
    <tableColumn id="12" name="AOP,_x000a_шт 01_24" totalsRowFunction="custom" dataDxfId="431">
      <totalsRowFormula>SUM(L$5:L$70)</totalsRowFormula>
    </tableColumn>
    <tableColumn id="13" name="Прогноз,_x000a_шт 01_24" totalsRowFunction="custom" dataDxfId="430">
      <totalsRowFormula>SUM(M$5:M$70)</totalsRowFormula>
    </tableColumn>
    <tableColumn id="14" name="Факт,_x000a_шт 01_24" totalsRowFunction="custom" dataDxfId="429">
      <totalsRowFormula>SUM(N$5:N$70)</totalsRowFormula>
    </tableColumn>
    <tableColumn id="15" name="Комментарий 01_24" dataDxfId="428"/>
    <tableColumn id="16" name="AOP,_x000a_шт 02_24" totalsRowFunction="custom" dataDxfId="427">
      <totalsRowFormula>SUM(P$5:P$70)</totalsRowFormula>
    </tableColumn>
    <tableColumn id="17" name="Прогноз,_x000a_шт 02_24" totalsRowFunction="custom" dataDxfId="426">
      <totalsRowFormula>SUM(Q$5:Q$70)</totalsRowFormula>
    </tableColumn>
    <tableColumn id="18" name="Факт,_x000a_шт 02_24" totalsRowFunction="custom" dataDxfId="425">
      <totalsRowFormula>SUM(R$5:R$70)</totalsRowFormula>
    </tableColumn>
    <tableColumn id="19" name="Комментарий 02_24" dataDxfId="424"/>
    <tableColumn id="20" name="AOP,_x000a_шт 03_24" totalsRowFunction="custom" dataDxfId="423">
      <totalsRowFormula>SUM(T$5:T$70)</totalsRowFormula>
    </tableColumn>
    <tableColumn id="21" name="Прогноз,_x000a_шт 03_24" totalsRowFunction="custom" dataDxfId="422">
      <totalsRowFormula>SUM(U$5:U$70)</totalsRowFormula>
    </tableColumn>
    <tableColumn id="22" name="Факт,_x000a_шт 03_24" totalsRowFunction="custom" dataDxfId="421">
      <totalsRowFormula>SUM(V$5:V$70)</totalsRowFormula>
    </tableColumn>
    <tableColumn id="23" name="Комментарий 03_24" dataDxfId="420"/>
    <tableColumn id="24" name="AOP,_x000a_шт 04_24" totalsRowFunction="custom" dataDxfId="419">
      <totalsRowFormula>SUM(X$5:X$70)</totalsRowFormula>
    </tableColumn>
    <tableColumn id="25" name="Прогноз,_x000a_шт 04_24" totalsRowFunction="custom" dataDxfId="418">
      <totalsRowFormula>SUM(Y$5:Y$70)</totalsRowFormula>
    </tableColumn>
    <tableColumn id="26" name="Факт,_x000a_шт 04_24" totalsRowFunction="custom" dataDxfId="417">
      <totalsRowFormula>SUM(Z$5:Z$70)</totalsRowFormula>
    </tableColumn>
    <tableColumn id="27" name="Комментарий 04_24" dataDxfId="416"/>
    <tableColumn id="28" name="AOP,_x000a_шт 05_24" totalsRowFunction="custom" dataDxfId="415">
      <totalsRowFormula>SUM(AB$5:AB$70)</totalsRowFormula>
    </tableColumn>
    <tableColumn id="29" name="Прогноз,_x000a_шт 05_24" totalsRowFunction="custom" dataDxfId="414">
      <totalsRowFormula>SUM(AC$5:AC$70)</totalsRowFormula>
    </tableColumn>
    <tableColumn id="30" name="Факт,_x000a_шт 05_24" totalsRowFunction="custom" dataDxfId="413">
      <totalsRowFormula>SUM(AD$5:AD$70)</totalsRowFormula>
    </tableColumn>
    <tableColumn id="31" name="Комментарий 05_24" dataDxfId="412"/>
    <tableColumn id="32" name="AOP,_x000a_шт 06_24" totalsRowFunction="custom" dataDxfId="411">
      <totalsRowFormula>SUM(AF$5:AF$70)</totalsRowFormula>
    </tableColumn>
    <tableColumn id="33" name="Прогноз,_x000a_шт 06_24" totalsRowFunction="custom" dataDxfId="410">
      <totalsRowFormula>SUM(AG$5:AG$70)</totalsRowFormula>
    </tableColumn>
    <tableColumn id="34" name="Факт,_x000a_шт 06_24" totalsRowFunction="custom" dataDxfId="409">
      <totalsRowFormula>SUM(AH$5:AH$70)</totalsRowFormula>
    </tableColumn>
    <tableColumn id="35" name="Комментарий 06_24" dataDxfId="408"/>
    <tableColumn id="36" name="AOP,_x000a_шт 07_24" totalsRowFunction="custom" dataDxfId="407">
      <totalsRowFormula>SUM(AJ$5:AJ$70)</totalsRowFormula>
    </tableColumn>
    <tableColumn id="37" name="Прогноз,_x000a_шт 07_24" totalsRowFunction="custom" dataDxfId="406">
      <totalsRowFormula>SUM(AK$5:AK$70)</totalsRowFormula>
    </tableColumn>
    <tableColumn id="38" name="Факт,_x000a_шт 07_24" totalsRowFunction="custom" dataDxfId="405">
      <totalsRowFormula>SUM(AL$5:AL$70)</totalsRowFormula>
    </tableColumn>
    <tableColumn id="39" name="Комментарий 07_24" dataDxfId="404"/>
    <tableColumn id="40" name="AOP,_x000a_шт 08_24" totalsRowFunction="custom" dataDxfId="403">
      <totalsRowFormula>SUM(AN$5:AN$70)</totalsRowFormula>
    </tableColumn>
    <tableColumn id="41" name="Прогноз,_x000a_шт 08_24" totalsRowFunction="custom" dataDxfId="402">
      <totalsRowFormula>SUM(AO$5:AO$70)</totalsRowFormula>
    </tableColumn>
    <tableColumn id="42" name="Факт,_x000a_шт 08_24" totalsRowFunction="custom" dataDxfId="401">
      <totalsRowFormula>SUM(AP$5:AP$70)</totalsRowFormula>
    </tableColumn>
    <tableColumn id="43" name="Комментарий 08_24" dataDxfId="400"/>
    <tableColumn id="44" name="AOP,_x000a_шт 09_24" totalsRowFunction="custom" dataDxfId="399">
      <totalsRowFormula>SUM(AR$5:AR$70)</totalsRowFormula>
    </tableColumn>
    <tableColumn id="45" name="Прогноз,_x000a_шт 09_24" totalsRowFunction="custom" dataDxfId="398">
      <totalsRowFormula>SUM(AS$5:AS$70)</totalsRowFormula>
    </tableColumn>
    <tableColumn id="46" name="Факт,_x000a_шт 09_24" totalsRowFunction="custom" dataDxfId="397">
      <totalsRowFormula>SUM(AT$5:AT$70)</totalsRowFormula>
    </tableColumn>
    <tableColumn id="47" name="Комментарий 09_24" dataDxfId="396"/>
    <tableColumn id="48" name="AOP,_x000a_шт 10_24" totalsRowFunction="custom" dataDxfId="395">
      <totalsRowFormula>SUM(AV$5:AV$70)</totalsRowFormula>
    </tableColumn>
    <tableColumn id="49" name="Прогноз,_x000a_шт 10_24" totalsRowFunction="custom" dataDxfId="394">
      <totalsRowFormula>SUM(AW$5:AW$70)</totalsRowFormula>
    </tableColumn>
    <tableColumn id="50" name="Факт,_x000a_шт 10_24" totalsRowFunction="custom" dataDxfId="393">
      <totalsRowFormula>SUM(AX$5:AX$70)</totalsRowFormula>
    </tableColumn>
    <tableColumn id="51" name="Комментарий 10_24" dataDxfId="392"/>
    <tableColumn id="52" name="AOP,_x000a_шт 11_24" totalsRowFunction="custom" dataDxfId="391">
      <totalsRowFormula>SUM(AZ$5:AZ$70)</totalsRowFormula>
    </tableColumn>
    <tableColumn id="53" name="Прогноз,_x000a_шт 11_24" totalsRowFunction="custom" dataDxfId="390">
      <totalsRowFormula>SUM(BA$5:BA$70)</totalsRowFormula>
    </tableColumn>
    <tableColumn id="54" name="Факт,_x000a_шт 11_24" totalsRowFunction="custom" dataDxfId="389">
      <totalsRowFormula>SUM(BB$5:BB$70)</totalsRowFormula>
    </tableColumn>
    <tableColumn id="55" name="Комментарий 11_24" dataDxfId="388"/>
    <tableColumn id="56" name="AOP,_x000a_шт 12_24" totalsRowFunction="custom" dataDxfId="387">
      <totalsRowFormula>SUM(BD$5:BD$70)</totalsRowFormula>
    </tableColumn>
    <tableColumn id="57" name="Прогноз,_x000a_шт 12_24" totalsRowFunction="custom" dataDxfId="386">
      <totalsRowFormula>SUM(BE$5:BE$70)</totalsRowFormula>
    </tableColumn>
    <tableColumn id="58" name="Факт,_x000a_шт 12_24" totalsRowFunction="custom" dataDxfId="385">
      <totalsRowFormula>SUM(BF$5:BF$70)</totalsRowFormula>
    </tableColumn>
    <tableColumn id="59" name="Комментарий 12_24" dataDxfId="384"/>
    <tableColumn id="60" name="AOP,_x000a_шт 2024" totalsRowFunction="custom" dataDxfId="383">
      <totalsRowFormula>SUM(BH$5:BH$70)</totalsRowFormula>
    </tableColumn>
    <tableColumn id="61" name="Продажи AOP, CNY 2024" totalsRowFunction="custom" dataDxfId="382">
      <totalsRowFormula>SUM(BI$5:BI$70)</totalsRowFormula>
    </tableColumn>
    <tableColumn id="62" name="Прогноз,_x000a_шт 2024" totalsRowFunction="custom" dataDxfId="381">
      <totalsRowFormula>SUM(BJ$5:BJ$70)</totalsRowFormula>
    </tableColumn>
    <tableColumn id="63" name="Прогноз,_x000a_СNY 2024" totalsRowFunction="custom" dataDxfId="380">
      <totalsRowFormula>SUM(BK$5:BK$70)</totalsRowFormula>
    </tableColumn>
    <tableColumn id="64" name="Факт,_x000a_шт 2024" totalsRowFunction="custom" dataDxfId="379">
      <totalsRowFormula>SUM(BL$5:BL$70)</totalsRowFormula>
    </tableColumn>
    <tableColumn id="65" name="Факт,_x000a_CNY 2024" totalsRowFunction="custom" dataDxfId="378">
      <totalsRowFormula>SUM(BM$5:BM$70)</totalsRowFormula>
    </tableColumn>
    <tableColumn id="66" name="AOP,_x000a_шт 01_25" totalsRowFunction="custom" dataDxfId="377">
      <totalsRowFormula>SUM(BN$5:BN$70)</totalsRowFormula>
    </tableColumn>
    <tableColumn id="67" name="AOP негатив,_x000a_шт 01_25" totalsRowFunction="custom" dataDxfId="376">
      <totalsRowFormula>SUM(BO$5:BO$70)</totalsRowFormula>
    </tableColumn>
    <tableColumn id="68" name="Прогноз,_x000a_шт 01_25" totalsRowFunction="custom" dataDxfId="375">
      <totalsRowFormula>SUM(BP$5:BP$70)</totalsRowFormula>
    </tableColumn>
    <tableColumn id="69" name="Факт,_x000a_шт 01_25" totalsRowFunction="custom" dataDxfId="374">
      <totalsRowFormula>SUM(BQ$5:BQ$70)</totalsRowFormula>
    </tableColumn>
    <tableColumn id="70" name="Комментарий 01_25" totalsRowFunction="custom" dataDxfId="373">
      <totalsRowFormula>SUM(BR$5:BR$70)</totalsRowFormula>
    </tableColumn>
    <tableColumn id="71" name="AOP,_x000a_шт 02_25" totalsRowFunction="custom" dataDxfId="372">
      <totalsRowFormula>SUM(BS$5:BS$70)</totalsRowFormula>
    </tableColumn>
    <tableColumn id="72" name="AOP негатив,_x000a_шт 02_25" totalsRowFunction="custom" dataDxfId="371">
      <totalsRowFormula>SUM(BT$5:BT$70)</totalsRowFormula>
    </tableColumn>
    <tableColumn id="73" name="Прогноз,_x000a_шт 02_25" totalsRowFunction="custom" dataDxfId="370">
      <totalsRowFormula>SUM(BU$5:BU$70)</totalsRowFormula>
    </tableColumn>
    <tableColumn id="74" name="Факт,_x000a_шт 02_25" totalsRowFunction="custom" dataDxfId="369">
      <totalsRowFormula>SUM(BV$5:BV$70)</totalsRowFormula>
    </tableColumn>
    <tableColumn id="75" name="Комментарий 02_25" totalsRowFunction="custom" dataDxfId="368">
      <totalsRowFormula>SUM(BW$5:BW$70)</totalsRowFormula>
    </tableColumn>
    <tableColumn id="76" name="AOP,_x000a_шт 03_25" totalsRowFunction="custom" dataDxfId="367">
      <totalsRowFormula>SUM(BX$5:BX$70)</totalsRowFormula>
    </tableColumn>
    <tableColumn id="77" name="AOP негатив,_x000a_шт 03_25" totalsRowFunction="custom" dataDxfId="366">
      <totalsRowFormula>SUM(BY$5:BY$70)</totalsRowFormula>
    </tableColumn>
    <tableColumn id="78" name="Прогноз,_x000a_шт 03_25" totalsRowFunction="custom" dataDxfId="365">
      <totalsRowFormula>SUM(BZ$5:BZ$70)</totalsRowFormula>
    </tableColumn>
    <tableColumn id="79" name="Факт,_x000a_шт 03_25" totalsRowFunction="custom" dataDxfId="364">
      <totalsRowFormula>SUM(CA$5:CA$70)</totalsRowFormula>
    </tableColumn>
    <tableColumn id="80" name="Комментарий 03_25" totalsRowFunction="custom" dataDxfId="363">
      <totalsRowFormula>SUM(CB$5:CB$70)</totalsRowFormula>
    </tableColumn>
    <tableColumn id="81" name="AOP,_x000a_шт 04_25" totalsRowFunction="custom" dataDxfId="362">
      <totalsRowFormula>SUM(CC$5:CC$70)</totalsRowFormula>
    </tableColumn>
    <tableColumn id="82" name="AOP негатив,_x000a_шт 04_25" totalsRowFunction="custom" dataDxfId="361">
      <totalsRowFormula>SUM(CD$5:CD$70)</totalsRowFormula>
    </tableColumn>
    <tableColumn id="83" name="Прогноз,_x000a_шт 04_25" totalsRowFunction="custom" dataDxfId="360">
      <totalsRowFormula>SUM(CE$5:CE$70)</totalsRowFormula>
    </tableColumn>
    <tableColumn id="84" name="Факт,_x000a_шт 04_25" totalsRowFunction="custom" dataDxfId="359">
      <totalsRowFormula>SUM(CF$5:CF$70)</totalsRowFormula>
    </tableColumn>
    <tableColumn id="85" name="Комментарий 04_25" totalsRowFunction="custom" dataDxfId="358">
      <totalsRowFormula>SUM(CG$5:CG$70)</totalsRowFormula>
    </tableColumn>
    <tableColumn id="86" name="AOP,_x000a_шт 05_25" totalsRowFunction="custom" dataDxfId="357">
      <totalsRowFormula>SUM(CH$5:CH$70)</totalsRowFormula>
    </tableColumn>
    <tableColumn id="87" name="AOP негатив,_x000a_шт 05_25" totalsRowFunction="custom" dataDxfId="356">
      <totalsRowFormula>SUM(CI$5:CI$70)</totalsRowFormula>
    </tableColumn>
    <tableColumn id="88" name="Прогноз,_x000a_шт 05_25" totalsRowFunction="custom" dataDxfId="355">
      <totalsRowFormula>SUM(CJ$5:CJ$70)</totalsRowFormula>
    </tableColumn>
    <tableColumn id="89" name="Факт,_x000a_шт 05_25" totalsRowFunction="custom" dataDxfId="354">
      <totalsRowFormula>SUM(CK$5:CK$70)</totalsRowFormula>
    </tableColumn>
    <tableColumn id="90" name="Комментарий 05_25" totalsRowFunction="custom" dataDxfId="353">
      <totalsRowFormula>SUM(CL$5:CL$70)</totalsRowFormula>
    </tableColumn>
    <tableColumn id="91" name="AOP,_x000a_шт 06_25" totalsRowFunction="custom" dataDxfId="352">
      <totalsRowFormula>SUM(CM$5:CM$70)</totalsRowFormula>
    </tableColumn>
    <tableColumn id="92" name="AOP негатив,_x000a_шт 06_25" totalsRowFunction="custom" dataDxfId="351">
      <totalsRowFormula>SUM(CN$5:CN$70)</totalsRowFormula>
    </tableColumn>
    <tableColumn id="93" name="Прогноз,_x000a_шт 06_25" totalsRowFunction="custom" dataDxfId="350">
      <totalsRowFormula>SUM(CO$5:CO$70)</totalsRowFormula>
    </tableColumn>
    <tableColumn id="94" name="Факт,_x000a_шт 06_25" totalsRowFunction="custom" dataDxfId="349">
      <totalsRowFormula>SUM(CP$5:CP$70)</totalsRowFormula>
    </tableColumn>
    <tableColumn id="95" name="Комментарий 06_25" totalsRowFunction="custom" dataDxfId="348">
      <totalsRowFormula>SUM(CQ$5:CQ$70)</totalsRowFormula>
    </tableColumn>
    <tableColumn id="96" name="AOP,_x000a_шт 07_25" totalsRowFunction="custom" dataDxfId="347">
      <totalsRowFormula>SUM(CR$5:CR$70)</totalsRowFormula>
    </tableColumn>
    <tableColumn id="97" name="AOP негатив,_x000a_шт 07_25" totalsRowFunction="custom" dataDxfId="346">
      <totalsRowFormula>SUM(CS$5:CS$70)</totalsRowFormula>
    </tableColumn>
    <tableColumn id="98" name="Прогноз,_x000a_шт 07_25" totalsRowFunction="custom" dataDxfId="345">
      <totalsRowFormula>SUM(CT$5:CT$70)</totalsRowFormula>
    </tableColumn>
    <tableColumn id="99" name="Факт,_x000a_шт 07_25" totalsRowFunction="custom" dataDxfId="344">
      <totalsRowFormula>SUM(CU$5:CU$70)</totalsRowFormula>
    </tableColumn>
    <tableColumn id="100" name="Комментарий 07_25" totalsRowFunction="custom" dataDxfId="343">
      <totalsRowFormula>SUM(CV$5:CV$70)</totalsRowFormula>
    </tableColumn>
    <tableColumn id="101" name="AOP,_x000a_шт 08_25" totalsRowFunction="custom" dataDxfId="342">
      <totalsRowFormula>SUM(CW$5:CW$70)</totalsRowFormula>
    </tableColumn>
    <tableColumn id="102" name="AOP негатив,_x000a_шт 08_25" totalsRowFunction="custom" dataDxfId="341">
      <totalsRowFormula>SUM(CX$5:CX$70)</totalsRowFormula>
    </tableColumn>
    <tableColumn id="103" name="Прогноз,_x000a_шт 08_25" totalsRowFunction="custom" dataDxfId="340">
      <totalsRowFormula>SUM(CY$5:CY$70)</totalsRowFormula>
    </tableColumn>
    <tableColumn id="104" name="Факт,_x000a_шт 08_25" totalsRowFunction="custom" dataDxfId="339">
      <totalsRowFormula>SUM(CZ$5:CZ$70)</totalsRowFormula>
    </tableColumn>
    <tableColumn id="105" name="Комментарий 08_25" totalsRowFunction="custom" dataDxfId="338">
      <totalsRowFormula>SUM(DA$5:DA$70)</totalsRowFormula>
    </tableColumn>
    <tableColumn id="106" name="AOP,_x000a_шт 09_25" totalsRowFunction="custom" dataDxfId="337">
      <totalsRowFormula>SUM(DB$5:DB$70)</totalsRowFormula>
    </tableColumn>
    <tableColumn id="107" name="AOP негатив,_x000a_шт 09_25" totalsRowFunction="custom" dataDxfId="336">
      <totalsRowFormula>SUM(DC$5:DC$70)</totalsRowFormula>
    </tableColumn>
    <tableColumn id="108" name="Прогноз,_x000a_шт 09_25" totalsRowFunction="custom" dataDxfId="335">
      <totalsRowFormula>SUM(DD$5:DD$70)</totalsRowFormula>
    </tableColumn>
    <tableColumn id="109" name="Факт,_x000a_шт 09_25" totalsRowFunction="custom" dataDxfId="334">
      <totalsRowFormula>SUM(DE$5:DE$70)</totalsRowFormula>
    </tableColumn>
    <tableColumn id="110" name="Комментарий 09_25" totalsRowFunction="custom" dataDxfId="333">
      <totalsRowFormula>SUM(DF$5:DF$70)</totalsRowFormula>
    </tableColumn>
    <tableColumn id="111" name="AOP,_x000a_шт 10_25" totalsRowFunction="custom" dataDxfId="332">
      <totalsRowFormula>SUM(DG$5:DG$70)</totalsRowFormula>
    </tableColumn>
    <tableColumn id="112" name="AOP негатив,_x000a_шт 10_25" totalsRowFunction="custom" dataDxfId="331">
      <totalsRowFormula>SUM(DH$5:DH$70)</totalsRowFormula>
    </tableColumn>
    <tableColumn id="113" name="Прогноз,_x000a_шт 10_25" totalsRowFunction="custom" dataDxfId="330">
      <totalsRowFormula>SUM(DI$5:DI$70)</totalsRowFormula>
    </tableColumn>
    <tableColumn id="114" name="Факт,_x000a_шт 10_25" totalsRowFunction="custom" dataDxfId="329">
      <totalsRowFormula>SUM(DJ$5:DJ$70)</totalsRowFormula>
    </tableColumn>
    <tableColumn id="115" name="Комментарий 10_25" totalsRowFunction="custom" dataDxfId="328">
      <totalsRowFormula>SUM(DK$5:DK$70)</totalsRowFormula>
    </tableColumn>
    <tableColumn id="116" name="AOP,_x000a_шт 11_25" totalsRowFunction="custom" dataDxfId="327">
      <totalsRowFormula>SUM(DL$5:DL$70)</totalsRowFormula>
    </tableColumn>
    <tableColumn id="117" name="AOP негатив,_x000a_шт 11_25" totalsRowFunction="custom" dataDxfId="326">
      <totalsRowFormula>SUM(DM$5:DM$70)</totalsRowFormula>
    </tableColumn>
    <tableColumn id="118" name="Прогноз,_x000a_шт 11_25" totalsRowFunction="custom" dataDxfId="325">
      <totalsRowFormula>SUM(DN$5:DN$70)</totalsRowFormula>
    </tableColumn>
    <tableColumn id="119" name="Факт,_x000a_шт 11_25" totalsRowFunction="custom" dataDxfId="324">
      <totalsRowFormula>SUM(DO$5:DO$70)</totalsRowFormula>
    </tableColumn>
    <tableColumn id="120" name="Комментарий 11_25" totalsRowFunction="custom" dataDxfId="323">
      <totalsRowFormula>SUM(DP$5:DP$70)</totalsRowFormula>
    </tableColumn>
    <tableColumn id="121" name="AOP,_x000a_шт 12_25" totalsRowFunction="custom" dataDxfId="322">
      <totalsRowFormula>SUM(DQ$5:DQ$70)</totalsRowFormula>
    </tableColumn>
    <tableColumn id="122" name="AOP негатив,_x000a_шт 12_25" totalsRowFunction="custom" dataDxfId="321">
      <totalsRowFormula>SUM(DR$5:DR$70)</totalsRowFormula>
    </tableColumn>
    <tableColumn id="123" name="Прогноз,_x000a_шт 12_25" totalsRowFunction="custom" dataDxfId="320">
      <totalsRowFormula>SUM(DS$5:DS$70)</totalsRowFormula>
    </tableColumn>
    <tableColumn id="124" name="Факт,_x000a_шт 12_25" totalsRowFunction="custom" dataDxfId="319">
      <totalsRowFormula>SUM(DT$5:DT$70)</totalsRowFormula>
    </tableColumn>
    <tableColumn id="125" name="Комментарий 12_25" totalsRowFunction="custom" dataDxfId="318">
      <totalsRowFormula>SUM(DU$5:DU$70)</totalsRowFormula>
    </tableColumn>
    <tableColumn id="126" name="AOP,_x000a_шт 2025" totalsRowFunction="custom" dataDxfId="317">
      <totalsRowFormula>SUM(DV$5:DV$70)</totalsRowFormula>
    </tableColumn>
    <tableColumn id="127" name="Продажи AOP, CNY 2025" totalsRowFunction="custom" dataDxfId="316">
      <totalsRowFormula>SUM(DW$5:DW$70)</totalsRowFormula>
    </tableColumn>
    <tableColumn id="128" name="AOP негатив,_x000a_шт 2025" dataDxfId="315"/>
    <tableColumn id="129" name="Продажи AOP негатив, CNY 2025" dataDxfId="314"/>
    <tableColumn id="130" name="Прогноз,_x000a_шт 20252" totalsRowFunction="custom" dataDxfId="313">
      <totalsRowFormula>SUM(DZ$5:DZ$70)</totalsRowFormula>
    </tableColumn>
    <tableColumn id="131" name="Прогноз,_x000a_CNY 2025" totalsRowFunction="custom" dataDxfId="312">
      <totalsRowFormula>SUM(EA$5:EA$70)</totalsRowFormula>
    </tableColumn>
    <tableColumn id="132" name="Факт,_x000a_шт 20253" totalsRowFunction="custom" dataDxfId="311">
      <totalsRowFormula>SUM(EB$5:EB$70)</totalsRowFormula>
    </tableColumn>
    <tableColumn id="133" name="Факт,_x000a_CNY 2025" totalsRowFunction="custom" dataDxfId="310">
      <totalsRowFormula>SUM(EC$5:EC$70)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Автовик_разбивка" displayName="Автовик_разбивка" ref="A4:EC254" headerRowCount="1">
  <autoFilter ref="A4:EC254"/>
  <sortState ref="A5:BZ249">
    <sortCondition ref="A5:A225"/>
    <sortCondition ref="B5:B225"/>
    <sortCondition ref="C5:C225"/>
    <sortCondition ref="D5:D225"/>
    <sortCondition ref="H5:H225"/>
    <sortCondition ref="I5:I225"/>
  </sortState>
  <tableColumns count="133">
    <tableColumn id="1" name="№" dataDxfId="309"/>
    <tableColumn id="2" name="Клиент" dataDxfId="308"/>
    <tableColumn id="3" name="Раздел" dataDxfId="307"/>
    <tableColumn id="4" name="Сет" dataDxfId="306"/>
    <tableColumn id="5" name="Кол-во в сете" dataDxfId="305"/>
    <tableColumn id="6" name="п\п" dataDxfId="304"/>
    <tableColumn id="7" name="2 - продукт WABCO" dataDxfId="303"/>
    <tableColumn id="8" name="Номер изделия/ артикул" dataDxfId="302"/>
    <tableColumn id="9" name="Наименование" dataDxfId="301"/>
    <tableColumn id="10" name="Цена, _x000a_юань, без НДС 1" dataDxfId="300"/>
    <tableColumn id="11" name="Цена, _x000a_юань, без НДС 2" dataDxfId="299"/>
    <tableColumn id="12" name="AOP,_x000a_шт 01_24" dataDxfId="298"/>
    <tableColumn id="13" name="Прогноз,_x000a_шт 01_24" dataDxfId="297"/>
    <tableColumn id="14" name="Факт,_x000a_шт 01_24" dataDxfId="296"/>
    <tableColumn id="15" name="Комментарий 01_24" dataDxfId="295"/>
    <tableColumn id="16" name="AOP,_x000a_шт 02_24" dataDxfId="294"/>
    <tableColumn id="17" name="Прогноз,_x000a_шт 02_24" dataDxfId="293"/>
    <tableColumn id="18" name="Факт,_x000a_шт 02_24" dataDxfId="292"/>
    <tableColumn id="19" name="Комментарий 02_24" dataDxfId="291"/>
    <tableColumn id="20" name="AOP,_x000a_шт 03_24" dataDxfId="290"/>
    <tableColumn id="21" name="Прогноз,_x000a_шт 03_24" dataDxfId="289"/>
    <tableColumn id="22" name="Факт,_x000a_шт 03_24" dataDxfId="288"/>
    <tableColumn id="23" name="Комментарий 03_24" dataDxfId="287"/>
    <tableColumn id="24" name="AOP,_x000a_шт 04_24" dataDxfId="286"/>
    <tableColumn id="25" name="Прогноз,_x000a_шт 04_24" dataDxfId="285"/>
    <tableColumn id="26" name="Факт,_x000a_шт 04_24" dataDxfId="284"/>
    <tableColumn id="27" name="Комментарий 04_24" dataDxfId="283"/>
    <tableColumn id="28" name="AOP,_x000a_шт 05_24" dataDxfId="282"/>
    <tableColumn id="29" name="Прогноз,_x000a_шт 05_24" dataDxfId="281"/>
    <tableColumn id="30" name="Факт,_x000a_шт 05_24" dataDxfId="280"/>
    <tableColumn id="31" name="Комментарий 05_24" dataDxfId="279"/>
    <tableColumn id="32" name="AOP,_x000a_шт 06_24" dataDxfId="278"/>
    <tableColumn id="33" name="Прогноз,_x000a_шт 06_24" dataDxfId="277"/>
    <tableColumn id="34" name="Факт,_x000a_шт 06_24" dataDxfId="276"/>
    <tableColumn id="35" name="Комментарий 06_24" dataDxfId="275"/>
    <tableColumn id="36" name="AOP,_x000a_шт 07_24" dataDxfId="274"/>
    <tableColumn id="37" name="Прогноз,_x000a_шт 07_24" dataDxfId="273"/>
    <tableColumn id="38" name="Факт,_x000a_шт 07_24" dataDxfId="272"/>
    <tableColumn id="39" name="Комментарий 07_24" dataDxfId="271"/>
    <tableColumn id="40" name="AOP,_x000a_шт 08_24" dataDxfId="270"/>
    <tableColumn id="41" name="Прогноз,_x000a_шт 08_24" dataDxfId="269"/>
    <tableColumn id="42" name="Факт,_x000a_шт 08_24" dataDxfId="268"/>
    <tableColumn id="43" name="Комментарий 08_24" dataDxfId="267"/>
    <tableColumn id="44" name="AOP,_x000a_шт 09_24" dataDxfId="266"/>
    <tableColumn id="45" name="Прогноз,_x000a_шт 09_24" dataDxfId="265"/>
    <tableColumn id="46" name="Факт,_x000a_шт 09_24" dataDxfId="264"/>
    <tableColumn id="47" name="Комментарий 09_24" dataDxfId="263"/>
    <tableColumn id="48" name="AOP,_x000a_шт 10_24" dataDxfId="262"/>
    <tableColumn id="49" name="Прогноз,_x000a_шт 10_24" dataDxfId="261"/>
    <tableColumn id="50" name="Факт,_x000a_шт 10_24" dataDxfId="260"/>
    <tableColumn id="51" name="Комментарий 10_24" dataDxfId="259"/>
    <tableColumn id="52" name="AOP,_x000a_шт 11_24" dataDxfId="258"/>
    <tableColumn id="53" name="Прогноз,_x000a_шт 11_24" dataDxfId="257"/>
    <tableColumn id="54" name="Факт,_x000a_шт 11_24" dataDxfId="256"/>
    <tableColumn id="55" name="Комментарий 11_24" dataDxfId="255"/>
    <tableColumn id="56" name="AOP,_x000a_шт 12_24" dataDxfId="254"/>
    <tableColumn id="57" name="Прогноз,_x000a_шт 12_24" dataDxfId="253"/>
    <tableColumn id="58" name="Факт,_x000a_шт 12_24" dataDxfId="252"/>
    <tableColumn id="59" name="Комментарий 12_24" dataDxfId="251"/>
    <tableColumn id="60" name="AOP,_x000a_шт 2024" dataDxfId="250"/>
    <tableColumn id="61" name="Продажи AOP, CNY 2024" dataDxfId="249"/>
    <tableColumn id="62" name="Прогноз,_x000a_шт 2024" dataDxfId="248"/>
    <tableColumn id="63" name="Прогноз,_x000a_CNY 2024" dataDxfId="247"/>
    <tableColumn id="64" name="Факт,_x000a_шт 2024" dataDxfId="246"/>
    <tableColumn id="65" name="Факт,_x000a_CNY 2024" dataDxfId="245"/>
    <tableColumn id="66" name="AOP,_x000a_шт 01_25" dataDxfId="244"/>
    <tableColumn id="67" name="AOP негатив,_x000a_шт 01_25" dataDxfId="243"/>
    <tableColumn id="68" name="Прогноз,_x000a_шт 01_25" dataDxfId="242"/>
    <tableColumn id="69" name="Факт,_x000a_шт 01_25" dataDxfId="241"/>
    <tableColumn id="70" name="Комментарий 01_25" dataDxfId="240"/>
    <tableColumn id="71" name="AOP,_x000a_шт 02_25" dataDxfId="239"/>
    <tableColumn id="72" name="AOP негатив,_x000a_шт 02_25" dataDxfId="238"/>
    <tableColumn id="73" name="Прогноз,_x000a_шт 02_25" dataDxfId="237"/>
    <tableColumn id="74" name="Факт,_x000a_шт 02_25" dataDxfId="236"/>
    <tableColumn id="75" name="Комментарий 02_25" dataDxfId="235"/>
    <tableColumn id="76" name="AOP,_x000a_шт 03_25" dataDxfId="234"/>
    <tableColumn id="77" name="AOP негатив,_x000a_шт 03_25" dataDxfId="233"/>
    <tableColumn id="78" name="Прогноз,_x000a_шт 03_25" dataDxfId="232"/>
    <tableColumn id="79" name="Факт,_x000a_шт 03_25" dataDxfId="231"/>
    <tableColumn id="80" name="Комментарий 03_25" dataDxfId="230"/>
    <tableColumn id="81" name="AOP,_x000a_шт 04_25" dataDxfId="229"/>
    <tableColumn id="82" name="AOP негатив,_x000a_шт 04_25" dataDxfId="228"/>
    <tableColumn id="83" name="Прогноз,_x000a_шт 04_25" dataDxfId="227"/>
    <tableColumn id="84" name="Факт,_x000a_шт 04_25" dataDxfId="226"/>
    <tableColumn id="85" name="Комментарий 04_25" dataDxfId="225"/>
    <tableColumn id="86" name="AOP,_x000a_шт 05_25" dataDxfId="224"/>
    <tableColumn id="87" name="AOP негатив,_x000a_шт 05_25" dataDxfId="223"/>
    <tableColumn id="88" name="Прогноз,_x000a_шт 05_25" dataDxfId="222"/>
    <tableColumn id="89" name="Факт,_x000a_шт 05_25" dataDxfId="221"/>
    <tableColumn id="90" name="Комментарий 05_25" dataDxfId="220"/>
    <tableColumn id="91" name="AOP,_x000a_шт 06_25" dataDxfId="219"/>
    <tableColumn id="92" name="AOP негатив,_x000a_шт 06_25" dataDxfId="218"/>
    <tableColumn id="93" name="Прогноз,_x000a_шт 06_25" dataDxfId="217"/>
    <tableColumn id="94" name="Факт,_x000a_шт 06_25" dataDxfId="216"/>
    <tableColumn id="95" name="Комментарий 06_25" dataDxfId="215"/>
    <tableColumn id="96" name="AOP,_x000a_шт 07_25" dataDxfId="214"/>
    <tableColumn id="97" name="AOP негатив,_x000a_шт 07_25" dataDxfId="213"/>
    <tableColumn id="98" name="Прогноз,_x000a_шт 07_25" dataDxfId="212"/>
    <tableColumn id="99" name="Факт,_x000a_шт 07_25" dataDxfId="211"/>
    <tableColumn id="100" name="Комментарий 07_25" dataDxfId="210"/>
    <tableColumn id="101" name="AOP,_x000a_шт 08_25" dataDxfId="209"/>
    <tableColumn id="102" name="AOP негатив,_x000a_шт 08_25" dataDxfId="208"/>
    <tableColumn id="103" name="Прогноз,_x000a_шт 08_25" dataDxfId="207"/>
    <tableColumn id="104" name="Факт,_x000a_шт 08_25" dataDxfId="206"/>
    <tableColumn id="105" name="Комментарий 08_25" dataDxfId="205"/>
    <tableColumn id="106" name="AOP,_x000a_шт 09_25" dataDxfId="204"/>
    <tableColumn id="107" name="AOP негатив,_x000a_шт 09_25" dataDxfId="203"/>
    <tableColumn id="108" name="Прогноз,_x000a_шт 09_25" dataDxfId="202"/>
    <tableColumn id="109" name="Факт,_x000a_шт 09_25" dataDxfId="201"/>
    <tableColumn id="110" name="Комментарий 09_25" dataDxfId="200"/>
    <tableColumn id="111" name="AOP,_x000a_шт 10_25" dataDxfId="199"/>
    <tableColumn id="112" name="AOP негатив,_x000a_шт 10_25" dataDxfId="198"/>
    <tableColumn id="113" name="Прогноз,_x000a_шт 10_25" dataDxfId="197"/>
    <tableColumn id="114" name="Факт,_x000a_шт 10_25" dataDxfId="196"/>
    <tableColumn id="115" name="Комментарий 10_25" dataDxfId="195"/>
    <tableColumn id="116" name="AOP,_x000a_шт 11_25" dataDxfId="194"/>
    <tableColumn id="117" name="AOP негатив,_x000a_шт 11_25" dataDxfId="193"/>
    <tableColumn id="118" name="Прогноз,_x000a_шт 11_25" dataDxfId="192"/>
    <tableColumn id="119" name="Факт,_x000a_шт 11_25" dataDxfId="191"/>
    <tableColumn id="120" name="Комментарий 11_25" dataDxfId="190"/>
    <tableColumn id="121" name="AOP,_x000a_шт 12_25" dataDxfId="189"/>
    <tableColumn id="122" name="AOP негатив,_x000a_шт 12_25" dataDxfId="188"/>
    <tableColumn id="123" name="Прогноз,_x000a_шт 12_25" dataDxfId="187"/>
    <tableColumn id="124" name="Факт,_x000a_шт 12_25" dataDxfId="186"/>
    <tableColumn id="125" name="Комментарий 12_25" dataDxfId="185"/>
    <tableColumn id="126" name="AOP,_x000a_шт 2025" dataDxfId="184"/>
    <tableColumn id="127" name="Продажи AOP, CNY 2025" dataDxfId="183"/>
    <tableColumn id="128" name="AOP негатив,_x000a_шт 2025" dataDxfId="182"/>
    <tableColumn id="129" name="Продажи AOP негатив, CNY 2025" dataDxfId="181"/>
    <tableColumn id="130" name="Прогноз,_x000a_шт 20252" dataDxfId="180"/>
    <tableColumn id="131" name="Прогноз,_x000a_CNY 2025" dataDxfId="179"/>
    <tableColumn id="132" name="Факт,_x000a_шт 20253" dataDxfId="178"/>
    <tableColumn id="133" name="Факт,_x000a_CNY 2025" dataDxfId="17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База" displayName="База" ref="A1:I155" headerRowCount="1">
  <autoFilter ref="A1:I155"/>
  <sortState ref="A2:I155">
    <sortCondition ref="B2:B112"/>
    <sortCondition ref="C2:C112"/>
  </sortState>
  <tableColumns count="9">
    <tableColumn id="1" name="№" dataDxfId="176">
      <calculatedColumnFormula>ROW()-ROW(База[[#Headers],[№]])</calculatedColumnFormula>
    </tableColumn>
    <tableColumn id="2" name="Тип" dataDxfId="175"/>
    <tableColumn id="3" name="Артикул" dataDxfId="174"/>
    <tableColumn id="4" name="Наименование" dataDxfId="173"/>
    <tableColumn id="5" name="Примечание" dataDxfId="172"/>
    <tableColumn id="6" name="Проверка наличия в планах" dataDxfId="171">
      <calculatedColumnFormula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calculatedColumnFormula>
    </tableColumn>
    <tableColumn id="9" name="Проверка наличия в Комплектах" dataDxfId="170" dataCellStyle="Обычный 2 6">
      <calculatedColumnFormula>IF(База[[#This Row],[Тип]]=0,IF(SUMPRODUCT((База[[#This Row],[Артикул]]=Комплекты[Комплект])*1)=0,"НЕТ","ОК"),"ОК")</calculatedColumnFormula>
    </tableColumn>
    <tableColumn id="7" name="Проверка наличия в ПНЕВМАТИКЕ" dataDxfId="169">
      <calculatedColumnFormula>IF(SUMPRODUCT((База[[#This Row],[Артикул]]=ПНЕВМАТИКА!$G$6:$G$330)*1)=0,"НЕТ","ОК")</calculatedColumnFormula>
    </tableColumn>
    <tableColumn id="8" name="Проверка наличия в ТОРМОЗЕ" dataDxfId="168">
      <calculatedColumnFormula>IF(SUMPRODUCT((База[[#This Row],[Артикул]]=ТОРМОЗ!$G$6:$G$64)*1)=0,"НЕТ","ОК")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Комплекты" displayName="Комплекты" ref="A2:W249" headerRowCount="1" headerRowDxfId="167" totalsRowDxfId="164" headerRowBorderDxfId="166" tableBorderDxfId="165">
  <autoFilter ref="A2:W249"/>
  <sortState ref="A3:W249">
    <sortCondition ref="E3:E219"/>
    <sortCondition descending="1" ref="D3:D219"/>
    <sortCondition ref="F3:F219"/>
    <sortCondition ref="G3:G219"/>
  </sortState>
  <tableColumns count="23">
    <tableColumn id="1" name="№" dataDxfId="163">
      <calculatedColumnFormula>ROW()-ROW(Комплекты[[#Headers],[№]])</calculatedColumnFormula>
    </tableColumn>
    <tableColumn id="21" name="Ключ" dataDxfId="162" dataCellStyle="Обычный 2 6">
      <calculatedColumnFormula>Комплекты[[#This Row],[Пр]]&amp;"_"&amp;Комплекты[[#This Row],[Обозначение]]</calculatedColumnFormula>
    </tableColumn>
    <tableColumn id="14" name="№ п/п" dataDxfId="161" dataCellStyle="Обычный 2 6">
      <calculatedColumnFormula>COUNTIFS($E$3:Комплекты[[#This Row],[Комплект]],Комплекты[[#This Row],[Комплект]])</calculatedColumnFormula>
    </tableColumn>
    <tableColumn id="2" name="Дата" dataDxfId="160"/>
    <tableColumn id="3" name="Комплект" dataDxfId="159"/>
    <tableColumn id="4" name="Пр" dataDxfId="158"/>
    <tableColumn id="5" name="Обозначение" dataDxfId="157"/>
    <tableColumn id="6" name="Кол-во" dataDxfId="156"/>
    <tableColumn id="7" name="Наименование" dataDxfId="155">
      <calculatedColumnFormula>INDEX(База[],MATCH(Комплекты[[#This Row],[Обозначение]],База[Артикул],0),MATCH(I$2,База[#Headers],0))</calculatedColumnFormula>
    </tableColumn>
    <tableColumn id="8" name="Наименование комплекта" dataDxfId="154">
      <calculatedColumnFormula>INDEX(База[],MATCH(Комплекты[[#This Row],[Комплект]],База[Артикул],0),MATCH("наименование",База[#Headers],0))</calculatedColumnFormula>
    </tableColumn>
    <tableColumn id="9" name="  " dataDxfId="153"/>
    <tableColumn id="10" name="Проверка двойного артикула" dataDxfId="152">
      <calculatedColumnFormula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calculatedColumnFormula>
    </tableColumn>
    <tableColumn id="11" name="Проверка двойного комплекта" dataDxfId="151">
      <calculatedColumnFormula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calculatedColumnFormula>
    </tableColumn>
    <tableColumn id="12" name="Проверка наличия в плане" dataDxfId="150">
      <calculatedColumnFormula>IF(IFERROR(MATCH("нет",Комплекты[[#This Row],[   ]:[АВТОВИК]],0)&gt;0,),"НЕТ","ОК")</calculatedColumnFormula>
    </tableColumn>
    <tableColumn id="13" name="   " dataDxfId="149"/>
    <tableColumn id="15" name="Ультра Групп" dataDxfId="148">
      <calculatedColumnFormula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calculatedColumnFormula>
    </tableColumn>
    <tableColumn id="16" name="НовосибАРЗ" dataDxfId="147">
      <calculatedColumnFormula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calculatedColumnFormula>
    </tableColumn>
    <tableColumn id="25" name="СТК" dataDxfId="146" dataCellStyle="Обычный 2 6">
      <calculatedColumnFormula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calculatedColumnFormula>
    </tableColumn>
    <tableColumn id="17" name="Прицепная техника (УЗСТ)" dataDxfId="145">
      <calculatedColumnFormula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calculatedColumnFormula>
    </tableColumn>
    <tableColumn id="18" name="Политранс" dataDxfId="144">
      <calculatedColumnFormula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calculatedColumnFormula>
    </tableColumn>
    <tableColumn id="19" name="Уралавтоприцеп (ЧМЗАП)" dataDxfId="143">
      <calculatedColumnFormula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calculatedColumnFormula>
    </tableColumn>
    <tableColumn id="20" name="СпецАвто-Восток" dataDxfId="142">
      <calculatedColumnFormula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calculatedColumnFormula>
    </tableColumn>
    <tableColumn id="24" name="АВТОВИК" dataDxfId="141">
      <calculatedColumnFormula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Пневматика_СВОДНАЯ_2026" displayName="Пневматика_СВОДНАЯ_2026" ref="A4:AH142" headerRowCount="1" headerRowDxfId="140" totalsRowDxfId="137" headerRowBorderDxfId="139" tableBorderDxfId="138">
  <autoFilter ref="A4:AH142"/>
  <sortState ref="A5:AH142">
    <sortCondition descending="1" ref="AG5:AG51"/>
    <sortCondition ref="A5:A51"/>
    <sortCondition ref="B5:B51"/>
  </sortState>
  <tableColumns count="34">
    <tableColumn id="1" name="Прод" dataDxfId="136"/>
    <tableColumn id="2" name="Обозначение" dataDxfId="135"/>
    <tableColumn id="3" name="Пр" dataDxfId="134">
      <calculatedColumnFormula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calculatedColumnFormula>
    </tableColumn>
    <tableColumn id="4" name="Тип" dataDxfId="133">
      <calculatedColumnFormula>INDEX(База[],MATCH(Пневматика_СВОДНАЯ_2026[[#This Row],[Обозначение]],База[Артикул],0),MATCH(D$4,База[#Headers],0))</calculatedColumnFormula>
    </tableColumn>
    <tableColumn id="5" name="Наименование" totalsRowLabel="ИТОГ" dataDxfId="132">
      <calculatedColumnFormula>INDEX(База[],MATCH(Пневматика_СВОДНАЯ_2026[[#This Row],[Обозначение]],База[Артикул],0),MATCH(E$4,База[#Headers],0))</calculatedColumnFormula>
    </tableColumn>
    <tableColumn id="6" name="П- _x000a_01" totalsRowFunction="custom" dataDxfId="131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calculatedColumnFormula>
      <totalsRowFormula>SUBTOTAL(109,F5:F142)</totalsRowFormula>
    </tableColumn>
    <tableColumn id="7" name="П- _x000a_02" totalsRowFunction="custom" dataDxfId="130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calculatedColumnFormula>
      <totalsRowFormula>SUBTOTAL(109,G5:G142)</totalsRowFormula>
    </tableColumn>
    <tableColumn id="8" name="П- _x000a_03" totalsRowFunction="custom" dataDxfId="129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calculatedColumnFormula>
      <totalsRowFormula>SUBTOTAL(109,H5:H142)</totalsRowFormula>
    </tableColumn>
    <tableColumn id="9" name="П- _x000a_04" totalsRowFunction="custom" dataDxfId="128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calculatedColumnFormula>
      <totalsRowFormula>SUBTOTAL(109,I5:I142)</totalsRowFormula>
    </tableColumn>
    <tableColumn id="10" name="П- _x000a_05" totalsRowFunction="custom" dataDxfId="127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calculatedColumnFormula>
      <totalsRowFormula>SUBTOTAL(109,J5:J142)</totalsRowFormula>
    </tableColumn>
    <tableColumn id="11" name="П- _x000a_06" totalsRowFunction="custom" dataDxfId="126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calculatedColumnFormula>
      <totalsRowFormula>SUBTOTAL(109,K5:K142)</totalsRowFormula>
    </tableColumn>
    <tableColumn id="12" name="П- _x000a_07" totalsRowFunction="custom" dataDxfId="125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calculatedColumnFormula>
      <totalsRowFormula>SUBTOTAL(109,L5:L142)</totalsRowFormula>
    </tableColumn>
    <tableColumn id="13" name="П- _x000a_08" totalsRowFunction="custom" dataDxfId="124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calculatedColumnFormula>
      <totalsRowFormula>SUBTOTAL(109,M5:M142)</totalsRowFormula>
    </tableColumn>
    <tableColumn id="14" name="П- _x000a_09" totalsRowFunction="custom" dataDxfId="123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calculatedColumnFormula>
      <totalsRowFormula>SUBTOTAL(109,N5:N142)</totalsRowFormula>
    </tableColumn>
    <tableColumn id="15" name="П- _x000a_10" totalsRowFunction="custom" dataDxfId="122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calculatedColumnFormula>
      <totalsRowFormula>SUBTOTAL(109,O5:O142)</totalsRowFormula>
    </tableColumn>
    <tableColumn id="16" name="П- _x000a_11" totalsRowFunction="custom" dataDxfId="121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calculatedColumnFormula>
      <totalsRowFormula>SUBTOTAL(109,P5:P142)</totalsRowFormula>
    </tableColumn>
    <tableColumn id="17" name="П- _x000a_12" totalsRowFunction="custom" dataDxfId="120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calculatedColumnFormula>
      <totalsRowFormula>SUBTOTAL(109,Q5:Q142)</totalsRowFormula>
    </tableColumn>
    <tableColumn id="18" name="П- _x000a_2026" totalsRowFunction="custom" dataDxfId="119">
      <calculatedColumnFormula>SUM(Пневматика_СВОДНАЯ_2026[[#This Row],[П- 
01]:[П- 
12]])</calculatedColumnFormula>
      <totalsRowFormula>SUBTOTAL(109,R5:R142)</totalsRowFormula>
    </tableColumn>
    <tableColumn id="19" name="=" dataDxfId="118">
      <calculatedColumnFormula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calculatedColumnFormula>
    </tableColumn>
    <tableColumn id="20" name="Ф- _x000a_01" totalsRowFunction="custom" dataDxfId="117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calculatedColumnFormula>
      <totalsRowFormula>SUBTOTAL(109,T5:T142)</totalsRowFormula>
    </tableColumn>
    <tableColumn id="21" name="Ф- _x000a_02" totalsRowFunction="custom" dataDxfId="116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calculatedColumnFormula>
      <totalsRowFormula>SUBTOTAL(109,U5:U142)</totalsRowFormula>
    </tableColumn>
    <tableColumn id="22" name="Ф- _x000a_03" totalsRowFunction="custom" dataDxfId="115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calculatedColumnFormula>
      <totalsRowFormula>SUBTOTAL(109,V5:V142)</totalsRowFormula>
    </tableColumn>
    <tableColumn id="23" name="Ф- _x000a_04" totalsRowFunction="custom" dataDxfId="114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calculatedColumnFormula>
      <totalsRowFormula>SUBTOTAL(109,W5:W142)</totalsRowFormula>
    </tableColumn>
    <tableColumn id="24" name="Ф- _x000a_05" totalsRowFunction="custom" dataDxfId="113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calculatedColumnFormula>
      <totalsRowFormula>SUBTOTAL(109,X5:X142)</totalsRowFormula>
    </tableColumn>
    <tableColumn id="25" name="Ф- _x000a_06" totalsRowFunction="custom" dataDxfId="112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calculatedColumnFormula>
      <totalsRowFormula>SUBTOTAL(109,Y5:Y142)</totalsRowFormula>
    </tableColumn>
    <tableColumn id="26" name="Ф- _x000a_07" totalsRowFunction="custom" dataDxfId="111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calculatedColumnFormula>
      <totalsRowFormula>SUBTOTAL(109,Z5:Z142)</totalsRowFormula>
    </tableColumn>
    <tableColumn id="27" name="Ф- _x000a_08" totalsRowFunction="custom" dataDxfId="110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calculatedColumnFormula>
      <totalsRowFormula>SUBTOTAL(109,AA5:AA142)</totalsRowFormula>
    </tableColumn>
    <tableColumn id="28" name="Ф- _x000a_09" totalsRowFunction="custom" dataDxfId="109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calculatedColumnFormula>
      <totalsRowFormula>SUBTOTAL(109,AB5:AB142)</totalsRowFormula>
    </tableColumn>
    <tableColumn id="29" name="Ф- _x000a_10" totalsRowFunction="custom" dataDxfId="108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calculatedColumnFormula>
      <totalsRowFormula>SUBTOTAL(109,AC5:AC142)</totalsRowFormula>
    </tableColumn>
    <tableColumn id="30" name="Ф- _x000a_11" totalsRowFunction="custom" dataDxfId="107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calculatedColumnFormula>
      <totalsRowFormula>SUBTOTAL(109,AD5:AD142)</totalsRowFormula>
    </tableColumn>
    <tableColumn id="31" name="Ф- _x000a_12" totalsRowFunction="custom" dataDxfId="106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calculatedColumnFormula>
      <totalsRowFormula>SUBTOTAL(109,AE5:AE142)</totalsRowFormula>
    </tableColumn>
    <tableColumn id="32" name="Ф- _x000a_2026" totalsRowFunction="custom" dataDxfId="105">
      <calculatedColumnFormula>SUM(Пневматика_СВОДНАЯ_2026[[#This Row],[Ф- 
01]:[Ф- 
12]])</calculatedColumnFormula>
      <totalsRowFormula>SUBTOTAL(109,AF5:AF142)</totalsRowFormula>
    </tableColumn>
    <tableColumn id="33" name="Ф" dataDxfId="104">
      <calculatedColumnFormula>IF((Пневматика_СВОДНАЯ_2026[[#This Row],[П- 
2026]]+Пневматика_СВОДНАЯ_2026[[#This Row],[Ф- 
2026]])&gt;0,1,0)</calculatedColumnFormula>
    </tableColumn>
    <tableColumn id="34" name="Ключ" dataDxfId="103">
      <calculatedColumnFormula>Пневматика_СВОДНАЯ_2026[[#This Row],[Прод]]&amp;"_"&amp;Пневматика_СВОДНАЯ_2026[[#This Row],[Обозначение]]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Тормоз_СВОДНАЯ_2026" displayName="Тормоз_СВОДНАЯ_2026" ref="A4:AH27" headerRowCount="1" headerRowDxfId="102" totalsRowDxfId="99" headerRowBorderDxfId="101" tableBorderDxfId="100">
  <autoFilter ref="A4:AH27"/>
  <sortState ref="A5:AH27">
    <sortCondition descending="1" ref="AG5:AG15"/>
    <sortCondition ref="A5:A15"/>
    <sortCondition ref="B5:B15"/>
  </sortState>
  <tableColumns count="34">
    <tableColumn id="1" name="Прод" dataDxfId="98"/>
    <tableColumn id="2" name="Обозначение" dataDxfId="97"/>
    <tableColumn id="3" name="Пр" dataDxfId="96">
      <calculatedColumnFormula>SUMPRODUCT((Тормоз_СВОДНАЯ_2026[Прод]=Тормоз_СВОДНАЯ_2026[[#This Row],[Прод]])*(Тормоз_СВОДНАЯ_2026[Обозначение]=Тормоз_СВОДНАЯ_2026[[#This Row],[Обозначение]])*1)</calculatedColumnFormula>
    </tableColumn>
    <tableColumn id="4" name="Тип" dataDxfId="95">
      <calculatedColumnFormula>INDEX(База[],MATCH(Тормоз_СВОДНАЯ_2026[[#This Row],[Обозначение]],База[Артикул],0),MATCH(D$4,База[#Headers],0))</calculatedColumnFormula>
    </tableColumn>
    <tableColumn id="5" name="Наименование" totalsRowLabel="ИТОГ" dataDxfId="94">
      <calculatedColumnFormula>INDEX(База[],MATCH(Тормоз_СВОДНАЯ_2026[[#This Row],[Обозначение]],База[Артикул],0),MATCH(E$4,База[#Headers],0))</calculatedColumnFormula>
    </tableColumn>
    <tableColumn id="6" name="П- _x000a_01" totalsRowFunction="custom" dataDxfId="93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calculatedColumnFormula>
      <totalsRowFormula>SUBTOTAL(109,F5:F27)</totalsRowFormula>
    </tableColumn>
    <tableColumn id="7" name="П- _x000a_02" totalsRowFunction="custom" dataDxfId="92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calculatedColumnFormula>
      <totalsRowFormula>SUBTOTAL(109,G5:G27)</totalsRowFormula>
    </tableColumn>
    <tableColumn id="8" name="П- _x000a_03" totalsRowFunction="custom" dataDxfId="91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calculatedColumnFormula>
      <totalsRowFormula>SUBTOTAL(109,H5:H27)</totalsRowFormula>
    </tableColumn>
    <tableColumn id="9" name="П- _x000a_04" totalsRowFunction="custom" dataDxfId="90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calculatedColumnFormula>
      <totalsRowFormula>SUBTOTAL(109,I5:I27)</totalsRowFormula>
    </tableColumn>
    <tableColumn id="10" name="П- _x000a_05" totalsRowFunction="custom" dataDxfId="89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calculatedColumnFormula>
      <totalsRowFormula>SUBTOTAL(109,J5:J27)</totalsRowFormula>
    </tableColumn>
    <tableColumn id="11" name="П- _x000a_06" totalsRowFunction="custom" dataDxfId="88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calculatedColumnFormula>
      <totalsRowFormula>SUBTOTAL(109,K5:K27)</totalsRowFormula>
    </tableColumn>
    <tableColumn id="12" name="П- _x000a_07" totalsRowFunction="custom" dataDxfId="87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calculatedColumnFormula>
      <totalsRowFormula>SUBTOTAL(109,L5:L27)</totalsRowFormula>
    </tableColumn>
    <tableColumn id="13" name="П- _x000a_08" totalsRowFunction="custom" dataDxfId="86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calculatedColumnFormula>
      <totalsRowFormula>SUBTOTAL(109,M5:M27)</totalsRowFormula>
    </tableColumn>
    <tableColumn id="14" name="П- _x000a_09" totalsRowFunction="custom" dataDxfId="85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calculatedColumnFormula>
      <totalsRowFormula>SUBTOTAL(109,N5:N27)</totalsRowFormula>
    </tableColumn>
    <tableColumn id="15" name="П- _x000a_10" totalsRowFunction="custom" dataDxfId="84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calculatedColumnFormula>
      <totalsRowFormula>SUBTOTAL(109,O5:O27)</totalsRowFormula>
    </tableColumn>
    <tableColumn id="16" name="П- _x000a_11" totalsRowFunction="custom" dataDxfId="83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calculatedColumnFormula>
      <totalsRowFormula>SUBTOTAL(109,P5:P27)</totalsRowFormula>
    </tableColumn>
    <tableColumn id="17" name="П- _x000a_12" totalsRowFunction="custom" dataDxfId="82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calculatedColumnFormula>
      <totalsRowFormula>SUBTOTAL(109,Q5:Q27)</totalsRowFormula>
    </tableColumn>
    <tableColumn id="18" name="П- _x000a_2025" totalsRowFunction="custom" dataDxfId="81">
      <calculatedColumnFormula>SUM(Тормоз_СВОДНАЯ_2026[[#This Row],[П- 
01]:[П- 
12]])</calculatedColumnFormula>
      <totalsRowFormula>SUBTOTAL(109,R5:R27)</totalsRowFormula>
    </tableColumn>
    <tableColumn id="19" name="=" dataDxfId="80">
      <calculatedColumnFormula>IF(Тормоз_СВОДНАЯ_2026[[#This Row],[П- 
2025]]=Тормоз_СВОДНАЯ_2026[[#This Row],[Ф- 
2025]],"=",IF(Тормоз_СВОДНАЯ_2026[[#This Row],[П- 
2025]]&gt;Тормоз_СВОДНАЯ_2026[[#This Row],[Ф- 
2025]],"&gt;","&lt;"))</calculatedColumnFormula>
    </tableColumn>
    <tableColumn id="20" name="Ф- _x000a_01" totalsRowFunction="custom" dataDxfId="79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calculatedColumnFormula>
      <totalsRowFormula>SUBTOTAL(109,T5:T27)</totalsRowFormula>
    </tableColumn>
    <tableColumn id="21" name="Ф- _x000a_02" totalsRowFunction="custom" dataDxfId="78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calculatedColumnFormula>
      <totalsRowFormula>SUBTOTAL(109,U5:U27)</totalsRowFormula>
    </tableColumn>
    <tableColumn id="22" name="Ф- _x000a_03" totalsRowFunction="custom" dataDxfId="77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calculatedColumnFormula>
      <totalsRowFormula>SUBTOTAL(109,V5:V27)</totalsRowFormula>
    </tableColumn>
    <tableColumn id="23" name="Ф- _x000a_04" totalsRowFunction="custom" dataDxfId="76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calculatedColumnFormula>
      <totalsRowFormula>SUBTOTAL(109,W5:W27)</totalsRowFormula>
    </tableColumn>
    <tableColumn id="24" name="Ф- _x000a_05" totalsRowFunction="custom" dataDxfId="75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calculatedColumnFormula>
      <totalsRowFormula>SUBTOTAL(109,X5:X27)</totalsRowFormula>
    </tableColumn>
    <tableColumn id="25" name="Ф- _x000a_06" totalsRowFunction="custom" dataDxfId="74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calculatedColumnFormula>
      <totalsRowFormula>SUBTOTAL(109,Y5:Y27)</totalsRowFormula>
    </tableColumn>
    <tableColumn id="26" name="Ф- _x000a_07" totalsRowFunction="custom" dataDxfId="73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calculatedColumnFormula>
      <totalsRowFormula>SUBTOTAL(109,Z5:Z27)</totalsRowFormula>
    </tableColumn>
    <tableColumn id="27" name="Ф- _x000a_08" totalsRowFunction="custom" dataDxfId="72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calculatedColumnFormula>
      <totalsRowFormula>SUBTOTAL(109,AA5:AA27)</totalsRowFormula>
    </tableColumn>
    <tableColumn id="28" name="Ф- _x000a_09" totalsRowFunction="custom" dataDxfId="71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calculatedColumnFormula>
      <totalsRowFormula>SUBTOTAL(109,AB5:AB27)</totalsRowFormula>
    </tableColumn>
    <tableColumn id="29" name="Ф- _x000a_10" totalsRowFunction="custom" dataDxfId="70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calculatedColumnFormula>
      <totalsRowFormula>SUBTOTAL(109,AC5:AC27)</totalsRowFormula>
    </tableColumn>
    <tableColumn id="30" name="Ф- _x000a_11" totalsRowFunction="custom" dataDxfId="69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calculatedColumnFormula>
      <totalsRowFormula>SUBTOTAL(109,AD5:AD27)</totalsRowFormula>
    </tableColumn>
    <tableColumn id="31" name="Ф- _x000a_12" totalsRowFunction="custom" dataDxfId="68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calculatedColumnFormula>
      <totalsRowFormula>SUBTOTAL(109,AE5:AE27)</totalsRowFormula>
    </tableColumn>
    <tableColumn id="32" name="Ф- _x000a_2025" totalsRowFunction="custom" dataDxfId="67">
      <calculatedColumnFormula>SUM(Тормоз_СВОДНАЯ_2026[[#This Row],[Ф- 
01]:[Ф- 
12]])</calculatedColumnFormula>
      <totalsRowFormula>SUBTOTAL(109,AF5:AF27)</totalsRowFormula>
    </tableColumn>
    <tableColumn id="33" name="Ф" dataDxfId="66">
      <calculatedColumnFormula>IF((Тормоз_СВОДНАЯ_2026[[#This Row],[П- 
2025]]+Тормоз_СВОДНАЯ_2026[[#This Row],[Ф- 
2025]])&gt;0,1,0)</calculatedColumnFormula>
    </tableColumn>
    <tableColumn id="34" name="Ключ" dataDxfId="65">
      <calculatedColumnFormula>Тормоз_СВОДНАЯ_2026[[#This Row],[Прод]]&amp;"_"&amp;Тормоз_СВОДНАЯ_2026[[#This Row],[Обозначение]]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br.ru/currency_base/dynamics/?UniDbQuery.Posted=True&amp;UniDbQuery.VAL_NM_RQ=R01239" TargetMode="External" Id="rId1" /><Relationship Type="http://schemas.openxmlformats.org/officeDocument/2006/relationships/hyperlink" Target="https://cbr.ru/currency_base/dynamics/?UniDbQuery.Posted=True&amp;UniDbQuery.VAL_NM_RQ=R01375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cbr.ru/currency_base/dynamics/?UniDbQuery.Posted=True&amp;UniDbQuery.VAL_NM_RQ=R01239" TargetMode="External" Id="rId1" /><Relationship Type="http://schemas.openxmlformats.org/officeDocument/2006/relationships/hyperlink" Target="https://cbr.ru/currency_base/dynamics/?UniDbQuery.Posted=True&amp;UniDbQuery.VAL_NM_RQ=R01375" TargetMode="Externa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A1:HZ79"/>
  <sheetViews>
    <sheetView zoomScale="70" zoomScaleNormal="70" workbookViewId="0">
      <pane xSplit="13" ySplit="5" topLeftCell="N6" activePane="bottomRight" state="frozen"/>
      <selection activeCell="B4" sqref="B4"/>
      <selection pane="topRight" activeCell="B4" sqref="B4"/>
      <selection pane="bottomLeft" activeCell="B4" sqref="B4"/>
      <selection pane="bottomRight" activeCell="H1" sqref="H1:H1048576"/>
    </sheetView>
  </sheetViews>
  <sheetFormatPr baseColWidth="8" defaultColWidth="12.6640625" defaultRowHeight="14.4" outlineLevelRow="2"/>
  <cols>
    <col width="15.6640625" customWidth="1" style="1" min="1" max="1"/>
    <col outlineLevel="1" width="18.88671875" customWidth="1" style="1" min="2" max="2"/>
    <col outlineLevel="1" width="11.6640625" customWidth="1" style="1" min="3" max="3"/>
    <col outlineLevel="1" width="10.6640625" customWidth="1" style="1" min="4" max="4"/>
    <col width="5.33203125" bestFit="1" customWidth="1" style="1" min="5" max="5"/>
    <col width="6.6640625" customWidth="1" style="1" min="6" max="6"/>
    <col width="20.6640625" customWidth="1" style="1" min="7" max="7"/>
    <col width="42.6640625" customWidth="1" style="2" min="8" max="8"/>
    <col width="9.6640625" customWidth="1" style="3" min="9" max="9"/>
    <col outlineLevel="1" width="10.6640625" customWidth="1" style="3" min="10" max="10"/>
    <col outlineLevel="1" width="8.6640625" customWidth="1" style="3" min="11" max="11"/>
    <col outlineLevel="1" width="9.6640625" customWidth="1" style="3" min="12" max="12"/>
    <col width="3.6640625" customWidth="1" style="4" min="13" max="14"/>
    <col hidden="1" outlineLevel="2" width="9.6640625" customWidth="1" style="1" min="15" max="17"/>
    <col hidden="1" outlineLevel="2" width="19" customWidth="1" style="1" min="18" max="18"/>
    <col hidden="1" outlineLevel="2" width="9.6640625" customWidth="1" style="1" min="19" max="21"/>
    <col hidden="1" outlineLevel="2" width="19" customWidth="1" style="1" min="22" max="22"/>
    <col hidden="1" outlineLevel="2" collapsed="1" width="9.6640625" customWidth="1" style="1" min="23" max="23"/>
    <col hidden="1" outlineLevel="2" width="9.6640625" customWidth="1" style="1" min="24" max="25"/>
    <col hidden="1" outlineLevel="2" width="19" customWidth="1" style="1" min="26" max="26"/>
    <col hidden="1" outlineLevel="2" collapsed="1" width="9.6640625" customWidth="1" style="1" min="27" max="27"/>
    <col hidden="1" outlineLevel="2" width="9.6640625" customWidth="1" style="1" min="28" max="29"/>
    <col hidden="1" outlineLevel="2" width="19" customWidth="1" style="1" min="30" max="30"/>
    <col outlineLevel="1" collapsed="1" width="9.6640625" customWidth="1" style="1" min="31" max="31"/>
    <col outlineLevel="1" width="9.6640625" customWidth="1" style="1" min="32" max="33"/>
    <col outlineLevel="1" width="19" customWidth="1" style="1" min="34" max="34"/>
    <col outlineLevel="1" width="9.6640625" customWidth="1" style="1" min="35" max="37"/>
    <col outlineLevel="1" width="19" customWidth="1" style="1" min="38" max="38"/>
    <col outlineLevel="2" width="9.6640625" customWidth="1" style="1" min="39" max="41"/>
    <col outlineLevel="2" width="19" customWidth="1" style="1" min="42" max="42"/>
    <col outlineLevel="2" width="9.6640625" customWidth="1" style="1" min="43" max="45"/>
    <col outlineLevel="2" width="19" customWidth="1" style="1" min="46" max="46"/>
    <col outlineLevel="2" width="9.6640625" customWidth="1" style="1" min="47" max="49"/>
    <col outlineLevel="2" width="19" customWidth="1" style="1" min="50" max="50"/>
    <col outlineLevel="2" width="9.6640625" customWidth="1" style="1" min="51" max="53"/>
    <col outlineLevel="2" width="19" customWidth="1" style="1" min="54" max="54"/>
    <col outlineLevel="2" width="9.6640625" customWidth="1" style="1" min="55" max="57"/>
    <col outlineLevel="2" width="19" customWidth="1" style="1" min="58" max="58"/>
    <col outlineLevel="2" width="9.6640625" customWidth="1" style="1" min="59" max="61"/>
    <col outlineLevel="2" width="19" customWidth="1" style="1" min="62" max="62"/>
    <col outlineLevel="1" width="3.6640625" customWidth="1" style="359" min="63" max="63"/>
    <col outlineLevel="2" width="10.6640625" customWidth="1" style="1" min="64" max="64"/>
    <col outlineLevel="2" width="14" customWidth="1" style="1" min="65" max="65"/>
    <col outlineLevel="2" width="10.6640625" customWidth="1" style="1" min="66" max="69"/>
    <col outlineLevel="1" width="3.6640625" customWidth="1" style="359" min="70" max="70"/>
    <col width="3.6640625" customWidth="1" style="4" min="71" max="71"/>
    <col hidden="1" outlineLevel="1" width="9.6640625" customWidth="1" style="1" min="72" max="74"/>
    <col hidden="1" outlineLevel="1" width="19" customWidth="1" style="1" min="75" max="75"/>
    <col hidden="1" outlineLevel="1" width="9.6640625" customWidth="1" style="1" min="76" max="78"/>
    <col hidden="1" outlineLevel="1" width="19" customWidth="1" style="1" min="79" max="79"/>
    <col hidden="1" outlineLevel="1" width="9.6640625" customWidth="1" style="1" min="80" max="82"/>
    <col hidden="1" outlineLevel="1" width="19" customWidth="1" style="1" min="83" max="83"/>
    <col hidden="1" outlineLevel="1" width="9.6640625" customWidth="1" style="1" min="84" max="86"/>
    <col hidden="1" outlineLevel="1" width="19" customWidth="1" style="1" min="87" max="87"/>
    <col hidden="1" outlineLevel="1" width="9.6640625" customWidth="1" style="1" min="88" max="90"/>
    <col hidden="1" outlineLevel="1" width="19" customWidth="1" style="1" min="91" max="91"/>
    <col hidden="1" outlineLevel="1" width="9.6640625" customWidth="1" style="1" min="92" max="94"/>
    <col hidden="1" outlineLevel="1" width="19" customWidth="1" style="1" min="95" max="95"/>
    <col hidden="1" outlineLevel="1" width="9.6640625" customWidth="1" style="1" min="96" max="98"/>
    <col hidden="1" outlineLevel="1" width="19" customWidth="1" style="1" min="99" max="99"/>
    <col hidden="1" outlineLevel="1" width="9.6640625" customWidth="1" style="1" min="100" max="102"/>
    <col hidden="1" outlineLevel="1" width="19" customWidth="1" style="1" min="103" max="103"/>
    <col hidden="1" outlineLevel="1" width="9.6640625" customWidth="1" style="1" min="104" max="106"/>
    <col hidden="1" outlineLevel="1" width="19" customWidth="1" style="1" min="107" max="107"/>
    <col hidden="1" outlineLevel="1" width="9.6640625" customWidth="1" style="1" min="108" max="110"/>
    <col hidden="1" outlineLevel="1" width="19" customWidth="1" style="1" min="111" max="111"/>
    <col hidden="1" outlineLevel="1" width="9.6640625" customWidth="1" style="1" min="112" max="114"/>
    <col hidden="1" outlineLevel="1" width="19" customWidth="1" style="1" min="115" max="115"/>
    <col hidden="1" outlineLevel="1" width="9.6640625" customWidth="1" style="1" min="116" max="118"/>
    <col hidden="1" outlineLevel="1" width="19" customWidth="1" style="1" min="119" max="119"/>
    <col hidden="1" outlineLevel="1" width="3.6640625" customWidth="1" style="359" min="120" max="120"/>
    <col hidden="1" outlineLevel="2" width="10.6640625" customWidth="1" style="1" min="121" max="122"/>
    <col hidden="1" outlineLevel="1" collapsed="1" width="3.6640625" customWidth="1" style="359" min="123" max="123"/>
    <col collapsed="1" width="3.6640625" customWidth="1" style="4" min="124" max="124"/>
    <col hidden="1" outlineLevel="1" width="10.33203125" customWidth="1" style="1" min="125" max="125"/>
    <col hidden="1" outlineLevel="1" width="9.6640625" customWidth="1" style="1" min="126" max="127"/>
    <col hidden="1" outlineLevel="1" width="19" customWidth="1" style="1" min="128" max="128"/>
    <col hidden="1" outlineLevel="1" width="10.33203125" customWidth="1" style="1" min="129" max="129"/>
    <col hidden="1" outlineLevel="1" width="9.6640625" customWidth="1" style="1" min="130" max="131"/>
    <col hidden="1" outlineLevel="1" width="19" customWidth="1" style="1" min="132" max="132"/>
    <col hidden="1" outlineLevel="1" width="10.33203125" customWidth="1" style="1" min="133" max="133"/>
    <col hidden="1" outlineLevel="1" width="9.6640625" customWidth="1" style="1" min="134" max="135"/>
    <col hidden="1" outlineLevel="1" width="19" customWidth="1" style="1" min="136" max="136"/>
    <col hidden="1" outlineLevel="1" width="10.33203125" customWidth="1" style="1" min="137" max="137"/>
    <col hidden="1" outlineLevel="1" width="9.6640625" customWidth="1" style="1" min="138" max="139"/>
    <col hidden="1" outlineLevel="1" width="19" customWidth="1" style="1" min="140" max="140"/>
    <col hidden="1" outlineLevel="1" width="10.33203125" customWidth="1" style="1" min="141" max="141"/>
    <col hidden="1" outlineLevel="1" width="9.6640625" customWidth="1" style="1" min="142" max="143"/>
    <col hidden="1" outlineLevel="1" width="19" customWidth="1" style="1" min="144" max="144"/>
    <col hidden="1" outlineLevel="1" width="10.33203125" customWidth="1" style="1" min="145" max="145"/>
    <col hidden="1" outlineLevel="1" width="9.6640625" customWidth="1" style="1" min="146" max="147"/>
    <col hidden="1" outlineLevel="1" width="19" customWidth="1" style="1" min="148" max="148"/>
    <col hidden="1" outlineLevel="1" width="10.33203125" customWidth="1" style="1" min="149" max="149"/>
    <col hidden="1" outlineLevel="1" width="9.6640625" customWidth="1" style="1" min="150" max="151"/>
    <col hidden="1" outlineLevel="1" width="19" customWidth="1" style="1" min="152" max="152"/>
    <col hidden="1" outlineLevel="1" width="10.33203125" customWidth="1" style="1" min="153" max="153"/>
    <col hidden="1" outlineLevel="1" width="9.6640625" customWidth="1" style="1" min="154" max="155"/>
    <col hidden="1" outlineLevel="1" width="19" customWidth="1" style="1" min="156" max="156"/>
    <col hidden="1" outlineLevel="1" width="10.33203125" customWidth="1" style="1" min="157" max="157"/>
    <col hidden="1" outlineLevel="1" width="9.6640625" customWidth="1" style="1" min="158" max="159"/>
    <col hidden="1" outlineLevel="1" width="19" customWidth="1" style="1" min="160" max="160"/>
    <col hidden="1" outlineLevel="1" width="10.33203125" customWidth="1" style="1" min="161" max="161"/>
    <col hidden="1" outlineLevel="1" width="9.6640625" customWidth="1" style="1" min="162" max="163"/>
    <col hidden="1" outlineLevel="1" width="19" customWidth="1" style="1" min="164" max="164"/>
    <col hidden="1" outlineLevel="1" width="10.33203125" customWidth="1" style="1" min="165" max="165"/>
    <col hidden="1" outlineLevel="1" width="9.6640625" customWidth="1" style="1" min="166" max="167"/>
    <col hidden="1" outlineLevel="1" width="19" customWidth="1" style="1" min="168" max="168"/>
    <col hidden="1" outlineLevel="1" width="10.33203125" customWidth="1" style="1" min="169" max="169"/>
    <col hidden="1" outlineLevel="1" width="9.6640625" customWidth="1" style="1" min="170" max="171"/>
    <col hidden="1" outlineLevel="1" width="19" customWidth="1" style="1" min="172" max="172"/>
    <col hidden="1" outlineLevel="1" width="3.6640625" customWidth="1" style="359" min="173" max="173"/>
    <col hidden="1" outlineLevel="2" width="11.44140625" customWidth="1" style="1" min="174" max="174"/>
    <col hidden="1" outlineLevel="2" width="11.33203125" customWidth="1" style="1" min="175" max="175"/>
    <col hidden="1" outlineLevel="1" width="3.6640625" customWidth="1" style="359" min="176" max="176"/>
    <col collapsed="1" width="3.6640625" customWidth="1" style="1" min="177" max="177"/>
    <col width="12.6640625" customWidth="1" style="1" min="178" max="16384"/>
  </cols>
  <sheetData>
    <row r="1">
      <c r="A1" s="5" t="n">
        <v>93.48999999999999</v>
      </c>
      <c r="B1" s="6" t="inlineStr">
        <is>
          <t xml:space="preserve"> - курс евро/рубль</t>
        </is>
      </c>
      <c r="E1" s="7" t="inlineStr">
        <is>
          <t>Дата</t>
        </is>
      </c>
      <c r="F1" s="7" t="n"/>
      <c r="G1" s="8" t="n">
        <v>46171</v>
      </c>
      <c r="J1" s="499" t="n"/>
      <c r="K1" s="500" t="inlineStr">
        <is>
          <t>НДС_20 Проверка</t>
        </is>
      </c>
      <c r="BD1" s="723" t="n"/>
    </row>
    <row r="2">
      <c r="A2" s="668" t="n">
        <v>11.25</v>
      </c>
      <c r="B2" s="9" t="inlineStr">
        <is>
          <t xml:space="preserve"> - курс юань/рубль</t>
        </is>
      </c>
      <c r="D2" s="2" t="n"/>
      <c r="E2" s="2" t="n"/>
      <c r="F2" s="2" t="n"/>
      <c r="G2" s="2" t="n"/>
      <c r="J2" s="644" t="n"/>
      <c r="K2" s="645" t="inlineStr">
        <is>
          <t>НДС Проверка</t>
        </is>
      </c>
    </row>
    <row r="3" customFormat="1" s="103">
      <c r="A3" s="347" t="n"/>
      <c r="B3" s="348" t="n"/>
      <c r="C3" s="347" t="n"/>
      <c r="D3" s="347" t="n"/>
      <c r="E3" s="352" t="n"/>
      <c r="F3" s="348" t="inlineStr">
        <is>
          <t>Подсветить артикул:</t>
        </is>
      </c>
      <c r="G3" s="350" t="inlineStr">
        <is>
          <t>ъ</t>
        </is>
      </c>
      <c r="H3" s="351" t="n"/>
      <c r="I3" s="780" t="inlineStr">
        <is>
          <t>2026-I</t>
        </is>
      </c>
      <c r="J3" s="781" t="n"/>
      <c r="K3" s="781" t="n"/>
      <c r="L3" s="782" t="n"/>
      <c r="M3" s="354" t="n"/>
      <c r="N3" s="751" t="n">
        <v>2026</v>
      </c>
      <c r="O3" s="783" t="n"/>
      <c r="P3" s="783" t="n"/>
      <c r="Q3" s="783" t="n"/>
      <c r="R3" s="783" t="n"/>
      <c r="S3" s="783" t="n"/>
      <c r="T3" s="783" t="n"/>
      <c r="U3" s="783" t="n"/>
      <c r="V3" s="783" t="n"/>
      <c r="W3" s="783" t="n"/>
      <c r="X3" s="783" t="n"/>
      <c r="Y3" s="783" t="n"/>
      <c r="Z3" s="783" t="n"/>
      <c r="AA3" s="783" t="n"/>
      <c r="AB3" s="783" t="n"/>
      <c r="AC3" s="783" t="n"/>
      <c r="AD3" s="783" t="n"/>
      <c r="AE3" s="783" t="n"/>
      <c r="AF3" s="783" t="n"/>
      <c r="AG3" s="783" t="n"/>
      <c r="AH3" s="783" t="n"/>
      <c r="AI3" s="783" t="n"/>
      <c r="AJ3" s="783" t="n"/>
      <c r="AK3" s="783" t="n"/>
      <c r="AL3" s="783" t="n"/>
      <c r="AM3" s="783" t="n"/>
      <c r="AN3" s="783" t="n"/>
      <c r="AO3" s="783" t="n"/>
      <c r="AP3" s="783" t="n"/>
      <c r="AQ3" s="783" t="n"/>
      <c r="AR3" s="783" t="n"/>
      <c r="AS3" s="783" t="n"/>
      <c r="AT3" s="783" t="n"/>
      <c r="AU3" s="783" t="n"/>
      <c r="AV3" s="783" t="n"/>
      <c r="AW3" s="783" t="n"/>
      <c r="AX3" s="783" t="n"/>
      <c r="AY3" s="783" t="n"/>
      <c r="AZ3" s="783" t="n"/>
      <c r="BA3" s="783" t="n"/>
      <c r="BB3" s="783" t="n"/>
      <c r="BC3" s="783" t="n"/>
      <c r="BD3" s="783" t="n"/>
      <c r="BE3" s="783" t="n"/>
      <c r="BF3" s="783" t="n"/>
      <c r="BG3" s="783" t="n"/>
      <c r="BH3" s="783" t="n"/>
      <c r="BI3" s="783" t="n"/>
      <c r="BJ3" s="783" t="n"/>
      <c r="BK3" s="783" t="n"/>
      <c r="BL3" s="783" t="n"/>
      <c r="BM3" s="783" t="n"/>
      <c r="BN3" s="783" t="n"/>
      <c r="BO3" s="783" t="n"/>
      <c r="BP3" s="783" t="n"/>
      <c r="BQ3" s="783" t="n"/>
      <c r="BR3" s="784" t="n"/>
      <c r="BS3" s="785" t="inlineStr">
        <is>
          <t>2027 _ НЕ АКТУАЛИЗИРУЕТСЯ</t>
        </is>
      </c>
      <c r="BT3" s="781" t="n"/>
      <c r="BU3" s="781" t="n"/>
      <c r="BV3" s="781" t="n"/>
      <c r="BW3" s="781" t="n"/>
      <c r="BX3" s="781" t="n"/>
      <c r="BY3" s="781" t="n"/>
      <c r="BZ3" s="781" t="n"/>
      <c r="CA3" s="781" t="n"/>
      <c r="CB3" s="781" t="n"/>
      <c r="CC3" s="781" t="n"/>
      <c r="CD3" s="781" t="n"/>
      <c r="CE3" s="781" t="n"/>
      <c r="CF3" s="781" t="n"/>
      <c r="CG3" s="781" t="n"/>
      <c r="CH3" s="781" t="n"/>
      <c r="CI3" s="781" t="n"/>
      <c r="CJ3" s="781" t="n"/>
      <c r="CK3" s="781" t="n"/>
      <c r="CL3" s="781" t="n"/>
      <c r="CM3" s="781" t="n"/>
      <c r="CN3" s="781" t="n"/>
      <c r="CO3" s="781" t="n"/>
      <c r="CP3" s="781" t="n"/>
      <c r="CQ3" s="781" t="n"/>
      <c r="CR3" s="781" t="n"/>
      <c r="CS3" s="781" t="n"/>
      <c r="CT3" s="781" t="n"/>
      <c r="CU3" s="781" t="n"/>
      <c r="CV3" s="781" t="n"/>
      <c r="CW3" s="781" t="n"/>
      <c r="CX3" s="781" t="n"/>
      <c r="CY3" s="781" t="n"/>
      <c r="CZ3" s="781" t="n"/>
      <c r="DA3" s="781" t="n"/>
      <c r="DB3" s="781" t="n"/>
      <c r="DC3" s="781" t="n"/>
      <c r="DD3" s="781" t="n"/>
      <c r="DE3" s="781" t="n"/>
      <c r="DF3" s="781" t="n"/>
      <c r="DG3" s="781" t="n"/>
      <c r="DH3" s="781" t="n"/>
      <c r="DI3" s="781" t="n"/>
      <c r="DJ3" s="781" t="n"/>
      <c r="DK3" s="781" t="n"/>
      <c r="DL3" s="781" t="n"/>
      <c r="DM3" s="781" t="n"/>
      <c r="DN3" s="781" t="n"/>
      <c r="DO3" s="781" t="n"/>
      <c r="DP3" s="781" t="n"/>
      <c r="DQ3" s="781" t="n"/>
      <c r="DR3" s="781" t="n"/>
      <c r="DS3" s="782" t="n"/>
      <c r="DT3" s="755" t="inlineStr">
        <is>
          <t>2028 _ НЕ АКТУАЛИЗИРУЕТСЯ</t>
        </is>
      </c>
      <c r="DU3" s="783" t="n"/>
      <c r="DV3" s="783" t="n"/>
      <c r="DW3" s="783" t="n"/>
      <c r="DX3" s="783" t="n"/>
      <c r="DY3" s="783" t="n"/>
      <c r="DZ3" s="783" t="n"/>
      <c r="EA3" s="783" t="n"/>
      <c r="EB3" s="783" t="n"/>
      <c r="EC3" s="783" t="n"/>
      <c r="ED3" s="783" t="n"/>
      <c r="EE3" s="783" t="n"/>
      <c r="EF3" s="783" t="n"/>
      <c r="EG3" s="783" t="n"/>
      <c r="EH3" s="783" t="n"/>
      <c r="EI3" s="783" t="n"/>
      <c r="EJ3" s="783" t="n"/>
      <c r="EK3" s="783" t="n"/>
      <c r="EL3" s="783" t="n"/>
      <c r="EM3" s="783" t="n"/>
      <c r="EN3" s="783" t="n"/>
      <c r="EO3" s="783" t="n"/>
      <c r="EP3" s="783" t="n"/>
      <c r="EQ3" s="783" t="n"/>
      <c r="ER3" s="783" t="n"/>
      <c r="ES3" s="783" t="n"/>
      <c r="ET3" s="783" t="n"/>
      <c r="EU3" s="783" t="n"/>
      <c r="EV3" s="783" t="n"/>
      <c r="EW3" s="783" t="n"/>
      <c r="EX3" s="783" t="n"/>
      <c r="EY3" s="783" t="n"/>
      <c r="EZ3" s="783" t="n"/>
      <c r="FA3" s="783" t="n"/>
      <c r="FB3" s="783" t="n"/>
      <c r="FC3" s="783" t="n"/>
      <c r="FD3" s="783" t="n"/>
      <c r="FE3" s="783" t="n"/>
      <c r="FF3" s="783" t="n"/>
      <c r="FG3" s="783" t="n"/>
      <c r="FH3" s="783" t="n"/>
      <c r="FI3" s="783" t="n"/>
      <c r="FJ3" s="783" t="n"/>
      <c r="FK3" s="783" t="n"/>
      <c r="FL3" s="783" t="n"/>
      <c r="FM3" s="783" t="n"/>
      <c r="FN3" s="783" t="n"/>
      <c r="FO3" s="783" t="n"/>
      <c r="FP3" s="783" t="n"/>
      <c r="FQ3" s="783" t="n"/>
      <c r="FR3" s="783" t="n"/>
      <c r="FS3" s="783" t="n"/>
      <c r="FT3" s="784" t="n"/>
    </row>
    <row r="4" customFormat="1" s="103">
      <c r="A4" s="746" t="inlineStr">
        <is>
          <t>Клиент</t>
        </is>
      </c>
      <c r="B4" s="748" t="inlineStr">
        <is>
          <t>Условия оплаты</t>
        </is>
      </c>
      <c r="C4" s="748" t="inlineStr">
        <is>
          <t>Поставщик</t>
        </is>
      </c>
      <c r="D4" s="748" t="inlineStr">
        <is>
          <t>Менеджер</t>
        </is>
      </c>
      <c r="E4" s="746" t="inlineStr">
        <is>
          <t>п\п</t>
        </is>
      </c>
      <c r="F4" s="747" t="inlineStr">
        <is>
          <t>2 - продукт WABCO</t>
        </is>
      </c>
      <c r="G4" s="748" t="inlineStr">
        <is>
          <t>Номер изделия/ артикул</t>
        </is>
      </c>
      <c r="H4" s="748" t="inlineStr">
        <is>
          <t>Наименование</t>
        </is>
      </c>
      <c r="I4" s="748" t="inlineStr">
        <is>
          <t xml:space="preserve">Цена для плана, 
CNY, без НДС </t>
        </is>
      </c>
      <c r="J4" s="748" t="inlineStr">
        <is>
          <t>Цена в валюте, без НДС</t>
        </is>
      </c>
      <c r="K4" s="748" t="inlineStr">
        <is>
          <t>Валюта</t>
        </is>
      </c>
      <c r="L4" s="748" t="inlineStr">
        <is>
          <t xml:space="preserve">Цена от курса, 
CNY, без НДС </t>
        </is>
      </c>
      <c r="M4" s="786" t="n"/>
      <c r="N4" s="787" t="inlineStr">
        <is>
          <t>ПР 26</t>
        </is>
      </c>
      <c r="O4" s="780" t="n">
        <v>46023</v>
      </c>
      <c r="P4" s="781" t="n"/>
      <c r="Q4" s="781" t="n"/>
      <c r="R4" s="782" t="n"/>
      <c r="S4" s="780" t="n">
        <v>46054</v>
      </c>
      <c r="T4" s="781" t="n"/>
      <c r="U4" s="781" t="n"/>
      <c r="V4" s="782" t="n"/>
      <c r="W4" s="780" t="n">
        <v>46082</v>
      </c>
      <c r="X4" s="781" t="n"/>
      <c r="Y4" s="781" t="n"/>
      <c r="Z4" s="782" t="n"/>
      <c r="AA4" s="780" t="n">
        <v>46113</v>
      </c>
      <c r="AB4" s="781" t="n"/>
      <c r="AC4" s="781" t="n"/>
      <c r="AD4" s="782" t="n"/>
      <c r="AE4" s="780" t="n">
        <v>46143</v>
      </c>
      <c r="AF4" s="781" t="n"/>
      <c r="AG4" s="781" t="n"/>
      <c r="AH4" s="782" t="n"/>
      <c r="AI4" s="780" t="n">
        <v>46174</v>
      </c>
      <c r="AJ4" s="781" t="n"/>
      <c r="AK4" s="781" t="n"/>
      <c r="AL4" s="782" t="n"/>
      <c r="AM4" s="780" t="n">
        <v>46204</v>
      </c>
      <c r="AN4" s="781" t="n"/>
      <c r="AO4" s="781" t="n"/>
      <c r="AP4" s="782" t="n"/>
      <c r="AQ4" s="780" t="n">
        <v>46235</v>
      </c>
      <c r="AR4" s="781" t="n"/>
      <c r="AS4" s="781" t="n"/>
      <c r="AT4" s="782" t="n"/>
      <c r="AU4" s="780" t="n">
        <v>46266</v>
      </c>
      <c r="AV4" s="781" t="n"/>
      <c r="AW4" s="781" t="n"/>
      <c r="AX4" s="782" t="n"/>
      <c r="AY4" s="780" t="n">
        <v>46296</v>
      </c>
      <c r="AZ4" s="781" t="n"/>
      <c r="BA4" s="781" t="n"/>
      <c r="BB4" s="782" t="n"/>
      <c r="BC4" s="780" t="n">
        <v>46327</v>
      </c>
      <c r="BD4" s="781" t="n"/>
      <c r="BE4" s="781" t="n"/>
      <c r="BF4" s="782" t="n"/>
      <c r="BG4" s="780" t="n">
        <v>46357</v>
      </c>
      <c r="BH4" s="781" t="n"/>
      <c r="BI4" s="781" t="n"/>
      <c r="BJ4" s="782" t="n"/>
      <c r="BK4" s="788" t="n"/>
      <c r="BL4" s="741" t="inlineStr">
        <is>
          <t>ИТОГО, 2026</t>
        </is>
      </c>
      <c r="BM4" s="783" t="n"/>
      <c r="BN4" s="783" t="n"/>
      <c r="BO4" s="783" t="n"/>
      <c r="BP4" s="783" t="n"/>
      <c r="BQ4" s="784" t="n"/>
      <c r="BR4" s="789" t="n"/>
      <c r="BS4" s="787" t="inlineStr">
        <is>
          <t>ПР 27</t>
        </is>
      </c>
      <c r="BT4" s="790" t="n">
        <v>46388</v>
      </c>
      <c r="BU4" s="781" t="n"/>
      <c r="BV4" s="781" t="n"/>
      <c r="BW4" s="782" t="n"/>
      <c r="BX4" s="790" t="n">
        <v>46419</v>
      </c>
      <c r="BY4" s="781" t="n"/>
      <c r="BZ4" s="781" t="n"/>
      <c r="CA4" s="782" t="n"/>
      <c r="CB4" s="790" t="n">
        <v>46447</v>
      </c>
      <c r="CC4" s="781" t="n"/>
      <c r="CD4" s="781" t="n"/>
      <c r="CE4" s="782" t="n"/>
      <c r="CF4" s="790" t="n">
        <v>46478</v>
      </c>
      <c r="CG4" s="781" t="n"/>
      <c r="CH4" s="781" t="n"/>
      <c r="CI4" s="782" t="n"/>
      <c r="CJ4" s="790" t="n">
        <v>46508</v>
      </c>
      <c r="CK4" s="781" t="n"/>
      <c r="CL4" s="781" t="n"/>
      <c r="CM4" s="782" t="n"/>
      <c r="CN4" s="790" t="n">
        <v>46539</v>
      </c>
      <c r="CO4" s="781" t="n"/>
      <c r="CP4" s="781" t="n"/>
      <c r="CQ4" s="782" t="n"/>
      <c r="CR4" s="790" t="n">
        <v>46569</v>
      </c>
      <c r="CS4" s="781" t="n"/>
      <c r="CT4" s="781" t="n"/>
      <c r="CU4" s="782" t="n"/>
      <c r="CV4" s="790" t="n">
        <v>46600</v>
      </c>
      <c r="CW4" s="781" t="n"/>
      <c r="CX4" s="781" t="n"/>
      <c r="CY4" s="782" t="n"/>
      <c r="CZ4" s="790" t="n">
        <v>46631</v>
      </c>
      <c r="DA4" s="781" t="n"/>
      <c r="DB4" s="781" t="n"/>
      <c r="DC4" s="782" t="n"/>
      <c r="DD4" s="790" t="n">
        <v>46661</v>
      </c>
      <c r="DE4" s="781" t="n"/>
      <c r="DF4" s="781" t="n"/>
      <c r="DG4" s="782" t="n"/>
      <c r="DH4" s="790" t="n">
        <v>46692</v>
      </c>
      <c r="DI4" s="781" t="n"/>
      <c r="DJ4" s="781" t="n"/>
      <c r="DK4" s="782" t="n"/>
      <c r="DL4" s="790" t="n">
        <v>46722</v>
      </c>
      <c r="DM4" s="781" t="n"/>
      <c r="DN4" s="781" t="n"/>
      <c r="DO4" s="782" t="n"/>
      <c r="DP4" s="788" t="n"/>
      <c r="DQ4" s="761" t="inlineStr">
        <is>
          <t>ИТОГО, 2027</t>
        </is>
      </c>
      <c r="DR4" s="782" t="n"/>
      <c r="DS4" s="791" t="n"/>
      <c r="DT4" s="787" t="inlineStr">
        <is>
          <t>ПР 28</t>
        </is>
      </c>
      <c r="DU4" s="792" t="n">
        <v>46753</v>
      </c>
      <c r="DV4" s="793" t="n"/>
      <c r="DW4" s="793" t="n"/>
      <c r="DX4" s="794" t="n"/>
      <c r="DY4" s="792" t="n">
        <v>46784</v>
      </c>
      <c r="DZ4" s="793" t="n"/>
      <c r="EA4" s="793" t="n"/>
      <c r="EB4" s="794" t="n"/>
      <c r="EC4" s="792" t="n">
        <v>46813</v>
      </c>
      <c r="ED4" s="793" t="n"/>
      <c r="EE4" s="793" t="n"/>
      <c r="EF4" s="794" t="n"/>
      <c r="EG4" s="792" t="n">
        <v>46844</v>
      </c>
      <c r="EH4" s="793" t="n"/>
      <c r="EI4" s="793" t="n"/>
      <c r="EJ4" s="794" t="n"/>
      <c r="EK4" s="792" t="n">
        <v>46874</v>
      </c>
      <c r="EL4" s="793" t="n"/>
      <c r="EM4" s="793" t="n"/>
      <c r="EN4" s="794" t="n"/>
      <c r="EO4" s="792" t="n">
        <v>46905</v>
      </c>
      <c r="EP4" s="793" t="n"/>
      <c r="EQ4" s="793" t="n"/>
      <c r="ER4" s="794" t="n"/>
      <c r="ES4" s="792" t="n">
        <v>46935</v>
      </c>
      <c r="ET4" s="793" t="n"/>
      <c r="EU4" s="793" t="n"/>
      <c r="EV4" s="794" t="n"/>
      <c r="EW4" s="792" t="n">
        <v>46966</v>
      </c>
      <c r="EX4" s="793" t="n"/>
      <c r="EY4" s="793" t="n"/>
      <c r="EZ4" s="794" t="n"/>
      <c r="FA4" s="792" t="n">
        <v>46997</v>
      </c>
      <c r="FB4" s="793" t="n"/>
      <c r="FC4" s="793" t="n"/>
      <c r="FD4" s="794" t="n"/>
      <c r="FE4" s="792" t="n">
        <v>47027</v>
      </c>
      <c r="FF4" s="793" t="n"/>
      <c r="FG4" s="793" t="n"/>
      <c r="FH4" s="794" t="n"/>
      <c r="FI4" s="792" t="n">
        <v>47058</v>
      </c>
      <c r="FJ4" s="793" t="n"/>
      <c r="FK4" s="793" t="n"/>
      <c r="FL4" s="794" t="n"/>
      <c r="FM4" s="792" t="n">
        <v>47088</v>
      </c>
      <c r="FN4" s="793" t="n"/>
      <c r="FO4" s="793" t="n"/>
      <c r="FP4" s="794" t="n"/>
      <c r="FQ4" s="788" t="n"/>
      <c r="FR4" s="731" t="inlineStr">
        <is>
          <t>ИТОГО, 2028</t>
        </is>
      </c>
      <c r="FS4" s="794" t="n"/>
      <c r="FT4" s="786" t="n"/>
    </row>
    <row r="5" ht="43.2" customFormat="1" customHeight="1" s="103">
      <c r="A5" s="795" t="n"/>
      <c r="B5" s="795" t="n"/>
      <c r="C5" s="795" t="n"/>
      <c r="D5" s="795" t="n"/>
      <c r="E5" s="795" t="n"/>
      <c r="F5" s="795" t="n"/>
      <c r="G5" s="795" t="n"/>
      <c r="H5" s="795" t="n"/>
      <c r="I5" s="795" t="n"/>
      <c r="J5" s="795" t="n"/>
      <c r="K5" s="795" t="n"/>
      <c r="L5" s="795" t="n"/>
      <c r="M5" s="796" t="n"/>
      <c r="N5" s="796" t="n"/>
      <c r="O5" s="104" t="inlineStr">
        <is>
          <t>AOP,
шт</t>
        </is>
      </c>
      <c r="P5" s="105" t="inlineStr">
        <is>
          <t>Прогноз,
шт</t>
        </is>
      </c>
      <c r="Q5" s="106" t="inlineStr">
        <is>
          <t>Факт,
шт</t>
        </is>
      </c>
      <c r="R5" s="107" t="inlineStr">
        <is>
          <t>Коментарий</t>
        </is>
      </c>
      <c r="S5" s="104" t="inlineStr">
        <is>
          <t>AOP,
шт</t>
        </is>
      </c>
      <c r="T5" s="105" t="inlineStr">
        <is>
          <t>Прогноз,
шт</t>
        </is>
      </c>
      <c r="U5" s="106" t="inlineStr">
        <is>
          <t>Факт,
шт</t>
        </is>
      </c>
      <c r="V5" s="107" t="inlineStr">
        <is>
          <t>Коментарий</t>
        </is>
      </c>
      <c r="W5" s="104" t="inlineStr">
        <is>
          <t>AOP,
шт</t>
        </is>
      </c>
      <c r="X5" s="105" t="inlineStr">
        <is>
          <t>Прогноз,
шт</t>
        </is>
      </c>
      <c r="Y5" s="106" t="inlineStr">
        <is>
          <t>Факт,
шт</t>
        </is>
      </c>
      <c r="Z5" s="107" t="inlineStr">
        <is>
          <t>Коментарий</t>
        </is>
      </c>
      <c r="AA5" s="104" t="inlineStr">
        <is>
          <t>AOP,
шт</t>
        </is>
      </c>
      <c r="AB5" s="105" t="inlineStr">
        <is>
          <t>Прогноз,
шт</t>
        </is>
      </c>
      <c r="AC5" s="106" t="inlineStr">
        <is>
          <t>Факт,
шт</t>
        </is>
      </c>
      <c r="AD5" s="107" t="inlineStr">
        <is>
          <t>Коментарий</t>
        </is>
      </c>
      <c r="AE5" s="104" t="inlineStr">
        <is>
          <t>AOP,
шт</t>
        </is>
      </c>
      <c r="AF5" s="105" t="inlineStr">
        <is>
          <t>Прогноз,
шт</t>
        </is>
      </c>
      <c r="AG5" s="106" t="inlineStr">
        <is>
          <t>Факт,
шт</t>
        </is>
      </c>
      <c r="AH5" s="107" t="inlineStr">
        <is>
          <t>Коментарий</t>
        </is>
      </c>
      <c r="AI5" s="104" t="inlineStr">
        <is>
          <t>AOP,
шт</t>
        </is>
      </c>
      <c r="AJ5" s="105" t="inlineStr">
        <is>
          <t>Прогноз,
шт</t>
        </is>
      </c>
      <c r="AK5" s="106" t="inlineStr">
        <is>
          <t>Факт,
шт</t>
        </is>
      </c>
      <c r="AL5" s="107" t="inlineStr">
        <is>
          <t>Коментарий</t>
        </is>
      </c>
      <c r="AM5" s="104" t="inlineStr">
        <is>
          <t>AOP,
шт</t>
        </is>
      </c>
      <c r="AN5" s="105" t="inlineStr">
        <is>
          <t>Прогноз,
шт</t>
        </is>
      </c>
      <c r="AO5" s="106" t="inlineStr">
        <is>
          <t>Факт,
шт</t>
        </is>
      </c>
      <c r="AP5" s="107" t="inlineStr">
        <is>
          <t>Коментарий</t>
        </is>
      </c>
      <c r="AQ5" s="104" t="inlineStr">
        <is>
          <t>AOP,
шт</t>
        </is>
      </c>
      <c r="AR5" s="105" t="inlineStr">
        <is>
          <t>Прогноз,
шт</t>
        </is>
      </c>
      <c r="AS5" s="106" t="inlineStr">
        <is>
          <t>Факт,
шт</t>
        </is>
      </c>
      <c r="AT5" s="107" t="inlineStr">
        <is>
          <t>Коментарий</t>
        </is>
      </c>
      <c r="AU5" s="104" t="inlineStr">
        <is>
          <t>AOP,
шт</t>
        </is>
      </c>
      <c r="AV5" s="105" t="inlineStr">
        <is>
          <t>Прогноз,
шт</t>
        </is>
      </c>
      <c r="AW5" s="106" t="inlineStr">
        <is>
          <t>Факт,
шт</t>
        </is>
      </c>
      <c r="AX5" s="107" t="inlineStr">
        <is>
          <t>Коментарий</t>
        </is>
      </c>
      <c r="AY5" s="104" t="inlineStr">
        <is>
          <t>AOP,
шт</t>
        </is>
      </c>
      <c r="AZ5" s="105" t="inlineStr">
        <is>
          <t>Прогноз,
шт</t>
        </is>
      </c>
      <c r="BA5" s="106" t="inlineStr">
        <is>
          <t>Факт,
шт</t>
        </is>
      </c>
      <c r="BB5" s="107" t="inlineStr">
        <is>
          <t>Коментарий</t>
        </is>
      </c>
      <c r="BC5" s="104" t="inlineStr">
        <is>
          <t>AOP,
шт</t>
        </is>
      </c>
      <c r="BD5" s="105" t="inlineStr">
        <is>
          <t>Прогноз,
шт</t>
        </is>
      </c>
      <c r="BE5" s="106" t="inlineStr">
        <is>
          <t>Факт,
шт</t>
        </is>
      </c>
      <c r="BF5" s="107" t="inlineStr">
        <is>
          <t>Коментарий</t>
        </is>
      </c>
      <c r="BG5" s="104" t="inlineStr">
        <is>
          <t>AOP,
шт</t>
        </is>
      </c>
      <c r="BH5" s="105" t="inlineStr">
        <is>
          <t>Прогноз,
шт</t>
        </is>
      </c>
      <c r="BI5" s="106" t="inlineStr">
        <is>
          <t>Факт,
шт</t>
        </is>
      </c>
      <c r="BJ5" s="107" t="inlineStr">
        <is>
          <t>Коментарий</t>
        </is>
      </c>
      <c r="BK5" s="797" t="n"/>
      <c r="BL5" s="104" t="inlineStr">
        <is>
          <t>AOP,
шт</t>
        </is>
      </c>
      <c r="BM5" s="104" t="inlineStr">
        <is>
          <t>Продажи AOP, CNY</t>
        </is>
      </c>
      <c r="BN5" s="105" t="inlineStr">
        <is>
          <t>Прогноз,
шт</t>
        </is>
      </c>
      <c r="BO5" s="105" t="inlineStr">
        <is>
          <t>Продажи Прогноз, CNY</t>
        </is>
      </c>
      <c r="BP5" s="106" t="inlineStr">
        <is>
          <t>Факт,
шт</t>
        </is>
      </c>
      <c r="BQ5" s="106" t="inlineStr">
        <is>
          <t>Продажи Факт, CNY</t>
        </is>
      </c>
      <c r="BR5" s="797" t="n"/>
      <c r="BS5" s="796" t="n"/>
      <c r="BT5" s="104" t="inlineStr">
        <is>
          <t>AOP,
шт</t>
        </is>
      </c>
      <c r="BU5" s="105" t="inlineStr">
        <is>
          <t>Прогноз,
шт</t>
        </is>
      </c>
      <c r="BV5" s="106" t="inlineStr">
        <is>
          <t>Факт,
шт</t>
        </is>
      </c>
      <c r="BW5" s="107" t="inlineStr">
        <is>
          <t>Коментарий</t>
        </is>
      </c>
      <c r="BX5" s="104" t="inlineStr">
        <is>
          <t>AOP,
шт</t>
        </is>
      </c>
      <c r="BY5" s="105" t="inlineStr">
        <is>
          <t>Прогноз,
шт</t>
        </is>
      </c>
      <c r="BZ5" s="106" t="inlineStr">
        <is>
          <t>Факт,
шт</t>
        </is>
      </c>
      <c r="CA5" s="107" t="inlineStr">
        <is>
          <t>Коментарий</t>
        </is>
      </c>
      <c r="CB5" s="104" t="inlineStr">
        <is>
          <t>AOP,
шт</t>
        </is>
      </c>
      <c r="CC5" s="105" t="inlineStr">
        <is>
          <t>Прогноз,
шт</t>
        </is>
      </c>
      <c r="CD5" s="106" t="inlineStr">
        <is>
          <t>Факт,
шт</t>
        </is>
      </c>
      <c r="CE5" s="107" t="inlineStr">
        <is>
          <t>Коментарий</t>
        </is>
      </c>
      <c r="CF5" s="104" t="inlineStr">
        <is>
          <t>AOP,
шт</t>
        </is>
      </c>
      <c r="CG5" s="105" t="inlineStr">
        <is>
          <t>Прогноз,
шт</t>
        </is>
      </c>
      <c r="CH5" s="106" t="inlineStr">
        <is>
          <t>Факт,
шт</t>
        </is>
      </c>
      <c r="CI5" s="107" t="inlineStr">
        <is>
          <t>Коментарий</t>
        </is>
      </c>
      <c r="CJ5" s="104" t="inlineStr">
        <is>
          <t>AOP,
шт</t>
        </is>
      </c>
      <c r="CK5" s="105" t="inlineStr">
        <is>
          <t>Прогноз,
шт</t>
        </is>
      </c>
      <c r="CL5" s="106" t="inlineStr">
        <is>
          <t>Факт,
шт</t>
        </is>
      </c>
      <c r="CM5" s="107" t="inlineStr">
        <is>
          <t>Коментарий</t>
        </is>
      </c>
      <c r="CN5" s="104" t="inlineStr">
        <is>
          <t>AOP,
шт</t>
        </is>
      </c>
      <c r="CO5" s="105" t="inlineStr">
        <is>
          <t>Прогноз,
шт</t>
        </is>
      </c>
      <c r="CP5" s="106" t="inlineStr">
        <is>
          <t>Факт,
шт</t>
        </is>
      </c>
      <c r="CQ5" s="107" t="inlineStr">
        <is>
          <t>Коментарий</t>
        </is>
      </c>
      <c r="CR5" s="104" t="inlineStr">
        <is>
          <t>AOP,
шт</t>
        </is>
      </c>
      <c r="CS5" s="105" t="inlineStr">
        <is>
          <t>Прогноз,
шт</t>
        </is>
      </c>
      <c r="CT5" s="106" t="inlineStr">
        <is>
          <t>Факт,
шт</t>
        </is>
      </c>
      <c r="CU5" s="107" t="inlineStr">
        <is>
          <t>Коментарий</t>
        </is>
      </c>
      <c r="CV5" s="104" t="inlineStr">
        <is>
          <t>AOP,
шт</t>
        </is>
      </c>
      <c r="CW5" s="105" t="inlineStr">
        <is>
          <t>Прогноз,
шт</t>
        </is>
      </c>
      <c r="CX5" s="106" t="inlineStr">
        <is>
          <t>Факт,
шт</t>
        </is>
      </c>
      <c r="CY5" s="107" t="inlineStr">
        <is>
          <t>Коментарий</t>
        </is>
      </c>
      <c r="CZ5" s="104" t="inlineStr">
        <is>
          <t>AOP,
шт</t>
        </is>
      </c>
      <c r="DA5" s="105" t="inlineStr">
        <is>
          <t>Прогноз,
шт</t>
        </is>
      </c>
      <c r="DB5" s="106" t="inlineStr">
        <is>
          <t>Факт,
шт</t>
        </is>
      </c>
      <c r="DC5" s="107" t="inlineStr">
        <is>
          <t>Коментарий</t>
        </is>
      </c>
      <c r="DD5" s="104" t="inlineStr">
        <is>
          <t>AOP,
шт</t>
        </is>
      </c>
      <c r="DE5" s="105" t="inlineStr">
        <is>
          <t>Прогноз,
шт</t>
        </is>
      </c>
      <c r="DF5" s="106" t="inlineStr">
        <is>
          <t>Факт,
шт</t>
        </is>
      </c>
      <c r="DG5" s="107" t="inlineStr">
        <is>
          <t>Коментарий</t>
        </is>
      </c>
      <c r="DH5" s="104" t="inlineStr">
        <is>
          <t>AOP,
шт</t>
        </is>
      </c>
      <c r="DI5" s="105" t="inlineStr">
        <is>
          <t>Прогноз,
шт</t>
        </is>
      </c>
      <c r="DJ5" s="106" t="inlineStr">
        <is>
          <t>Факт,
шт</t>
        </is>
      </c>
      <c r="DK5" s="107" t="inlineStr">
        <is>
          <t>Коментарий</t>
        </is>
      </c>
      <c r="DL5" s="104" t="inlineStr">
        <is>
          <t>AOP,
шт</t>
        </is>
      </c>
      <c r="DM5" s="105" t="inlineStr">
        <is>
          <t>Прогноз,
шт</t>
        </is>
      </c>
      <c r="DN5" s="106" t="inlineStr">
        <is>
          <t>Факт,
шт</t>
        </is>
      </c>
      <c r="DO5" s="107" t="inlineStr">
        <is>
          <t>Коментарий</t>
        </is>
      </c>
      <c r="DP5" s="797" t="n"/>
      <c r="DQ5" s="104" t="inlineStr">
        <is>
          <t>AOP,
шт</t>
        </is>
      </c>
      <c r="DR5" s="104" t="inlineStr">
        <is>
          <t>Продажи AOP, CNY</t>
        </is>
      </c>
      <c r="DS5" s="796" t="n"/>
      <c r="DT5" s="796" t="n"/>
      <c r="DU5" s="104" t="inlineStr">
        <is>
          <t>AOP,
шт</t>
        </is>
      </c>
      <c r="DV5" s="105" t="inlineStr">
        <is>
          <t>Прогноз,
шт</t>
        </is>
      </c>
      <c r="DW5" s="106" t="inlineStr">
        <is>
          <t>Факт,
шт</t>
        </is>
      </c>
      <c r="DX5" s="107" t="inlineStr">
        <is>
          <t>Коментарий</t>
        </is>
      </c>
      <c r="DY5" s="104" t="inlineStr">
        <is>
          <t>AOP,
шт</t>
        </is>
      </c>
      <c r="DZ5" s="105" t="inlineStr">
        <is>
          <t>Прогноз,
шт</t>
        </is>
      </c>
      <c r="EA5" s="106" t="inlineStr">
        <is>
          <t>Факт,
шт</t>
        </is>
      </c>
      <c r="EB5" s="107" t="inlineStr">
        <is>
          <t>Коментарий</t>
        </is>
      </c>
      <c r="EC5" s="104" t="inlineStr">
        <is>
          <t>AOP,
шт</t>
        </is>
      </c>
      <c r="ED5" s="105" t="inlineStr">
        <is>
          <t>Прогноз,
шт</t>
        </is>
      </c>
      <c r="EE5" s="106" t="inlineStr">
        <is>
          <t>Факт,
шт</t>
        </is>
      </c>
      <c r="EF5" s="107" t="inlineStr">
        <is>
          <t>Коментарий</t>
        </is>
      </c>
      <c r="EG5" s="104" t="inlineStr">
        <is>
          <t>AOP,
шт</t>
        </is>
      </c>
      <c r="EH5" s="105" t="inlineStr">
        <is>
          <t>Прогноз,
шт</t>
        </is>
      </c>
      <c r="EI5" s="106" t="inlineStr">
        <is>
          <t>Факт,
шт</t>
        </is>
      </c>
      <c r="EJ5" s="107" t="inlineStr">
        <is>
          <t>Коментарий</t>
        </is>
      </c>
      <c r="EK5" s="104" t="inlineStr">
        <is>
          <t>AOP,
шт</t>
        </is>
      </c>
      <c r="EL5" s="105" t="inlineStr">
        <is>
          <t>Прогноз,
шт</t>
        </is>
      </c>
      <c r="EM5" s="106" t="inlineStr">
        <is>
          <t>Факт,
шт</t>
        </is>
      </c>
      <c r="EN5" s="107" t="inlineStr">
        <is>
          <t>Коментарий</t>
        </is>
      </c>
      <c r="EO5" s="104" t="inlineStr">
        <is>
          <t>AOP,
шт</t>
        </is>
      </c>
      <c r="EP5" s="105" t="inlineStr">
        <is>
          <t>Прогноз,
шт</t>
        </is>
      </c>
      <c r="EQ5" s="106" t="inlineStr">
        <is>
          <t>Факт,
шт</t>
        </is>
      </c>
      <c r="ER5" s="107" t="inlineStr">
        <is>
          <t>Коментарий</t>
        </is>
      </c>
      <c r="ES5" s="104" t="inlineStr">
        <is>
          <t>AOP,
шт</t>
        </is>
      </c>
      <c r="ET5" s="105" t="inlineStr">
        <is>
          <t>Прогноз,
шт</t>
        </is>
      </c>
      <c r="EU5" s="106" t="inlineStr">
        <is>
          <t>Факт,
шт</t>
        </is>
      </c>
      <c r="EV5" s="107" t="inlineStr">
        <is>
          <t>Коментарий</t>
        </is>
      </c>
      <c r="EW5" s="104" t="inlineStr">
        <is>
          <t>AOP,
шт</t>
        </is>
      </c>
      <c r="EX5" s="105" t="inlineStr">
        <is>
          <t>Прогноз,
шт</t>
        </is>
      </c>
      <c r="EY5" s="106" t="inlineStr">
        <is>
          <t>Факт,
шт</t>
        </is>
      </c>
      <c r="EZ5" s="107" t="inlineStr">
        <is>
          <t>Коментарий</t>
        </is>
      </c>
      <c r="FA5" s="104" t="inlineStr">
        <is>
          <t>AOP,
шт</t>
        </is>
      </c>
      <c r="FB5" s="105" t="inlineStr">
        <is>
          <t>Прогноз,
шт</t>
        </is>
      </c>
      <c r="FC5" s="106" t="inlineStr">
        <is>
          <t>Факт,
шт</t>
        </is>
      </c>
      <c r="FD5" s="107" t="inlineStr">
        <is>
          <t>Коментарий</t>
        </is>
      </c>
      <c r="FE5" s="104" t="inlineStr">
        <is>
          <t>AOP,
шт</t>
        </is>
      </c>
      <c r="FF5" s="105" t="inlineStr">
        <is>
          <t>Прогноз,
шт</t>
        </is>
      </c>
      <c r="FG5" s="106" t="inlineStr">
        <is>
          <t>Факт,
шт</t>
        </is>
      </c>
      <c r="FH5" s="107" t="inlineStr">
        <is>
          <t>Коментарий</t>
        </is>
      </c>
      <c r="FI5" s="104" t="inlineStr">
        <is>
          <t>AOP,
шт</t>
        </is>
      </c>
      <c r="FJ5" s="105" t="inlineStr">
        <is>
          <t>Прогноз,
шт</t>
        </is>
      </c>
      <c r="FK5" s="106" t="inlineStr">
        <is>
          <t>Факт,
шт</t>
        </is>
      </c>
      <c r="FL5" s="107" t="inlineStr">
        <is>
          <t>Коментарий</t>
        </is>
      </c>
      <c r="FM5" s="104" t="inlineStr">
        <is>
          <t>AOP,
шт</t>
        </is>
      </c>
      <c r="FN5" s="105" t="inlineStr">
        <is>
          <t>Прогноз,
шт</t>
        </is>
      </c>
      <c r="FO5" s="106" t="inlineStr">
        <is>
          <t>Факт,
шт</t>
        </is>
      </c>
      <c r="FP5" s="107" t="inlineStr">
        <is>
          <t>Коментарий</t>
        </is>
      </c>
      <c r="FQ5" s="797" t="n"/>
      <c r="FR5" s="104" t="inlineStr">
        <is>
          <t>AOP,
шт</t>
        </is>
      </c>
      <c r="FS5" s="104" t="inlineStr">
        <is>
          <t>Продажи AOP, CNY</t>
        </is>
      </c>
      <c r="FT5" s="796" t="n"/>
    </row>
    <row r="6" outlineLevel="2" customFormat="1" s="14">
      <c r="A6" s="15" t="inlineStr">
        <is>
          <t>АВТОКОМПОНЕНТ НАО</t>
        </is>
      </c>
      <c r="B6" s="16" t="inlineStr">
        <is>
          <t>Предоплата 50%</t>
        </is>
      </c>
      <c r="C6" s="15" t="inlineStr">
        <is>
          <t>ВБК Восток</t>
        </is>
      </c>
      <c r="D6" s="15" t="inlineStr">
        <is>
          <t>Прасолов, Соловьёв</t>
        </is>
      </c>
      <c r="E6" s="17">
        <f>IF(ISBLANK(G6),"",IF($A$6:$A$64=$A6,COUNTIF($A$6:A6,$A6),""))</f>
        <v/>
      </c>
      <c r="F6" s="17" t="n">
        <v>1</v>
      </c>
      <c r="G6" s="33" t="n">
        <v>6402250560</v>
      </c>
      <c r="H6" s="18" t="inlineStr">
        <is>
          <t>6402250560 AD Тормоз дисковый ( левый )</t>
        </is>
      </c>
      <c r="I6" s="624" t="n">
        <v>2048</v>
      </c>
      <c r="J6" s="798" t="n"/>
      <c r="K6" s="799" t="n"/>
      <c r="L6" s="800">
        <f>IF(K6="RUB",J6/ЮАНЬ,IF(K6="EUR",J6*ЕВРО/ЮАНЬ,""))</f>
        <v/>
      </c>
      <c r="M6" s="801" t="n"/>
      <c r="N6" s="802">
        <f>IF(BP6&gt;0,1,IF(BN6&gt;0,2,))</f>
        <v/>
      </c>
      <c r="O6" s="23" t="n"/>
      <c r="P6" s="24" t="n"/>
      <c r="Q6" s="25" t="n"/>
      <c r="R6" s="26" t="n"/>
      <c r="S6" s="23" t="n"/>
      <c r="T6" s="24" t="n"/>
      <c r="U6" s="25" t="n">
        <v>0</v>
      </c>
      <c r="V6" s="24" t="n"/>
      <c r="W6" s="23" t="n"/>
      <c r="X6" s="24" t="n"/>
      <c r="Y6" s="25" t="n"/>
      <c r="Z6" s="24" t="n"/>
      <c r="AA6" s="23" t="n">
        <v>9</v>
      </c>
      <c r="AB6" s="24" t="n"/>
      <c r="AC6" s="25" t="n">
        <v>0</v>
      </c>
      <c r="AD6" s="24" t="n"/>
      <c r="AE6" s="23" t="n">
        <v>9</v>
      </c>
      <c r="AF6" s="24" t="n"/>
      <c r="AG6" s="25" t="n">
        <v>0</v>
      </c>
      <c r="AH6" s="24" t="n"/>
      <c r="AI6" s="23" t="n">
        <v>60</v>
      </c>
      <c r="AJ6" s="24" t="n"/>
      <c r="AK6" s="25" t="n">
        <v>0</v>
      </c>
      <c r="AL6" s="24" t="n"/>
      <c r="AM6" s="23" t="n">
        <v>120</v>
      </c>
      <c r="AN6" s="24" t="n"/>
      <c r="AO6" s="25" t="n">
        <v>0</v>
      </c>
      <c r="AP6" s="24" t="n"/>
      <c r="AQ6" s="23" t="n">
        <v>120</v>
      </c>
      <c r="AR6" s="24" t="n"/>
      <c r="AS6" s="25" t="n">
        <v>0</v>
      </c>
      <c r="AT6" s="24" t="n"/>
      <c r="AU6" s="23" t="n">
        <v>120</v>
      </c>
      <c r="AV6" s="24" t="n">
        <v>60</v>
      </c>
      <c r="AW6" s="25" t="n">
        <v>0</v>
      </c>
      <c r="AX6" s="24" t="n"/>
      <c r="AY6" s="23" t="n">
        <v>240</v>
      </c>
      <c r="AZ6" s="24" t="n">
        <v>60</v>
      </c>
      <c r="BA6" s="25" t="n">
        <v>0</v>
      </c>
      <c r="BB6" s="24" t="n"/>
      <c r="BC6" s="23" t="n">
        <v>240</v>
      </c>
      <c r="BD6" s="24" t="n">
        <v>120</v>
      </c>
      <c r="BE6" s="25" t="n">
        <v>0</v>
      </c>
      <c r="BF6" s="24" t="n"/>
      <c r="BG6" s="23" t="n">
        <v>240</v>
      </c>
      <c r="BH6" s="24" t="n">
        <v>240</v>
      </c>
      <c r="BI6" s="25" t="n">
        <v>0</v>
      </c>
      <c r="BJ6" s="24" t="n"/>
      <c r="BK6" s="340" t="n"/>
      <c r="BL6" s="803">
        <f>SUMPRODUCT(--(MOD(COLUMN($O6:$AL6),4)=MOD(COLUMN($O6)+0,4)),$O6:$AL6)
+SUMPRODUCT(--(MOD(COLUMN($AM6:$BJ6),4)=MOD(COLUMN($AM6)+0,4)),$AM6:$BJ6)</f>
        <v/>
      </c>
      <c r="BM6" s="804">
        <f>SUMPRODUCT(--(MOD(COLUMN($O6:$AL6),4)=MOD(COLUMN($O6)+0,4)),$O6:$AL6)*$I6
+SUMPRODUCT(--(MOD(COLUMN($AM6:$BJ6),4)=MOD(COLUMN($AM6)+0,4)),$AM6:$BJ6)*$I6</f>
        <v/>
      </c>
      <c r="BN6" s="805">
        <f>SUMPRODUCT(--(MOD(COLUMN($O6:$AL6),4)=MOD(COLUMN($O6)+1,4)),$O6:$AL6)
+SUMPRODUCT(--(MOD(COLUMN($AM6:$BJ6),4)=MOD(COLUMN($AM6)+1,4)),$AM6:$BJ6)</f>
        <v/>
      </c>
      <c r="BO6" s="806">
        <f>SUMPRODUCT(--(MOD(COLUMN($O6:$AL6),4)=MOD(COLUMN($O6)+1,4)),$O6:$AL6)*$I6
+SUMPRODUCT(--(MOD(COLUMN($AM6:$BJ6),4)=MOD(COLUMN($AM6)+1,4)),$AM6:$BJ6)*$I6</f>
        <v/>
      </c>
      <c r="BP6" s="807">
        <f>SUMPRODUCT(--(MOD(COLUMN($O6:$AL6),4)=MOD(COLUMN($O6)+2,4)),$O6:$AL6)
+SUMPRODUCT(--(MOD(COLUMN($AM6:$BJ6),4)=MOD(COLUMN($AM6)+2,4)),$AM6:$BJ6)</f>
        <v/>
      </c>
      <c r="BQ6" s="808">
        <f>SUMPRODUCT(--(MOD(COLUMN($O6:$AL6),4)=MOD(COLUMN($O6)+2,4)),$O6:$AL6)*$I6
+SUMPRODUCT(--(MOD(COLUMN($AM6:$BJ6),4)=MOD(COLUMN($AM6)+2,4)),$AM6:$BJ6)*$I6</f>
        <v/>
      </c>
      <c r="BR6" s="809" t="n"/>
      <c r="BS6" s="801" t="n"/>
      <c r="BT6" s="23" t="n">
        <v>1041</v>
      </c>
      <c r="BU6" s="24" t="n"/>
      <c r="BV6" s="25" t="n">
        <v>0</v>
      </c>
      <c r="BW6" s="26" t="n"/>
      <c r="BX6" s="23" t="n">
        <v>1041</v>
      </c>
      <c r="BY6" s="24" t="n"/>
      <c r="BZ6" s="25" t="n">
        <v>0</v>
      </c>
      <c r="CA6" s="24" t="n"/>
      <c r="CB6" s="23" t="n">
        <v>1041</v>
      </c>
      <c r="CC6" s="24" t="n"/>
      <c r="CD6" s="25" t="n">
        <v>0</v>
      </c>
      <c r="CE6" s="24" t="n"/>
      <c r="CF6" s="23" t="n">
        <v>1041</v>
      </c>
      <c r="CG6" s="24" t="n"/>
      <c r="CH6" s="25" t="n">
        <v>0</v>
      </c>
      <c r="CI6" s="24" t="n"/>
      <c r="CJ6" s="23" t="n">
        <v>1041</v>
      </c>
      <c r="CK6" s="24" t="n"/>
      <c r="CL6" s="25" t="n">
        <v>0</v>
      </c>
      <c r="CM6" s="24" t="n"/>
      <c r="CN6" s="23" t="n">
        <v>1041</v>
      </c>
      <c r="CO6" s="24" t="n"/>
      <c r="CP6" s="25" t="n">
        <v>0</v>
      </c>
      <c r="CQ6" s="24" t="n"/>
      <c r="CR6" s="23" t="n">
        <v>1041</v>
      </c>
      <c r="CS6" s="24" t="n"/>
      <c r="CT6" s="25" t="n">
        <v>0</v>
      </c>
      <c r="CU6" s="24" t="n"/>
      <c r="CV6" s="23" t="n">
        <v>1041</v>
      </c>
      <c r="CW6" s="24" t="n"/>
      <c r="CX6" s="25" t="n">
        <v>0</v>
      </c>
      <c r="CY6" s="24" t="n"/>
      <c r="CZ6" s="23" t="n">
        <v>1041</v>
      </c>
      <c r="DA6" s="24" t="n"/>
      <c r="DB6" s="25" t="n">
        <v>0</v>
      </c>
      <c r="DC6" s="24" t="n"/>
      <c r="DD6" s="23" t="n">
        <v>1041</v>
      </c>
      <c r="DE6" s="24" t="n"/>
      <c r="DF6" s="25" t="n">
        <v>0</v>
      </c>
      <c r="DG6" s="24" t="n"/>
      <c r="DH6" s="23" t="n">
        <v>1041</v>
      </c>
      <c r="DI6" s="24" t="n"/>
      <c r="DJ6" s="25" t="n">
        <v>0</v>
      </c>
      <c r="DK6" s="24" t="n"/>
      <c r="DL6" s="23" t="n">
        <v>1041</v>
      </c>
      <c r="DM6" s="24" t="n"/>
      <c r="DN6" s="25" t="n">
        <v>0</v>
      </c>
      <c r="DO6" s="24" t="n"/>
      <c r="DP6" s="340" t="n"/>
      <c r="DQ6" s="803">
        <f>SUMPRODUCT(--(MOD(COLUMN(BT6:CQ6),4)=MOD(COLUMN(BT6),4)),BT6:CQ6)+SUMPRODUCT(--(MOD(COLUMN(CR6:DO6),4)=MOD(COLUMN(CR6),4)),CR6:DO6)</f>
        <v/>
      </c>
      <c r="DR6" s="803">
        <f>SUMPRODUCT(--(MOD(COLUMN(BT6:CQ6),4)=MOD(COLUMN(BT6),4)),BT6:CQ6)*#REF!+SUMPRODUCT(--(MOD(COLUMN(CR6:DO6),4)=MOD(COLUMN(CR6),4)),CR6:DO6)*#REF!</f>
        <v/>
      </c>
      <c r="DS6" s="809" t="n"/>
      <c r="DT6" s="801" t="n"/>
      <c r="DU6" s="23" t="n">
        <v>2082</v>
      </c>
      <c r="DV6" s="24" t="n"/>
      <c r="DW6" s="25" t="n">
        <v>0</v>
      </c>
      <c r="DX6" s="26" t="n"/>
      <c r="DY6" s="23" t="n">
        <v>2082</v>
      </c>
      <c r="DZ6" s="24" t="n"/>
      <c r="EA6" s="25" t="n">
        <v>0</v>
      </c>
      <c r="EB6" s="24" t="n"/>
      <c r="EC6" s="23" t="n">
        <v>2082</v>
      </c>
      <c r="ED6" s="24" t="n"/>
      <c r="EE6" s="25" t="n">
        <v>0</v>
      </c>
      <c r="EF6" s="24" t="n"/>
      <c r="EG6" s="23" t="n">
        <v>2082</v>
      </c>
      <c r="EH6" s="24" t="n"/>
      <c r="EI6" s="25" t="n">
        <v>0</v>
      </c>
      <c r="EJ6" s="24" t="n"/>
      <c r="EK6" s="23" t="n">
        <v>2082</v>
      </c>
      <c r="EL6" s="24" t="n"/>
      <c r="EM6" s="25" t="n">
        <v>0</v>
      </c>
      <c r="EN6" s="24" t="n"/>
      <c r="EO6" s="23" t="n">
        <v>2082</v>
      </c>
      <c r="EP6" s="24" t="n"/>
      <c r="EQ6" s="25" t="n">
        <v>0</v>
      </c>
      <c r="ER6" s="24" t="n"/>
      <c r="ES6" s="23" t="n">
        <v>2082</v>
      </c>
      <c r="ET6" s="24" t="n"/>
      <c r="EU6" s="25" t="n">
        <v>0</v>
      </c>
      <c r="EV6" s="24" t="n"/>
      <c r="EW6" s="23" t="n">
        <v>2082</v>
      </c>
      <c r="EX6" s="24" t="n"/>
      <c r="EY6" s="25" t="n">
        <v>0</v>
      </c>
      <c r="EZ6" s="24" t="n"/>
      <c r="FA6" s="23" t="n">
        <v>2082</v>
      </c>
      <c r="FB6" s="24" t="n"/>
      <c r="FC6" s="25" t="n">
        <v>0</v>
      </c>
      <c r="FD6" s="24" t="n"/>
      <c r="FE6" s="23" t="n">
        <v>2082</v>
      </c>
      <c r="FF6" s="24" t="n"/>
      <c r="FG6" s="25" t="n">
        <v>0</v>
      </c>
      <c r="FH6" s="24" t="n"/>
      <c r="FI6" s="23" t="n">
        <v>2082</v>
      </c>
      <c r="FJ6" s="24" t="n"/>
      <c r="FK6" s="25" t="n">
        <v>0</v>
      </c>
      <c r="FL6" s="24" t="n"/>
      <c r="FM6" s="23" t="n">
        <v>2082</v>
      </c>
      <c r="FN6" s="24" t="n"/>
      <c r="FO6" s="25" t="n">
        <v>0</v>
      </c>
      <c r="FP6" s="24" t="n"/>
      <c r="FQ6" s="340" t="n"/>
      <c r="FR6" s="803">
        <f>SUMPRODUCT(--(MOD(COLUMN(DU6:ER6),4)=MOD(COLUMN(DU6),4)),DU6:ER6)+SUMPRODUCT(--(MOD(COLUMN(ES6:FP6),4)=MOD(COLUMN(ES6),4)),ES6:FP6)</f>
        <v/>
      </c>
      <c r="FS6" s="803">
        <f>SUMPRODUCT(--(MOD(COLUMN(DU6:ER6),4)=MOD(COLUMN(DU6),4)),DU6:ER6)*#REF!+SUMPRODUCT(--(MOD(COLUMN(ES6:FP6),4)=MOD(COLUMN(ES6),4)),ES6:FP6)*#REF!</f>
        <v/>
      </c>
      <c r="FT6" s="360" t="n"/>
    </row>
    <row r="7" outlineLevel="2" customFormat="1" s="14">
      <c r="A7" s="15" t="inlineStr">
        <is>
          <t>АВТОКОМПОНЕНТ НАО</t>
        </is>
      </c>
      <c r="B7" s="16" t="inlineStr">
        <is>
          <t>Предоплата 50%</t>
        </is>
      </c>
      <c r="C7" s="15" t="inlineStr">
        <is>
          <t>ВБК Восток</t>
        </is>
      </c>
      <c r="D7" s="15" t="inlineStr">
        <is>
          <t>Прасолов, Соловьёв</t>
        </is>
      </c>
      <c r="E7" s="17">
        <f>IF(ISBLANK(G7),"",IF($A$6:$A$64=$A7,COUNTIF($A$6:A7,$A7),""))</f>
        <v/>
      </c>
      <c r="F7" s="17" t="n">
        <v>1</v>
      </c>
      <c r="G7" s="33" t="n">
        <v>6402250570</v>
      </c>
      <c r="H7" s="18" t="inlineStr">
        <is>
          <t>6402250570 AD Тормоз дисковый ( правый )</t>
        </is>
      </c>
      <c r="I7" s="624">
        <f>I6</f>
        <v/>
      </c>
      <c r="J7" s="798" t="n"/>
      <c r="K7" s="799" t="n"/>
      <c r="L7" s="800">
        <f>IF(K7="RUB",J7/ЮАНЬ,IF(K7="EUR",J7*ЕВРО/ЮАНЬ,""))</f>
        <v/>
      </c>
      <c r="M7" s="801" t="n"/>
      <c r="N7" s="802">
        <f>IF(BP7&gt;0,1,IF(BN7&gt;0,2,))</f>
        <v/>
      </c>
      <c r="O7" s="23" t="n"/>
      <c r="P7" s="24" t="n"/>
      <c r="Q7" s="25" t="n"/>
      <c r="R7" s="26" t="n"/>
      <c r="S7" s="23" t="n"/>
      <c r="T7" s="24" t="n"/>
      <c r="U7" s="25" t="n">
        <v>0</v>
      </c>
      <c r="V7" s="24" t="n"/>
      <c r="W7" s="23" t="n"/>
      <c r="X7" s="24" t="n"/>
      <c r="Y7" s="25" t="n"/>
      <c r="Z7" s="24" t="n"/>
      <c r="AA7" s="23" t="n">
        <v>9</v>
      </c>
      <c r="AB7" s="24" t="n"/>
      <c r="AC7" s="25" t="n">
        <v>0</v>
      </c>
      <c r="AD7" s="24" t="n"/>
      <c r="AE7" s="23" t="n">
        <v>9</v>
      </c>
      <c r="AF7" s="24" t="n"/>
      <c r="AG7" s="25" t="n">
        <v>0</v>
      </c>
      <c r="AH7" s="24" t="n"/>
      <c r="AI7" s="23" t="n">
        <v>60</v>
      </c>
      <c r="AJ7" s="24" t="n"/>
      <c r="AK7" s="25" t="n">
        <v>0</v>
      </c>
      <c r="AL7" s="24" t="n"/>
      <c r="AM7" s="23" t="n">
        <v>120</v>
      </c>
      <c r="AN7" s="24" t="n"/>
      <c r="AO7" s="25" t="n">
        <v>0</v>
      </c>
      <c r="AP7" s="24" t="n"/>
      <c r="AQ7" s="23" t="n">
        <v>120</v>
      </c>
      <c r="AR7" s="24" t="n"/>
      <c r="AS7" s="25" t="n">
        <v>0</v>
      </c>
      <c r="AT7" s="24" t="n"/>
      <c r="AU7" s="23" t="n">
        <v>120</v>
      </c>
      <c r="AV7" s="24">
        <f>AV6</f>
        <v/>
      </c>
      <c r="AW7" s="25" t="n">
        <v>0</v>
      </c>
      <c r="AX7" s="24" t="n"/>
      <c r="AY7" s="23" t="n">
        <v>240</v>
      </c>
      <c r="AZ7" s="24">
        <f>AZ6</f>
        <v/>
      </c>
      <c r="BA7" s="25" t="n">
        <v>0</v>
      </c>
      <c r="BB7" s="24" t="n"/>
      <c r="BC7" s="23" t="n">
        <v>240</v>
      </c>
      <c r="BD7" s="24">
        <f>BD6</f>
        <v/>
      </c>
      <c r="BE7" s="25" t="n">
        <v>0</v>
      </c>
      <c r="BF7" s="24" t="n"/>
      <c r="BG7" s="23" t="n">
        <v>240</v>
      </c>
      <c r="BH7" s="24">
        <f>BH6</f>
        <v/>
      </c>
      <c r="BI7" s="25" t="n">
        <v>0</v>
      </c>
      <c r="BJ7" s="24" t="n"/>
      <c r="BK7" s="340" t="n"/>
      <c r="BL7" s="803">
        <f>SUMPRODUCT(--(MOD(COLUMN($O7:$AL7),4)=MOD(COLUMN($O7)+0,4)),$O7:$AL7)
+SUMPRODUCT(--(MOD(COLUMN($AM7:$BJ7),4)=MOD(COLUMN($AM7)+0,4)),$AM7:$BJ7)</f>
        <v/>
      </c>
      <c r="BM7" s="804">
        <f>SUMPRODUCT(--(MOD(COLUMN($O7:$AL7),4)=MOD(COLUMN($O7)+0,4)),$O7:$AL7)*
$I7+SUMPRODUCT(--(MOD(COLUMN($AM7:$BJ7),4)=MOD(COLUMN($AM7)+0,4)),$AM7:$BJ7)*$I7</f>
        <v/>
      </c>
      <c r="BN7" s="805">
        <f>SUMPRODUCT(--(MOD(COLUMN($O7:$AL7),4)=MOD(COLUMN($O7)+1,4)),$O7:$AL7)
+SUMPRODUCT(--(MOD(COLUMN($AM7:$BJ7),4)=MOD(COLUMN($AM7)+1,4)),$AM7:$BJ7)</f>
        <v/>
      </c>
      <c r="BO7" s="806">
        <f>SUMPRODUCT(--(MOD(COLUMN($O7:$AL7),4)=MOD(COLUMN($O7)+1,4)),$O7:$AL7)*
$I7+SUMPRODUCT(--(MOD(COLUMN($AM7:$BJ7),4)=MOD(COLUMN($AM7)+1,4)),$AM7:$BJ7)*$I7</f>
        <v/>
      </c>
      <c r="BP7" s="807">
        <f>SUMPRODUCT(--(MOD(COLUMN($O7:$AL7),4)=MOD(COLUMN($O7)+2,4)),$O7:$AL7)
+SUMPRODUCT(--(MOD(COLUMN($AM7:$BJ7),4)=MOD(COLUMN($AM7)+2,4)),$AM7:$BJ7)</f>
        <v/>
      </c>
      <c r="BQ7" s="808">
        <f>SUMPRODUCT(--(MOD(COLUMN($O7:$AL7),4)=MOD(COLUMN($O7)+2,4)),$O7:$AL7)*
$I7+SUMPRODUCT(--(MOD(COLUMN($AM7:$BJ7),4)=MOD(COLUMN($AM7)+2,4)),$AM7:$BJ7)*$I7</f>
        <v/>
      </c>
      <c r="BR7" s="809" t="n"/>
      <c r="BS7" s="801" t="n"/>
      <c r="BT7" s="23" t="n">
        <v>1041</v>
      </c>
      <c r="BU7" s="24" t="n"/>
      <c r="BV7" s="25" t="n">
        <v>0</v>
      </c>
      <c r="BW7" s="26" t="n"/>
      <c r="BX7" s="23" t="n">
        <v>1041</v>
      </c>
      <c r="BY7" s="24" t="n"/>
      <c r="BZ7" s="25" t="n">
        <v>0</v>
      </c>
      <c r="CA7" s="24" t="n"/>
      <c r="CB7" s="23" t="n">
        <v>1041</v>
      </c>
      <c r="CC7" s="24" t="n"/>
      <c r="CD7" s="25" t="n">
        <v>0</v>
      </c>
      <c r="CE7" s="24" t="n"/>
      <c r="CF7" s="23" t="n">
        <v>1041</v>
      </c>
      <c r="CG7" s="24" t="n"/>
      <c r="CH7" s="25" t="n">
        <v>0</v>
      </c>
      <c r="CI7" s="24" t="n"/>
      <c r="CJ7" s="23" t="n">
        <v>1041</v>
      </c>
      <c r="CK7" s="24" t="n"/>
      <c r="CL7" s="25" t="n">
        <v>0</v>
      </c>
      <c r="CM7" s="24" t="n"/>
      <c r="CN7" s="23" t="n">
        <v>1041</v>
      </c>
      <c r="CO7" s="24" t="n"/>
      <c r="CP7" s="25" t="n">
        <v>0</v>
      </c>
      <c r="CQ7" s="24" t="n"/>
      <c r="CR7" s="23" t="n">
        <v>1041</v>
      </c>
      <c r="CS7" s="24" t="n"/>
      <c r="CT7" s="25" t="n">
        <v>0</v>
      </c>
      <c r="CU7" s="24" t="n"/>
      <c r="CV7" s="23" t="n">
        <v>1041</v>
      </c>
      <c r="CW7" s="24" t="n"/>
      <c r="CX7" s="25" t="n">
        <v>0</v>
      </c>
      <c r="CY7" s="24" t="n"/>
      <c r="CZ7" s="23" t="n">
        <v>1041</v>
      </c>
      <c r="DA7" s="24" t="n"/>
      <c r="DB7" s="25" t="n">
        <v>0</v>
      </c>
      <c r="DC7" s="24" t="n"/>
      <c r="DD7" s="23" t="n">
        <v>1041</v>
      </c>
      <c r="DE7" s="24" t="n"/>
      <c r="DF7" s="25" t="n">
        <v>0</v>
      </c>
      <c r="DG7" s="24" t="n"/>
      <c r="DH7" s="23" t="n">
        <v>1041</v>
      </c>
      <c r="DI7" s="24" t="n"/>
      <c r="DJ7" s="25" t="n">
        <v>0</v>
      </c>
      <c r="DK7" s="24" t="n"/>
      <c r="DL7" s="23" t="n">
        <v>1041</v>
      </c>
      <c r="DM7" s="24" t="n"/>
      <c r="DN7" s="25" t="n">
        <v>0</v>
      </c>
      <c r="DO7" s="24" t="n"/>
      <c r="DP7" s="340" t="n"/>
      <c r="DQ7" s="803">
        <f>SUMPRODUCT(--(MOD(COLUMN(BT7:CQ7),4)=MOD(COLUMN(BT7),4)),BT7:CQ7)+SUMPRODUCT(--(MOD(COLUMN(CR7:DO7),4)=MOD(COLUMN(CR7),4)),CR7:DO7)</f>
        <v/>
      </c>
      <c r="DR7" s="803">
        <f>SUMPRODUCT(--(MOD(COLUMN(BT7:CQ7),4)=MOD(COLUMN(BT7),4)),BT7:CQ7)*#REF!+SUMPRODUCT(--(MOD(COLUMN(CR7:DO7),4)=MOD(COLUMN(CR7),4)),CR7:DO7)*#REF!</f>
        <v/>
      </c>
      <c r="DS7" s="809" t="n"/>
      <c r="DT7" s="801" t="n"/>
      <c r="DU7" s="23" t="n">
        <v>2082</v>
      </c>
      <c r="DV7" s="24" t="n"/>
      <c r="DW7" s="25" t="n">
        <v>0</v>
      </c>
      <c r="DX7" s="26" t="n"/>
      <c r="DY7" s="23" t="n">
        <v>2082</v>
      </c>
      <c r="DZ7" s="24" t="n"/>
      <c r="EA7" s="25" t="n">
        <v>0</v>
      </c>
      <c r="EB7" s="24" t="n"/>
      <c r="EC7" s="23" t="n">
        <v>2082</v>
      </c>
      <c r="ED7" s="24" t="n"/>
      <c r="EE7" s="25" t="n">
        <v>0</v>
      </c>
      <c r="EF7" s="24" t="n"/>
      <c r="EG7" s="23" t="n">
        <v>2082</v>
      </c>
      <c r="EH7" s="24" t="n"/>
      <c r="EI7" s="25" t="n">
        <v>0</v>
      </c>
      <c r="EJ7" s="24" t="n"/>
      <c r="EK7" s="23" t="n">
        <v>2082</v>
      </c>
      <c r="EL7" s="24" t="n"/>
      <c r="EM7" s="25" t="n">
        <v>0</v>
      </c>
      <c r="EN7" s="24" t="n"/>
      <c r="EO7" s="23" t="n">
        <v>2082</v>
      </c>
      <c r="EP7" s="24" t="n"/>
      <c r="EQ7" s="25" t="n">
        <v>0</v>
      </c>
      <c r="ER7" s="24" t="n"/>
      <c r="ES7" s="23" t="n">
        <v>2082</v>
      </c>
      <c r="ET7" s="24" t="n"/>
      <c r="EU7" s="25" t="n">
        <v>0</v>
      </c>
      <c r="EV7" s="24" t="n"/>
      <c r="EW7" s="23" t="n">
        <v>2082</v>
      </c>
      <c r="EX7" s="24" t="n"/>
      <c r="EY7" s="25" t="n">
        <v>0</v>
      </c>
      <c r="EZ7" s="24" t="n"/>
      <c r="FA7" s="23" t="n">
        <v>2082</v>
      </c>
      <c r="FB7" s="24" t="n"/>
      <c r="FC7" s="25" t="n">
        <v>0</v>
      </c>
      <c r="FD7" s="24" t="n"/>
      <c r="FE7" s="23" t="n">
        <v>2082</v>
      </c>
      <c r="FF7" s="24" t="n"/>
      <c r="FG7" s="25" t="n">
        <v>0</v>
      </c>
      <c r="FH7" s="24" t="n"/>
      <c r="FI7" s="23" t="n">
        <v>2082</v>
      </c>
      <c r="FJ7" s="24" t="n"/>
      <c r="FK7" s="25" t="n">
        <v>0</v>
      </c>
      <c r="FL7" s="24" t="n"/>
      <c r="FM7" s="23" t="n">
        <v>2082</v>
      </c>
      <c r="FN7" s="24" t="n"/>
      <c r="FO7" s="25" t="n">
        <v>0</v>
      </c>
      <c r="FP7" s="24" t="n"/>
      <c r="FQ7" s="340" t="n"/>
      <c r="FR7" s="803">
        <f>SUMPRODUCT(--(MOD(COLUMN(DU7:ER7),4)=MOD(COLUMN(DU7),4)),DU7:ER7)+SUMPRODUCT(--(MOD(COLUMN(ES7:FP7),4)=MOD(COLUMN(ES7),4)),ES7:FP7)</f>
        <v/>
      </c>
      <c r="FS7" s="803">
        <f>SUMPRODUCT(--(MOD(COLUMN(DU7:ER7),4)=MOD(COLUMN(DU7),4)),DU7:ER7)*#REF!+SUMPRODUCT(--(MOD(COLUMN(ES7:FP7),4)=MOD(COLUMN(ES7),4)),ES7:FP7)*#REF!</f>
        <v/>
      </c>
      <c r="FT7" s="360" t="n"/>
    </row>
    <row r="8" outlineLevel="2" customFormat="1" s="14">
      <c r="A8" s="15" t="inlineStr">
        <is>
          <t>АВТОКОМПОНЕНТ НАО</t>
        </is>
      </c>
      <c r="B8" s="16" t="inlineStr">
        <is>
          <t>Предоплата 50%</t>
        </is>
      </c>
      <c r="C8" s="15" t="inlineStr">
        <is>
          <t>ВБК Восток</t>
        </is>
      </c>
      <c r="D8" s="15" t="inlineStr">
        <is>
          <t>Прасолов, Соловьёв</t>
        </is>
      </c>
      <c r="E8" s="17">
        <f>IF(ISBLANK(G8),"",IF($A$6:$A$64=$A8,COUNTIF($A$6:A8,$A8),""))</f>
        <v/>
      </c>
      <c r="F8" s="17" t="n">
        <v>1</v>
      </c>
      <c r="G8" s="33" t="n">
        <v>4410328790</v>
      </c>
      <c r="H8" s="18" t="inlineStr">
        <is>
          <t>Датчик АБС, 1 м</t>
        </is>
      </c>
      <c r="I8" s="625">
        <f>90/НДС_20</f>
        <v/>
      </c>
      <c r="J8" s="798" t="n"/>
      <c r="K8" s="798" t="n"/>
      <c r="L8" s="798">
        <f>IF(K8="RUB",J8/ЮАНЬ,IF(K8="EUR",J8*ЕВРО/ЮАНЬ,""))</f>
        <v/>
      </c>
      <c r="M8" s="801" t="n"/>
      <c r="N8" s="802">
        <f>IF(BP8&gt;0,1,IF(BN8&gt;0,2,))</f>
        <v/>
      </c>
      <c r="O8" s="23" t="n"/>
      <c r="P8" s="24" t="n"/>
      <c r="Q8" s="25" t="n"/>
      <c r="R8" s="26" t="n"/>
      <c r="S8" s="23" t="n">
        <v>1000</v>
      </c>
      <c r="T8" s="24" t="n"/>
      <c r="U8" s="25" t="n">
        <v>0</v>
      </c>
      <c r="V8" s="24" t="n"/>
      <c r="W8" s="23" t="n"/>
      <c r="X8" s="24" t="n"/>
      <c r="Y8" s="25" t="n"/>
      <c r="Z8" s="24" t="n"/>
      <c r="AA8" s="23" t="n">
        <v>6</v>
      </c>
      <c r="AB8" s="24">
        <f>1000</f>
        <v/>
      </c>
      <c r="AC8" s="25" t="n">
        <v>1000</v>
      </c>
      <c r="AD8" s="24" t="n"/>
      <c r="AE8" s="23" t="n">
        <v>6</v>
      </c>
      <c r="AF8" s="24" t="n"/>
      <c r="AG8" s="25" t="n">
        <v>0</v>
      </c>
      <c r="AH8" s="24" t="n"/>
      <c r="AI8" s="23" t="n">
        <v>40</v>
      </c>
      <c r="AJ8" s="24" t="n"/>
      <c r="AK8" s="25" t="n">
        <v>0</v>
      </c>
      <c r="AL8" s="24" t="n"/>
      <c r="AM8" s="23" t="n">
        <v>80</v>
      </c>
      <c r="AN8" s="24" t="n"/>
      <c r="AO8" s="25" t="n">
        <v>0</v>
      </c>
      <c r="AP8" s="24" t="n"/>
      <c r="AQ8" s="23" t="n">
        <v>80</v>
      </c>
      <c r="AR8" s="24" t="n"/>
      <c r="AS8" s="25" t="n">
        <v>0</v>
      </c>
      <c r="AT8" s="24" t="n"/>
      <c r="AU8" s="23" t="n">
        <v>80</v>
      </c>
      <c r="AV8" s="24">
        <f>SUM(AV6:AV7)/3</f>
        <v/>
      </c>
      <c r="AW8" s="25" t="n">
        <v>0</v>
      </c>
      <c r="AX8" s="24" t="n"/>
      <c r="AY8" s="23" t="n">
        <v>160</v>
      </c>
      <c r="AZ8" s="24">
        <f>SUM(AZ6:AZ7)/3</f>
        <v/>
      </c>
      <c r="BA8" s="25" t="n">
        <v>0</v>
      </c>
      <c r="BB8" s="24" t="n"/>
      <c r="BC8" s="23" t="n">
        <v>160</v>
      </c>
      <c r="BD8" s="24">
        <f>SUM(BD6:BD7)/3</f>
        <v/>
      </c>
      <c r="BE8" s="25" t="n">
        <v>0</v>
      </c>
      <c r="BF8" s="24" t="n"/>
      <c r="BG8" s="23" t="n">
        <v>160</v>
      </c>
      <c r="BH8" s="24">
        <f>SUM(BH6:BH7)/3</f>
        <v/>
      </c>
      <c r="BI8" s="25" t="n">
        <v>0</v>
      </c>
      <c r="BJ8" s="24" t="n"/>
      <c r="BK8" s="340" t="n"/>
      <c r="BL8" s="803">
        <f>SUMPRODUCT(--(MOD(COLUMN($O8:$AL8),4)=MOD(COLUMN($O8)+0,4)),$O8:$AL8)
+SUMPRODUCT(--(MOD(COLUMN($AM8:$BJ8),4)=MOD(COLUMN($AM8)+0,4)),$AM8:$BJ8)</f>
        <v/>
      </c>
      <c r="BM8" s="804">
        <f>SUMPRODUCT(--(MOD(COLUMN($O8:$AL8),4)=MOD(COLUMN($O8)+0,4)),$O8:$AL8)*
$I8+SUMPRODUCT(--(MOD(COLUMN($AM8:$BJ8),4)=MOD(COLUMN($AM8)+0,4)),$AM8:$BJ8)*$I8</f>
        <v/>
      </c>
      <c r="BN8" s="805">
        <f>SUMPRODUCT(--(MOD(COLUMN($O8:$AL8),4)=MOD(COLUMN($O8)+1,4)),$O8:$AL8)
+SUMPRODUCT(--(MOD(COLUMN($AM8:$BJ8),4)=MOD(COLUMN($AM8)+1,4)),$AM8:$BJ8)</f>
        <v/>
      </c>
      <c r="BO8" s="806">
        <f>SUMPRODUCT(--(MOD(COLUMN($O8:$AL8),4)=MOD(COLUMN($O8)+1,4)),$O8:$AL8)*
$I8+SUMPRODUCT(--(MOD(COLUMN($AM8:$BJ8),4)=MOD(COLUMN($AM8)+1,4)),$AM8:$BJ8)*$I8</f>
        <v/>
      </c>
      <c r="BP8" s="807">
        <f>SUMPRODUCT(--(MOD(COLUMN($O8:$AL8),4)=MOD(COLUMN($O8)+2,4)),$O8:$AL8)
+SUMPRODUCT(--(MOD(COLUMN($AM8:$BJ8),4)=MOD(COLUMN($AM8)+2,4)),$AM8:$BJ8)</f>
        <v/>
      </c>
      <c r="BQ8" s="808">
        <f>SUMPRODUCT(--(MOD(COLUMN($O8:$AL8),4)=MOD(COLUMN($O8)+2,4)),$O8:$AL8)*
$I8+SUMPRODUCT(--(MOD(COLUMN($AM8:$BJ8),4)=MOD(COLUMN($AM8)+2,4)),$AM8:$BJ8)*$I8</f>
        <v/>
      </c>
      <c r="BR8" s="809" t="n"/>
      <c r="BS8" s="801" t="n"/>
      <c r="BT8" s="23" t="n">
        <v>694</v>
      </c>
      <c r="BU8" s="24" t="n"/>
      <c r="BV8" s="25" t="n">
        <v>0</v>
      </c>
      <c r="BW8" s="26" t="n"/>
      <c r="BX8" s="23" t="n">
        <v>694</v>
      </c>
      <c r="BY8" s="24" t="n"/>
      <c r="BZ8" s="25" t="n">
        <v>0</v>
      </c>
      <c r="CA8" s="24" t="n"/>
      <c r="CB8" s="23" t="n">
        <v>694</v>
      </c>
      <c r="CC8" s="24" t="n"/>
      <c r="CD8" s="25" t="n">
        <v>0</v>
      </c>
      <c r="CE8" s="24" t="n"/>
      <c r="CF8" s="23" t="n">
        <v>694</v>
      </c>
      <c r="CG8" s="24" t="n"/>
      <c r="CH8" s="25" t="n">
        <v>0</v>
      </c>
      <c r="CI8" s="24" t="n"/>
      <c r="CJ8" s="23" t="n">
        <v>694</v>
      </c>
      <c r="CK8" s="24" t="n"/>
      <c r="CL8" s="25" t="n">
        <v>0</v>
      </c>
      <c r="CM8" s="24" t="n"/>
      <c r="CN8" s="23" t="n">
        <v>694</v>
      </c>
      <c r="CO8" s="24" t="n"/>
      <c r="CP8" s="25" t="n">
        <v>0</v>
      </c>
      <c r="CQ8" s="24" t="n"/>
      <c r="CR8" s="23" t="n">
        <v>694</v>
      </c>
      <c r="CS8" s="24" t="n"/>
      <c r="CT8" s="25" t="n">
        <v>0</v>
      </c>
      <c r="CU8" s="24" t="n"/>
      <c r="CV8" s="23" t="n">
        <v>694</v>
      </c>
      <c r="CW8" s="24" t="n"/>
      <c r="CX8" s="25" t="n">
        <v>0</v>
      </c>
      <c r="CY8" s="24" t="n"/>
      <c r="CZ8" s="23" t="n">
        <v>694</v>
      </c>
      <c r="DA8" s="24" t="n"/>
      <c r="DB8" s="25" t="n">
        <v>0</v>
      </c>
      <c r="DC8" s="24" t="n"/>
      <c r="DD8" s="23" t="n">
        <v>694</v>
      </c>
      <c r="DE8" s="24" t="n"/>
      <c r="DF8" s="25" t="n">
        <v>0</v>
      </c>
      <c r="DG8" s="24" t="n"/>
      <c r="DH8" s="23" t="n">
        <v>694</v>
      </c>
      <c r="DI8" s="24" t="n"/>
      <c r="DJ8" s="25" t="n">
        <v>0</v>
      </c>
      <c r="DK8" s="24" t="n"/>
      <c r="DL8" s="23" t="n">
        <v>694</v>
      </c>
      <c r="DM8" s="24" t="n"/>
      <c r="DN8" s="25" t="n">
        <v>0</v>
      </c>
      <c r="DO8" s="24" t="n"/>
      <c r="DP8" s="340" t="n"/>
      <c r="DQ8" s="803">
        <f>SUMPRODUCT(--(MOD(COLUMN(BT8:CQ8),4)=MOD(COLUMN(BT8),4)),BT8:CQ8)+SUMPRODUCT(--(MOD(COLUMN(CR8:DO8),4)=MOD(COLUMN(CR8),4)),CR8:DO8)</f>
        <v/>
      </c>
      <c r="DR8" s="803">
        <f>SUMPRODUCT(--(MOD(COLUMN(BT8:CQ8),4)=MOD(COLUMN(BT8),4)),BT8:CQ8)*#REF!+SUMPRODUCT(--(MOD(COLUMN(CR8:DO8),4)=MOD(COLUMN(CR8),4)),CR8:DO8)*#REF!</f>
        <v/>
      </c>
      <c r="DS8" s="809" t="n"/>
      <c r="DT8" s="801" t="n"/>
      <c r="DU8" s="23" t="n">
        <v>1388</v>
      </c>
      <c r="DV8" s="24" t="n"/>
      <c r="DW8" s="25" t="n">
        <v>0</v>
      </c>
      <c r="DX8" s="26" t="n"/>
      <c r="DY8" s="23" t="n">
        <v>1388</v>
      </c>
      <c r="DZ8" s="24" t="n"/>
      <c r="EA8" s="25" t="n">
        <v>0</v>
      </c>
      <c r="EB8" s="24" t="n"/>
      <c r="EC8" s="23" t="n">
        <v>1388</v>
      </c>
      <c r="ED8" s="24" t="n"/>
      <c r="EE8" s="25" t="n">
        <v>0</v>
      </c>
      <c r="EF8" s="24" t="n"/>
      <c r="EG8" s="23" t="n">
        <v>1388</v>
      </c>
      <c r="EH8" s="24" t="n"/>
      <c r="EI8" s="25" t="n">
        <v>0</v>
      </c>
      <c r="EJ8" s="24" t="n"/>
      <c r="EK8" s="23" t="n">
        <v>1388</v>
      </c>
      <c r="EL8" s="24" t="n"/>
      <c r="EM8" s="25" t="n">
        <v>0</v>
      </c>
      <c r="EN8" s="24" t="n"/>
      <c r="EO8" s="23" t="n">
        <v>1388</v>
      </c>
      <c r="EP8" s="24" t="n"/>
      <c r="EQ8" s="25" t="n">
        <v>0</v>
      </c>
      <c r="ER8" s="24" t="n"/>
      <c r="ES8" s="23" t="n">
        <v>1388</v>
      </c>
      <c r="ET8" s="24" t="n"/>
      <c r="EU8" s="25" t="n">
        <v>0</v>
      </c>
      <c r="EV8" s="24" t="n"/>
      <c r="EW8" s="23" t="n">
        <v>1388</v>
      </c>
      <c r="EX8" s="24" t="n"/>
      <c r="EY8" s="25" t="n">
        <v>0</v>
      </c>
      <c r="EZ8" s="24" t="n"/>
      <c r="FA8" s="23" t="n">
        <v>1388</v>
      </c>
      <c r="FB8" s="24" t="n"/>
      <c r="FC8" s="25" t="n">
        <v>0</v>
      </c>
      <c r="FD8" s="24" t="n"/>
      <c r="FE8" s="23" t="n">
        <v>1388</v>
      </c>
      <c r="FF8" s="24" t="n"/>
      <c r="FG8" s="25" t="n">
        <v>0</v>
      </c>
      <c r="FH8" s="24" t="n"/>
      <c r="FI8" s="23" t="n">
        <v>1388</v>
      </c>
      <c r="FJ8" s="24" t="n"/>
      <c r="FK8" s="25" t="n">
        <v>0</v>
      </c>
      <c r="FL8" s="24" t="n"/>
      <c r="FM8" s="23" t="n">
        <v>1388</v>
      </c>
      <c r="FN8" s="24" t="n"/>
      <c r="FO8" s="25" t="n">
        <v>0</v>
      </c>
      <c r="FP8" s="24" t="n"/>
      <c r="FQ8" s="340" t="n"/>
      <c r="FR8" s="803">
        <f>SUMPRODUCT(--(MOD(COLUMN(DU8:ER8),4)=MOD(COLUMN(DU8),4)),DU8:ER8)+SUMPRODUCT(--(MOD(COLUMN(ES8:FP8),4)=MOD(COLUMN(ES8),4)),ES8:FP8)</f>
        <v/>
      </c>
      <c r="FS8" s="803">
        <f>SUMPRODUCT(--(MOD(COLUMN(DU8:ER8),4)=MOD(COLUMN(DU8),4)),DU8:ER8)*#REF!+SUMPRODUCT(--(MOD(COLUMN(ES8:FP8),4)=MOD(COLUMN(ES8),4)),ES8:FP8)*#REF!</f>
        <v/>
      </c>
      <c r="FT8" s="360" t="n"/>
    </row>
    <row r="9" outlineLevel="2" customFormat="1" s="14">
      <c r="A9" s="15" t="inlineStr">
        <is>
          <t>АВТОКОМПОНЕНТ НАО</t>
        </is>
      </c>
      <c r="B9" s="16" t="inlineStr">
        <is>
          <t>Предоплата 50%</t>
        </is>
      </c>
      <c r="C9" s="15" t="inlineStr">
        <is>
          <t>ВБК Восток</t>
        </is>
      </c>
      <c r="D9" s="15" t="inlineStr">
        <is>
          <t>Прасолов, Соловьёв</t>
        </is>
      </c>
      <c r="E9" s="17">
        <f>IF(ISBLANK(G9),"",IF($A$6:$A$64=$A9,COUNTIF($A$6:A9,$A9),""))</f>
        <v/>
      </c>
      <c r="F9" s="17" t="n">
        <v>1</v>
      </c>
      <c r="G9" s="409" t="n">
        <v>8997605104</v>
      </c>
      <c r="H9" s="18" t="inlineStr">
        <is>
          <t>Втулка датчика АБС</t>
        </is>
      </c>
      <c r="I9" s="625">
        <f>8.4/НДС_20</f>
        <v/>
      </c>
      <c r="J9" s="798" t="n"/>
      <c r="K9" s="798" t="n"/>
      <c r="L9" s="798">
        <f>IF(K9="RUB",J9/ЮАНЬ,IF(K9="EUR",J9*ЕВРО/ЮАНЬ,""))</f>
        <v/>
      </c>
      <c r="M9" s="801" t="n"/>
      <c r="N9" s="802">
        <f>IF(BP9&gt;0,1,IF(BN9&gt;0,2,))</f>
        <v/>
      </c>
      <c r="O9" s="23" t="n"/>
      <c r="P9" s="24" t="n"/>
      <c r="Q9" s="25" t="n"/>
      <c r="R9" s="26" t="n"/>
      <c r="S9" s="23" t="n">
        <v>1000</v>
      </c>
      <c r="T9" s="24" t="n"/>
      <c r="U9" s="25" t="n">
        <v>0</v>
      </c>
      <c r="V9" s="24" t="n"/>
      <c r="W9" s="23" t="n"/>
      <c r="X9" s="24" t="n"/>
      <c r="Y9" s="25" t="n"/>
      <c r="Z9" s="24" t="n"/>
      <c r="AA9" s="23" t="n">
        <v>6</v>
      </c>
      <c r="AB9" s="24">
        <f>1000</f>
        <v/>
      </c>
      <c r="AC9" s="25" t="n">
        <v>1000</v>
      </c>
      <c r="AD9" s="24" t="n"/>
      <c r="AE9" s="23" t="n">
        <v>6</v>
      </c>
      <c r="AF9" s="24" t="n"/>
      <c r="AG9" s="25" t="n">
        <v>0</v>
      </c>
      <c r="AH9" s="24" t="n"/>
      <c r="AI9" s="23" t="n">
        <v>40</v>
      </c>
      <c r="AJ9" s="24" t="n"/>
      <c r="AK9" s="25" t="n">
        <v>0</v>
      </c>
      <c r="AL9" s="24" t="n"/>
      <c r="AM9" s="23" t="n">
        <v>80</v>
      </c>
      <c r="AN9" s="24" t="n"/>
      <c r="AO9" s="25" t="n">
        <v>0</v>
      </c>
      <c r="AP9" s="24" t="n"/>
      <c r="AQ9" s="23" t="n">
        <v>80</v>
      </c>
      <c r="AR9" s="24" t="n"/>
      <c r="AS9" s="25" t="n">
        <v>0</v>
      </c>
      <c r="AT9" s="24" t="n"/>
      <c r="AU9" s="23" t="n">
        <v>80</v>
      </c>
      <c r="AV9" s="24">
        <f>SUM(AV6:AV7)/3</f>
        <v/>
      </c>
      <c r="AW9" s="25" t="n">
        <v>0</v>
      </c>
      <c r="AX9" s="24" t="n"/>
      <c r="AY9" s="23" t="n">
        <v>160</v>
      </c>
      <c r="AZ9" s="24">
        <f>SUM(AZ6:AZ7)/3</f>
        <v/>
      </c>
      <c r="BA9" s="25" t="n">
        <v>0</v>
      </c>
      <c r="BB9" s="24" t="n"/>
      <c r="BC9" s="23" t="n">
        <v>160</v>
      </c>
      <c r="BD9" s="24">
        <f>SUM(BD6:BD7)/3</f>
        <v/>
      </c>
      <c r="BE9" s="25" t="n">
        <v>0</v>
      </c>
      <c r="BF9" s="24" t="n"/>
      <c r="BG9" s="23" t="n">
        <v>160</v>
      </c>
      <c r="BH9" s="24">
        <f>SUM(BH6:BH7)/3</f>
        <v/>
      </c>
      <c r="BI9" s="25" t="n">
        <v>0</v>
      </c>
      <c r="BJ9" s="24" t="n"/>
      <c r="BK9" s="340" t="n"/>
      <c r="BL9" s="803">
        <f>SUMPRODUCT(--(MOD(COLUMN($O9:$AL9),4)=MOD(COLUMN($O9)+0,4)),$O9:$AL9)
+SUMPRODUCT(--(MOD(COLUMN($AM9:$BJ9),4)=MOD(COLUMN($AM9)+0,4)),$AM9:$BJ9)</f>
        <v/>
      </c>
      <c r="BM9" s="804">
        <f>SUMPRODUCT(--(MOD(COLUMN($O9:$AL9),4)=MOD(COLUMN($O9)+0,4)),$O9:$AL9)*
$I9+SUMPRODUCT(--(MOD(COLUMN($AM9:$BJ9),4)=MOD(COLUMN($AM9)+0,4)),$AM9:$BJ9)*$I9</f>
        <v/>
      </c>
      <c r="BN9" s="805">
        <f>SUMPRODUCT(--(MOD(COLUMN($O9:$AL9),4)=MOD(COLUMN($O9)+1,4)),$O9:$AL9)
+SUMPRODUCT(--(MOD(COLUMN($AM9:$BJ9),4)=MOD(COLUMN($AM9)+1,4)),$AM9:$BJ9)</f>
        <v/>
      </c>
      <c r="BO9" s="806">
        <f>SUMPRODUCT(--(MOD(COLUMN($O9:$AL9),4)=MOD(COLUMN($O9)+1,4)),$O9:$AL9)*
$I9+SUMPRODUCT(--(MOD(COLUMN($AM9:$BJ9),4)=MOD(COLUMN($AM9)+1,4)),$AM9:$BJ9)*$I9</f>
        <v/>
      </c>
      <c r="BP9" s="807">
        <f>SUMPRODUCT(--(MOD(COLUMN($O9:$AL9),4)=MOD(COLUMN($O9)+2,4)),$O9:$AL9)
+SUMPRODUCT(--(MOD(COLUMN($AM9:$BJ9),4)=MOD(COLUMN($AM9)+2,4)),$AM9:$BJ9)</f>
        <v/>
      </c>
      <c r="BQ9" s="808">
        <f>SUMPRODUCT(--(MOD(COLUMN($O9:$AL9),4)=MOD(COLUMN($O9)+2,4)),$O9:$AL9)*
$I9+SUMPRODUCT(--(MOD(COLUMN($AM9:$BJ9),4)=MOD(COLUMN($AM9)+2,4)),$AM9:$BJ9)*$I9</f>
        <v/>
      </c>
      <c r="BR9" s="809" t="n"/>
      <c r="BS9" s="801" t="n"/>
      <c r="BT9" s="23" t="n">
        <v>694</v>
      </c>
      <c r="BU9" s="24" t="n"/>
      <c r="BV9" s="25" t="n">
        <v>0</v>
      </c>
      <c r="BW9" s="26" t="n"/>
      <c r="BX9" s="23" t="n">
        <v>694</v>
      </c>
      <c r="BY9" s="24" t="n"/>
      <c r="BZ9" s="25" t="n">
        <v>0</v>
      </c>
      <c r="CA9" s="24" t="n"/>
      <c r="CB9" s="23" t="n">
        <v>694</v>
      </c>
      <c r="CC9" s="24" t="n"/>
      <c r="CD9" s="25" t="n">
        <v>0</v>
      </c>
      <c r="CE9" s="24" t="n"/>
      <c r="CF9" s="23" t="n">
        <v>694</v>
      </c>
      <c r="CG9" s="24" t="n"/>
      <c r="CH9" s="25" t="n">
        <v>0</v>
      </c>
      <c r="CI9" s="24" t="n"/>
      <c r="CJ9" s="23" t="n">
        <v>694</v>
      </c>
      <c r="CK9" s="24" t="n"/>
      <c r="CL9" s="25" t="n">
        <v>0</v>
      </c>
      <c r="CM9" s="24" t="n"/>
      <c r="CN9" s="23" t="n">
        <v>694</v>
      </c>
      <c r="CO9" s="24" t="n"/>
      <c r="CP9" s="25" t="n">
        <v>0</v>
      </c>
      <c r="CQ9" s="24" t="n"/>
      <c r="CR9" s="23" t="n">
        <v>694</v>
      </c>
      <c r="CS9" s="24" t="n"/>
      <c r="CT9" s="25" t="n">
        <v>0</v>
      </c>
      <c r="CU9" s="24" t="n"/>
      <c r="CV9" s="23" t="n">
        <v>694</v>
      </c>
      <c r="CW9" s="24" t="n"/>
      <c r="CX9" s="25" t="n">
        <v>0</v>
      </c>
      <c r="CY9" s="24" t="n"/>
      <c r="CZ9" s="23" t="n">
        <v>694</v>
      </c>
      <c r="DA9" s="24" t="n"/>
      <c r="DB9" s="25" t="n">
        <v>0</v>
      </c>
      <c r="DC9" s="24" t="n"/>
      <c r="DD9" s="23" t="n">
        <v>694</v>
      </c>
      <c r="DE9" s="24" t="n"/>
      <c r="DF9" s="25" t="n">
        <v>0</v>
      </c>
      <c r="DG9" s="24" t="n"/>
      <c r="DH9" s="23" t="n">
        <v>694</v>
      </c>
      <c r="DI9" s="24" t="n"/>
      <c r="DJ9" s="25" t="n">
        <v>0</v>
      </c>
      <c r="DK9" s="24" t="n"/>
      <c r="DL9" s="23" t="n">
        <v>694</v>
      </c>
      <c r="DM9" s="24" t="n"/>
      <c r="DN9" s="25" t="n">
        <v>0</v>
      </c>
      <c r="DO9" s="24" t="n"/>
      <c r="DP9" s="340" t="n"/>
      <c r="DQ9" s="803">
        <f>SUMPRODUCT(--(MOD(COLUMN(BT9:CQ9),4)=MOD(COLUMN(BT9),4)),BT9:CQ9)+SUMPRODUCT(--(MOD(COLUMN(CR9:DO9),4)=MOD(COLUMN(CR9),4)),CR9:DO9)</f>
        <v/>
      </c>
      <c r="DR9" s="803">
        <f>SUMPRODUCT(--(MOD(COLUMN(BT9:CQ9),4)=MOD(COLUMN(BT9),4)),BT9:CQ9)*#REF!+SUMPRODUCT(--(MOD(COLUMN(CR9:DO9),4)=MOD(COLUMN(CR9),4)),CR9:DO9)*#REF!</f>
        <v/>
      </c>
      <c r="DS9" s="809" t="n"/>
      <c r="DT9" s="801" t="n"/>
      <c r="DU9" s="23" t="n">
        <v>1388</v>
      </c>
      <c r="DV9" s="24" t="n"/>
      <c r="DW9" s="25" t="n">
        <v>0</v>
      </c>
      <c r="DX9" s="26" t="n"/>
      <c r="DY9" s="23" t="n">
        <v>1388</v>
      </c>
      <c r="DZ9" s="24" t="n"/>
      <c r="EA9" s="25" t="n">
        <v>0</v>
      </c>
      <c r="EB9" s="24" t="n"/>
      <c r="EC9" s="23" t="n">
        <v>1388</v>
      </c>
      <c r="ED9" s="24" t="n"/>
      <c r="EE9" s="25" t="n">
        <v>0</v>
      </c>
      <c r="EF9" s="24" t="n"/>
      <c r="EG9" s="23" t="n">
        <v>1388</v>
      </c>
      <c r="EH9" s="24" t="n"/>
      <c r="EI9" s="25" t="n">
        <v>0</v>
      </c>
      <c r="EJ9" s="24" t="n"/>
      <c r="EK9" s="23" t="n">
        <v>1388</v>
      </c>
      <c r="EL9" s="24" t="n"/>
      <c r="EM9" s="25" t="n">
        <v>0</v>
      </c>
      <c r="EN9" s="24" t="n"/>
      <c r="EO9" s="23" t="n">
        <v>1388</v>
      </c>
      <c r="EP9" s="24" t="n"/>
      <c r="EQ9" s="25" t="n">
        <v>0</v>
      </c>
      <c r="ER9" s="24" t="n"/>
      <c r="ES9" s="23" t="n">
        <v>1388</v>
      </c>
      <c r="ET9" s="24" t="n"/>
      <c r="EU9" s="25" t="n">
        <v>0</v>
      </c>
      <c r="EV9" s="24" t="n"/>
      <c r="EW9" s="23" t="n">
        <v>1388</v>
      </c>
      <c r="EX9" s="24" t="n"/>
      <c r="EY9" s="25" t="n">
        <v>0</v>
      </c>
      <c r="EZ9" s="24" t="n"/>
      <c r="FA9" s="23" t="n">
        <v>1388</v>
      </c>
      <c r="FB9" s="24" t="n"/>
      <c r="FC9" s="25" t="n">
        <v>0</v>
      </c>
      <c r="FD9" s="24" t="n"/>
      <c r="FE9" s="23" t="n">
        <v>1388</v>
      </c>
      <c r="FF9" s="24" t="n"/>
      <c r="FG9" s="25" t="n">
        <v>0</v>
      </c>
      <c r="FH9" s="24" t="n"/>
      <c r="FI9" s="23" t="n">
        <v>1388</v>
      </c>
      <c r="FJ9" s="24" t="n"/>
      <c r="FK9" s="25" t="n">
        <v>0</v>
      </c>
      <c r="FL9" s="24" t="n"/>
      <c r="FM9" s="23" t="n">
        <v>1388</v>
      </c>
      <c r="FN9" s="24" t="n"/>
      <c r="FO9" s="25" t="n">
        <v>0</v>
      </c>
      <c r="FP9" s="24" t="n"/>
      <c r="FQ9" s="340" t="n"/>
      <c r="FR9" s="803">
        <f>SUMPRODUCT(--(MOD(COLUMN(DU9:ER9),4)=MOD(COLUMN(DU9),4)),DU9:ER9)+SUMPRODUCT(--(MOD(COLUMN(ES9:FP9),4)=MOD(COLUMN(ES9),4)),ES9:FP9)</f>
        <v/>
      </c>
      <c r="FS9" s="803">
        <f>SUMPRODUCT(--(MOD(COLUMN(DU9:ER9),4)=MOD(COLUMN(DU9),4)),DU9:ER9)*#REF!+SUMPRODUCT(--(MOD(COLUMN(ES9:FP9),4)=MOD(COLUMN(ES9),4)),ES9:FP9)*#REF!</f>
        <v/>
      </c>
      <c r="FT9" s="360" t="n"/>
    </row>
    <row r="10" outlineLevel="2" customFormat="1" s="14">
      <c r="A10" s="15" t="inlineStr">
        <is>
          <t>АВТОКОМПОНЕНТ НАО</t>
        </is>
      </c>
      <c r="B10" s="16" t="inlineStr">
        <is>
          <t>Предоплата 50%</t>
        </is>
      </c>
      <c r="C10" s="15" t="inlineStr">
        <is>
          <t>ВБК Восток</t>
        </is>
      </c>
      <c r="D10" s="15" t="inlineStr">
        <is>
          <t>Прасолов, Соловьёв</t>
        </is>
      </c>
      <c r="E10" s="17">
        <f>IF(ISBLANK(G10),"",IF($A$6:$A$64=$A10,COUNTIF($A$6:A10,$A10),""))</f>
        <v/>
      </c>
      <c r="F10" s="17" t="n">
        <v>1</v>
      </c>
      <c r="G10" s="33" t="n">
        <v>4235041001</v>
      </c>
      <c r="H10" s="18" t="inlineStr">
        <is>
          <t>Тормозная камера, тип 20</t>
        </is>
      </c>
      <c r="I10" s="625">
        <f>163.08/НДС_20</f>
        <v/>
      </c>
      <c r="J10" s="34" t="n"/>
      <c r="K10" s="34" t="n"/>
      <c r="L10" s="34">
        <f>IF(K10="RUB",J10/ЮАНЬ,IF(K10="EUR",J10*ЕВРО/ЮАНЬ,""))</f>
        <v/>
      </c>
      <c r="M10" s="801" t="n"/>
      <c r="N10" s="802">
        <f>IF(BP10&gt;0,1,IF(BN10&gt;0,2,))</f>
        <v/>
      </c>
      <c r="O10" s="23" t="n"/>
      <c r="P10" s="24" t="n"/>
      <c r="Q10" s="25" t="n"/>
      <c r="R10" s="26" t="n"/>
      <c r="S10" s="23" t="n"/>
      <c r="T10" s="24" t="n"/>
      <c r="U10" s="25" t="n">
        <v>0</v>
      </c>
      <c r="V10" s="24" t="n"/>
      <c r="W10" s="23" t="n"/>
      <c r="X10" s="24" t="n"/>
      <c r="Y10" s="25" t="n"/>
      <c r="Z10" s="24" t="n"/>
      <c r="AA10" s="23" t="n"/>
      <c r="AB10" s="24" t="n"/>
      <c r="AC10" s="25" t="n"/>
      <c r="AD10" s="24" t="n"/>
      <c r="AE10" s="23" t="n"/>
      <c r="AF10" s="24" t="n"/>
      <c r="AG10" s="25" t="n">
        <v>0</v>
      </c>
      <c r="AH10" s="24" t="n"/>
      <c r="AI10" s="23" t="n"/>
      <c r="AJ10" s="24" t="n"/>
      <c r="AK10" s="25" t="n"/>
      <c r="AL10" s="24" t="n"/>
      <c r="AM10" s="23" t="n"/>
      <c r="AN10" s="24" t="n"/>
      <c r="AO10" s="25" t="n"/>
      <c r="AP10" s="24" t="n"/>
      <c r="AQ10" s="23" t="n"/>
      <c r="AR10" s="24">
        <f>600</f>
        <v/>
      </c>
      <c r="AS10" s="25" t="n">
        <v>0</v>
      </c>
      <c r="AT10" s="24" t="n"/>
      <c r="AU10" s="23" t="n"/>
      <c r="AV10" s="24" t="n"/>
      <c r="AW10" s="25" t="n"/>
      <c r="AX10" s="24" t="n"/>
      <c r="AY10" s="23" t="n"/>
      <c r="AZ10" s="24" t="n"/>
      <c r="BA10" s="25" t="n"/>
      <c r="BB10" s="24" t="n"/>
      <c r="BC10" s="23" t="n"/>
      <c r="BD10" s="24" t="n"/>
      <c r="BE10" s="25" t="n"/>
      <c r="BF10" s="24" t="n"/>
      <c r="BG10" s="23" t="n"/>
      <c r="BH10" s="24" t="n"/>
      <c r="BI10" s="25" t="n"/>
      <c r="BJ10" s="24" t="n"/>
      <c r="BK10" s="340" t="n"/>
      <c r="BL10" s="803">
        <f>SUMPRODUCT(--(MOD(COLUMN($O10:$AL10),4)=MOD(COLUMN($O10)+0,4)),$O10:$AL10)
+SUMPRODUCT(--(MOD(COLUMN($AM10:$BJ10),4)=MOD(COLUMN($AM10)+0,4)),$AM10:$BJ10)</f>
        <v/>
      </c>
      <c r="BM10" s="804">
        <f>SUMPRODUCT(--(MOD(COLUMN($O10:$AL10),4)=MOD(COLUMN($O10)+0,4)),$O10:$AL10)*
$I10+SUMPRODUCT(--(MOD(COLUMN($AM10:$BJ10),4)=MOD(COLUMN($AM10)+0,4)),$AM10:$BJ10)*$I10</f>
        <v/>
      </c>
      <c r="BN10" s="805">
        <f>SUMPRODUCT(--(MOD(COLUMN($O10:$AL10),4)=MOD(COLUMN($O10)+1,4)),$O10:$AL10)
+SUMPRODUCT(--(MOD(COLUMN($AM10:$BJ10),4)=MOD(COLUMN($AM10)+1,4)),$AM10:$BJ10)</f>
        <v/>
      </c>
      <c r="BO10" s="806">
        <f>SUMPRODUCT(--(MOD(COLUMN($O10:$AL10),4)=MOD(COLUMN($O10)+1,4)),$O10:$AL10)*
$I10+SUMPRODUCT(--(MOD(COLUMN($AM10:$BJ10),4)=MOD(COLUMN($AM10)+1,4)),$AM10:$BJ10)*$I10</f>
        <v/>
      </c>
      <c r="BP10" s="807">
        <f>SUMPRODUCT(--(MOD(COLUMN($O10:$AL10),4)=MOD(COLUMN($O10)+2,4)),$O10:$AL10)
+SUMPRODUCT(--(MOD(COLUMN($AM10:$BJ10),4)=MOD(COLUMN($AM10)+2,4)),$AM10:$BJ10)</f>
        <v/>
      </c>
      <c r="BQ10" s="808">
        <f>SUMPRODUCT(--(MOD(COLUMN($O10:$AL10),4)=MOD(COLUMN($O10)+2,4)),$O10:$AL10)*
$I10+SUMPRODUCT(--(MOD(COLUMN($AM10:$BJ10),4)=MOD(COLUMN($AM10)+2,4)),$AM10:$BJ10)*$I10</f>
        <v/>
      </c>
      <c r="BR10" s="809" t="n"/>
      <c r="BS10" s="801" t="n"/>
      <c r="BT10" s="23" t="n">
        <v>694</v>
      </c>
      <c r="BU10" s="24" t="n"/>
      <c r="BV10" s="25" t="n">
        <v>0</v>
      </c>
      <c r="BW10" s="26" t="n"/>
      <c r="BX10" s="23" t="n">
        <v>694</v>
      </c>
      <c r="BY10" s="24" t="n"/>
      <c r="BZ10" s="25" t="n">
        <v>0</v>
      </c>
      <c r="CA10" s="24" t="n"/>
      <c r="CB10" s="23" t="n">
        <v>694</v>
      </c>
      <c r="CC10" s="24" t="n"/>
      <c r="CD10" s="25" t="n">
        <v>0</v>
      </c>
      <c r="CE10" s="24" t="n"/>
      <c r="CF10" s="23" t="n">
        <v>694</v>
      </c>
      <c r="CG10" s="24" t="n"/>
      <c r="CH10" s="25" t="n">
        <v>0</v>
      </c>
      <c r="CI10" s="24" t="n"/>
      <c r="CJ10" s="23" t="n">
        <v>694</v>
      </c>
      <c r="CK10" s="24" t="n"/>
      <c r="CL10" s="25" t="n">
        <v>0</v>
      </c>
      <c r="CM10" s="24" t="n"/>
      <c r="CN10" s="23" t="n">
        <v>694</v>
      </c>
      <c r="CO10" s="24" t="n"/>
      <c r="CP10" s="25" t="n">
        <v>0</v>
      </c>
      <c r="CQ10" s="24" t="n"/>
      <c r="CR10" s="23" t="n">
        <v>694</v>
      </c>
      <c r="CS10" s="24" t="n"/>
      <c r="CT10" s="25" t="n">
        <v>0</v>
      </c>
      <c r="CU10" s="24" t="n"/>
      <c r="CV10" s="23" t="n">
        <v>694</v>
      </c>
      <c r="CW10" s="24" t="n"/>
      <c r="CX10" s="25" t="n">
        <v>0</v>
      </c>
      <c r="CY10" s="24" t="n"/>
      <c r="CZ10" s="23" t="n">
        <v>694</v>
      </c>
      <c r="DA10" s="24" t="n"/>
      <c r="DB10" s="25" t="n">
        <v>0</v>
      </c>
      <c r="DC10" s="24" t="n"/>
      <c r="DD10" s="23" t="n">
        <v>694</v>
      </c>
      <c r="DE10" s="24" t="n"/>
      <c r="DF10" s="25" t="n">
        <v>0</v>
      </c>
      <c r="DG10" s="24" t="n"/>
      <c r="DH10" s="23" t="n">
        <v>694</v>
      </c>
      <c r="DI10" s="24" t="n"/>
      <c r="DJ10" s="25" t="n">
        <v>0</v>
      </c>
      <c r="DK10" s="24" t="n"/>
      <c r="DL10" s="23" t="n">
        <v>694</v>
      </c>
      <c r="DM10" s="24" t="n"/>
      <c r="DN10" s="25" t="n">
        <v>0</v>
      </c>
      <c r="DO10" s="24" t="n"/>
      <c r="DP10" s="340" t="n"/>
      <c r="DQ10" s="803">
        <f>SUMPRODUCT(--(MOD(COLUMN(BT10:CQ10),4)=MOD(COLUMN(BT10),4)),BT10:CQ10)+SUMPRODUCT(--(MOD(COLUMN(CR10:DO10),4)=MOD(COLUMN(CR10),4)),CR10:DO10)</f>
        <v/>
      </c>
      <c r="DR10" s="803">
        <f>SUMPRODUCT(--(MOD(COLUMN(BT10:CQ10),4)=MOD(COLUMN(BT10),4)),BT10:CQ10)*#REF!+SUMPRODUCT(--(MOD(COLUMN(CR10:DO10),4)=MOD(COLUMN(CR10),4)),CR10:DO10)*#REF!</f>
        <v/>
      </c>
      <c r="DS10" s="809" t="n"/>
      <c r="DT10" s="801" t="n"/>
      <c r="DU10" s="23" t="n">
        <v>1388</v>
      </c>
      <c r="DV10" s="24" t="n"/>
      <c r="DW10" s="25" t="n">
        <v>0</v>
      </c>
      <c r="DX10" s="26" t="n"/>
      <c r="DY10" s="23" t="n">
        <v>1388</v>
      </c>
      <c r="DZ10" s="24" t="n"/>
      <c r="EA10" s="25" t="n">
        <v>0</v>
      </c>
      <c r="EB10" s="24" t="n"/>
      <c r="EC10" s="23" t="n">
        <v>1388</v>
      </c>
      <c r="ED10" s="24" t="n"/>
      <c r="EE10" s="25" t="n">
        <v>0</v>
      </c>
      <c r="EF10" s="24" t="n"/>
      <c r="EG10" s="23" t="n">
        <v>1388</v>
      </c>
      <c r="EH10" s="24" t="n"/>
      <c r="EI10" s="25" t="n">
        <v>0</v>
      </c>
      <c r="EJ10" s="24" t="n"/>
      <c r="EK10" s="23" t="n">
        <v>1388</v>
      </c>
      <c r="EL10" s="24" t="n"/>
      <c r="EM10" s="25" t="n">
        <v>0</v>
      </c>
      <c r="EN10" s="24" t="n"/>
      <c r="EO10" s="23" t="n">
        <v>1388</v>
      </c>
      <c r="EP10" s="24" t="n"/>
      <c r="EQ10" s="25" t="n">
        <v>0</v>
      </c>
      <c r="ER10" s="24" t="n"/>
      <c r="ES10" s="23" t="n">
        <v>1388</v>
      </c>
      <c r="ET10" s="24" t="n"/>
      <c r="EU10" s="25" t="n">
        <v>0</v>
      </c>
      <c r="EV10" s="24" t="n"/>
      <c r="EW10" s="23" t="n">
        <v>1388</v>
      </c>
      <c r="EX10" s="24" t="n"/>
      <c r="EY10" s="25" t="n">
        <v>0</v>
      </c>
      <c r="EZ10" s="24" t="n"/>
      <c r="FA10" s="23" t="n">
        <v>1388</v>
      </c>
      <c r="FB10" s="24" t="n"/>
      <c r="FC10" s="25" t="n">
        <v>0</v>
      </c>
      <c r="FD10" s="24" t="n"/>
      <c r="FE10" s="23" t="n">
        <v>1388</v>
      </c>
      <c r="FF10" s="24" t="n"/>
      <c r="FG10" s="25" t="n">
        <v>0</v>
      </c>
      <c r="FH10" s="24" t="n"/>
      <c r="FI10" s="23" t="n">
        <v>1388</v>
      </c>
      <c r="FJ10" s="24" t="n"/>
      <c r="FK10" s="25" t="n">
        <v>0</v>
      </c>
      <c r="FL10" s="24" t="n"/>
      <c r="FM10" s="23" t="n">
        <v>1388</v>
      </c>
      <c r="FN10" s="24" t="n"/>
      <c r="FO10" s="25" t="n">
        <v>0</v>
      </c>
      <c r="FP10" s="24" t="n"/>
      <c r="FQ10" s="340" t="n"/>
      <c r="FR10" s="803">
        <f>SUMPRODUCT(--(MOD(COLUMN(DU10:ER10),4)=MOD(COLUMN(DU10),4)),DU10:ER10)+SUMPRODUCT(--(MOD(COLUMN(ES10:FP10),4)=MOD(COLUMN(ES10),4)),ES10:FP10)</f>
        <v/>
      </c>
      <c r="FS10" s="803">
        <f>SUMPRODUCT(--(MOD(COLUMN(DU10:ER10),4)=MOD(COLUMN(DU10),4)),DU10:ER10)*#REF!+SUMPRODUCT(--(MOD(COLUMN(ES10:FP10),4)=MOD(COLUMN(ES10),4)),ES10:FP10)*#REF!</f>
        <v/>
      </c>
      <c r="FT10" s="360" t="n"/>
    </row>
    <row r="11" outlineLevel="2" customFormat="1" s="14">
      <c r="A11" s="15" t="inlineStr">
        <is>
          <t>АВТОКОМПОНЕНТ НАО</t>
        </is>
      </c>
      <c r="B11" s="16" t="inlineStr">
        <is>
          <t>Предоплата 50%</t>
        </is>
      </c>
      <c r="C11" s="15" t="inlineStr">
        <is>
          <t>ВБК Восток</t>
        </is>
      </c>
      <c r="D11" s="15" t="inlineStr">
        <is>
          <t>Прасолов, Соловьёв</t>
        </is>
      </c>
      <c r="E11" s="17">
        <f>IF(ISBLANK(G11),"",IF($A$6:$A$64=$A11,COUNTIF($A$6:A11,$A11),""))</f>
        <v/>
      </c>
      <c r="F11" s="17" t="n">
        <v>1</v>
      </c>
      <c r="G11" s="33" t="n">
        <v>9254800504</v>
      </c>
      <c r="H11" s="18" t="inlineStr">
        <is>
          <t>Энергоаккумулятор, тип 20/24</t>
        </is>
      </c>
      <c r="I11" s="625">
        <f>373.98/НДС_20</f>
        <v/>
      </c>
      <c r="J11" s="798" t="n"/>
      <c r="K11" s="798" t="n"/>
      <c r="L11" s="798">
        <f>IF(K11="RUB",J11/ЮАНЬ,IF(K11="EUR",J11*ЕВРО/ЮАНЬ,""))</f>
        <v/>
      </c>
      <c r="M11" s="801" t="n"/>
      <c r="N11" s="802">
        <f>IF(BP11&gt;0,1,IF(BN11&gt;0,2,))</f>
        <v/>
      </c>
      <c r="O11" s="23" t="n"/>
      <c r="P11" s="24" t="n"/>
      <c r="Q11" s="25" t="n"/>
      <c r="R11" s="26" t="n"/>
      <c r="S11" s="23" t="n"/>
      <c r="T11" s="24" t="n"/>
      <c r="U11" s="25" t="n">
        <v>0</v>
      </c>
      <c r="V11" s="24" t="n"/>
      <c r="W11" s="23" t="n"/>
      <c r="X11" s="24" t="n"/>
      <c r="Y11" s="25" t="n"/>
      <c r="Z11" s="24" t="n"/>
      <c r="AA11" s="23" t="n"/>
      <c r="AB11" s="24" t="n"/>
      <c r="AC11" s="25" t="n"/>
      <c r="AD11" s="24" t="n"/>
      <c r="AE11" s="23" t="n"/>
      <c r="AF11" s="24" t="n"/>
      <c r="AG11" s="25" t="n">
        <v>0</v>
      </c>
      <c r="AH11" s="24" t="n"/>
      <c r="AI11" s="23" t="n"/>
      <c r="AJ11" s="24" t="n"/>
      <c r="AK11" s="25" t="n"/>
      <c r="AL11" s="24" t="n"/>
      <c r="AM11" s="23" t="n"/>
      <c r="AN11" s="24" t="n"/>
      <c r="AO11" s="25" t="n"/>
      <c r="AP11" s="24" t="n"/>
      <c r="AQ11" s="23" t="n"/>
      <c r="AR11" s="24">
        <f>1000</f>
        <v/>
      </c>
      <c r="AS11" s="25" t="n">
        <v>0</v>
      </c>
      <c r="AT11" s="24" t="n"/>
      <c r="AU11" s="23" t="n"/>
      <c r="AV11" s="24" t="n"/>
      <c r="AW11" s="25" t="n"/>
      <c r="AX11" s="24" t="n"/>
      <c r="AY11" s="23" t="n"/>
      <c r="AZ11" s="24" t="n"/>
      <c r="BA11" s="25" t="n"/>
      <c r="BB11" s="24" t="n"/>
      <c r="BC11" s="23" t="n"/>
      <c r="BD11" s="24" t="n"/>
      <c r="BE11" s="25" t="n"/>
      <c r="BF11" s="24" t="n"/>
      <c r="BG11" s="23" t="n"/>
      <c r="BH11" s="24" t="n"/>
      <c r="BI11" s="25" t="n"/>
      <c r="BJ11" s="24" t="n"/>
      <c r="BK11" s="340" t="n"/>
      <c r="BL11" s="803">
        <f>SUMPRODUCT(--(MOD(COLUMN($O11:$AL11),4)=MOD(COLUMN($O11)+0,4)),$O11:$AL11)
+SUMPRODUCT(--(MOD(COLUMN($AM11:$BJ11),4)=MOD(COLUMN($AM11)+0,4)),$AM11:$BJ11)</f>
        <v/>
      </c>
      <c r="BM11" s="804">
        <f>SUMPRODUCT(--(MOD(COLUMN($O11:$AL11),4)=MOD(COLUMN($O11)+0,4)),$O11:$AL11)*
$I11+SUMPRODUCT(--(MOD(COLUMN($AM11:$BJ11),4)=MOD(COLUMN($AM11)+0,4)),$AM11:$BJ11)*$I11</f>
        <v/>
      </c>
      <c r="BN11" s="805">
        <f>SUMPRODUCT(--(MOD(COLUMN($O11:$AL11),4)=MOD(COLUMN($O11)+1,4)),$O11:$AL11)
+SUMPRODUCT(--(MOD(COLUMN($AM11:$BJ11),4)=MOD(COLUMN($AM11)+1,4)),$AM11:$BJ11)</f>
        <v/>
      </c>
      <c r="BO11" s="806">
        <f>SUMPRODUCT(--(MOD(COLUMN($O11:$AL11),4)=MOD(COLUMN($O11)+1,4)),$O11:$AL11)*
$I11+SUMPRODUCT(--(MOD(COLUMN($AM11:$BJ11),4)=MOD(COLUMN($AM11)+1,4)),$AM11:$BJ11)*$I11</f>
        <v/>
      </c>
      <c r="BP11" s="807">
        <f>SUMPRODUCT(--(MOD(COLUMN($O11:$AL11),4)=MOD(COLUMN($O11)+2,4)),$O11:$AL11)
+SUMPRODUCT(--(MOD(COLUMN($AM11:$BJ11),4)=MOD(COLUMN($AM11)+2,4)),$AM11:$BJ11)</f>
        <v/>
      </c>
      <c r="BQ11" s="808">
        <f>SUMPRODUCT(--(MOD(COLUMN($O11:$AL11),4)=MOD(COLUMN($O11)+2,4)),$O11:$AL11)*
$I11+SUMPRODUCT(--(MOD(COLUMN($AM11:$BJ11),4)=MOD(COLUMN($AM11)+2,4)),$AM11:$BJ11)*$I11</f>
        <v/>
      </c>
      <c r="BR11" s="809" t="n"/>
      <c r="BS11" s="801" t="n"/>
      <c r="BT11" s="23" t="n">
        <v>1388</v>
      </c>
      <c r="BU11" s="24" t="n"/>
      <c r="BV11" s="25" t="n">
        <v>0</v>
      </c>
      <c r="BW11" s="26" t="n"/>
      <c r="BX11" s="23" t="n">
        <v>1388</v>
      </c>
      <c r="BY11" s="24" t="n"/>
      <c r="BZ11" s="25" t="n">
        <v>0</v>
      </c>
      <c r="CA11" s="24" t="n"/>
      <c r="CB11" s="23" t="n">
        <v>1388</v>
      </c>
      <c r="CC11" s="24" t="n"/>
      <c r="CD11" s="25" t="n">
        <v>0</v>
      </c>
      <c r="CE11" s="24" t="n"/>
      <c r="CF11" s="23" t="n">
        <v>1388</v>
      </c>
      <c r="CG11" s="24" t="n"/>
      <c r="CH11" s="25" t="n">
        <v>0</v>
      </c>
      <c r="CI11" s="24" t="n"/>
      <c r="CJ11" s="23" t="n">
        <v>1388</v>
      </c>
      <c r="CK11" s="24" t="n"/>
      <c r="CL11" s="25" t="n">
        <v>0</v>
      </c>
      <c r="CM11" s="24" t="n"/>
      <c r="CN11" s="23" t="n">
        <v>1388</v>
      </c>
      <c r="CO11" s="24" t="n"/>
      <c r="CP11" s="25" t="n">
        <v>0</v>
      </c>
      <c r="CQ11" s="24" t="n"/>
      <c r="CR11" s="23" t="n">
        <v>1388</v>
      </c>
      <c r="CS11" s="24" t="n"/>
      <c r="CT11" s="25" t="n">
        <v>0</v>
      </c>
      <c r="CU11" s="24" t="n"/>
      <c r="CV11" s="23" t="n">
        <v>1388</v>
      </c>
      <c r="CW11" s="24" t="n"/>
      <c r="CX11" s="25" t="n">
        <v>0</v>
      </c>
      <c r="CY11" s="24" t="n"/>
      <c r="CZ11" s="23" t="n">
        <v>1388</v>
      </c>
      <c r="DA11" s="24" t="n"/>
      <c r="DB11" s="25" t="n">
        <v>0</v>
      </c>
      <c r="DC11" s="24" t="n"/>
      <c r="DD11" s="23" t="n">
        <v>1388</v>
      </c>
      <c r="DE11" s="24" t="n"/>
      <c r="DF11" s="25" t="n">
        <v>0</v>
      </c>
      <c r="DG11" s="24" t="n"/>
      <c r="DH11" s="23" t="n">
        <v>1388</v>
      </c>
      <c r="DI11" s="24" t="n"/>
      <c r="DJ11" s="25" t="n">
        <v>0</v>
      </c>
      <c r="DK11" s="24" t="n"/>
      <c r="DL11" s="23" t="n">
        <v>1388</v>
      </c>
      <c r="DM11" s="24" t="n"/>
      <c r="DN11" s="25" t="n">
        <v>0</v>
      </c>
      <c r="DO11" s="24" t="n"/>
      <c r="DP11" s="340" t="n"/>
      <c r="DQ11" s="803">
        <f>SUMPRODUCT(--(MOD(COLUMN(BT11:CQ11),4)=MOD(COLUMN(BT11),4)),BT11:CQ11)+SUMPRODUCT(--(MOD(COLUMN(CR11:DO11),4)=MOD(COLUMN(CR11),4)),CR11:DO11)</f>
        <v/>
      </c>
      <c r="DR11" s="803">
        <f>SUMPRODUCT(--(MOD(COLUMN(BT11:CQ11),4)=MOD(COLUMN(BT11),4)),BT11:CQ11)*#REF!+SUMPRODUCT(--(MOD(COLUMN(CR11:DO11),4)=MOD(COLUMN(CR11),4)),CR11:DO11)*#REF!</f>
        <v/>
      </c>
      <c r="DS11" s="809" t="n"/>
      <c r="DT11" s="801" t="n"/>
      <c r="DU11" s="23" t="n">
        <v>2776</v>
      </c>
      <c r="DV11" s="24" t="n"/>
      <c r="DW11" s="25" t="n">
        <v>0</v>
      </c>
      <c r="DX11" s="26" t="n"/>
      <c r="DY11" s="23" t="n">
        <v>2776</v>
      </c>
      <c r="DZ11" s="24" t="n"/>
      <c r="EA11" s="25" t="n">
        <v>0</v>
      </c>
      <c r="EB11" s="24" t="n"/>
      <c r="EC11" s="23" t="n">
        <v>2776</v>
      </c>
      <c r="ED11" s="24" t="n"/>
      <c r="EE11" s="25" t="n">
        <v>0</v>
      </c>
      <c r="EF11" s="24" t="n"/>
      <c r="EG11" s="23" t="n">
        <v>2776</v>
      </c>
      <c r="EH11" s="24" t="n"/>
      <c r="EI11" s="25" t="n">
        <v>0</v>
      </c>
      <c r="EJ11" s="24" t="n"/>
      <c r="EK11" s="23" t="n">
        <v>2776</v>
      </c>
      <c r="EL11" s="24" t="n"/>
      <c r="EM11" s="25" t="n">
        <v>0</v>
      </c>
      <c r="EN11" s="24" t="n"/>
      <c r="EO11" s="23" t="n">
        <v>2776</v>
      </c>
      <c r="EP11" s="24" t="n"/>
      <c r="EQ11" s="25" t="n">
        <v>0</v>
      </c>
      <c r="ER11" s="24" t="n"/>
      <c r="ES11" s="23" t="n">
        <v>2776</v>
      </c>
      <c r="ET11" s="24" t="n"/>
      <c r="EU11" s="25" t="n">
        <v>0</v>
      </c>
      <c r="EV11" s="24" t="n"/>
      <c r="EW11" s="23" t="n">
        <v>2776</v>
      </c>
      <c r="EX11" s="24" t="n"/>
      <c r="EY11" s="25" t="n">
        <v>0</v>
      </c>
      <c r="EZ11" s="24" t="n"/>
      <c r="FA11" s="23" t="n">
        <v>2776</v>
      </c>
      <c r="FB11" s="24" t="n"/>
      <c r="FC11" s="25" t="n">
        <v>0</v>
      </c>
      <c r="FD11" s="24" t="n"/>
      <c r="FE11" s="23" t="n">
        <v>2776</v>
      </c>
      <c r="FF11" s="24" t="n"/>
      <c r="FG11" s="25" t="n">
        <v>0</v>
      </c>
      <c r="FH11" s="24" t="n"/>
      <c r="FI11" s="23" t="n">
        <v>2776</v>
      </c>
      <c r="FJ11" s="24" t="n"/>
      <c r="FK11" s="25" t="n">
        <v>0</v>
      </c>
      <c r="FL11" s="24" t="n"/>
      <c r="FM11" s="23" t="n">
        <v>2776</v>
      </c>
      <c r="FN11" s="24" t="n"/>
      <c r="FO11" s="25" t="n">
        <v>0</v>
      </c>
      <c r="FP11" s="24" t="n"/>
      <c r="FQ11" s="340" t="n"/>
      <c r="FR11" s="803">
        <f>SUMPRODUCT(--(MOD(COLUMN(DU11:ER11),4)=MOD(COLUMN(DU11),4)),DU11:ER11)+SUMPRODUCT(--(MOD(COLUMN(ES11:FP11),4)=MOD(COLUMN(ES11),4)),ES11:FP11)</f>
        <v/>
      </c>
      <c r="FS11" s="803">
        <f>SUMPRODUCT(--(MOD(COLUMN(DU11:ER11),4)=MOD(COLUMN(DU11),4)),DU11:ER11)*#REF!+SUMPRODUCT(--(MOD(COLUMN(ES11:FP11),4)=MOD(COLUMN(ES11),4)),ES11:FP11)*#REF!</f>
        <v/>
      </c>
      <c r="FT11" s="360" t="n"/>
    </row>
    <row r="12" outlineLevel="2" customFormat="1" s="14">
      <c r="A12" s="15" t="inlineStr">
        <is>
          <t>АВТОКОМПОНЕНТ НАО</t>
        </is>
      </c>
      <c r="B12" s="16" t="inlineStr">
        <is>
          <t>Предоплата 50%</t>
        </is>
      </c>
      <c r="C12" s="15" t="inlineStr">
        <is>
          <t>ВБК Восток</t>
        </is>
      </c>
      <c r="D12" s="15" t="inlineStr">
        <is>
          <t>Прасолов, Соловьёв</t>
        </is>
      </c>
      <c r="E12" s="17">
        <f>IF(ISBLANK(G12),"",IF($A$6:$A$64=$A12,COUNTIF($A$6:A12,$A12),""))</f>
        <v/>
      </c>
      <c r="F12" s="17" t="n">
        <v>1</v>
      </c>
      <c r="G12" s="33" t="inlineStr">
        <is>
          <t>S4240002000</t>
        </is>
      </c>
      <c r="H12" s="18" t="inlineStr">
        <is>
          <t>Комплект удлинения</t>
        </is>
      </c>
      <c r="I12" s="625">
        <f>65.4/НДС_20</f>
        <v/>
      </c>
      <c r="J12" s="798" t="n"/>
      <c r="K12" s="798" t="n"/>
      <c r="L12" s="798">
        <f>IF(K12="RUB",J12/ЮАНЬ,IF(K12="EUR",J12*ЕВРО/ЮАНЬ,""))</f>
        <v/>
      </c>
      <c r="M12" s="801" t="n"/>
      <c r="N12" s="802">
        <f>IF(BP12&gt;0,1,IF(BN12&gt;0,2,))</f>
        <v/>
      </c>
      <c r="O12" s="23" t="n"/>
      <c r="P12" s="24" t="n"/>
      <c r="Q12" s="25" t="n"/>
      <c r="R12" s="26" t="n"/>
      <c r="S12" s="23" t="n"/>
      <c r="T12" s="24" t="n"/>
      <c r="U12" s="25" t="n">
        <v>0</v>
      </c>
      <c r="V12" s="24" t="n"/>
      <c r="W12" s="23" t="n"/>
      <c r="X12" s="24" t="n"/>
      <c r="Y12" s="25" t="n"/>
      <c r="Z12" s="24" t="n"/>
      <c r="AA12" s="23" t="n"/>
      <c r="AB12" s="24" t="n"/>
      <c r="AC12" s="25" t="n"/>
      <c r="AD12" s="24" t="n"/>
      <c r="AE12" s="23" t="n"/>
      <c r="AF12" s="24" t="n"/>
      <c r="AG12" s="25" t="n"/>
      <c r="AH12" s="24" t="n"/>
      <c r="AI12" s="23" t="n"/>
      <c r="AJ12" s="24" t="n"/>
      <c r="AK12" s="25" t="n"/>
      <c r="AL12" s="24" t="n"/>
      <c r="AM12" s="23" t="n"/>
      <c r="AN12" s="24" t="n"/>
      <c r="AO12" s="25" t="n"/>
      <c r="AP12" s="24" t="n"/>
      <c r="AQ12" s="23" t="n"/>
      <c r="AR12" s="24" t="n"/>
      <c r="AS12" s="25" t="n"/>
      <c r="AT12" s="24" t="n"/>
      <c r="AU12" s="23" t="n"/>
      <c r="AV12" s="24" t="n"/>
      <c r="AW12" s="25" t="n"/>
      <c r="AX12" s="24" t="n"/>
      <c r="AY12" s="23" t="n"/>
      <c r="AZ12" s="24" t="n"/>
      <c r="BA12" s="25" t="n"/>
      <c r="BB12" s="24" t="n"/>
      <c r="BC12" s="23" t="n"/>
      <c r="BD12" s="24" t="n"/>
      <c r="BE12" s="25" t="n"/>
      <c r="BF12" s="24" t="n"/>
      <c r="BG12" s="23" t="n"/>
      <c r="BH12" s="24" t="n"/>
      <c r="BI12" s="25" t="n"/>
      <c r="BJ12" s="24" t="n"/>
      <c r="BK12" s="340" t="n"/>
      <c r="BL12" s="803">
        <f>SUMPRODUCT(--(MOD(COLUMN($O12:$AL12),4)=MOD(COLUMN($O12)+0,4)),$O12:$AL12)
+SUMPRODUCT(--(MOD(COLUMN($AM12:$BJ12),4)=MOD(COLUMN($AM12)+0,4)),$AM12:$BJ12)</f>
        <v/>
      </c>
      <c r="BM12" s="804">
        <f>SUMPRODUCT(--(MOD(COLUMN($O12:$AL12),4)=MOD(COLUMN($O12)+0,4)),$O12:$AL12)*
$I12+SUMPRODUCT(--(MOD(COLUMN($AM12:$BJ12),4)=MOD(COLUMN($AM12)+0,4)),$AM12:$BJ12)*$I12</f>
        <v/>
      </c>
      <c r="BN12" s="805">
        <f>SUMPRODUCT(--(MOD(COLUMN($O12:$AL12),4)=MOD(COLUMN($O12)+1,4)),$O12:$AL12)
+SUMPRODUCT(--(MOD(COLUMN($AM12:$BJ12),4)=MOD(COLUMN($AM12)+1,4)),$AM12:$BJ12)</f>
        <v/>
      </c>
      <c r="BO12" s="806">
        <f>SUMPRODUCT(--(MOD(COLUMN($O12:$AL12),4)=MOD(COLUMN($O12)+1,4)),$O12:$AL12)*
$I12+SUMPRODUCT(--(MOD(COLUMN($AM12:$BJ12),4)=MOD(COLUMN($AM12)+1,4)),$AM12:$BJ12)*$I12</f>
        <v/>
      </c>
      <c r="BP12" s="807">
        <f>SUMPRODUCT(--(MOD(COLUMN($O12:$AL12),4)=MOD(COLUMN($O12)+2,4)),$O12:$AL12)
+SUMPRODUCT(--(MOD(COLUMN($AM12:$BJ12),4)=MOD(COLUMN($AM12)+2,4)),$AM12:$BJ12)</f>
        <v/>
      </c>
      <c r="BQ12" s="808">
        <f>SUMPRODUCT(--(MOD(COLUMN($O12:$AL12),4)=MOD(COLUMN($O12)+2,4)),$O12:$AL12)*
$I12+SUMPRODUCT(--(MOD(COLUMN($AM12:$BJ12),4)=MOD(COLUMN($AM12)+2,4)),$AM12:$BJ12)*$I12</f>
        <v/>
      </c>
      <c r="BR12" s="809" t="n"/>
      <c r="BS12" s="801" t="n"/>
      <c r="BT12" s="23" t="n"/>
      <c r="BU12" s="24" t="n"/>
      <c r="BV12" s="25" t="n"/>
      <c r="BW12" s="26" t="n"/>
      <c r="BX12" s="23" t="n"/>
      <c r="BY12" s="24" t="n"/>
      <c r="BZ12" s="25" t="n"/>
      <c r="CA12" s="24" t="n"/>
      <c r="CB12" s="23" t="n"/>
      <c r="CC12" s="24" t="n"/>
      <c r="CD12" s="25" t="n"/>
      <c r="CE12" s="24" t="n"/>
      <c r="CF12" s="23" t="n"/>
      <c r="CG12" s="24" t="n"/>
      <c r="CH12" s="25" t="n"/>
      <c r="CI12" s="24" t="n"/>
      <c r="CJ12" s="23" t="n"/>
      <c r="CK12" s="24" t="n"/>
      <c r="CL12" s="25" t="n"/>
      <c r="CM12" s="24" t="n"/>
      <c r="CN12" s="23" t="n"/>
      <c r="CO12" s="24" t="n"/>
      <c r="CP12" s="25" t="n"/>
      <c r="CQ12" s="24" t="n"/>
      <c r="CR12" s="23" t="n"/>
      <c r="CS12" s="24" t="n"/>
      <c r="CT12" s="25" t="n"/>
      <c r="CU12" s="24" t="n"/>
      <c r="CV12" s="23" t="n"/>
      <c r="CW12" s="24" t="n"/>
      <c r="CX12" s="25" t="n"/>
      <c r="CY12" s="24" t="n"/>
      <c r="CZ12" s="23" t="n"/>
      <c r="DA12" s="24" t="n"/>
      <c r="DB12" s="25" t="n"/>
      <c r="DC12" s="24" t="n"/>
      <c r="DD12" s="23" t="n"/>
      <c r="DE12" s="24" t="n"/>
      <c r="DF12" s="25" t="n"/>
      <c r="DG12" s="24" t="n"/>
      <c r="DH12" s="23" t="n"/>
      <c r="DI12" s="24" t="n"/>
      <c r="DJ12" s="25" t="n"/>
      <c r="DK12" s="24" t="n"/>
      <c r="DL12" s="23" t="n"/>
      <c r="DM12" s="24" t="n"/>
      <c r="DN12" s="25" t="n"/>
      <c r="DO12" s="24" t="n"/>
      <c r="DP12" s="340" t="n"/>
      <c r="DQ12" s="803">
        <f>SUMPRODUCT(--(MOD(COLUMN(BT12:CQ12),4)=MOD(COLUMN(BT12),4)),BT12:CQ12)+SUMPRODUCT(--(MOD(COLUMN(CR12:DO12),4)=MOD(COLUMN(CR12),4)),CR12:DO12)</f>
        <v/>
      </c>
      <c r="DR12" s="803">
        <f>SUMPRODUCT(--(MOD(COLUMN(BT12:CQ12),4)=MOD(COLUMN(BT12),4)),BT12:CQ12)*#REF!+SUMPRODUCT(--(MOD(COLUMN(CR12:DO12),4)=MOD(COLUMN(CR12),4)),CR12:DO12)*#REF!</f>
        <v/>
      </c>
      <c r="DS12" s="809" t="n"/>
      <c r="DT12" s="801" t="n"/>
      <c r="DU12" s="23" t="n"/>
      <c r="DV12" s="24" t="n"/>
      <c r="DW12" s="25" t="n"/>
      <c r="DX12" s="26" t="n"/>
      <c r="DY12" s="23" t="n"/>
      <c r="DZ12" s="24" t="n"/>
      <c r="EA12" s="25" t="n"/>
      <c r="EB12" s="24" t="n"/>
      <c r="EC12" s="23" t="n"/>
      <c r="ED12" s="24" t="n"/>
      <c r="EE12" s="25" t="n"/>
      <c r="EF12" s="24" t="n"/>
      <c r="EG12" s="23" t="n"/>
      <c r="EH12" s="24" t="n"/>
      <c r="EI12" s="25" t="n"/>
      <c r="EJ12" s="24" t="n"/>
      <c r="EK12" s="23" t="n"/>
      <c r="EL12" s="24" t="n"/>
      <c r="EM12" s="25" t="n"/>
      <c r="EN12" s="24" t="n"/>
      <c r="EO12" s="23" t="n"/>
      <c r="EP12" s="24" t="n"/>
      <c r="EQ12" s="25" t="n"/>
      <c r="ER12" s="24" t="n"/>
      <c r="ES12" s="23" t="n"/>
      <c r="ET12" s="24" t="n"/>
      <c r="EU12" s="25" t="n"/>
      <c r="EV12" s="24" t="n"/>
      <c r="EW12" s="23" t="n"/>
      <c r="EX12" s="24" t="n"/>
      <c r="EY12" s="25" t="n"/>
      <c r="EZ12" s="24" t="n"/>
      <c r="FA12" s="23" t="n"/>
      <c r="FB12" s="24" t="n"/>
      <c r="FC12" s="25" t="n"/>
      <c r="FD12" s="24" t="n"/>
      <c r="FE12" s="23" t="n"/>
      <c r="FF12" s="24" t="n"/>
      <c r="FG12" s="25" t="n"/>
      <c r="FH12" s="24" t="n"/>
      <c r="FI12" s="23" t="n"/>
      <c r="FJ12" s="24" t="n"/>
      <c r="FK12" s="25" t="n"/>
      <c r="FL12" s="24" t="n"/>
      <c r="FM12" s="23" t="n"/>
      <c r="FN12" s="24" t="n"/>
      <c r="FO12" s="25" t="n"/>
      <c r="FP12" s="24" t="n"/>
      <c r="FQ12" s="340" t="n"/>
      <c r="FR12" s="803">
        <f>SUMPRODUCT(--(MOD(COLUMN(DU12:ER12),4)=MOD(COLUMN(DU12),4)),DU12:ER12)+SUMPRODUCT(--(MOD(COLUMN(ES12:FP12),4)=MOD(COLUMN(ES12),4)),ES12:FP12)</f>
        <v/>
      </c>
      <c r="FS12" s="803">
        <f>SUMPRODUCT(--(MOD(COLUMN(DU12:ER12),4)=MOD(COLUMN(DU12),4)),DU12:ER12)*#REF!+SUMPRODUCT(--(MOD(COLUMN(ES12:FP12),4)=MOD(COLUMN(ES12),4)),ES12:FP12)*#REF!</f>
        <v/>
      </c>
      <c r="FT12" s="360" t="n"/>
    </row>
    <row r="13" outlineLevel="2" customFormat="1" s="14">
      <c r="A13" s="15" t="inlineStr">
        <is>
          <t>АВТОКОМПОНЕНТ НАО</t>
        </is>
      </c>
      <c r="B13" s="16" t="n"/>
      <c r="C13" s="15" t="n"/>
      <c r="D13" s="15" t="n"/>
      <c r="E13" s="35">
        <f>IF(ISBLANK(G13),"",IF($A$6:$A$64=$A13,COUNTIF($A$6:A13,$A13),""))</f>
        <v/>
      </c>
      <c r="F13" s="35" t="n"/>
      <c r="G13" s="36" t="n"/>
      <c r="H13" s="36" t="inlineStr">
        <is>
          <t>Итого</t>
        </is>
      </c>
      <c r="I13" s="626" t="n"/>
      <c r="J13" s="810" t="n"/>
      <c r="K13" s="810" t="n"/>
      <c r="L13" s="810">
        <f>IF(K13="RUB",J13/ЮАНЬ,IF(K13="EUR",J13*ЕВРО/ЮАНЬ,""))</f>
        <v/>
      </c>
      <c r="M13" s="39" t="n"/>
      <c r="N13" s="802">
        <f>IF(BP13&gt;0,1,IF(BN13&gt;0,2,))</f>
        <v/>
      </c>
      <c r="O13" s="40" t="n"/>
      <c r="P13" s="41" t="n"/>
      <c r="Q13" s="42" t="n"/>
      <c r="R13" s="41" t="n"/>
      <c r="S13" s="40" t="n"/>
      <c r="T13" s="41" t="n"/>
      <c r="U13" s="42" t="n"/>
      <c r="V13" s="41" t="n"/>
      <c r="W13" s="40" t="n"/>
      <c r="X13" s="41" t="n"/>
      <c r="Y13" s="42" t="n"/>
      <c r="Z13" s="41" t="n"/>
      <c r="AA13" s="40" t="n"/>
      <c r="AB13" s="41" t="n"/>
      <c r="AC13" s="42" t="n"/>
      <c r="AD13" s="41" t="n"/>
      <c r="AE13" s="40" t="n"/>
      <c r="AF13" s="41" t="n"/>
      <c r="AG13" s="42" t="n"/>
      <c r="AH13" s="41" t="n"/>
      <c r="AI13" s="40" t="n"/>
      <c r="AJ13" s="41" t="n"/>
      <c r="AK13" s="42" t="n"/>
      <c r="AL13" s="41" t="n"/>
      <c r="AM13" s="40" t="n"/>
      <c r="AN13" s="41" t="n"/>
      <c r="AO13" s="42" t="n"/>
      <c r="AP13" s="41" t="n"/>
      <c r="AQ13" s="40" t="n"/>
      <c r="AR13" s="41" t="n"/>
      <c r="AS13" s="42" t="n"/>
      <c r="AT13" s="41" t="n"/>
      <c r="AU13" s="40" t="n"/>
      <c r="AV13" s="41" t="n"/>
      <c r="AW13" s="42" t="n"/>
      <c r="AX13" s="41" t="n"/>
      <c r="AY13" s="40" t="n"/>
      <c r="AZ13" s="41" t="n"/>
      <c r="BA13" s="42" t="n"/>
      <c r="BB13" s="41" t="n"/>
      <c r="BC13" s="40" t="n"/>
      <c r="BD13" s="41" t="n"/>
      <c r="BE13" s="42" t="n"/>
      <c r="BF13" s="41" t="n"/>
      <c r="BG13" s="40" t="n"/>
      <c r="BH13" s="41" t="n"/>
      <c r="BI13" s="42" t="n"/>
      <c r="BJ13" s="43" t="n"/>
      <c r="BK13" s="341" t="n"/>
      <c r="BL13" s="811">
        <f>SUMPRODUCT(--(MOD(COLUMN($O13:$AL13),4)=MOD(COLUMN($O13)+0,4)),$O13:$AL13)
+SUMPRODUCT(--(MOD(COLUMN($AM13:$BJ13),4)=MOD(COLUMN($AM13)+0,4)),$AM13:$BJ13)</f>
        <v/>
      </c>
      <c r="BM13" s="812">
        <f>SUMPRODUCT(--(MOD(COLUMN($O13:$AL13),4)=MOD(COLUMN($O13)+0,4)),$O13:$AL13)*
$I13+SUMPRODUCT(--(MOD(COLUMN($AM13:$BJ13),4)=MOD(COLUMN($AM13)+0,4)),$AM13:$BJ13)*$I13</f>
        <v/>
      </c>
      <c r="BN13" s="805">
        <f>SUMPRODUCT(--(MOD(COLUMN($O13:$AL13),4)=MOD(COLUMN($O13)+1,4)),$O13:$AL13)
+SUMPRODUCT(--(MOD(COLUMN($AM13:$BJ13),4)=MOD(COLUMN($AM13)+1,4)),$AM13:$BJ13)</f>
        <v/>
      </c>
      <c r="BO13" s="806">
        <f>SUMPRODUCT(--(MOD(COLUMN($O13:$AL13),4)=MOD(COLUMN($O13)+1,4)),$O13:$AL13)*
$I13+SUMPRODUCT(--(MOD(COLUMN($AM13:$BJ13),4)=MOD(COLUMN($AM13)+1,4)),$AM13:$BJ13)*$I13</f>
        <v/>
      </c>
      <c r="BP13" s="807">
        <f>SUMPRODUCT(--(MOD(COLUMN($O13:$AL13),4)=MOD(COLUMN($O13)+2,4)),$O13:$AL13)
+SUMPRODUCT(--(MOD(COLUMN($AM13:$BJ13),4)=MOD(COLUMN($AM13)+2,4)),$AM13:$BJ13)</f>
        <v/>
      </c>
      <c r="BQ13" s="808">
        <f>SUMPRODUCT(--(MOD(COLUMN($O13:$AL13),4)=MOD(COLUMN($O13)+2,4)),$O13:$AL13)*
$I13+SUMPRODUCT(--(MOD(COLUMN($AM13:$BJ13),4)=MOD(COLUMN($AM13)+2,4)),$AM13:$BJ13)*$I13</f>
        <v/>
      </c>
      <c r="BR13" s="813" t="n"/>
      <c r="BS13" s="39" t="n"/>
      <c r="BT13" s="40" t="n"/>
      <c r="BU13" s="41" t="n"/>
      <c r="BV13" s="42" t="n"/>
      <c r="BW13" s="41" t="n"/>
      <c r="BX13" s="40" t="n"/>
      <c r="BY13" s="41" t="n"/>
      <c r="BZ13" s="42" t="n"/>
      <c r="CA13" s="41" t="n"/>
      <c r="CB13" s="40" t="n"/>
      <c r="CC13" s="41" t="n"/>
      <c r="CD13" s="42" t="n"/>
      <c r="CE13" s="41" t="n"/>
      <c r="CF13" s="40" t="n"/>
      <c r="CG13" s="41" t="n"/>
      <c r="CH13" s="42" t="n"/>
      <c r="CI13" s="41" t="n"/>
      <c r="CJ13" s="40" t="n"/>
      <c r="CK13" s="41" t="n"/>
      <c r="CL13" s="42" t="n"/>
      <c r="CM13" s="41" t="n"/>
      <c r="CN13" s="40" t="n"/>
      <c r="CO13" s="41" t="n"/>
      <c r="CP13" s="42" t="n"/>
      <c r="CQ13" s="41" t="n"/>
      <c r="CR13" s="40" t="n"/>
      <c r="CS13" s="41" t="n"/>
      <c r="CT13" s="42" t="n"/>
      <c r="CU13" s="41" t="n"/>
      <c r="CV13" s="40" t="n"/>
      <c r="CW13" s="41" t="n"/>
      <c r="CX13" s="42" t="n"/>
      <c r="CY13" s="41" t="n"/>
      <c r="CZ13" s="40" t="n"/>
      <c r="DA13" s="41" t="n"/>
      <c r="DB13" s="42" t="n"/>
      <c r="DC13" s="41" t="n"/>
      <c r="DD13" s="40" t="n"/>
      <c r="DE13" s="41" t="n"/>
      <c r="DF13" s="42" t="n"/>
      <c r="DG13" s="41" t="n"/>
      <c r="DH13" s="40" t="n"/>
      <c r="DI13" s="41" t="n"/>
      <c r="DJ13" s="42" t="n"/>
      <c r="DK13" s="41" t="n"/>
      <c r="DL13" s="40" t="n"/>
      <c r="DM13" s="41" t="n"/>
      <c r="DN13" s="42" t="n"/>
      <c r="DO13" s="43" t="n"/>
      <c r="DP13" s="341" t="n"/>
      <c r="DQ13" s="811">
        <f>SUMPRODUCT(--(MOD(COLUMN(BT13:CQ13),4)=MOD(COLUMN(BT13),4)),BT13:CQ13)+SUMPRODUCT(--(MOD(COLUMN(CR13:DO13),4)=MOD(COLUMN(CR13),4)),CR13:DO13)</f>
        <v/>
      </c>
      <c r="DR13" s="811">
        <f>SUMPRODUCT(--(MOD(COLUMN(BT13:CQ13),4)=MOD(COLUMN(BT13),4)),BT13:CQ13)*#REF!+SUMPRODUCT(--(MOD(COLUMN(CR13:DO13),4)=MOD(COLUMN(CR13),4)),CR13:DO13)*#REF!</f>
        <v/>
      </c>
      <c r="DS13" s="813" t="n"/>
      <c r="DT13" s="39" t="n"/>
      <c r="DU13" s="40" t="n"/>
      <c r="DV13" s="41" t="n"/>
      <c r="DW13" s="42" t="n"/>
      <c r="DX13" s="41" t="n"/>
      <c r="DY13" s="40" t="n"/>
      <c r="DZ13" s="41" t="n"/>
      <c r="EA13" s="42" t="n"/>
      <c r="EB13" s="41" t="n"/>
      <c r="EC13" s="40" t="n"/>
      <c r="ED13" s="41" t="n"/>
      <c r="EE13" s="42" t="n"/>
      <c r="EF13" s="41" t="n"/>
      <c r="EG13" s="40" t="n"/>
      <c r="EH13" s="41" t="n"/>
      <c r="EI13" s="42" t="n"/>
      <c r="EJ13" s="41" t="n"/>
      <c r="EK13" s="40" t="n"/>
      <c r="EL13" s="41" t="n"/>
      <c r="EM13" s="42" t="n"/>
      <c r="EN13" s="41" t="n"/>
      <c r="EO13" s="40" t="n"/>
      <c r="EP13" s="41" t="n"/>
      <c r="EQ13" s="42" t="n"/>
      <c r="ER13" s="41" t="n"/>
      <c r="ES13" s="40" t="n"/>
      <c r="ET13" s="41" t="n"/>
      <c r="EU13" s="42" t="n"/>
      <c r="EV13" s="41" t="n"/>
      <c r="EW13" s="40" t="n"/>
      <c r="EX13" s="41" t="n"/>
      <c r="EY13" s="42" t="n"/>
      <c r="EZ13" s="41" t="n"/>
      <c r="FA13" s="40" t="n"/>
      <c r="FB13" s="41" t="n"/>
      <c r="FC13" s="42" t="n"/>
      <c r="FD13" s="41" t="n"/>
      <c r="FE13" s="40" t="n"/>
      <c r="FF13" s="41" t="n"/>
      <c r="FG13" s="42" t="n"/>
      <c r="FH13" s="41" t="n"/>
      <c r="FI13" s="40" t="n"/>
      <c r="FJ13" s="41" t="n"/>
      <c r="FK13" s="42" t="n"/>
      <c r="FL13" s="41" t="n"/>
      <c r="FM13" s="40" t="n"/>
      <c r="FN13" s="41" t="n"/>
      <c r="FO13" s="42" t="n"/>
      <c r="FP13" s="43" t="n"/>
      <c r="FQ13" s="341" t="n"/>
      <c r="FR13" s="811">
        <f>SUMPRODUCT(--(MOD(COLUMN(DU13:ER13),4)=MOD(COLUMN(DU13),4)),DU13:ER13)+SUMPRODUCT(--(MOD(COLUMN(ES13:FP13),4)=MOD(COLUMN(ES13),4)),ES13:FP13)</f>
        <v/>
      </c>
      <c r="FS13" s="811">
        <f>SUMPRODUCT(--(MOD(COLUMN(DU13:ER13),4)=MOD(COLUMN(DU13),4)),DU13:ER13)*#REF!+SUMPRODUCT(--(MOD(COLUMN(ES13:FP13),4)=MOD(COLUMN(ES13),4)),ES13:FP13)*#REF!</f>
        <v/>
      </c>
      <c r="FT13" s="360" t="n"/>
    </row>
    <row r="14" outlineLevel="1" customFormat="1" s="44">
      <c r="A14" s="45" t="inlineStr">
        <is>
          <t>АВТОКОМПОНЕНТ НАО</t>
        </is>
      </c>
      <c r="B14" s="46" t="n"/>
      <c r="C14" s="46" t="n"/>
      <c r="D14" s="46" t="n"/>
      <c r="E14" s="47">
        <f>IF(ISBLANK(G14),"",IF($A$6:$A$64=$A14,COUNTIF($A$6:A14,$A14),""))</f>
        <v/>
      </c>
      <c r="F14" s="47" t="n"/>
      <c r="G14" s="48" t="n"/>
      <c r="H14" s="49" t="n"/>
      <c r="I14" s="620" t="n"/>
      <c r="J14" s="50" t="n"/>
      <c r="K14" s="50" t="n"/>
      <c r="L14" s="50">
        <f>IF(K14="RUB",J14/ЮАНЬ,IF(K14="EUR",J14*ЕВРО/ЮАНЬ,""))</f>
        <v/>
      </c>
      <c r="M14" s="51" t="n"/>
      <c r="N14" s="802">
        <f>IF(BP14&gt;0,1,IF(BN14&gt;0,2,))</f>
        <v/>
      </c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1" t="n"/>
      <c r="AF14" s="51" t="n"/>
      <c r="AG14" s="51" t="n"/>
      <c r="AH14" s="51" t="n"/>
      <c r="AI14" s="51" t="n"/>
      <c r="AJ14" s="51" t="n"/>
      <c r="AK14" s="51" t="n"/>
      <c r="AL14" s="51" t="n"/>
      <c r="AM14" s="51" t="n"/>
      <c r="AN14" s="51" t="n"/>
      <c r="AO14" s="51" t="n"/>
      <c r="AP14" s="51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  <c r="BG14" s="51" t="n"/>
      <c r="BH14" s="51" t="n"/>
      <c r="BI14" s="51" t="n"/>
      <c r="BJ14" s="51" t="n"/>
      <c r="BK14" s="335" t="n"/>
      <c r="BL14" s="814">
        <f>SUMPRODUCT(--(MOD(COLUMN($O14:$AL14),4)=MOD(COLUMN($O14)+0,4)),$O14:$AL14)
+SUMPRODUCT(--(MOD(COLUMN($AM14:$BJ14),4)=MOD(COLUMN($AM14)+0,4)),$AM14:$BJ14)</f>
        <v/>
      </c>
      <c r="BM14" s="815">
        <f>SUMPRODUCT(--(MOD(COLUMN($O14:$AL14),4)=MOD(COLUMN($O14)+0,4)),$O14:$AL14)*
$I14+SUMPRODUCT(--(MOD(COLUMN($AM14:$BJ14),4)=MOD(COLUMN($AM14)+0,4)),$AM14:$BJ14)*$I14</f>
        <v/>
      </c>
      <c r="BN14" s="814">
        <f>SUMPRODUCT(--(MOD(COLUMN($O14:$AL14),4)=MOD(COLUMN($O14)+1,4)),$O14:$AL14)
+SUMPRODUCT(--(MOD(COLUMN($AM14:$BJ14),4)=MOD(COLUMN($AM14)+1,4)),$AM14:$BJ14)</f>
        <v/>
      </c>
      <c r="BO14" s="814">
        <f>SUMPRODUCT(--(MOD(COLUMN($O14:$AL14),4)=MOD(COLUMN($O14)+1,4)),$O14:$AL14)*
$I14+SUMPRODUCT(--(MOD(COLUMN($AM14:$BJ14),4)=MOD(COLUMN($AM14)+1,4)),$AM14:$BJ14)*$I14</f>
        <v/>
      </c>
      <c r="BP14" s="814">
        <f>SUMPRODUCT(--(MOD(COLUMN($O14:$AL14),4)=MOD(COLUMN($O14)+2,4)),$O14:$AL14)
+SUMPRODUCT(--(MOD(COLUMN($AM14:$BJ14),4)=MOD(COLUMN($AM14)+2,4)),$AM14:$BJ14)</f>
        <v/>
      </c>
      <c r="BQ14" s="814">
        <f>SUMPRODUCT(--(MOD(COLUMN($O14:$AL14),4)=MOD(COLUMN($O14)+2,4)),$O14:$AL14)*
$I14+SUMPRODUCT(--(MOD(COLUMN($AM14:$BJ14),4)=MOD(COLUMN($AM14)+2,4)),$AM14:$BJ14)*$I14</f>
        <v/>
      </c>
      <c r="BR14" s="816" t="n"/>
      <c r="BS14" s="51" t="n"/>
      <c r="BT14" s="51" t="n"/>
      <c r="BU14" s="51" t="n"/>
      <c r="BV14" s="51" t="n"/>
      <c r="BW14" s="51" t="n"/>
      <c r="BX14" s="51" t="n"/>
      <c r="BY14" s="51" t="n"/>
      <c r="BZ14" s="51" t="n"/>
      <c r="CA14" s="51" t="n"/>
      <c r="CB14" s="51" t="n"/>
      <c r="CC14" s="51" t="n"/>
      <c r="CD14" s="51" t="n"/>
      <c r="CE14" s="51" t="n"/>
      <c r="CF14" s="51" t="n"/>
      <c r="CG14" s="51" t="n"/>
      <c r="CH14" s="51" t="n"/>
      <c r="CI14" s="51" t="n"/>
      <c r="CJ14" s="51" t="n"/>
      <c r="CK14" s="51" t="n"/>
      <c r="CL14" s="51" t="n"/>
      <c r="CM14" s="51" t="n"/>
      <c r="CN14" s="51" t="n"/>
      <c r="CO14" s="51" t="n"/>
      <c r="CP14" s="51" t="n"/>
      <c r="CQ14" s="51" t="n"/>
      <c r="CR14" s="51" t="n"/>
      <c r="CS14" s="51" t="n"/>
      <c r="CT14" s="51" t="n"/>
      <c r="CU14" s="51" t="n"/>
      <c r="CV14" s="51" t="n"/>
      <c r="CW14" s="51" t="n"/>
      <c r="CX14" s="51" t="n"/>
      <c r="CY14" s="51" t="n"/>
      <c r="CZ14" s="51" t="n"/>
      <c r="DA14" s="51" t="n"/>
      <c r="DB14" s="51" t="n"/>
      <c r="DC14" s="51" t="n"/>
      <c r="DD14" s="51" t="n"/>
      <c r="DE14" s="51" t="n"/>
      <c r="DF14" s="51" t="n"/>
      <c r="DG14" s="51" t="n"/>
      <c r="DH14" s="51" t="n"/>
      <c r="DI14" s="51" t="n"/>
      <c r="DJ14" s="51" t="n"/>
      <c r="DK14" s="51" t="n"/>
      <c r="DL14" s="51" t="n"/>
      <c r="DM14" s="51" t="n"/>
      <c r="DN14" s="51" t="n"/>
      <c r="DO14" s="51" t="n"/>
      <c r="DP14" s="335" t="n"/>
      <c r="DQ14" s="814">
        <f>SUMPRODUCT(--(MOD(COLUMN(BT14:CQ14),4)=MOD(COLUMN(BT14),4)),BT14:CQ14)+SUMPRODUCT(--(MOD(COLUMN(CR14:DO14),4)=MOD(COLUMN(CR14),4)),CR14:DO14)</f>
        <v/>
      </c>
      <c r="DR14" s="814">
        <f>SUMPRODUCT(--(MOD(COLUMN(BT14:CQ14),4)=MOD(COLUMN(BT14),4)),BT14:CQ14)*#REF!+SUMPRODUCT(--(MOD(COLUMN(CR14:DO14),4)=MOD(COLUMN(CR14),4)),CR14:DO14)*#REF!</f>
        <v/>
      </c>
      <c r="DS14" s="816" t="n"/>
      <c r="DT14" s="51" t="n"/>
      <c r="DU14" s="51" t="n"/>
      <c r="DV14" s="51" t="n"/>
      <c r="DW14" s="51" t="n"/>
      <c r="DX14" s="51" t="n"/>
      <c r="DY14" s="51" t="n"/>
      <c r="DZ14" s="51" t="n"/>
      <c r="EA14" s="51" t="n"/>
      <c r="EB14" s="51" t="n"/>
      <c r="EC14" s="51" t="n"/>
      <c r="ED14" s="51" t="n"/>
      <c r="EE14" s="51" t="n"/>
      <c r="EF14" s="51" t="n"/>
      <c r="EG14" s="51" t="n"/>
      <c r="EH14" s="51" t="n"/>
      <c r="EI14" s="51" t="n"/>
      <c r="EJ14" s="51" t="n"/>
      <c r="EK14" s="51" t="n"/>
      <c r="EL14" s="51" t="n"/>
      <c r="EM14" s="51" t="n"/>
      <c r="EN14" s="51" t="n"/>
      <c r="EO14" s="51" t="n"/>
      <c r="EP14" s="51" t="n"/>
      <c r="EQ14" s="51" t="n"/>
      <c r="ER14" s="51" t="n"/>
      <c r="ES14" s="51" t="n"/>
      <c r="ET14" s="51" t="n"/>
      <c r="EU14" s="51" t="n"/>
      <c r="EV14" s="51" t="n"/>
      <c r="EW14" s="51" t="n"/>
      <c r="EX14" s="51" t="n"/>
      <c r="EY14" s="51" t="n"/>
      <c r="EZ14" s="51" t="n"/>
      <c r="FA14" s="51" t="n"/>
      <c r="FB14" s="51" t="n"/>
      <c r="FC14" s="51" t="n"/>
      <c r="FD14" s="51" t="n"/>
      <c r="FE14" s="51" t="n"/>
      <c r="FF14" s="51" t="n"/>
      <c r="FG14" s="51" t="n"/>
      <c r="FH14" s="51" t="n"/>
      <c r="FI14" s="51" t="n"/>
      <c r="FJ14" s="51" t="n"/>
      <c r="FK14" s="51" t="n"/>
      <c r="FL14" s="51" t="n"/>
      <c r="FM14" s="51" t="n"/>
      <c r="FN14" s="51" t="n"/>
      <c r="FO14" s="51" t="n"/>
      <c r="FP14" s="51" t="n"/>
      <c r="FQ14" s="335" t="n"/>
      <c r="FR14" s="814">
        <f>SUMPRODUCT(--(MOD(COLUMN(DU14:ER14),4)=MOD(COLUMN(DU14),4)),DU14:ER14)+SUMPRODUCT(--(MOD(COLUMN(ES14:FP14),4)=MOD(COLUMN(ES14),4)),ES14:FP14)</f>
        <v/>
      </c>
      <c r="FS14" s="814">
        <f>SUMPRODUCT(--(MOD(COLUMN(DU14:ER14),4)=MOD(COLUMN(DU14),4)),DU14:ER14)*#REF!+SUMPRODUCT(--(MOD(COLUMN(ES14:FP14),4)=MOD(COLUMN(ES14),4)),ES14:FP14)*#REF!</f>
        <v/>
      </c>
      <c r="FT14" s="370" t="n"/>
    </row>
    <row r="15" outlineLevel="2" customFormat="1" s="14">
      <c r="A15" s="15" t="inlineStr">
        <is>
          <t>BPW (нет в системе)</t>
        </is>
      </c>
      <c r="B15" s="16" t="inlineStr">
        <is>
          <t>Договор не подписан</t>
        </is>
      </c>
      <c r="C15" s="15" t="inlineStr">
        <is>
          <t>ВБК Восток</t>
        </is>
      </c>
      <c r="D15" s="15" t="inlineStr">
        <is>
          <t>Прасолов, Соловьёв</t>
        </is>
      </c>
      <c r="E15" s="17">
        <f>IF(ISBLANK(G15),"",IF($A$6:$A$64=$A15,COUNTIF($A$6:A15,$A15),""))</f>
        <v/>
      </c>
      <c r="F15" s="17" t="n">
        <v>1</v>
      </c>
      <c r="G15" s="33" t="n">
        <v>6402250560</v>
      </c>
      <c r="H15" s="410" t="inlineStr">
        <is>
          <t>6402250560 AA Тормоз дисковый ( левый )</t>
        </is>
      </c>
      <c r="I15" s="625">
        <f>2100/НДС_20</f>
        <v/>
      </c>
      <c r="J15" s="798" t="n"/>
      <c r="K15" s="798" t="n"/>
      <c r="L15" s="798">
        <f>IF(K15="RUB",J15/ЮАНЬ,IF(K15="EUR",J15*ЕВРО/ЮАНЬ,""))</f>
        <v/>
      </c>
      <c r="M15" s="801" t="n"/>
      <c r="N15" s="802">
        <f>IF(BP15&gt;0,1,IF(BN15&gt;0,2,))</f>
        <v/>
      </c>
      <c r="O15" s="23" t="n"/>
      <c r="P15" s="24" t="n"/>
      <c r="Q15" s="25" t="n"/>
      <c r="R15" s="24" t="n"/>
      <c r="S15" s="23" t="n"/>
      <c r="T15" s="24" t="n"/>
      <c r="U15" s="25" t="n">
        <v>0</v>
      </c>
      <c r="V15" s="24" t="n"/>
      <c r="W15" s="23" t="n"/>
      <c r="X15" s="24" t="n"/>
      <c r="Y15" s="25" t="n"/>
      <c r="Z15" s="24" t="n"/>
      <c r="AA15" s="23" t="n"/>
      <c r="AB15" s="24" t="n"/>
      <c r="AC15" s="25" t="n"/>
      <c r="AD15" s="24" t="n"/>
      <c r="AE15" s="23" t="n"/>
      <c r="AF15" s="24" t="n"/>
      <c r="AG15" s="25" t="n"/>
      <c r="AH15" s="24" t="n"/>
      <c r="AI15" s="23" t="n"/>
      <c r="AJ15" s="24" t="n"/>
      <c r="AK15" s="25" t="n"/>
      <c r="AL15" s="24" t="n"/>
      <c r="AM15" s="23" t="n"/>
      <c r="AN15" s="24" t="n"/>
      <c r="AO15" s="25" t="n"/>
      <c r="AP15" s="24" t="n"/>
      <c r="AQ15" s="23" t="n"/>
      <c r="AR15" s="24" t="n"/>
      <c r="AS15" s="25" t="n"/>
      <c r="AT15" s="24" t="n"/>
      <c r="AU15" s="23" t="n"/>
      <c r="AV15" s="24" t="n"/>
      <c r="AW15" s="25" t="n"/>
      <c r="AX15" s="24" t="n"/>
      <c r="AY15" s="23" t="n"/>
      <c r="AZ15" s="24" t="n"/>
      <c r="BA15" s="25" t="n"/>
      <c r="BB15" s="24" t="n"/>
      <c r="BC15" s="23" t="n"/>
      <c r="BD15" s="24" t="n"/>
      <c r="BE15" s="25" t="n"/>
      <c r="BF15" s="24" t="n"/>
      <c r="BG15" s="23" t="n"/>
      <c r="BH15" s="24" t="n"/>
      <c r="BI15" s="25" t="n"/>
      <c r="BJ15" s="24" t="n"/>
      <c r="BK15" s="340" t="n"/>
      <c r="BL15" s="803">
        <f>SUMPRODUCT(--(MOD(COLUMN($O15:$AL15),4)=MOD(COLUMN($O15)+0,4)),$O15:$AL15)
+SUMPRODUCT(--(MOD(COLUMN($AM15:$BJ15),4)=MOD(COLUMN($AM15)+0,4)),$AM15:$BJ15)</f>
        <v/>
      </c>
      <c r="BM15" s="804">
        <f>SUMPRODUCT(--(MOD(COLUMN($O15:$AL15),4)=MOD(COLUMN($O15)+0,4)),$O15:$AL15)*
$I15+SUMPRODUCT(--(MOD(COLUMN($AM15:$BJ15),4)=MOD(COLUMN($AM15)+0,4)),$AM15:$BJ15)*$I15</f>
        <v/>
      </c>
      <c r="BN15" s="805">
        <f>SUMPRODUCT(--(MOD(COLUMN($O15:$AL15),4)=MOD(COLUMN($O15)+1,4)),$O15:$AL15)
+SUMPRODUCT(--(MOD(COLUMN($AM15:$BJ15),4)=MOD(COLUMN($AM15)+1,4)),$AM15:$BJ15)</f>
        <v/>
      </c>
      <c r="BO15" s="806">
        <f>SUMPRODUCT(--(MOD(COLUMN($O15:$AL15),4)=MOD(COLUMN($O15)+1,4)),$O15:$AL15)*
$I15+SUMPRODUCT(--(MOD(COLUMN($AM15:$BJ15),4)=MOD(COLUMN($AM15)+1,4)),$AM15:$BJ15)*$I15</f>
        <v/>
      </c>
      <c r="BP15" s="807">
        <f>SUMPRODUCT(--(MOD(COLUMN($O15:$AL15),4)=MOD(COLUMN($O15)+2,4)),$O15:$AL15)
+SUMPRODUCT(--(MOD(COLUMN($AM15:$BJ15),4)=MOD(COLUMN($AM15)+2,4)),$AM15:$BJ15)</f>
        <v/>
      </c>
      <c r="BQ15" s="808">
        <f>SUMPRODUCT(--(MOD(COLUMN($O15:$AL15),4)=MOD(COLUMN($O15)+2,4)),$O15:$AL15)*
$I15+SUMPRODUCT(--(MOD(COLUMN($AM15:$BJ15),4)=MOD(COLUMN($AM15)+2,4)),$AM15:$BJ15)*$I15</f>
        <v/>
      </c>
      <c r="BR15" s="809" t="n"/>
      <c r="BS15" s="801" t="n"/>
      <c r="BT15" s="23" t="n">
        <v>207</v>
      </c>
      <c r="BU15" s="24" t="n"/>
      <c r="BV15" s="25" t="n">
        <v>0</v>
      </c>
      <c r="BW15" s="24" t="n"/>
      <c r="BX15" s="23" t="n">
        <v>207</v>
      </c>
      <c r="BY15" s="24" t="n"/>
      <c r="BZ15" s="25" t="n">
        <v>0</v>
      </c>
      <c r="CA15" s="24" t="n"/>
      <c r="CB15" s="23" t="n">
        <v>207</v>
      </c>
      <c r="CC15" s="24" t="n"/>
      <c r="CD15" s="25" t="n">
        <v>0</v>
      </c>
      <c r="CE15" s="24" t="n"/>
      <c r="CF15" s="23" t="n">
        <v>207</v>
      </c>
      <c r="CG15" s="24" t="n"/>
      <c r="CH15" s="25" t="n">
        <v>0</v>
      </c>
      <c r="CI15" s="24" t="n"/>
      <c r="CJ15" s="23" t="n">
        <v>207</v>
      </c>
      <c r="CK15" s="24" t="n"/>
      <c r="CL15" s="25" t="n">
        <v>0</v>
      </c>
      <c r="CM15" s="24" t="n"/>
      <c r="CN15" s="23" t="n">
        <v>207</v>
      </c>
      <c r="CO15" s="24" t="n"/>
      <c r="CP15" s="25" t="n">
        <v>0</v>
      </c>
      <c r="CQ15" s="24" t="n"/>
      <c r="CR15" s="23" t="n">
        <v>207</v>
      </c>
      <c r="CS15" s="24" t="n"/>
      <c r="CT15" s="25" t="n">
        <v>0</v>
      </c>
      <c r="CU15" s="24" t="n"/>
      <c r="CV15" s="23" t="n">
        <v>207</v>
      </c>
      <c r="CW15" s="24" t="n"/>
      <c r="CX15" s="25" t="n">
        <v>0</v>
      </c>
      <c r="CY15" s="24" t="n"/>
      <c r="CZ15" s="23" t="n">
        <v>207</v>
      </c>
      <c r="DA15" s="24" t="n"/>
      <c r="DB15" s="25" t="n">
        <v>0</v>
      </c>
      <c r="DC15" s="24" t="n"/>
      <c r="DD15" s="23" t="n">
        <v>207</v>
      </c>
      <c r="DE15" s="24" t="n"/>
      <c r="DF15" s="25" t="n">
        <v>0</v>
      </c>
      <c r="DG15" s="24" t="n"/>
      <c r="DH15" s="23" t="n">
        <v>207</v>
      </c>
      <c r="DI15" s="24" t="n"/>
      <c r="DJ15" s="25" t="n">
        <v>0</v>
      </c>
      <c r="DK15" s="24" t="n"/>
      <c r="DL15" s="23" t="n">
        <v>207</v>
      </c>
      <c r="DM15" s="24" t="n"/>
      <c r="DN15" s="25" t="n">
        <v>0</v>
      </c>
      <c r="DO15" s="24" t="n"/>
      <c r="DP15" s="340" t="n"/>
      <c r="DQ15" s="803">
        <f>SUMPRODUCT(--(MOD(COLUMN(BT15:CQ15),4)=MOD(COLUMN(BT15),4)),BT15:CQ15)+SUMPRODUCT(--(MOD(COLUMN(CR15:DO15),4)=MOD(COLUMN(CR15),4)),CR15:DO15)</f>
        <v/>
      </c>
      <c r="DR15" s="803">
        <f>SUMPRODUCT(--(MOD(COLUMN(BT15:CQ15),4)=MOD(COLUMN(BT15),4)),BT15:CQ15)*#REF!+SUMPRODUCT(--(MOD(COLUMN(CR15:DO15),4)=MOD(COLUMN(CR15),4)),CR15:DO15)*#REF!</f>
        <v/>
      </c>
      <c r="DS15" s="809" t="n"/>
      <c r="DT15" s="801" t="n"/>
      <c r="DU15" s="23" t="n">
        <v>414</v>
      </c>
      <c r="DV15" s="24" t="n"/>
      <c r="DW15" s="25" t="n">
        <v>0</v>
      </c>
      <c r="DX15" s="24" t="n"/>
      <c r="DY15" s="23" t="n">
        <v>414</v>
      </c>
      <c r="DZ15" s="24" t="n"/>
      <c r="EA15" s="25" t="n">
        <v>0</v>
      </c>
      <c r="EB15" s="24" t="n"/>
      <c r="EC15" s="23" t="n">
        <v>414</v>
      </c>
      <c r="ED15" s="24" t="n"/>
      <c r="EE15" s="25" t="n">
        <v>0</v>
      </c>
      <c r="EF15" s="24" t="n"/>
      <c r="EG15" s="23" t="n">
        <v>414</v>
      </c>
      <c r="EH15" s="24" t="n"/>
      <c r="EI15" s="25" t="n">
        <v>0</v>
      </c>
      <c r="EJ15" s="24" t="n"/>
      <c r="EK15" s="23" t="n">
        <v>414</v>
      </c>
      <c r="EL15" s="24" t="n"/>
      <c r="EM15" s="25" t="n">
        <v>0</v>
      </c>
      <c r="EN15" s="24" t="n"/>
      <c r="EO15" s="23" t="n">
        <v>414</v>
      </c>
      <c r="EP15" s="24" t="n"/>
      <c r="EQ15" s="25" t="n">
        <v>0</v>
      </c>
      <c r="ER15" s="24" t="n"/>
      <c r="ES15" s="23" t="n">
        <v>414</v>
      </c>
      <c r="ET15" s="24" t="n"/>
      <c r="EU15" s="25" t="n">
        <v>0</v>
      </c>
      <c r="EV15" s="24" t="n"/>
      <c r="EW15" s="23" t="n">
        <v>414</v>
      </c>
      <c r="EX15" s="24" t="n"/>
      <c r="EY15" s="25" t="n">
        <v>0</v>
      </c>
      <c r="EZ15" s="24" t="n"/>
      <c r="FA15" s="23" t="n">
        <v>414</v>
      </c>
      <c r="FB15" s="24" t="n"/>
      <c r="FC15" s="25" t="n">
        <v>0</v>
      </c>
      <c r="FD15" s="24" t="n"/>
      <c r="FE15" s="23" t="n">
        <v>414</v>
      </c>
      <c r="FF15" s="24" t="n"/>
      <c r="FG15" s="25" t="n">
        <v>0</v>
      </c>
      <c r="FH15" s="24" t="n"/>
      <c r="FI15" s="23" t="n">
        <v>414</v>
      </c>
      <c r="FJ15" s="24" t="n"/>
      <c r="FK15" s="25" t="n">
        <v>0</v>
      </c>
      <c r="FL15" s="24" t="n"/>
      <c r="FM15" s="23" t="n">
        <v>414</v>
      </c>
      <c r="FN15" s="24" t="n"/>
      <c r="FO15" s="25" t="n">
        <v>0</v>
      </c>
      <c r="FP15" s="24" t="n"/>
      <c r="FQ15" s="340" t="n"/>
      <c r="FR15" s="803">
        <f>SUMPRODUCT(--(MOD(COLUMN(DU15:ER15),4)=MOD(COLUMN(DU15),4)),DU15:ER15)+SUMPRODUCT(--(MOD(COLUMN(ES15:FP15),4)=MOD(COLUMN(ES15),4)),ES15:FP15)</f>
        <v/>
      </c>
      <c r="FS15" s="803">
        <f>SUMPRODUCT(--(MOD(COLUMN(DU15:ER15),4)=MOD(COLUMN(DU15),4)),DU15:ER15)*#REF!+SUMPRODUCT(--(MOD(COLUMN(ES15:FP15),4)=MOD(COLUMN(ES15),4)),ES15:FP15)*#REF!</f>
        <v/>
      </c>
      <c r="FT15" s="360" t="n"/>
    </row>
    <row r="16" outlineLevel="2" customFormat="1" s="14">
      <c r="A16" s="15" t="inlineStr">
        <is>
          <t>BPW (нет в системе)</t>
        </is>
      </c>
      <c r="B16" s="16" t="inlineStr">
        <is>
          <t>Договор не подписан</t>
        </is>
      </c>
      <c r="C16" s="15" t="inlineStr">
        <is>
          <t>ВБК Восток</t>
        </is>
      </c>
      <c r="D16" s="15" t="inlineStr">
        <is>
          <t>Прасолов, Соловьёв</t>
        </is>
      </c>
      <c r="E16" s="17">
        <f>IF(ISBLANK(G16),"",IF($A$6:$A$64=$A16,COUNTIF($A$6:A16,$A16),""))</f>
        <v/>
      </c>
      <c r="F16" s="17" t="n">
        <v>1</v>
      </c>
      <c r="G16" s="33" t="n">
        <v>6402250570</v>
      </c>
      <c r="H16" s="410" t="inlineStr">
        <is>
          <t>6402250570 AA Тормоз дисковый ( правый )</t>
        </is>
      </c>
      <c r="I16" s="625">
        <f>I15</f>
        <v/>
      </c>
      <c r="J16" s="798" t="n"/>
      <c r="K16" s="798" t="n"/>
      <c r="L16" s="798">
        <f>IF(K16="RUB",J16/ЮАНЬ,IF(K16="EUR",J16*ЕВРО/ЮАНЬ,""))</f>
        <v/>
      </c>
      <c r="M16" s="801" t="n"/>
      <c r="N16" s="802">
        <f>IF(BP16&gt;0,1,IF(BN16&gt;0,2,))</f>
        <v/>
      </c>
      <c r="O16" s="23" t="n"/>
      <c r="P16" s="24" t="n"/>
      <c r="Q16" s="25" t="n"/>
      <c r="R16" s="24" t="n"/>
      <c r="S16" s="23" t="n"/>
      <c r="T16" s="24" t="n"/>
      <c r="U16" s="25" t="n">
        <v>0</v>
      </c>
      <c r="V16" s="24" t="n"/>
      <c r="W16" s="23" t="n"/>
      <c r="X16" s="24" t="n"/>
      <c r="Y16" s="25" t="n"/>
      <c r="Z16" s="24" t="n"/>
      <c r="AA16" s="23" t="n"/>
      <c r="AB16" s="24" t="n"/>
      <c r="AC16" s="25" t="n"/>
      <c r="AD16" s="24" t="n"/>
      <c r="AE16" s="23" t="n"/>
      <c r="AF16" s="24" t="n"/>
      <c r="AG16" s="25" t="n"/>
      <c r="AH16" s="24" t="n"/>
      <c r="AI16" s="23" t="n"/>
      <c r="AJ16" s="24" t="n"/>
      <c r="AK16" s="25" t="n"/>
      <c r="AL16" s="24" t="n"/>
      <c r="AM16" s="23" t="n"/>
      <c r="AN16" s="24" t="n"/>
      <c r="AO16" s="25" t="n"/>
      <c r="AP16" s="24" t="n"/>
      <c r="AQ16" s="23" t="n"/>
      <c r="AR16" s="24" t="n"/>
      <c r="AS16" s="25" t="n"/>
      <c r="AT16" s="24" t="n"/>
      <c r="AU16" s="23" t="n"/>
      <c r="AV16" s="24" t="n"/>
      <c r="AW16" s="25" t="n"/>
      <c r="AX16" s="24" t="n"/>
      <c r="AY16" s="23" t="n"/>
      <c r="AZ16" s="24" t="n"/>
      <c r="BA16" s="25" t="n"/>
      <c r="BB16" s="24" t="n"/>
      <c r="BC16" s="23" t="n"/>
      <c r="BD16" s="24" t="n"/>
      <c r="BE16" s="25" t="n"/>
      <c r="BF16" s="24" t="n"/>
      <c r="BG16" s="23" t="n"/>
      <c r="BH16" s="24" t="n"/>
      <c r="BI16" s="25" t="n"/>
      <c r="BJ16" s="24" t="n"/>
      <c r="BK16" s="340" t="n"/>
      <c r="BL16" s="803">
        <f>SUMPRODUCT(--(MOD(COLUMN($O16:$AL16),4)=MOD(COLUMN($O16)+0,4)),$O16:$AL16)
+SUMPRODUCT(--(MOD(COLUMN($AM16:$BJ16),4)=MOD(COLUMN($AM16)+0,4)),$AM16:$BJ16)</f>
        <v/>
      </c>
      <c r="BM16" s="804">
        <f>SUMPRODUCT(--(MOD(COLUMN($O16:$AL16),4)=MOD(COLUMN($O16)+0,4)),$O16:$AL16)*
$I16+SUMPRODUCT(--(MOD(COLUMN($AM16:$BJ16),4)=MOD(COLUMN($AM16)+0,4)),$AM16:$BJ16)*$I16</f>
        <v/>
      </c>
      <c r="BN16" s="805">
        <f>SUMPRODUCT(--(MOD(COLUMN($O16:$AL16),4)=MOD(COLUMN($O16)+1,4)),$O16:$AL16)
+SUMPRODUCT(--(MOD(COLUMN($AM16:$BJ16),4)=MOD(COLUMN($AM16)+1,4)),$AM16:$BJ16)</f>
        <v/>
      </c>
      <c r="BO16" s="806">
        <f>SUMPRODUCT(--(MOD(COLUMN($O16:$AL16),4)=MOD(COLUMN($O16)+1,4)),$O16:$AL16)*
$I16+SUMPRODUCT(--(MOD(COLUMN($AM16:$BJ16),4)=MOD(COLUMN($AM16)+1,4)),$AM16:$BJ16)*$I16</f>
        <v/>
      </c>
      <c r="BP16" s="807">
        <f>SUMPRODUCT(--(MOD(COLUMN($O16:$AL16),4)=MOD(COLUMN($O16)+2,4)),$O16:$AL16)
+SUMPRODUCT(--(MOD(COLUMN($AM16:$BJ16),4)=MOD(COLUMN($AM16)+2,4)),$AM16:$BJ16)</f>
        <v/>
      </c>
      <c r="BQ16" s="808">
        <f>SUMPRODUCT(--(MOD(COLUMN($O16:$AL16),4)=MOD(COLUMN($O16)+2,4)),$O16:$AL16)*
$I16+SUMPRODUCT(--(MOD(COLUMN($AM16:$BJ16),4)=MOD(COLUMN($AM16)+2,4)),$AM16:$BJ16)*$I16</f>
        <v/>
      </c>
      <c r="BR16" s="809" t="n"/>
      <c r="BS16" s="801" t="n"/>
      <c r="BT16" s="23" t="n">
        <v>207</v>
      </c>
      <c r="BU16" s="24" t="n"/>
      <c r="BV16" s="25" t="n">
        <v>0</v>
      </c>
      <c r="BW16" s="24" t="n"/>
      <c r="BX16" s="23" t="n">
        <v>207</v>
      </c>
      <c r="BY16" s="24" t="n"/>
      <c r="BZ16" s="25" t="n">
        <v>0</v>
      </c>
      <c r="CA16" s="24" t="n"/>
      <c r="CB16" s="23" t="n">
        <v>207</v>
      </c>
      <c r="CC16" s="24" t="n"/>
      <c r="CD16" s="25" t="n">
        <v>0</v>
      </c>
      <c r="CE16" s="24" t="n"/>
      <c r="CF16" s="23" t="n">
        <v>207</v>
      </c>
      <c r="CG16" s="24" t="n"/>
      <c r="CH16" s="25" t="n">
        <v>0</v>
      </c>
      <c r="CI16" s="24" t="n"/>
      <c r="CJ16" s="23" t="n">
        <v>207</v>
      </c>
      <c r="CK16" s="24" t="n"/>
      <c r="CL16" s="25" t="n">
        <v>0</v>
      </c>
      <c r="CM16" s="24" t="n"/>
      <c r="CN16" s="23" t="n">
        <v>207</v>
      </c>
      <c r="CO16" s="24" t="n"/>
      <c r="CP16" s="25" t="n">
        <v>0</v>
      </c>
      <c r="CQ16" s="24" t="n"/>
      <c r="CR16" s="23" t="n">
        <v>207</v>
      </c>
      <c r="CS16" s="24" t="n"/>
      <c r="CT16" s="25" t="n">
        <v>0</v>
      </c>
      <c r="CU16" s="24" t="n"/>
      <c r="CV16" s="23" t="n">
        <v>207</v>
      </c>
      <c r="CW16" s="24" t="n"/>
      <c r="CX16" s="25" t="n">
        <v>0</v>
      </c>
      <c r="CY16" s="24" t="n"/>
      <c r="CZ16" s="23" t="n">
        <v>207</v>
      </c>
      <c r="DA16" s="24" t="n"/>
      <c r="DB16" s="25" t="n">
        <v>0</v>
      </c>
      <c r="DC16" s="24" t="n"/>
      <c r="DD16" s="23" t="n">
        <v>207</v>
      </c>
      <c r="DE16" s="24" t="n"/>
      <c r="DF16" s="25" t="n">
        <v>0</v>
      </c>
      <c r="DG16" s="24" t="n"/>
      <c r="DH16" s="23" t="n">
        <v>207</v>
      </c>
      <c r="DI16" s="24" t="n"/>
      <c r="DJ16" s="25" t="n">
        <v>0</v>
      </c>
      <c r="DK16" s="24" t="n"/>
      <c r="DL16" s="23" t="n">
        <v>207</v>
      </c>
      <c r="DM16" s="24" t="n"/>
      <c r="DN16" s="25" t="n">
        <v>0</v>
      </c>
      <c r="DO16" s="24" t="n"/>
      <c r="DP16" s="340" t="n"/>
      <c r="DQ16" s="803">
        <f>SUMPRODUCT(--(MOD(COLUMN(BT16:CQ16),4)=MOD(COLUMN(BT16),4)),BT16:CQ16)+SUMPRODUCT(--(MOD(COLUMN(CR16:DO16),4)=MOD(COLUMN(CR16),4)),CR16:DO16)</f>
        <v/>
      </c>
      <c r="DR16" s="803">
        <f>SUMPRODUCT(--(MOD(COLUMN(BT16:CQ16),4)=MOD(COLUMN(BT16),4)),BT16:CQ16)*#REF!+SUMPRODUCT(--(MOD(COLUMN(CR16:DO16),4)=MOD(COLUMN(CR16),4)),CR16:DO16)*#REF!</f>
        <v/>
      </c>
      <c r="DS16" s="809" t="n"/>
      <c r="DT16" s="801" t="n"/>
      <c r="DU16" s="23" t="n">
        <v>414</v>
      </c>
      <c r="DV16" s="24" t="n"/>
      <c r="DW16" s="25" t="n">
        <v>0</v>
      </c>
      <c r="DX16" s="24" t="n"/>
      <c r="DY16" s="23" t="n">
        <v>414</v>
      </c>
      <c r="DZ16" s="24" t="n"/>
      <c r="EA16" s="25" t="n">
        <v>0</v>
      </c>
      <c r="EB16" s="24" t="n"/>
      <c r="EC16" s="23" t="n">
        <v>414</v>
      </c>
      <c r="ED16" s="24" t="n"/>
      <c r="EE16" s="25" t="n">
        <v>0</v>
      </c>
      <c r="EF16" s="24" t="n"/>
      <c r="EG16" s="23" t="n">
        <v>414</v>
      </c>
      <c r="EH16" s="24" t="n"/>
      <c r="EI16" s="25" t="n">
        <v>0</v>
      </c>
      <c r="EJ16" s="24" t="n"/>
      <c r="EK16" s="23" t="n">
        <v>414</v>
      </c>
      <c r="EL16" s="24" t="n"/>
      <c r="EM16" s="25" t="n">
        <v>0</v>
      </c>
      <c r="EN16" s="24" t="n"/>
      <c r="EO16" s="23" t="n">
        <v>414</v>
      </c>
      <c r="EP16" s="24" t="n"/>
      <c r="EQ16" s="25" t="n">
        <v>0</v>
      </c>
      <c r="ER16" s="24" t="n"/>
      <c r="ES16" s="23" t="n">
        <v>414</v>
      </c>
      <c r="ET16" s="24" t="n"/>
      <c r="EU16" s="25" t="n">
        <v>0</v>
      </c>
      <c r="EV16" s="24" t="n"/>
      <c r="EW16" s="23" t="n">
        <v>414</v>
      </c>
      <c r="EX16" s="24" t="n"/>
      <c r="EY16" s="25" t="n">
        <v>0</v>
      </c>
      <c r="EZ16" s="24" t="n"/>
      <c r="FA16" s="23" t="n">
        <v>414</v>
      </c>
      <c r="FB16" s="24" t="n"/>
      <c r="FC16" s="25" t="n">
        <v>0</v>
      </c>
      <c r="FD16" s="24" t="n"/>
      <c r="FE16" s="23" t="n">
        <v>414</v>
      </c>
      <c r="FF16" s="24" t="n"/>
      <c r="FG16" s="25" t="n">
        <v>0</v>
      </c>
      <c r="FH16" s="24" t="n"/>
      <c r="FI16" s="23" t="n">
        <v>414</v>
      </c>
      <c r="FJ16" s="24" t="n"/>
      <c r="FK16" s="25" t="n">
        <v>0</v>
      </c>
      <c r="FL16" s="24" t="n"/>
      <c r="FM16" s="23" t="n">
        <v>414</v>
      </c>
      <c r="FN16" s="24" t="n"/>
      <c r="FO16" s="25" t="n">
        <v>0</v>
      </c>
      <c r="FP16" s="24" t="n"/>
      <c r="FQ16" s="340" t="n"/>
      <c r="FR16" s="803">
        <f>SUMPRODUCT(--(MOD(COLUMN(DU16:ER16),4)=MOD(COLUMN(DU16),4)),DU16:ER16)+SUMPRODUCT(--(MOD(COLUMN(ES16:FP16),4)=MOD(COLUMN(ES16),4)),ES16:FP16)</f>
        <v/>
      </c>
      <c r="FS16" s="803">
        <f>SUMPRODUCT(--(MOD(COLUMN(DU16:ER16),4)=MOD(COLUMN(DU16),4)),DU16:ER16)*#REF!+SUMPRODUCT(--(MOD(COLUMN(ES16:FP16),4)=MOD(COLUMN(ES16),4)),ES16:FP16)*#REF!</f>
        <v/>
      </c>
      <c r="FT16" s="360" t="n"/>
    </row>
    <row r="17" outlineLevel="2" customFormat="1" s="14">
      <c r="A17" s="15" t="inlineStr">
        <is>
          <t>BPW (нет в системе)</t>
        </is>
      </c>
      <c r="B17" s="16" t="inlineStr">
        <is>
          <t>Договор не подписан</t>
        </is>
      </c>
      <c r="C17" s="15" t="inlineStr">
        <is>
          <t>ВБК Восток</t>
        </is>
      </c>
      <c r="D17" s="15" t="inlineStr">
        <is>
          <t>Прасолов, Соловьёв</t>
        </is>
      </c>
      <c r="E17" s="17">
        <f>IF(ISBLANK(G17),"",IF($A$6:$A$64=$A17,COUNTIF($A$6:A17,$A17),""))</f>
        <v/>
      </c>
      <c r="F17" s="17" t="n">
        <v>1</v>
      </c>
      <c r="G17" s="33" t="n">
        <v>4410328080</v>
      </c>
      <c r="H17" s="18" t="inlineStr">
        <is>
          <t>Датчик АБС, 0,4 м</t>
        </is>
      </c>
      <c r="I17" s="627">
        <f>84/НДС_20</f>
        <v/>
      </c>
      <c r="J17" s="798" t="n"/>
      <c r="K17" s="798" t="n"/>
      <c r="L17" s="798">
        <f>IF(K17="RUB",J17/ЮАНЬ,IF(K17="EUR",J17*ЕВРО/ЮАНЬ,""))</f>
        <v/>
      </c>
      <c r="M17" s="801" t="n"/>
      <c r="N17" s="802">
        <f>IF(BP17&gt;0,1,IF(BN17&gt;0,2,))</f>
        <v/>
      </c>
      <c r="O17" s="23" t="n"/>
      <c r="P17" s="24" t="n"/>
      <c r="Q17" s="25" t="n"/>
      <c r="R17" s="24" t="n"/>
      <c r="S17" s="23" t="n"/>
      <c r="T17" s="24" t="n"/>
      <c r="U17" s="25" t="n">
        <v>0</v>
      </c>
      <c r="V17" s="24" t="n"/>
      <c r="W17" s="23" t="n"/>
      <c r="X17" s="24" t="n"/>
      <c r="Y17" s="25" t="n"/>
      <c r="Z17" s="24" t="n"/>
      <c r="AA17" s="23" t="n"/>
      <c r="AB17" s="24" t="n"/>
      <c r="AC17" s="25" t="n"/>
      <c r="AD17" s="24" t="n"/>
      <c r="AE17" s="23" t="n"/>
      <c r="AF17" s="24" t="n"/>
      <c r="AG17" s="25" t="n"/>
      <c r="AH17" s="24" t="n"/>
      <c r="AI17" s="23" t="n"/>
      <c r="AJ17" s="24" t="n"/>
      <c r="AK17" s="25" t="n"/>
      <c r="AL17" s="24" t="n"/>
      <c r="AM17" s="23" t="n"/>
      <c r="AN17" s="24" t="n"/>
      <c r="AO17" s="25" t="n"/>
      <c r="AP17" s="24" t="n"/>
      <c r="AQ17" s="23" t="n"/>
      <c r="AR17" s="24" t="n"/>
      <c r="AS17" s="25" t="n"/>
      <c r="AT17" s="24" t="n"/>
      <c r="AU17" s="23" t="n"/>
      <c r="AV17" s="24" t="n"/>
      <c r="AW17" s="25" t="n"/>
      <c r="AX17" s="24" t="n"/>
      <c r="AY17" s="23" t="n"/>
      <c r="AZ17" s="24" t="n"/>
      <c r="BA17" s="25" t="n"/>
      <c r="BB17" s="24" t="n"/>
      <c r="BC17" s="23" t="n"/>
      <c r="BD17" s="24" t="n"/>
      <c r="BE17" s="25" t="n"/>
      <c r="BF17" s="24" t="n"/>
      <c r="BG17" s="23" t="n"/>
      <c r="BH17" s="24" t="n"/>
      <c r="BI17" s="25" t="n"/>
      <c r="BJ17" s="24" t="n"/>
      <c r="BK17" s="340" t="n"/>
      <c r="BL17" s="803">
        <f>SUMPRODUCT(--(MOD(COLUMN($O17:$AL17),4)=MOD(COLUMN($O17)+0,4)),$O17:$AL17)
+SUMPRODUCT(--(MOD(COLUMN($AM17:$BJ17),4)=MOD(COLUMN($AM17)+0,4)),$AM17:$BJ17)</f>
        <v/>
      </c>
      <c r="BM17" s="804">
        <f>SUMPRODUCT(--(MOD(COLUMN($O17:$AL17),4)=MOD(COLUMN($O17)+0,4)),$O17:$AL17)*
$I17+SUMPRODUCT(--(MOD(COLUMN($AM17:$BJ17),4)=MOD(COLUMN($AM17)+0,4)),$AM17:$BJ17)*$I17</f>
        <v/>
      </c>
      <c r="BN17" s="805">
        <f>SUMPRODUCT(--(MOD(COLUMN($O17:$AL17),4)=MOD(COLUMN($O17)+1,4)),$O17:$AL17)
+SUMPRODUCT(--(MOD(COLUMN($AM17:$BJ17),4)=MOD(COLUMN($AM17)+1,4)),$AM17:$BJ17)</f>
        <v/>
      </c>
      <c r="BO17" s="806">
        <f>SUMPRODUCT(--(MOD(COLUMN($O17:$AL17),4)=MOD(COLUMN($O17)+1,4)),$O17:$AL17)*
$I17+SUMPRODUCT(--(MOD(COLUMN($AM17:$BJ17),4)=MOD(COLUMN($AM17)+1,4)),$AM17:$BJ17)*$I17</f>
        <v/>
      </c>
      <c r="BP17" s="807">
        <f>SUMPRODUCT(--(MOD(COLUMN($O17:$AL17),4)=MOD(COLUMN($O17)+2,4)),$O17:$AL17)
+SUMPRODUCT(--(MOD(COLUMN($AM17:$BJ17),4)=MOD(COLUMN($AM17)+2,4)),$AM17:$BJ17)</f>
        <v/>
      </c>
      <c r="BQ17" s="808">
        <f>SUMPRODUCT(--(MOD(COLUMN($O17:$AL17),4)=MOD(COLUMN($O17)+2,4)),$O17:$AL17)*
$I17+SUMPRODUCT(--(MOD(COLUMN($AM17:$BJ17),4)=MOD(COLUMN($AM17)+2,4)),$AM17:$BJ17)*$I17</f>
        <v/>
      </c>
      <c r="BR17" s="809" t="n"/>
      <c r="BS17" s="801" t="n"/>
      <c r="BT17" s="23" t="n">
        <v>138</v>
      </c>
      <c r="BU17" s="24" t="n"/>
      <c r="BV17" s="25" t="n">
        <v>0</v>
      </c>
      <c r="BW17" s="24" t="n"/>
      <c r="BX17" s="23" t="n">
        <v>138</v>
      </c>
      <c r="BY17" s="24" t="n"/>
      <c r="BZ17" s="25" t="n">
        <v>0</v>
      </c>
      <c r="CA17" s="24" t="n"/>
      <c r="CB17" s="23" t="n">
        <v>138</v>
      </c>
      <c r="CC17" s="24" t="n"/>
      <c r="CD17" s="25" t="n">
        <v>0</v>
      </c>
      <c r="CE17" s="24" t="n"/>
      <c r="CF17" s="23" t="n">
        <v>138</v>
      </c>
      <c r="CG17" s="24" t="n"/>
      <c r="CH17" s="25" t="n">
        <v>0</v>
      </c>
      <c r="CI17" s="24" t="n"/>
      <c r="CJ17" s="23" t="n">
        <v>138</v>
      </c>
      <c r="CK17" s="24" t="n"/>
      <c r="CL17" s="25" t="n">
        <v>0</v>
      </c>
      <c r="CM17" s="24" t="n"/>
      <c r="CN17" s="23" t="n">
        <v>138</v>
      </c>
      <c r="CO17" s="24" t="n"/>
      <c r="CP17" s="25" t="n">
        <v>0</v>
      </c>
      <c r="CQ17" s="24" t="n"/>
      <c r="CR17" s="23" t="n">
        <v>138</v>
      </c>
      <c r="CS17" s="24" t="n"/>
      <c r="CT17" s="25" t="n">
        <v>0</v>
      </c>
      <c r="CU17" s="24" t="n"/>
      <c r="CV17" s="23" t="n">
        <v>138</v>
      </c>
      <c r="CW17" s="24" t="n"/>
      <c r="CX17" s="25" t="n">
        <v>0</v>
      </c>
      <c r="CY17" s="24" t="n"/>
      <c r="CZ17" s="23" t="n">
        <v>138</v>
      </c>
      <c r="DA17" s="24" t="n"/>
      <c r="DB17" s="25" t="n">
        <v>0</v>
      </c>
      <c r="DC17" s="24" t="n"/>
      <c r="DD17" s="23" t="n">
        <v>138</v>
      </c>
      <c r="DE17" s="24" t="n"/>
      <c r="DF17" s="25" t="n">
        <v>0</v>
      </c>
      <c r="DG17" s="24" t="n"/>
      <c r="DH17" s="23" t="n">
        <v>138</v>
      </c>
      <c r="DI17" s="24" t="n"/>
      <c r="DJ17" s="25" t="n">
        <v>0</v>
      </c>
      <c r="DK17" s="24" t="n"/>
      <c r="DL17" s="23" t="n">
        <v>138</v>
      </c>
      <c r="DM17" s="24" t="n"/>
      <c r="DN17" s="25" t="n">
        <v>0</v>
      </c>
      <c r="DO17" s="24" t="n"/>
      <c r="DP17" s="340" t="n"/>
      <c r="DQ17" s="803">
        <f>SUMPRODUCT(--(MOD(COLUMN(BT17:CQ17),4)=MOD(COLUMN(BT17),4)),BT17:CQ17)+SUMPRODUCT(--(MOD(COLUMN(CR17:DO17),4)=MOD(COLUMN(CR17),4)),CR17:DO17)</f>
        <v/>
      </c>
      <c r="DR17" s="803">
        <f>SUMPRODUCT(--(MOD(COLUMN(BT17:CQ17),4)=MOD(COLUMN(BT17),4)),BT17:CQ17)*#REF!+SUMPRODUCT(--(MOD(COLUMN(CR17:DO17),4)=MOD(COLUMN(CR17),4)),CR17:DO17)*#REF!</f>
        <v/>
      </c>
      <c r="DS17" s="809" t="n"/>
      <c r="DT17" s="801" t="n"/>
      <c r="DU17" s="23" t="n">
        <v>276</v>
      </c>
      <c r="DV17" s="24" t="n"/>
      <c r="DW17" s="25" t="n">
        <v>0</v>
      </c>
      <c r="DX17" s="24" t="n"/>
      <c r="DY17" s="23" t="n">
        <v>276</v>
      </c>
      <c r="DZ17" s="24" t="n"/>
      <c r="EA17" s="25" t="n">
        <v>0</v>
      </c>
      <c r="EB17" s="24" t="n"/>
      <c r="EC17" s="23" t="n">
        <v>276</v>
      </c>
      <c r="ED17" s="24" t="n"/>
      <c r="EE17" s="25" t="n">
        <v>0</v>
      </c>
      <c r="EF17" s="24" t="n"/>
      <c r="EG17" s="23" t="n">
        <v>276</v>
      </c>
      <c r="EH17" s="24" t="n"/>
      <c r="EI17" s="25" t="n">
        <v>0</v>
      </c>
      <c r="EJ17" s="24" t="n"/>
      <c r="EK17" s="23" t="n">
        <v>276</v>
      </c>
      <c r="EL17" s="24" t="n"/>
      <c r="EM17" s="25" t="n">
        <v>0</v>
      </c>
      <c r="EN17" s="24" t="n"/>
      <c r="EO17" s="23" t="n">
        <v>276</v>
      </c>
      <c r="EP17" s="24" t="n"/>
      <c r="EQ17" s="25" t="n">
        <v>0</v>
      </c>
      <c r="ER17" s="24" t="n"/>
      <c r="ES17" s="23" t="n">
        <v>276</v>
      </c>
      <c r="ET17" s="24" t="n"/>
      <c r="EU17" s="25" t="n">
        <v>0</v>
      </c>
      <c r="EV17" s="24" t="n"/>
      <c r="EW17" s="23" t="n">
        <v>276</v>
      </c>
      <c r="EX17" s="24" t="n"/>
      <c r="EY17" s="25" t="n">
        <v>0</v>
      </c>
      <c r="EZ17" s="24" t="n"/>
      <c r="FA17" s="23" t="n">
        <v>276</v>
      </c>
      <c r="FB17" s="24" t="n"/>
      <c r="FC17" s="25" t="n">
        <v>0</v>
      </c>
      <c r="FD17" s="24" t="n"/>
      <c r="FE17" s="23" t="n">
        <v>276</v>
      </c>
      <c r="FF17" s="24" t="n"/>
      <c r="FG17" s="25" t="n">
        <v>0</v>
      </c>
      <c r="FH17" s="24" t="n"/>
      <c r="FI17" s="23" t="n">
        <v>276</v>
      </c>
      <c r="FJ17" s="24" t="n"/>
      <c r="FK17" s="25" t="n">
        <v>0</v>
      </c>
      <c r="FL17" s="24" t="n"/>
      <c r="FM17" s="23" t="n">
        <v>276</v>
      </c>
      <c r="FN17" s="24" t="n"/>
      <c r="FO17" s="25" t="n">
        <v>0</v>
      </c>
      <c r="FP17" s="24" t="n"/>
      <c r="FQ17" s="340" t="n"/>
      <c r="FR17" s="803">
        <f>SUMPRODUCT(--(MOD(COLUMN(DU17:ER17),4)=MOD(COLUMN(DU17),4)),DU17:ER17)+SUMPRODUCT(--(MOD(COLUMN(ES17:FP17),4)=MOD(COLUMN(ES17),4)),ES17:FP17)</f>
        <v/>
      </c>
      <c r="FS17" s="803">
        <f>SUMPRODUCT(--(MOD(COLUMN(DU17:ER17),4)=MOD(COLUMN(DU17),4)),DU17:ER17)*#REF!+SUMPRODUCT(--(MOD(COLUMN(ES17:FP17),4)=MOD(COLUMN(ES17),4)),ES17:FP17)*#REF!</f>
        <v/>
      </c>
      <c r="FT17" s="360" t="n"/>
    </row>
    <row r="18" outlineLevel="2" customFormat="1" s="14">
      <c r="A18" s="15" t="inlineStr">
        <is>
          <t>BPW (нет в системе)</t>
        </is>
      </c>
      <c r="B18" s="16" t="inlineStr">
        <is>
          <t>Договор не подписан</t>
        </is>
      </c>
      <c r="C18" s="15" t="inlineStr">
        <is>
          <t>ВБК Восток</t>
        </is>
      </c>
      <c r="D18" s="15" t="inlineStr">
        <is>
          <t>Прасолов, Соловьёв</t>
        </is>
      </c>
      <c r="E18" s="17">
        <f>IF(ISBLANK(G18),"",IF($A$6:$A$64=$A18,COUNTIF($A$6:A18,$A18),""))</f>
        <v/>
      </c>
      <c r="F18" s="17" t="n">
        <v>1</v>
      </c>
      <c r="G18" s="33" t="n">
        <v>8997598154</v>
      </c>
      <c r="H18" s="18" t="inlineStr">
        <is>
          <t>Втулка датчика АБС</t>
        </is>
      </c>
      <c r="I18" s="625">
        <f>8.4/НДС_20</f>
        <v/>
      </c>
      <c r="J18" s="798" t="n"/>
      <c r="K18" s="798" t="n"/>
      <c r="L18" s="798">
        <f>IF(K18="RUB",J18/ЮАНЬ,IF(K18="EUR",J18*ЕВРО/ЮАНЬ,""))</f>
        <v/>
      </c>
      <c r="M18" s="801" t="n"/>
      <c r="N18" s="802">
        <f>IF(BP18&gt;0,1,IF(BN18&gt;0,2,))</f>
        <v/>
      </c>
      <c r="O18" s="23" t="n"/>
      <c r="P18" s="24" t="n"/>
      <c r="Q18" s="25" t="n"/>
      <c r="R18" s="24" t="n"/>
      <c r="S18" s="23" t="n"/>
      <c r="T18" s="24" t="n"/>
      <c r="U18" s="25" t="n">
        <v>0</v>
      </c>
      <c r="V18" s="24" t="n"/>
      <c r="W18" s="23" t="n"/>
      <c r="X18" s="24" t="n"/>
      <c r="Y18" s="25" t="n"/>
      <c r="Z18" s="24" t="n"/>
      <c r="AA18" s="23" t="n"/>
      <c r="AB18" s="24" t="n"/>
      <c r="AC18" s="25" t="n"/>
      <c r="AD18" s="24" t="n"/>
      <c r="AE18" s="23" t="n"/>
      <c r="AF18" s="24" t="n"/>
      <c r="AG18" s="25" t="n"/>
      <c r="AH18" s="24" t="n"/>
      <c r="AI18" s="23" t="n"/>
      <c r="AJ18" s="24" t="n"/>
      <c r="AK18" s="25" t="n"/>
      <c r="AL18" s="24" t="n"/>
      <c r="AM18" s="23" t="n"/>
      <c r="AN18" s="24" t="n"/>
      <c r="AO18" s="25" t="n"/>
      <c r="AP18" s="24" t="n"/>
      <c r="AQ18" s="23" t="n"/>
      <c r="AR18" s="24" t="n"/>
      <c r="AS18" s="25" t="n"/>
      <c r="AT18" s="24" t="n"/>
      <c r="AU18" s="23" t="n"/>
      <c r="AV18" s="24" t="n"/>
      <c r="AW18" s="25" t="n"/>
      <c r="AX18" s="24" t="n"/>
      <c r="AY18" s="23" t="n"/>
      <c r="AZ18" s="24" t="n"/>
      <c r="BA18" s="25" t="n"/>
      <c r="BB18" s="24" t="n"/>
      <c r="BC18" s="23" t="n"/>
      <c r="BD18" s="24" t="n"/>
      <c r="BE18" s="25" t="n"/>
      <c r="BF18" s="24" t="n"/>
      <c r="BG18" s="23" t="n"/>
      <c r="BH18" s="24" t="n"/>
      <c r="BI18" s="25" t="n"/>
      <c r="BJ18" s="24" t="n"/>
      <c r="BK18" s="340" t="n"/>
      <c r="BL18" s="803">
        <f>SUMPRODUCT(--(MOD(COLUMN($O18:$AL18),4)=MOD(COLUMN($O18)+0,4)),$O18:$AL18)
+SUMPRODUCT(--(MOD(COLUMN($AM18:$BJ18),4)=MOD(COLUMN($AM18)+0,4)),$AM18:$BJ18)</f>
        <v/>
      </c>
      <c r="BM18" s="804">
        <f>SUMPRODUCT(--(MOD(COLUMN($O18:$AL18),4)=MOD(COLUMN($O18)+0,4)),$O18:$AL18)*
$I18+SUMPRODUCT(--(MOD(COLUMN($AM18:$BJ18),4)=MOD(COLUMN($AM18)+0,4)),$AM18:$BJ18)*$I18</f>
        <v/>
      </c>
      <c r="BN18" s="805">
        <f>SUMPRODUCT(--(MOD(COLUMN($O18:$AL18),4)=MOD(COLUMN($O18)+1,4)),$O18:$AL18)
+SUMPRODUCT(--(MOD(COLUMN($AM18:$BJ18),4)=MOD(COLUMN($AM18)+1,4)),$AM18:$BJ18)</f>
        <v/>
      </c>
      <c r="BO18" s="806">
        <f>SUMPRODUCT(--(MOD(COLUMN($O18:$AL18),4)=MOD(COLUMN($O18)+1,4)),$O18:$AL18)*
$I18+SUMPRODUCT(--(MOD(COLUMN($AM18:$BJ18),4)=MOD(COLUMN($AM18)+1,4)),$AM18:$BJ18)*$I18</f>
        <v/>
      </c>
      <c r="BP18" s="807">
        <f>SUMPRODUCT(--(MOD(COLUMN($O18:$AL18),4)=MOD(COLUMN($O18)+2,4)),$O18:$AL18)
+SUMPRODUCT(--(MOD(COLUMN($AM18:$BJ18),4)=MOD(COLUMN($AM18)+2,4)),$AM18:$BJ18)</f>
        <v/>
      </c>
      <c r="BQ18" s="808">
        <f>SUMPRODUCT(--(MOD(COLUMN($O18:$AL18),4)=MOD(COLUMN($O18)+2,4)),$O18:$AL18)*
$I18+SUMPRODUCT(--(MOD(COLUMN($AM18:$BJ18),4)=MOD(COLUMN($AM18)+2,4)),$AM18:$BJ18)*$I18</f>
        <v/>
      </c>
      <c r="BR18" s="809" t="n"/>
      <c r="BS18" s="801" t="n"/>
      <c r="BT18" s="23" t="n">
        <v>138</v>
      </c>
      <c r="BU18" s="24" t="n"/>
      <c r="BV18" s="25" t="n">
        <v>0</v>
      </c>
      <c r="BW18" s="24" t="n"/>
      <c r="BX18" s="23" t="n">
        <v>138</v>
      </c>
      <c r="BY18" s="24" t="n"/>
      <c r="BZ18" s="25" t="n">
        <v>0</v>
      </c>
      <c r="CA18" s="24" t="n"/>
      <c r="CB18" s="23" t="n">
        <v>138</v>
      </c>
      <c r="CC18" s="24" t="n"/>
      <c r="CD18" s="25" t="n">
        <v>0</v>
      </c>
      <c r="CE18" s="24" t="n"/>
      <c r="CF18" s="23" t="n">
        <v>138</v>
      </c>
      <c r="CG18" s="24" t="n"/>
      <c r="CH18" s="25" t="n">
        <v>0</v>
      </c>
      <c r="CI18" s="24" t="n"/>
      <c r="CJ18" s="23" t="n">
        <v>138</v>
      </c>
      <c r="CK18" s="24" t="n"/>
      <c r="CL18" s="25" t="n">
        <v>0</v>
      </c>
      <c r="CM18" s="24" t="n"/>
      <c r="CN18" s="23" t="n">
        <v>138</v>
      </c>
      <c r="CO18" s="24" t="n"/>
      <c r="CP18" s="25" t="n">
        <v>0</v>
      </c>
      <c r="CQ18" s="24" t="n"/>
      <c r="CR18" s="23" t="n">
        <v>138</v>
      </c>
      <c r="CS18" s="24" t="n"/>
      <c r="CT18" s="25" t="n">
        <v>0</v>
      </c>
      <c r="CU18" s="24" t="n"/>
      <c r="CV18" s="23" t="n">
        <v>138</v>
      </c>
      <c r="CW18" s="24" t="n"/>
      <c r="CX18" s="25" t="n">
        <v>0</v>
      </c>
      <c r="CY18" s="24" t="n"/>
      <c r="CZ18" s="23" t="n">
        <v>138</v>
      </c>
      <c r="DA18" s="24" t="n"/>
      <c r="DB18" s="25" t="n">
        <v>0</v>
      </c>
      <c r="DC18" s="24" t="n"/>
      <c r="DD18" s="23" t="n">
        <v>138</v>
      </c>
      <c r="DE18" s="24" t="n"/>
      <c r="DF18" s="25" t="n">
        <v>0</v>
      </c>
      <c r="DG18" s="24" t="n"/>
      <c r="DH18" s="23" t="n">
        <v>138</v>
      </c>
      <c r="DI18" s="24" t="n"/>
      <c r="DJ18" s="25" t="n">
        <v>0</v>
      </c>
      <c r="DK18" s="24" t="n"/>
      <c r="DL18" s="23" t="n">
        <v>138</v>
      </c>
      <c r="DM18" s="24" t="n"/>
      <c r="DN18" s="25" t="n">
        <v>0</v>
      </c>
      <c r="DO18" s="24" t="n"/>
      <c r="DP18" s="340" t="n"/>
      <c r="DQ18" s="803">
        <f>SUMPRODUCT(--(MOD(COLUMN(BT18:CQ18),4)=MOD(COLUMN(BT18),4)),BT18:CQ18)+SUMPRODUCT(--(MOD(COLUMN(CR18:DO18),4)=MOD(COLUMN(CR18),4)),CR18:DO18)</f>
        <v/>
      </c>
      <c r="DR18" s="803">
        <f>SUMPRODUCT(--(MOD(COLUMN(BT18:CQ18),4)=MOD(COLUMN(BT18),4)),BT18:CQ18)*#REF!+SUMPRODUCT(--(MOD(COLUMN(CR18:DO18),4)=MOD(COLUMN(CR18),4)),CR18:DO18)*#REF!</f>
        <v/>
      </c>
      <c r="DS18" s="809" t="n"/>
      <c r="DT18" s="801" t="n"/>
      <c r="DU18" s="23" t="n">
        <v>276</v>
      </c>
      <c r="DV18" s="24" t="n"/>
      <c r="DW18" s="25" t="n">
        <v>0</v>
      </c>
      <c r="DX18" s="24" t="n"/>
      <c r="DY18" s="23" t="n">
        <v>276</v>
      </c>
      <c r="DZ18" s="24" t="n"/>
      <c r="EA18" s="25" t="n">
        <v>0</v>
      </c>
      <c r="EB18" s="24" t="n"/>
      <c r="EC18" s="23" t="n">
        <v>276</v>
      </c>
      <c r="ED18" s="24" t="n"/>
      <c r="EE18" s="25" t="n">
        <v>0</v>
      </c>
      <c r="EF18" s="24" t="n"/>
      <c r="EG18" s="23" t="n">
        <v>276</v>
      </c>
      <c r="EH18" s="24" t="n"/>
      <c r="EI18" s="25" t="n">
        <v>0</v>
      </c>
      <c r="EJ18" s="24" t="n"/>
      <c r="EK18" s="23" t="n">
        <v>276</v>
      </c>
      <c r="EL18" s="24" t="n"/>
      <c r="EM18" s="25" t="n">
        <v>0</v>
      </c>
      <c r="EN18" s="24" t="n"/>
      <c r="EO18" s="23" t="n">
        <v>276</v>
      </c>
      <c r="EP18" s="24" t="n"/>
      <c r="EQ18" s="25" t="n">
        <v>0</v>
      </c>
      <c r="ER18" s="24" t="n"/>
      <c r="ES18" s="23" t="n">
        <v>276</v>
      </c>
      <c r="ET18" s="24" t="n"/>
      <c r="EU18" s="25" t="n">
        <v>0</v>
      </c>
      <c r="EV18" s="24" t="n"/>
      <c r="EW18" s="23" t="n">
        <v>276</v>
      </c>
      <c r="EX18" s="24" t="n"/>
      <c r="EY18" s="25" t="n">
        <v>0</v>
      </c>
      <c r="EZ18" s="24" t="n"/>
      <c r="FA18" s="23" t="n">
        <v>276</v>
      </c>
      <c r="FB18" s="24" t="n"/>
      <c r="FC18" s="25" t="n">
        <v>0</v>
      </c>
      <c r="FD18" s="24" t="n"/>
      <c r="FE18" s="23" t="n">
        <v>276</v>
      </c>
      <c r="FF18" s="24" t="n"/>
      <c r="FG18" s="25" t="n">
        <v>0</v>
      </c>
      <c r="FH18" s="24" t="n"/>
      <c r="FI18" s="23" t="n">
        <v>276</v>
      </c>
      <c r="FJ18" s="24" t="n"/>
      <c r="FK18" s="25" t="n">
        <v>0</v>
      </c>
      <c r="FL18" s="24" t="n"/>
      <c r="FM18" s="23" t="n">
        <v>276</v>
      </c>
      <c r="FN18" s="24" t="n"/>
      <c r="FO18" s="25" t="n">
        <v>0</v>
      </c>
      <c r="FP18" s="24" t="n"/>
      <c r="FQ18" s="340" t="n"/>
      <c r="FR18" s="803">
        <f>SUMPRODUCT(--(MOD(COLUMN(DU18:ER18),4)=MOD(COLUMN(DU18),4)),DU18:ER18)+SUMPRODUCT(--(MOD(COLUMN(ES18:FP18),4)=MOD(COLUMN(ES18),4)),ES18:FP18)</f>
        <v/>
      </c>
      <c r="FS18" s="803">
        <f>SUMPRODUCT(--(MOD(COLUMN(DU18:ER18),4)=MOD(COLUMN(DU18),4)),DU18:ER18)*#REF!+SUMPRODUCT(--(MOD(COLUMN(ES18:FP18),4)=MOD(COLUMN(ES18),4)),ES18:FP18)*#REF!</f>
        <v/>
      </c>
      <c r="FT18" s="360" t="n"/>
    </row>
    <row r="19" outlineLevel="2" customFormat="1" s="14">
      <c r="A19" s="15" t="inlineStr">
        <is>
          <t>BPW (нет в системе)</t>
        </is>
      </c>
      <c r="B19" s="16" t="inlineStr">
        <is>
          <t>Договор не подписан</t>
        </is>
      </c>
      <c r="C19" s="15" t="inlineStr">
        <is>
          <t>ВБК Восток</t>
        </is>
      </c>
      <c r="D19" s="15" t="inlineStr">
        <is>
          <t>Прасолов, Соловьёв</t>
        </is>
      </c>
      <c r="E19" s="17">
        <f>IF(ISBLANK(G19),"",IF($A$6:$A$64=$A19,COUNTIF($A$6:A19,$A19),""))</f>
        <v/>
      </c>
      <c r="F19" s="17" t="n">
        <v>1</v>
      </c>
      <c r="G19" s="33" t="n">
        <v>4235041001</v>
      </c>
      <c r="H19" s="18" t="inlineStr">
        <is>
          <t>Тормозная камера, тип 20</t>
        </is>
      </c>
      <c r="I19" s="625">
        <f>163.08/НДС_20</f>
        <v/>
      </c>
      <c r="J19" s="798" t="n"/>
      <c r="K19" s="798" t="n"/>
      <c r="L19" s="798">
        <f>IF(K19="RUB",J19/ЮАНЬ,IF(K19="EUR",J19*ЕВРО/ЮАНЬ,""))</f>
        <v/>
      </c>
      <c r="M19" s="801" t="n"/>
      <c r="N19" s="802">
        <f>IF(BP19&gt;0,1,IF(BN19&gt;0,2,))</f>
        <v/>
      </c>
      <c r="O19" s="23" t="n"/>
      <c r="P19" s="24" t="n"/>
      <c r="Q19" s="25" t="n"/>
      <c r="R19" s="24" t="n"/>
      <c r="S19" s="23" t="n"/>
      <c r="T19" s="24" t="n"/>
      <c r="U19" s="25" t="n">
        <v>0</v>
      </c>
      <c r="V19" s="24" t="n"/>
      <c r="W19" s="23" t="n"/>
      <c r="X19" s="24" t="n"/>
      <c r="Y19" s="25" t="n"/>
      <c r="Z19" s="24" t="n"/>
      <c r="AA19" s="23" t="n"/>
      <c r="AB19" s="24" t="n"/>
      <c r="AC19" s="25" t="n"/>
      <c r="AD19" s="24" t="n"/>
      <c r="AE19" s="23" t="n"/>
      <c r="AF19" s="24" t="n"/>
      <c r="AG19" s="25" t="n"/>
      <c r="AH19" s="24" t="n"/>
      <c r="AI19" s="23" t="n"/>
      <c r="AJ19" s="24" t="n"/>
      <c r="AK19" s="25" t="n"/>
      <c r="AL19" s="24" t="n"/>
      <c r="AM19" s="23" t="n"/>
      <c r="AN19" s="24" t="n"/>
      <c r="AO19" s="25" t="n"/>
      <c r="AP19" s="24" t="n"/>
      <c r="AQ19" s="23" t="n"/>
      <c r="AR19" s="24" t="n"/>
      <c r="AS19" s="25" t="n"/>
      <c r="AT19" s="24" t="n"/>
      <c r="AU19" s="23" t="n"/>
      <c r="AV19" s="24" t="n"/>
      <c r="AW19" s="25" t="n"/>
      <c r="AX19" s="24" t="n"/>
      <c r="AY19" s="23" t="n"/>
      <c r="AZ19" s="24" t="n"/>
      <c r="BA19" s="25" t="n"/>
      <c r="BB19" s="24" t="n"/>
      <c r="BC19" s="23" t="n"/>
      <c r="BD19" s="24" t="n"/>
      <c r="BE19" s="25" t="n"/>
      <c r="BF19" s="24" t="n"/>
      <c r="BG19" s="23" t="n"/>
      <c r="BH19" s="24" t="n"/>
      <c r="BI19" s="25" t="n"/>
      <c r="BJ19" s="24" t="n"/>
      <c r="BK19" s="340" t="n"/>
      <c r="BL19" s="803">
        <f>SUMPRODUCT(--(MOD(COLUMN($O19:$AL19),4)=MOD(COLUMN($O19)+0,4)),$O19:$AL19)
+SUMPRODUCT(--(MOD(COLUMN($AM19:$BJ19),4)=MOD(COLUMN($AM19)+0,4)),$AM19:$BJ19)</f>
        <v/>
      </c>
      <c r="BM19" s="804">
        <f>SUMPRODUCT(--(MOD(COLUMN($O19:$AL19),4)=MOD(COLUMN($O19)+0,4)),$O19:$AL19)*
$I19+SUMPRODUCT(--(MOD(COLUMN($AM19:$BJ19),4)=MOD(COLUMN($AM19)+0,4)),$AM19:$BJ19)*$I19</f>
        <v/>
      </c>
      <c r="BN19" s="805">
        <f>SUMPRODUCT(--(MOD(COLUMN($O19:$AL19),4)=MOD(COLUMN($O19)+1,4)),$O19:$AL19)
+SUMPRODUCT(--(MOD(COLUMN($AM19:$BJ19),4)=MOD(COLUMN($AM19)+1,4)),$AM19:$BJ19)</f>
        <v/>
      </c>
      <c r="BO19" s="806">
        <f>SUMPRODUCT(--(MOD(COLUMN($O19:$AL19),4)=MOD(COLUMN($O19)+1,4)),$O19:$AL19)*
$I19+SUMPRODUCT(--(MOD(COLUMN($AM19:$BJ19),4)=MOD(COLUMN($AM19)+1,4)),$AM19:$BJ19)*$I19</f>
        <v/>
      </c>
      <c r="BP19" s="807">
        <f>SUMPRODUCT(--(MOD(COLUMN($O19:$AL19),4)=MOD(COLUMN($O19)+2,4)),$O19:$AL19)
+SUMPRODUCT(--(MOD(COLUMN($AM19:$BJ19),4)=MOD(COLUMN($AM19)+2,4)),$AM19:$BJ19)</f>
        <v/>
      </c>
      <c r="BQ19" s="808">
        <f>SUMPRODUCT(--(MOD(COLUMN($O19:$AL19),4)=MOD(COLUMN($O19)+2,4)),$O19:$AL19)*
$I19+SUMPRODUCT(--(MOD(COLUMN($AM19:$BJ19),4)=MOD(COLUMN($AM19)+2,4)),$AM19:$BJ19)*$I19</f>
        <v/>
      </c>
      <c r="BR19" s="809" t="n"/>
      <c r="BS19" s="801" t="n"/>
      <c r="BT19" s="23" t="n">
        <v>138</v>
      </c>
      <c r="BU19" s="24" t="n"/>
      <c r="BV19" s="25" t="n">
        <v>0</v>
      </c>
      <c r="BW19" s="24" t="n"/>
      <c r="BX19" s="23" t="n">
        <v>138</v>
      </c>
      <c r="BY19" s="24" t="n"/>
      <c r="BZ19" s="25" t="n">
        <v>0</v>
      </c>
      <c r="CA19" s="24" t="n"/>
      <c r="CB19" s="23" t="n">
        <v>138</v>
      </c>
      <c r="CC19" s="24" t="n"/>
      <c r="CD19" s="25" t="n">
        <v>0</v>
      </c>
      <c r="CE19" s="24" t="n"/>
      <c r="CF19" s="23" t="n">
        <v>138</v>
      </c>
      <c r="CG19" s="24" t="n"/>
      <c r="CH19" s="25" t="n">
        <v>0</v>
      </c>
      <c r="CI19" s="24" t="n"/>
      <c r="CJ19" s="23" t="n">
        <v>138</v>
      </c>
      <c r="CK19" s="24" t="n"/>
      <c r="CL19" s="25" t="n">
        <v>0</v>
      </c>
      <c r="CM19" s="24" t="n"/>
      <c r="CN19" s="23" t="n">
        <v>138</v>
      </c>
      <c r="CO19" s="24" t="n"/>
      <c r="CP19" s="25" t="n">
        <v>0</v>
      </c>
      <c r="CQ19" s="24" t="n"/>
      <c r="CR19" s="23" t="n">
        <v>138</v>
      </c>
      <c r="CS19" s="24" t="n"/>
      <c r="CT19" s="25" t="n">
        <v>0</v>
      </c>
      <c r="CU19" s="24" t="n"/>
      <c r="CV19" s="23" t="n">
        <v>138</v>
      </c>
      <c r="CW19" s="24" t="n"/>
      <c r="CX19" s="25" t="n">
        <v>0</v>
      </c>
      <c r="CY19" s="24" t="n"/>
      <c r="CZ19" s="23" t="n">
        <v>138</v>
      </c>
      <c r="DA19" s="24" t="n"/>
      <c r="DB19" s="25" t="n">
        <v>0</v>
      </c>
      <c r="DC19" s="24" t="n"/>
      <c r="DD19" s="23" t="n">
        <v>138</v>
      </c>
      <c r="DE19" s="24" t="n"/>
      <c r="DF19" s="25" t="n">
        <v>0</v>
      </c>
      <c r="DG19" s="24" t="n"/>
      <c r="DH19" s="23" t="n">
        <v>138</v>
      </c>
      <c r="DI19" s="24" t="n"/>
      <c r="DJ19" s="25" t="n">
        <v>0</v>
      </c>
      <c r="DK19" s="24" t="n"/>
      <c r="DL19" s="23" t="n">
        <v>138</v>
      </c>
      <c r="DM19" s="24" t="n"/>
      <c r="DN19" s="25" t="n">
        <v>0</v>
      </c>
      <c r="DO19" s="24" t="n"/>
      <c r="DP19" s="340" t="n"/>
      <c r="DQ19" s="803">
        <f>SUMPRODUCT(--(MOD(COLUMN(BT19:CQ19),4)=MOD(COLUMN(BT19),4)),BT19:CQ19)+SUMPRODUCT(--(MOD(COLUMN(CR19:DO19),4)=MOD(COLUMN(CR19),4)),CR19:DO19)</f>
        <v/>
      </c>
      <c r="DR19" s="803">
        <f>SUMPRODUCT(--(MOD(COLUMN(BT19:CQ19),4)=MOD(COLUMN(BT19),4)),BT19:CQ19)*#REF!+SUMPRODUCT(--(MOD(COLUMN(CR19:DO19),4)=MOD(COLUMN(CR19),4)),CR19:DO19)*#REF!</f>
        <v/>
      </c>
      <c r="DS19" s="809" t="n"/>
      <c r="DT19" s="801" t="n"/>
      <c r="DU19" s="23" t="n">
        <v>276</v>
      </c>
      <c r="DV19" s="24" t="n"/>
      <c r="DW19" s="25" t="n">
        <v>0</v>
      </c>
      <c r="DX19" s="24" t="n"/>
      <c r="DY19" s="23" t="n">
        <v>276</v>
      </c>
      <c r="DZ19" s="24" t="n"/>
      <c r="EA19" s="25" t="n">
        <v>0</v>
      </c>
      <c r="EB19" s="24" t="n"/>
      <c r="EC19" s="23" t="n">
        <v>276</v>
      </c>
      <c r="ED19" s="24" t="n"/>
      <c r="EE19" s="25" t="n">
        <v>0</v>
      </c>
      <c r="EF19" s="24" t="n"/>
      <c r="EG19" s="23" t="n">
        <v>276</v>
      </c>
      <c r="EH19" s="24" t="n"/>
      <c r="EI19" s="25" t="n">
        <v>0</v>
      </c>
      <c r="EJ19" s="24" t="n"/>
      <c r="EK19" s="23" t="n">
        <v>276</v>
      </c>
      <c r="EL19" s="24" t="n"/>
      <c r="EM19" s="25" t="n">
        <v>0</v>
      </c>
      <c r="EN19" s="24" t="n"/>
      <c r="EO19" s="23" t="n">
        <v>276</v>
      </c>
      <c r="EP19" s="24" t="n"/>
      <c r="EQ19" s="25" t="n">
        <v>0</v>
      </c>
      <c r="ER19" s="24" t="n"/>
      <c r="ES19" s="23" t="n">
        <v>276</v>
      </c>
      <c r="ET19" s="24" t="n"/>
      <c r="EU19" s="25" t="n">
        <v>0</v>
      </c>
      <c r="EV19" s="24" t="n"/>
      <c r="EW19" s="23" t="n">
        <v>276</v>
      </c>
      <c r="EX19" s="24" t="n"/>
      <c r="EY19" s="25" t="n">
        <v>0</v>
      </c>
      <c r="EZ19" s="24" t="n"/>
      <c r="FA19" s="23" t="n">
        <v>276</v>
      </c>
      <c r="FB19" s="24" t="n"/>
      <c r="FC19" s="25" t="n">
        <v>0</v>
      </c>
      <c r="FD19" s="24" t="n"/>
      <c r="FE19" s="23" t="n">
        <v>276</v>
      </c>
      <c r="FF19" s="24" t="n"/>
      <c r="FG19" s="25" t="n">
        <v>0</v>
      </c>
      <c r="FH19" s="24" t="n"/>
      <c r="FI19" s="23" t="n">
        <v>276</v>
      </c>
      <c r="FJ19" s="24" t="n"/>
      <c r="FK19" s="25" t="n">
        <v>0</v>
      </c>
      <c r="FL19" s="24" t="n"/>
      <c r="FM19" s="23" t="n">
        <v>276</v>
      </c>
      <c r="FN19" s="24" t="n"/>
      <c r="FO19" s="25" t="n">
        <v>0</v>
      </c>
      <c r="FP19" s="24" t="n"/>
      <c r="FQ19" s="340" t="n"/>
      <c r="FR19" s="803">
        <f>SUMPRODUCT(--(MOD(COLUMN(DU19:ER19),4)=MOD(COLUMN(DU19),4)),DU19:ER19)+SUMPRODUCT(--(MOD(COLUMN(ES19:FP19),4)=MOD(COLUMN(ES19),4)),ES19:FP19)</f>
        <v/>
      </c>
      <c r="FS19" s="803">
        <f>SUMPRODUCT(--(MOD(COLUMN(DU19:ER19),4)=MOD(COLUMN(DU19),4)),DU19:ER19)*#REF!+SUMPRODUCT(--(MOD(COLUMN(ES19:FP19),4)=MOD(COLUMN(ES19),4)),ES19:FP19)*#REF!</f>
        <v/>
      </c>
      <c r="FT19" s="360" t="n"/>
    </row>
    <row r="20" outlineLevel="2" customFormat="1" s="14">
      <c r="A20" s="15" t="inlineStr">
        <is>
          <t>BPW (нет в системе)</t>
        </is>
      </c>
      <c r="B20" s="16" t="inlineStr">
        <is>
          <t>Договор не подписан</t>
        </is>
      </c>
      <c r="C20" s="15" t="inlineStr">
        <is>
          <t>ВБК Восток</t>
        </is>
      </c>
      <c r="D20" s="15" t="inlineStr">
        <is>
          <t>Прасолов, Соловьёв</t>
        </is>
      </c>
      <c r="E20" s="17">
        <f>IF(ISBLANK(G20),"",IF($A$6:$A$64=$A20,COUNTIF($A$6:A20,$A20),""))</f>
        <v/>
      </c>
      <c r="F20" s="17" t="n">
        <v>1</v>
      </c>
      <c r="G20" s="33" t="n">
        <v>9254800504</v>
      </c>
      <c r="H20" s="18" t="inlineStr">
        <is>
          <t>Энергоаккумулятор, тип 20/24</t>
        </is>
      </c>
      <c r="I20" s="625">
        <f>373.98/НДС_20</f>
        <v/>
      </c>
      <c r="J20" s="798" t="n"/>
      <c r="K20" s="798" t="n"/>
      <c r="L20" s="798">
        <f>IF(K20="RUB",J20/ЮАНЬ,IF(K20="EUR",J20*ЕВРО/ЮАНЬ,""))</f>
        <v/>
      </c>
      <c r="M20" s="801" t="n"/>
      <c r="N20" s="802">
        <f>IF(BP20&gt;0,1,IF(BN20&gt;0,2,))</f>
        <v/>
      </c>
      <c r="O20" s="23" t="n"/>
      <c r="P20" s="24" t="n"/>
      <c r="Q20" s="25" t="n"/>
      <c r="R20" s="24" t="n"/>
      <c r="S20" s="23" t="n"/>
      <c r="T20" s="24" t="n"/>
      <c r="U20" s="25" t="n">
        <v>0</v>
      </c>
      <c r="V20" s="24" t="n"/>
      <c r="W20" s="23" t="n"/>
      <c r="X20" s="24" t="n"/>
      <c r="Y20" s="25" t="n"/>
      <c r="Z20" s="24" t="n"/>
      <c r="AA20" s="23" t="n"/>
      <c r="AB20" s="24" t="n"/>
      <c r="AC20" s="25" t="n"/>
      <c r="AD20" s="24" t="n"/>
      <c r="AE20" s="23" t="n"/>
      <c r="AF20" s="24" t="n"/>
      <c r="AG20" s="25" t="n"/>
      <c r="AH20" s="24" t="n"/>
      <c r="AI20" s="23" t="n"/>
      <c r="AJ20" s="24" t="n"/>
      <c r="AK20" s="25" t="n"/>
      <c r="AL20" s="24" t="n"/>
      <c r="AM20" s="23" t="n"/>
      <c r="AN20" s="24" t="n"/>
      <c r="AO20" s="25" t="n"/>
      <c r="AP20" s="24" t="n"/>
      <c r="AQ20" s="23" t="n"/>
      <c r="AR20" s="24" t="n"/>
      <c r="AS20" s="25" t="n"/>
      <c r="AT20" s="24" t="n"/>
      <c r="AU20" s="23" t="n"/>
      <c r="AV20" s="24" t="n"/>
      <c r="AW20" s="25" t="n"/>
      <c r="AX20" s="24" t="n"/>
      <c r="AY20" s="23" t="n"/>
      <c r="AZ20" s="24" t="n"/>
      <c r="BA20" s="25" t="n"/>
      <c r="BB20" s="24" t="n"/>
      <c r="BC20" s="23" t="n"/>
      <c r="BD20" s="24" t="n"/>
      <c r="BE20" s="25" t="n"/>
      <c r="BF20" s="24" t="n"/>
      <c r="BG20" s="23" t="n"/>
      <c r="BH20" s="24" t="n"/>
      <c r="BI20" s="25" t="n"/>
      <c r="BJ20" s="24" t="n"/>
      <c r="BK20" s="340" t="n"/>
      <c r="BL20" s="803">
        <f>SUMPRODUCT(--(MOD(COLUMN($O20:$AL20),4)=MOD(COLUMN($O20)+0,4)),$O20:$AL20)
+SUMPRODUCT(--(MOD(COLUMN($AM20:$BJ20),4)=MOD(COLUMN($AM20)+0,4)),$AM20:$BJ20)</f>
        <v/>
      </c>
      <c r="BM20" s="804">
        <f>SUMPRODUCT(--(MOD(COLUMN($O20:$AL20),4)=MOD(COLUMN($O20)+0,4)),$O20:$AL20)*
$I20+SUMPRODUCT(--(MOD(COLUMN($AM20:$BJ20),4)=MOD(COLUMN($AM20)+0,4)),$AM20:$BJ20)*$I20</f>
        <v/>
      </c>
      <c r="BN20" s="805">
        <f>SUMPRODUCT(--(MOD(COLUMN($O20:$AL20),4)=MOD(COLUMN($O20)+1,4)),$O20:$AL20)
+SUMPRODUCT(--(MOD(COLUMN($AM20:$BJ20),4)=MOD(COLUMN($AM20)+1,4)),$AM20:$BJ20)</f>
        <v/>
      </c>
      <c r="BO20" s="806">
        <f>SUMPRODUCT(--(MOD(COLUMN($O20:$AL20),4)=MOD(COLUMN($O20)+1,4)),$O20:$AL20)*
$I20+SUMPRODUCT(--(MOD(COLUMN($AM20:$BJ20),4)=MOD(COLUMN($AM20)+1,4)),$AM20:$BJ20)*$I20</f>
        <v/>
      </c>
      <c r="BP20" s="807">
        <f>SUMPRODUCT(--(MOD(COLUMN($O20:$AL20),4)=MOD(COLUMN($O20)+2,4)),$O20:$AL20)
+SUMPRODUCT(--(MOD(COLUMN($AM20:$BJ20),4)=MOD(COLUMN($AM20)+2,4)),$AM20:$BJ20)</f>
        <v/>
      </c>
      <c r="BQ20" s="808">
        <f>SUMPRODUCT(--(MOD(COLUMN($O20:$AL20),4)=MOD(COLUMN($O20)+2,4)),$O20:$AL20)*
$I20+SUMPRODUCT(--(MOD(COLUMN($AM20:$BJ20),4)=MOD(COLUMN($AM20)+2,4)),$AM20:$BJ20)*$I20</f>
        <v/>
      </c>
      <c r="BR20" s="809" t="n"/>
      <c r="BS20" s="801" t="n"/>
      <c r="BT20" s="23" t="n">
        <v>276</v>
      </c>
      <c r="BU20" s="24" t="n"/>
      <c r="BV20" s="25" t="n">
        <v>0</v>
      </c>
      <c r="BW20" s="24" t="n"/>
      <c r="BX20" s="23" t="n">
        <v>276</v>
      </c>
      <c r="BY20" s="24" t="n"/>
      <c r="BZ20" s="25" t="n">
        <v>0</v>
      </c>
      <c r="CA20" s="24" t="n"/>
      <c r="CB20" s="23" t="n">
        <v>276</v>
      </c>
      <c r="CC20" s="24" t="n"/>
      <c r="CD20" s="25" t="n">
        <v>0</v>
      </c>
      <c r="CE20" s="24" t="n"/>
      <c r="CF20" s="23" t="n">
        <v>276</v>
      </c>
      <c r="CG20" s="24" t="n"/>
      <c r="CH20" s="25" t="n">
        <v>0</v>
      </c>
      <c r="CI20" s="24" t="n"/>
      <c r="CJ20" s="23" t="n">
        <v>276</v>
      </c>
      <c r="CK20" s="24" t="n"/>
      <c r="CL20" s="25" t="n">
        <v>0</v>
      </c>
      <c r="CM20" s="24" t="n"/>
      <c r="CN20" s="23" t="n">
        <v>276</v>
      </c>
      <c r="CO20" s="24" t="n"/>
      <c r="CP20" s="25" t="n">
        <v>0</v>
      </c>
      <c r="CQ20" s="24" t="n"/>
      <c r="CR20" s="23" t="n">
        <v>276</v>
      </c>
      <c r="CS20" s="24" t="n"/>
      <c r="CT20" s="25" t="n">
        <v>0</v>
      </c>
      <c r="CU20" s="24" t="n"/>
      <c r="CV20" s="23" t="n">
        <v>276</v>
      </c>
      <c r="CW20" s="24" t="n"/>
      <c r="CX20" s="25" t="n">
        <v>0</v>
      </c>
      <c r="CY20" s="24" t="n"/>
      <c r="CZ20" s="23" t="n">
        <v>276</v>
      </c>
      <c r="DA20" s="24" t="n"/>
      <c r="DB20" s="25" t="n">
        <v>0</v>
      </c>
      <c r="DC20" s="24" t="n"/>
      <c r="DD20" s="23" t="n">
        <v>276</v>
      </c>
      <c r="DE20" s="24" t="n"/>
      <c r="DF20" s="25" t="n">
        <v>0</v>
      </c>
      <c r="DG20" s="24" t="n"/>
      <c r="DH20" s="23" t="n">
        <v>276</v>
      </c>
      <c r="DI20" s="24" t="n"/>
      <c r="DJ20" s="25" t="n">
        <v>0</v>
      </c>
      <c r="DK20" s="24" t="n"/>
      <c r="DL20" s="23" t="n">
        <v>276</v>
      </c>
      <c r="DM20" s="24" t="n"/>
      <c r="DN20" s="25" t="n">
        <v>0</v>
      </c>
      <c r="DO20" s="24" t="n"/>
      <c r="DP20" s="340" t="n"/>
      <c r="DQ20" s="803">
        <f>SUMPRODUCT(--(MOD(COLUMN(BT20:CQ20),4)=MOD(COLUMN(BT20),4)),BT20:CQ20)+SUMPRODUCT(--(MOD(COLUMN(CR20:DO20),4)=MOD(COLUMN(CR20),4)),CR20:DO20)</f>
        <v/>
      </c>
      <c r="DR20" s="803">
        <f>SUMPRODUCT(--(MOD(COLUMN(BT20:CQ20),4)=MOD(COLUMN(BT20),4)),BT20:CQ20)*#REF!+SUMPRODUCT(--(MOD(COLUMN(CR20:DO20),4)=MOD(COLUMN(CR20),4)),CR20:DO20)*#REF!</f>
        <v/>
      </c>
      <c r="DS20" s="809" t="n"/>
      <c r="DT20" s="801" t="n"/>
      <c r="DU20" s="23" t="n">
        <v>552</v>
      </c>
      <c r="DV20" s="24" t="n"/>
      <c r="DW20" s="25" t="n">
        <v>0</v>
      </c>
      <c r="DX20" s="24" t="n"/>
      <c r="DY20" s="23" t="n">
        <v>552</v>
      </c>
      <c r="DZ20" s="24" t="n"/>
      <c r="EA20" s="25" t="n">
        <v>0</v>
      </c>
      <c r="EB20" s="24" t="n"/>
      <c r="EC20" s="23" t="n">
        <v>552</v>
      </c>
      <c r="ED20" s="24" t="n"/>
      <c r="EE20" s="25" t="n">
        <v>0</v>
      </c>
      <c r="EF20" s="24" t="n"/>
      <c r="EG20" s="23" t="n">
        <v>552</v>
      </c>
      <c r="EH20" s="24" t="n"/>
      <c r="EI20" s="25" t="n">
        <v>0</v>
      </c>
      <c r="EJ20" s="24" t="n"/>
      <c r="EK20" s="23" t="n">
        <v>552</v>
      </c>
      <c r="EL20" s="24" t="n"/>
      <c r="EM20" s="25" t="n">
        <v>0</v>
      </c>
      <c r="EN20" s="24" t="n"/>
      <c r="EO20" s="23" t="n">
        <v>552</v>
      </c>
      <c r="EP20" s="24" t="n"/>
      <c r="EQ20" s="25" t="n">
        <v>0</v>
      </c>
      <c r="ER20" s="24" t="n"/>
      <c r="ES20" s="23" t="n">
        <v>552</v>
      </c>
      <c r="ET20" s="24" t="n"/>
      <c r="EU20" s="25" t="n">
        <v>0</v>
      </c>
      <c r="EV20" s="24" t="n"/>
      <c r="EW20" s="23" t="n">
        <v>552</v>
      </c>
      <c r="EX20" s="24" t="n"/>
      <c r="EY20" s="25" t="n">
        <v>0</v>
      </c>
      <c r="EZ20" s="24" t="n"/>
      <c r="FA20" s="23" t="n">
        <v>552</v>
      </c>
      <c r="FB20" s="24" t="n"/>
      <c r="FC20" s="25" t="n">
        <v>0</v>
      </c>
      <c r="FD20" s="24" t="n"/>
      <c r="FE20" s="23" t="n">
        <v>552</v>
      </c>
      <c r="FF20" s="24" t="n"/>
      <c r="FG20" s="25" t="n">
        <v>0</v>
      </c>
      <c r="FH20" s="24" t="n"/>
      <c r="FI20" s="23" t="n">
        <v>552</v>
      </c>
      <c r="FJ20" s="24" t="n"/>
      <c r="FK20" s="25" t="n">
        <v>0</v>
      </c>
      <c r="FL20" s="24" t="n"/>
      <c r="FM20" s="23" t="n">
        <v>552</v>
      </c>
      <c r="FN20" s="24" t="n"/>
      <c r="FO20" s="25" t="n">
        <v>0</v>
      </c>
      <c r="FP20" s="24" t="n"/>
      <c r="FQ20" s="340" t="n"/>
      <c r="FR20" s="803">
        <f>SUMPRODUCT(--(MOD(COLUMN(DU20:ER20),4)=MOD(COLUMN(DU20),4)),DU20:ER20)+SUMPRODUCT(--(MOD(COLUMN(ES20:FP20),4)=MOD(COLUMN(ES20),4)),ES20:FP20)</f>
        <v/>
      </c>
      <c r="FS20" s="803">
        <f>SUMPRODUCT(--(MOD(COLUMN(DU20:ER20),4)=MOD(COLUMN(DU20),4)),DU20:ER20)*#REF!+SUMPRODUCT(--(MOD(COLUMN(ES20:FP20),4)=MOD(COLUMN(ES20),4)),ES20:FP20)*#REF!</f>
        <v/>
      </c>
      <c r="FT20" s="360" t="n"/>
    </row>
    <row r="21" outlineLevel="2" customFormat="1" s="14">
      <c r="A21" s="15" t="inlineStr">
        <is>
          <t>BPW (нет в системе)</t>
        </is>
      </c>
      <c r="B21" s="16" t="n"/>
      <c r="C21" s="15" t="n"/>
      <c r="D21" s="15" t="n"/>
      <c r="E21" s="35">
        <f>IF(ISBLANK(G21),"",IF($A$6:$A$64=$A21,COUNTIF($A$6:A21,$A21),""))</f>
        <v/>
      </c>
      <c r="F21" s="35" t="n"/>
      <c r="G21" s="53" t="n"/>
      <c r="H21" s="36" t="inlineStr">
        <is>
          <t>Итого</t>
        </is>
      </c>
      <c r="I21" s="626" t="n"/>
      <c r="J21" s="810" t="n"/>
      <c r="K21" s="810" t="n"/>
      <c r="L21" s="810">
        <f>IF(K21="RUB",J21/ЮАНЬ,IF(K21="EUR",J21*ЕВРО/ЮАНЬ,""))</f>
        <v/>
      </c>
      <c r="M21" s="801" t="n"/>
      <c r="N21" s="802">
        <f>IF(BP21&gt;0,1,IF(BN21&gt;0,2,))</f>
        <v/>
      </c>
      <c r="O21" s="40" t="n"/>
      <c r="P21" s="41" t="n"/>
      <c r="Q21" s="42" t="n"/>
      <c r="R21" s="41" t="n"/>
      <c r="S21" s="40" t="n"/>
      <c r="T21" s="41" t="n"/>
      <c r="U21" s="42" t="n"/>
      <c r="V21" s="41" t="n"/>
      <c r="W21" s="40" t="n"/>
      <c r="X21" s="41" t="n"/>
      <c r="Y21" s="42" t="n"/>
      <c r="Z21" s="41" t="n"/>
      <c r="AA21" s="40" t="n"/>
      <c r="AB21" s="41" t="n"/>
      <c r="AC21" s="42" t="n"/>
      <c r="AD21" s="41" t="n"/>
      <c r="AE21" s="40" t="n"/>
      <c r="AF21" s="41" t="n"/>
      <c r="AG21" s="42" t="n"/>
      <c r="AH21" s="41" t="n"/>
      <c r="AI21" s="40" t="n"/>
      <c r="AJ21" s="41" t="n"/>
      <c r="AK21" s="42" t="n"/>
      <c r="AL21" s="41" t="n"/>
      <c r="AM21" s="40" t="n"/>
      <c r="AN21" s="41" t="n"/>
      <c r="AO21" s="42" t="n"/>
      <c r="AP21" s="41" t="n"/>
      <c r="AQ21" s="40" t="n"/>
      <c r="AR21" s="41" t="n"/>
      <c r="AS21" s="42" t="n"/>
      <c r="AT21" s="41" t="n"/>
      <c r="AU21" s="40" t="n"/>
      <c r="AV21" s="41" t="n"/>
      <c r="AW21" s="42" t="n"/>
      <c r="AX21" s="41" t="n"/>
      <c r="AY21" s="40" t="n"/>
      <c r="AZ21" s="41" t="n"/>
      <c r="BA21" s="42" t="n"/>
      <c r="BB21" s="41" t="n"/>
      <c r="BC21" s="40" t="n"/>
      <c r="BD21" s="41" t="n"/>
      <c r="BE21" s="42" t="n"/>
      <c r="BF21" s="41" t="n"/>
      <c r="BG21" s="40" t="n"/>
      <c r="BH21" s="41" t="n"/>
      <c r="BI21" s="42" t="n"/>
      <c r="BJ21" s="43" t="n"/>
      <c r="BK21" s="341" t="n"/>
      <c r="BL21" s="811">
        <f>SUMPRODUCT(--(MOD(COLUMN($O21:$AL21),4)=MOD(COLUMN($O21)+0,4)),$O21:$AL21)
+SUMPRODUCT(--(MOD(COLUMN($AM21:$BJ21),4)=MOD(COLUMN($AM21)+0,4)),$AM21:$BJ21)</f>
        <v/>
      </c>
      <c r="BM21" s="812">
        <f>SUMPRODUCT(--(MOD(COLUMN($O21:$AL21),4)=MOD(COLUMN($O21)+0,4)),$O21:$AL21)*
$I21+SUMPRODUCT(--(MOD(COLUMN($AM21:$BJ21),4)=MOD(COLUMN($AM21)+0,4)),$AM21:$BJ21)*$I21</f>
        <v/>
      </c>
      <c r="BN21" s="805">
        <f>SUMPRODUCT(--(MOD(COLUMN($O21:$AL21),4)=MOD(COLUMN($O21)+1,4)),$O21:$AL21)
+SUMPRODUCT(--(MOD(COLUMN($AM21:$BJ21),4)=MOD(COLUMN($AM21)+1,4)),$AM21:$BJ21)</f>
        <v/>
      </c>
      <c r="BO21" s="806">
        <f>SUMPRODUCT(--(MOD(COLUMN($O21:$AL21),4)=MOD(COLUMN($O21)+1,4)),$O21:$AL21)*
$I21+SUMPRODUCT(--(MOD(COLUMN($AM21:$BJ21),4)=MOD(COLUMN($AM21)+1,4)),$AM21:$BJ21)*$I21</f>
        <v/>
      </c>
      <c r="BP21" s="807">
        <f>SUMPRODUCT(--(MOD(COLUMN($O21:$AL21),4)=MOD(COLUMN($O21)+2,4)),$O21:$AL21)
+SUMPRODUCT(--(MOD(COLUMN($AM21:$BJ21),4)=MOD(COLUMN($AM21)+2,4)),$AM21:$BJ21)</f>
        <v/>
      </c>
      <c r="BQ21" s="808">
        <f>SUMPRODUCT(--(MOD(COLUMN($O21:$AL21),4)=MOD(COLUMN($O21)+2,4)),$O21:$AL21)*
$I21+SUMPRODUCT(--(MOD(COLUMN($AM21:$BJ21),4)=MOD(COLUMN($AM21)+2,4)),$AM21:$BJ21)*$I21</f>
        <v/>
      </c>
      <c r="BR21" s="813" t="n"/>
      <c r="BS21" s="801" t="n"/>
      <c r="BT21" s="40" t="n"/>
      <c r="BU21" s="41" t="n"/>
      <c r="BV21" s="42" t="n"/>
      <c r="BW21" s="41" t="n"/>
      <c r="BX21" s="40" t="n"/>
      <c r="BY21" s="41" t="n"/>
      <c r="BZ21" s="42" t="n"/>
      <c r="CA21" s="41" t="n"/>
      <c r="CB21" s="40" t="n"/>
      <c r="CC21" s="41" t="n"/>
      <c r="CD21" s="42" t="n"/>
      <c r="CE21" s="41" t="n"/>
      <c r="CF21" s="40" t="n"/>
      <c r="CG21" s="41" t="n"/>
      <c r="CH21" s="42" t="n"/>
      <c r="CI21" s="41" t="n"/>
      <c r="CJ21" s="40" t="n"/>
      <c r="CK21" s="41" t="n"/>
      <c r="CL21" s="42" t="n"/>
      <c r="CM21" s="41" t="n"/>
      <c r="CN21" s="40" t="n"/>
      <c r="CO21" s="41" t="n"/>
      <c r="CP21" s="42" t="n"/>
      <c r="CQ21" s="41" t="n"/>
      <c r="CR21" s="40" t="n"/>
      <c r="CS21" s="41" t="n"/>
      <c r="CT21" s="42" t="n"/>
      <c r="CU21" s="41" t="n"/>
      <c r="CV21" s="40" t="n"/>
      <c r="CW21" s="41" t="n"/>
      <c r="CX21" s="42" t="n"/>
      <c r="CY21" s="41" t="n"/>
      <c r="CZ21" s="40" t="n"/>
      <c r="DA21" s="41" t="n"/>
      <c r="DB21" s="42" t="n"/>
      <c r="DC21" s="41" t="n"/>
      <c r="DD21" s="40" t="n"/>
      <c r="DE21" s="41" t="n"/>
      <c r="DF21" s="42" t="n"/>
      <c r="DG21" s="41" t="n"/>
      <c r="DH21" s="40" t="n"/>
      <c r="DI21" s="41" t="n"/>
      <c r="DJ21" s="42" t="n"/>
      <c r="DK21" s="41" t="n"/>
      <c r="DL21" s="40" t="n"/>
      <c r="DM21" s="41" t="n"/>
      <c r="DN21" s="42" t="n"/>
      <c r="DO21" s="43" t="n"/>
      <c r="DP21" s="341" t="n"/>
      <c r="DQ21" s="811">
        <f>SUMPRODUCT(--(MOD(COLUMN(BT21:CQ21),4)=MOD(COLUMN(BT21),4)),BT21:CQ21)+SUMPRODUCT(--(MOD(COLUMN(CR21:DO21),4)=MOD(COLUMN(CR21),4)),CR21:DO21)</f>
        <v/>
      </c>
      <c r="DR21" s="811">
        <f>SUMPRODUCT(--(MOD(COLUMN(BT21:CQ21),4)=MOD(COLUMN(BT21),4)),BT21:CQ21)*#REF!+SUMPRODUCT(--(MOD(COLUMN(CR21:DO21),4)=MOD(COLUMN(CR21),4)),CR21:DO21)*#REF!</f>
        <v/>
      </c>
      <c r="DS21" s="813" t="n"/>
      <c r="DT21" s="801" t="n"/>
      <c r="DU21" s="40" t="n"/>
      <c r="DV21" s="41" t="n"/>
      <c r="DW21" s="42" t="n"/>
      <c r="DX21" s="41" t="n"/>
      <c r="DY21" s="40" t="n"/>
      <c r="DZ21" s="41" t="n"/>
      <c r="EA21" s="42" t="n"/>
      <c r="EB21" s="41" t="n"/>
      <c r="EC21" s="40" t="n"/>
      <c r="ED21" s="41" t="n"/>
      <c r="EE21" s="42" t="n"/>
      <c r="EF21" s="41" t="n"/>
      <c r="EG21" s="40" t="n"/>
      <c r="EH21" s="41" t="n"/>
      <c r="EI21" s="42" t="n"/>
      <c r="EJ21" s="41" t="n"/>
      <c r="EK21" s="40" t="n"/>
      <c r="EL21" s="41" t="n"/>
      <c r="EM21" s="42" t="n"/>
      <c r="EN21" s="41" t="n"/>
      <c r="EO21" s="40" t="n"/>
      <c r="EP21" s="41" t="n"/>
      <c r="EQ21" s="42" t="n"/>
      <c r="ER21" s="41" t="n"/>
      <c r="ES21" s="40" t="n"/>
      <c r="ET21" s="41" t="n"/>
      <c r="EU21" s="42" t="n"/>
      <c r="EV21" s="41" t="n"/>
      <c r="EW21" s="40" t="n"/>
      <c r="EX21" s="41" t="n"/>
      <c r="EY21" s="42" t="n"/>
      <c r="EZ21" s="41" t="n"/>
      <c r="FA21" s="40" t="n"/>
      <c r="FB21" s="41" t="n"/>
      <c r="FC21" s="42" t="n"/>
      <c r="FD21" s="41" t="n"/>
      <c r="FE21" s="40" t="n"/>
      <c r="FF21" s="41" t="n"/>
      <c r="FG21" s="42" t="n"/>
      <c r="FH21" s="41" t="n"/>
      <c r="FI21" s="40" t="n"/>
      <c r="FJ21" s="41" t="n"/>
      <c r="FK21" s="42" t="n"/>
      <c r="FL21" s="41" t="n"/>
      <c r="FM21" s="40" t="n"/>
      <c r="FN21" s="41" t="n"/>
      <c r="FO21" s="42" t="n"/>
      <c r="FP21" s="43" t="n"/>
      <c r="FQ21" s="341" t="n"/>
      <c r="FR21" s="811">
        <f>SUMPRODUCT(--(MOD(COLUMN(DU21:ER21),4)=MOD(COLUMN(DU21),4)),DU21:ER21)+SUMPRODUCT(--(MOD(COLUMN(ES21:FP21),4)=MOD(COLUMN(ES21),4)),ES21:FP21)</f>
        <v/>
      </c>
      <c r="FS21" s="811">
        <f>SUMPRODUCT(--(MOD(COLUMN(DU21:ER21),4)=MOD(COLUMN(DU21),4)),DU21:ER21)*#REF!+SUMPRODUCT(--(MOD(COLUMN(ES21:FP21),4)=MOD(COLUMN(ES21),4)),ES21:FP21)*#REF!</f>
        <v/>
      </c>
      <c r="FT21" s="360" t="n"/>
    </row>
    <row r="22" outlineLevel="1" customFormat="1" s="44">
      <c r="A22" s="45" t="inlineStr">
        <is>
          <t>BPW (нет в системе)</t>
        </is>
      </c>
      <c r="B22" s="46" t="n"/>
      <c r="C22" s="46" t="n"/>
      <c r="D22" s="46" t="n"/>
      <c r="E22" s="47">
        <f>IF(ISBLANK(G22),"",IF($A$6:$A$64=$A22,COUNTIF($A$6:A22,$A22),""))</f>
        <v/>
      </c>
      <c r="F22" s="47" t="n"/>
      <c r="G22" s="48" t="n"/>
      <c r="H22" s="49" t="n"/>
      <c r="I22" s="620" t="n"/>
      <c r="J22" s="50" t="n"/>
      <c r="K22" s="50" t="n"/>
      <c r="L22" s="50">
        <f>IF(K22="RUB",J22/ЮАНЬ,IF(K22="EUR",J22*ЕВРО/ЮАНЬ,""))</f>
        <v/>
      </c>
      <c r="M22" s="51" t="n"/>
      <c r="N22" s="802">
        <f>IF(BP22&gt;0,1,IF(BN22&gt;0,2,))</f>
        <v/>
      </c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  <c r="AN22" s="51" t="n"/>
      <c r="AO22" s="51" t="n"/>
      <c r="AP22" s="51" t="n"/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  <c r="BG22" s="51" t="n"/>
      <c r="BH22" s="51" t="n"/>
      <c r="BI22" s="51" t="n"/>
      <c r="BJ22" s="51" t="n"/>
      <c r="BK22" s="335" t="n"/>
      <c r="BL22" s="814">
        <f>SUMPRODUCT(--(MOD(COLUMN($O22:$AL22),4)=MOD(COLUMN($O22)+0,4)),$O22:$AL22)
+SUMPRODUCT(--(MOD(COLUMN($AM22:$BJ22),4)=MOD(COLUMN($AM22)+0,4)),$AM22:$BJ22)</f>
        <v/>
      </c>
      <c r="BM22" s="815">
        <f>SUMPRODUCT(--(MOD(COLUMN($O22:$AL22),4)=MOD(COLUMN($O22)+0,4)),$O22:$AL22)*
$I22+SUMPRODUCT(--(MOD(COLUMN($AM22:$BJ22),4)=MOD(COLUMN($AM22)+0,4)),$AM22:$BJ22)*$I22</f>
        <v/>
      </c>
      <c r="BN22" s="814">
        <f>SUMPRODUCT(--(MOD(COLUMN($O22:$AL22),4)=MOD(COLUMN($O22)+1,4)),$O22:$AL22)
+SUMPRODUCT(--(MOD(COLUMN($AM22:$BJ22),4)=MOD(COLUMN($AM22)+1,4)),$AM22:$BJ22)</f>
        <v/>
      </c>
      <c r="BO22" s="814">
        <f>SUMPRODUCT(--(MOD(COLUMN($O22:$AL22),4)=MOD(COLUMN($O22)+1,4)),$O22:$AL22)*
$I22+SUMPRODUCT(--(MOD(COLUMN($AM22:$BJ22),4)=MOD(COLUMN($AM22)+1,4)),$AM22:$BJ22)*$I22</f>
        <v/>
      </c>
      <c r="BP22" s="814">
        <f>SUMPRODUCT(--(MOD(COLUMN($O22:$AL22),4)=MOD(COLUMN($O22)+2,4)),$O22:$AL22)
+SUMPRODUCT(--(MOD(COLUMN($AM22:$BJ22),4)=MOD(COLUMN($AM22)+2,4)),$AM22:$BJ22)</f>
        <v/>
      </c>
      <c r="BQ22" s="814">
        <f>SUMPRODUCT(--(MOD(COLUMN($O22:$AL22),4)=MOD(COLUMN($O22)+2,4)),$O22:$AL22)*
$I22+SUMPRODUCT(--(MOD(COLUMN($AM22:$BJ22),4)=MOD(COLUMN($AM22)+2,4)),$AM22:$BJ22)*$I22</f>
        <v/>
      </c>
      <c r="BR22" s="816" t="n"/>
      <c r="BS22" s="51" t="n"/>
      <c r="BT22" s="51" t="n"/>
      <c r="BU22" s="51" t="n"/>
      <c r="BV22" s="51" t="n"/>
      <c r="BW22" s="51" t="n"/>
      <c r="BX22" s="51" t="n"/>
      <c r="BY22" s="51" t="n"/>
      <c r="BZ22" s="51" t="n"/>
      <c r="CA22" s="51" t="n"/>
      <c r="CB22" s="51" t="n"/>
      <c r="CC22" s="51" t="n"/>
      <c r="CD22" s="51" t="n"/>
      <c r="CE22" s="51" t="n"/>
      <c r="CF22" s="51" t="n"/>
      <c r="CG22" s="51" t="n"/>
      <c r="CH22" s="51" t="n"/>
      <c r="CI22" s="51" t="n"/>
      <c r="CJ22" s="51" t="n"/>
      <c r="CK22" s="51" t="n"/>
      <c r="CL22" s="51" t="n"/>
      <c r="CM22" s="51" t="n"/>
      <c r="CN22" s="51" t="n"/>
      <c r="CO22" s="51" t="n"/>
      <c r="CP22" s="51" t="n"/>
      <c r="CQ22" s="51" t="n"/>
      <c r="CR22" s="51" t="n"/>
      <c r="CS22" s="51" t="n"/>
      <c r="CT22" s="51" t="n"/>
      <c r="CU22" s="51" t="n"/>
      <c r="CV22" s="51" t="n"/>
      <c r="CW22" s="51" t="n"/>
      <c r="CX22" s="51" t="n"/>
      <c r="CY22" s="51" t="n"/>
      <c r="CZ22" s="51" t="n"/>
      <c r="DA22" s="51" t="n"/>
      <c r="DB22" s="51" t="n"/>
      <c r="DC22" s="51" t="n"/>
      <c r="DD22" s="51" t="n"/>
      <c r="DE22" s="51" t="n"/>
      <c r="DF22" s="51" t="n"/>
      <c r="DG22" s="51" t="n"/>
      <c r="DH22" s="51" t="n"/>
      <c r="DI22" s="51" t="n"/>
      <c r="DJ22" s="51" t="n"/>
      <c r="DK22" s="51" t="n"/>
      <c r="DL22" s="51" t="n"/>
      <c r="DM22" s="51" t="n"/>
      <c r="DN22" s="51" t="n"/>
      <c r="DO22" s="51" t="n"/>
      <c r="DP22" s="335" t="n"/>
      <c r="DQ22" s="814">
        <f>SUMPRODUCT(--(MOD(COLUMN(BT22:CQ22),4)=MOD(COLUMN(BT22),4)),BT22:CQ22)+SUMPRODUCT(--(MOD(COLUMN(CR22:DO22),4)=MOD(COLUMN(CR22),4)),CR22:DO22)</f>
        <v/>
      </c>
      <c r="DR22" s="814">
        <f>SUMPRODUCT(--(MOD(COLUMN(BT22:CQ22),4)=MOD(COLUMN(BT22),4)),BT22:CQ22)*#REF!+SUMPRODUCT(--(MOD(COLUMN(CR22:DO22),4)=MOD(COLUMN(CR22),4)),CR22:DO22)*#REF!</f>
        <v/>
      </c>
      <c r="DS22" s="816" t="n"/>
      <c r="DT22" s="51" t="n"/>
      <c r="DU22" s="51" t="n"/>
      <c r="DV22" s="51" t="n"/>
      <c r="DW22" s="51" t="n"/>
      <c r="DX22" s="51" t="n"/>
      <c r="DY22" s="51" t="n"/>
      <c r="DZ22" s="51" t="n"/>
      <c r="EA22" s="51" t="n"/>
      <c r="EB22" s="51" t="n"/>
      <c r="EC22" s="51" t="n"/>
      <c r="ED22" s="51" t="n"/>
      <c r="EE22" s="51" t="n"/>
      <c r="EF22" s="51" t="n"/>
      <c r="EG22" s="51" t="n"/>
      <c r="EH22" s="51" t="n"/>
      <c r="EI22" s="51" t="n"/>
      <c r="EJ22" s="51" t="n"/>
      <c r="EK22" s="51" t="n"/>
      <c r="EL22" s="51" t="n"/>
      <c r="EM22" s="51" t="n"/>
      <c r="EN22" s="51" t="n"/>
      <c r="EO22" s="51" t="n"/>
      <c r="EP22" s="51" t="n"/>
      <c r="EQ22" s="51" t="n"/>
      <c r="ER22" s="51" t="n"/>
      <c r="ES22" s="51" t="n"/>
      <c r="ET22" s="51" t="n"/>
      <c r="EU22" s="51" t="n"/>
      <c r="EV22" s="51" t="n"/>
      <c r="EW22" s="51" t="n"/>
      <c r="EX22" s="51" t="n"/>
      <c r="EY22" s="51" t="n"/>
      <c r="EZ22" s="51" t="n"/>
      <c r="FA22" s="51" t="n"/>
      <c r="FB22" s="51" t="n"/>
      <c r="FC22" s="51" t="n"/>
      <c r="FD22" s="51" t="n"/>
      <c r="FE22" s="51" t="n"/>
      <c r="FF22" s="51" t="n"/>
      <c r="FG22" s="51" t="n"/>
      <c r="FH22" s="51" t="n"/>
      <c r="FI22" s="51" t="n"/>
      <c r="FJ22" s="51" t="n"/>
      <c r="FK22" s="51" t="n"/>
      <c r="FL22" s="51" t="n"/>
      <c r="FM22" s="51" t="n"/>
      <c r="FN22" s="51" t="n"/>
      <c r="FO22" s="51" t="n"/>
      <c r="FP22" s="51" t="n"/>
      <c r="FQ22" s="335" t="n"/>
      <c r="FR22" s="814">
        <f>SUMPRODUCT(--(MOD(COLUMN(DU22:ER22),4)=MOD(COLUMN(DU22),4)),DU22:ER22)+SUMPRODUCT(--(MOD(COLUMN(ES22:FP22),4)=MOD(COLUMN(ES22),4)),ES22:FP22)</f>
        <v/>
      </c>
      <c r="FS22" s="814">
        <f>SUMPRODUCT(--(MOD(COLUMN(DU22:ER22),4)=MOD(COLUMN(DU22),4)),DU22:ER22)*#REF!+SUMPRODUCT(--(MOD(COLUMN(ES22:FP22),4)=MOD(COLUMN(ES22),4)),ES22:FP22)*#REF!</f>
        <v/>
      </c>
      <c r="FT22" s="370" t="n"/>
    </row>
    <row r="23" outlineLevel="2" customFormat="1" s="14">
      <c r="A23" s="15" t="inlineStr">
        <is>
          <t>HJBridge (нет в системе)</t>
        </is>
      </c>
      <c r="B23" s="16" t="inlineStr">
        <is>
          <t>Договор не подписан</t>
        </is>
      </c>
      <c r="C23" s="15" t="inlineStr">
        <is>
          <t>ВБК Восток</t>
        </is>
      </c>
      <c r="D23" s="15" t="inlineStr">
        <is>
          <t>Прасолов, Соловьёв</t>
        </is>
      </c>
      <c r="E23" s="17">
        <f>IF(ISBLANK(G23),"",IF($A$6:$A$64=$A23,COUNTIF($A$6:A23,$A23),""))</f>
        <v/>
      </c>
      <c r="F23" s="10" t="n">
        <v>1</v>
      </c>
      <c r="G23" s="54" t="n">
        <v>6402250340</v>
      </c>
      <c r="H23" s="407" t="inlineStr">
        <is>
          <t>Дисковый тормозной механизм (левый)</t>
        </is>
      </c>
      <c r="I23" s="628">
        <f>2160/НДС_20</f>
        <v/>
      </c>
      <c r="J23" s="798" t="n"/>
      <c r="K23" s="798" t="n"/>
      <c r="L23" s="798">
        <f>IF(K23="RUB",J23/ЮАНЬ,IF(K23="EUR",J23*ЕВРО/ЮАНЬ,""))</f>
        <v/>
      </c>
      <c r="M23" s="801" t="n"/>
      <c r="N23" s="802">
        <f>IF(BP23&gt;0,1,IF(BN23&gt;0,2,))</f>
        <v/>
      </c>
      <c r="O23" s="23" t="n"/>
      <c r="P23" s="24" t="n"/>
      <c r="Q23" s="25" t="n"/>
      <c r="R23" s="24" t="n"/>
      <c r="S23" s="23" t="n"/>
      <c r="T23" s="24" t="n"/>
      <c r="U23" s="25" t="n">
        <v>0</v>
      </c>
      <c r="V23" s="24" t="n"/>
      <c r="W23" s="23" t="n"/>
      <c r="X23" s="24" t="n"/>
      <c r="Y23" s="25" t="n"/>
      <c r="Z23" s="24" t="n"/>
      <c r="AA23" s="23" t="n"/>
      <c r="AB23" s="24" t="n"/>
      <c r="AC23" s="25" t="n"/>
      <c r="AD23" s="24" t="n"/>
      <c r="AE23" s="23" t="n"/>
      <c r="AF23" s="24" t="n"/>
      <c r="AG23" s="25" t="n"/>
      <c r="AH23" s="24" t="n"/>
      <c r="AI23" s="23" t="n"/>
      <c r="AJ23" s="24" t="n"/>
      <c r="AK23" s="25" t="n"/>
      <c r="AL23" s="24" t="n"/>
      <c r="AM23" s="23" t="n"/>
      <c r="AN23" s="24" t="n"/>
      <c r="AO23" s="25" t="n"/>
      <c r="AP23" s="24" t="n"/>
      <c r="AQ23" s="23" t="n"/>
      <c r="AR23" s="24" t="n"/>
      <c r="AS23" s="25" t="n"/>
      <c r="AT23" s="24" t="n"/>
      <c r="AU23" s="23" t="n"/>
      <c r="AV23" s="24" t="n"/>
      <c r="AW23" s="25" t="n"/>
      <c r="AX23" s="24" t="n"/>
      <c r="AY23" s="23" t="n"/>
      <c r="AZ23" s="24" t="n"/>
      <c r="BA23" s="25" t="n"/>
      <c r="BB23" s="24" t="n"/>
      <c r="BC23" s="23" t="n"/>
      <c r="BD23" s="24" t="n"/>
      <c r="BE23" s="25" t="n"/>
      <c r="BF23" s="24" t="n"/>
      <c r="BG23" s="23" t="n"/>
      <c r="BH23" s="24" t="n"/>
      <c r="BI23" s="25" t="n"/>
      <c r="BJ23" s="24" t="n"/>
      <c r="BK23" s="340" t="n"/>
      <c r="BL23" s="803">
        <f>SUMPRODUCT(--(MOD(COLUMN($O23:$AL23),4)=MOD(COLUMN($O23)+0,4)),$O23:$AL23)
+SUMPRODUCT(--(MOD(COLUMN($AM23:$BJ23),4)=MOD(COLUMN($AM23)+0,4)),$AM23:$BJ23)</f>
        <v/>
      </c>
      <c r="BM23" s="804">
        <f>SUMPRODUCT(--(MOD(COLUMN($O23:$AL23),4)=MOD(COLUMN($O23)+0,4)),$O23:$AL23)*
$I23+SUMPRODUCT(--(MOD(COLUMN($AM23:$BJ23),4)=MOD(COLUMN($AM23)+0,4)),$AM23:$BJ23)*$I23</f>
        <v/>
      </c>
      <c r="BN23" s="805">
        <f>SUMPRODUCT(--(MOD(COLUMN($O23:$AL23),4)=MOD(COLUMN($O23)+1,4)),$O23:$AL23)
+SUMPRODUCT(--(MOD(COLUMN($AM23:$BJ23),4)=MOD(COLUMN($AM23)+1,4)),$AM23:$BJ23)</f>
        <v/>
      </c>
      <c r="BO23" s="806">
        <f>SUMPRODUCT(--(MOD(COLUMN($O23:$AL23),4)=MOD(COLUMN($O23)+1,4)),$O23:$AL23)*
$I23+SUMPRODUCT(--(MOD(COLUMN($AM23:$BJ23),4)=MOD(COLUMN($AM23)+1,4)),$AM23:$BJ23)*$I23</f>
        <v/>
      </c>
      <c r="BP23" s="807">
        <f>SUMPRODUCT(--(MOD(COLUMN($O23:$AL23),4)=MOD(COLUMN($O23)+2,4)),$O23:$AL23)
+SUMPRODUCT(--(MOD(COLUMN($AM23:$BJ23),4)=MOD(COLUMN($AM23)+2,4)),$AM23:$BJ23)</f>
        <v/>
      </c>
      <c r="BQ23" s="808">
        <f>SUMPRODUCT(--(MOD(COLUMN($O23:$AL23),4)=MOD(COLUMN($O23)+2,4)),$O23:$AL23)*
$I23+SUMPRODUCT(--(MOD(COLUMN($AM23:$BJ23),4)=MOD(COLUMN($AM23)+2,4)),$AM23:$BJ23)*$I23</f>
        <v/>
      </c>
      <c r="BR23" s="809" t="n"/>
      <c r="BS23" s="801" t="n"/>
      <c r="BT23" s="23" t="n">
        <v>621</v>
      </c>
      <c r="BU23" s="24" t="n"/>
      <c r="BV23" s="25" t="n">
        <v>0</v>
      </c>
      <c r="BW23" s="24" t="n"/>
      <c r="BX23" s="23" t="n">
        <v>621</v>
      </c>
      <c r="BY23" s="24" t="n"/>
      <c r="BZ23" s="25" t="n">
        <v>0</v>
      </c>
      <c r="CA23" s="24" t="n"/>
      <c r="CB23" s="23" t="n">
        <v>621</v>
      </c>
      <c r="CC23" s="24" t="n"/>
      <c r="CD23" s="25" t="n">
        <v>0</v>
      </c>
      <c r="CE23" s="24" t="n"/>
      <c r="CF23" s="23" t="n">
        <v>621</v>
      </c>
      <c r="CG23" s="24" t="n"/>
      <c r="CH23" s="25" t="n">
        <v>0</v>
      </c>
      <c r="CI23" s="24" t="n"/>
      <c r="CJ23" s="23" t="n">
        <v>621</v>
      </c>
      <c r="CK23" s="24" t="n"/>
      <c r="CL23" s="25" t="n">
        <v>0</v>
      </c>
      <c r="CM23" s="24" t="n"/>
      <c r="CN23" s="23" t="n">
        <v>621</v>
      </c>
      <c r="CO23" s="24" t="n"/>
      <c r="CP23" s="25" t="n">
        <v>0</v>
      </c>
      <c r="CQ23" s="24" t="n"/>
      <c r="CR23" s="23" t="n">
        <v>621</v>
      </c>
      <c r="CS23" s="24" t="n"/>
      <c r="CT23" s="25" t="n">
        <v>0</v>
      </c>
      <c r="CU23" s="24" t="n"/>
      <c r="CV23" s="23" t="n">
        <v>621</v>
      </c>
      <c r="CW23" s="24" t="n"/>
      <c r="CX23" s="25" t="n">
        <v>0</v>
      </c>
      <c r="CY23" s="24" t="n"/>
      <c r="CZ23" s="23" t="n">
        <v>621</v>
      </c>
      <c r="DA23" s="24" t="n"/>
      <c r="DB23" s="25" t="n">
        <v>0</v>
      </c>
      <c r="DC23" s="24" t="n"/>
      <c r="DD23" s="23" t="n">
        <v>621</v>
      </c>
      <c r="DE23" s="24" t="n"/>
      <c r="DF23" s="25" t="n">
        <v>0</v>
      </c>
      <c r="DG23" s="24" t="n"/>
      <c r="DH23" s="23" t="n">
        <v>621</v>
      </c>
      <c r="DI23" s="24" t="n"/>
      <c r="DJ23" s="25" t="n">
        <v>0</v>
      </c>
      <c r="DK23" s="24" t="n"/>
      <c r="DL23" s="23" t="n">
        <v>621</v>
      </c>
      <c r="DM23" s="24" t="n"/>
      <c r="DN23" s="25" t="n">
        <v>0</v>
      </c>
      <c r="DO23" s="24" t="n"/>
      <c r="DP23" s="340" t="n"/>
      <c r="DQ23" s="803">
        <f>SUMPRODUCT(--(MOD(COLUMN(BT23:CQ23),4)=MOD(COLUMN(BT23),4)),BT23:CQ23)+SUMPRODUCT(--(MOD(COLUMN(CR23:DO23),4)=MOD(COLUMN(CR23),4)),CR23:DO23)</f>
        <v/>
      </c>
      <c r="DR23" s="803">
        <f>SUMPRODUCT(--(MOD(COLUMN(BT23:CQ23),4)=MOD(COLUMN(BT23),4)),BT23:CQ23)*#REF!+SUMPRODUCT(--(MOD(COLUMN(CR23:DO23),4)=MOD(COLUMN(CR23),4)),CR23:DO23)*#REF!</f>
        <v/>
      </c>
      <c r="DS23" s="809" t="n"/>
      <c r="DT23" s="801" t="n"/>
      <c r="DU23" s="23" t="n">
        <v>828</v>
      </c>
      <c r="DV23" s="24" t="n"/>
      <c r="DW23" s="25" t="n">
        <v>0</v>
      </c>
      <c r="DX23" s="24" t="n"/>
      <c r="DY23" s="23" t="n">
        <v>828</v>
      </c>
      <c r="DZ23" s="24" t="n"/>
      <c r="EA23" s="25" t="n">
        <v>0</v>
      </c>
      <c r="EB23" s="24" t="n"/>
      <c r="EC23" s="23" t="n">
        <v>828</v>
      </c>
      <c r="ED23" s="24" t="n"/>
      <c r="EE23" s="25" t="n">
        <v>0</v>
      </c>
      <c r="EF23" s="24" t="n"/>
      <c r="EG23" s="23" t="n">
        <v>828</v>
      </c>
      <c r="EH23" s="24" t="n"/>
      <c r="EI23" s="25" t="n">
        <v>0</v>
      </c>
      <c r="EJ23" s="24" t="n"/>
      <c r="EK23" s="23" t="n">
        <v>828</v>
      </c>
      <c r="EL23" s="24" t="n"/>
      <c r="EM23" s="25" t="n">
        <v>0</v>
      </c>
      <c r="EN23" s="24" t="n"/>
      <c r="EO23" s="23" t="n">
        <v>828</v>
      </c>
      <c r="EP23" s="24" t="n"/>
      <c r="EQ23" s="25" t="n">
        <v>0</v>
      </c>
      <c r="ER23" s="24" t="n"/>
      <c r="ES23" s="23" t="n">
        <v>828</v>
      </c>
      <c r="ET23" s="24" t="n"/>
      <c r="EU23" s="25" t="n">
        <v>0</v>
      </c>
      <c r="EV23" s="24" t="n"/>
      <c r="EW23" s="23" t="n">
        <v>828</v>
      </c>
      <c r="EX23" s="24" t="n"/>
      <c r="EY23" s="25" t="n">
        <v>0</v>
      </c>
      <c r="EZ23" s="24" t="n"/>
      <c r="FA23" s="23" t="n">
        <v>828</v>
      </c>
      <c r="FB23" s="24" t="n"/>
      <c r="FC23" s="25" t="n">
        <v>0</v>
      </c>
      <c r="FD23" s="24" t="n"/>
      <c r="FE23" s="23" t="n">
        <v>828</v>
      </c>
      <c r="FF23" s="24" t="n"/>
      <c r="FG23" s="25" t="n">
        <v>0</v>
      </c>
      <c r="FH23" s="24" t="n"/>
      <c r="FI23" s="23" t="n">
        <v>828</v>
      </c>
      <c r="FJ23" s="24" t="n"/>
      <c r="FK23" s="25" t="n">
        <v>0</v>
      </c>
      <c r="FL23" s="24" t="n"/>
      <c r="FM23" s="23" t="n">
        <v>828</v>
      </c>
      <c r="FN23" s="24" t="n"/>
      <c r="FO23" s="25" t="n">
        <v>0</v>
      </c>
      <c r="FP23" s="24" t="n"/>
      <c r="FQ23" s="340" t="n"/>
      <c r="FR23" s="803">
        <f>SUMPRODUCT(--(MOD(COLUMN(DU23:ER23),4)=MOD(COLUMN(DU23),4)),DU23:ER23)+SUMPRODUCT(--(MOD(COLUMN(ES23:FP23),4)=MOD(COLUMN(ES23),4)),ES23:FP23)</f>
        <v/>
      </c>
      <c r="FS23" s="803">
        <f>SUMPRODUCT(--(MOD(COLUMN(DU23:ER23),4)=MOD(COLUMN(DU23),4)),DU23:ER23)*#REF!+SUMPRODUCT(--(MOD(COLUMN(ES23:FP23),4)=MOD(COLUMN(ES23),4)),ES23:FP23)*#REF!</f>
        <v/>
      </c>
      <c r="FT23" s="360" t="n"/>
    </row>
    <row r="24" outlineLevel="2" customFormat="1" s="14">
      <c r="A24" s="15" t="inlineStr">
        <is>
          <t>HJBridge (нет в системе)</t>
        </is>
      </c>
      <c r="B24" s="16" t="inlineStr">
        <is>
          <t>Договор не подписан</t>
        </is>
      </c>
      <c r="C24" s="15" t="inlineStr">
        <is>
          <t>ВБК Восток</t>
        </is>
      </c>
      <c r="D24" s="15" t="inlineStr">
        <is>
          <t>Прасолов, Соловьёв</t>
        </is>
      </c>
      <c r="E24" s="17">
        <f>IF(ISBLANK(G24),"",IF($A$6:$A$64=$A24,COUNTIF($A$6:A24,$A24),""))</f>
        <v/>
      </c>
      <c r="F24" s="10" t="n">
        <v>1</v>
      </c>
      <c r="G24" s="54" t="n">
        <v>6402250350</v>
      </c>
      <c r="H24" s="407" t="inlineStr">
        <is>
          <t>Дисковый тормозной механизм (правый)</t>
        </is>
      </c>
      <c r="I24" s="628">
        <f>I23</f>
        <v/>
      </c>
      <c r="J24" s="798" t="n"/>
      <c r="K24" s="798" t="n"/>
      <c r="L24" s="798">
        <f>IF(K24="RUB",J24/ЮАНЬ,IF(K24="EUR",J24*ЕВРО/ЮАНЬ,""))</f>
        <v/>
      </c>
      <c r="M24" s="801" t="n"/>
      <c r="N24" s="802">
        <f>IF(BP24&gt;0,1,IF(BN24&gt;0,2,))</f>
        <v/>
      </c>
      <c r="O24" s="23" t="n"/>
      <c r="P24" s="24" t="n"/>
      <c r="Q24" s="25" t="n"/>
      <c r="R24" s="24" t="n"/>
      <c r="S24" s="23" t="n"/>
      <c r="T24" s="24" t="n"/>
      <c r="U24" s="25" t="n">
        <v>0</v>
      </c>
      <c r="V24" s="24" t="n"/>
      <c r="W24" s="23" t="n"/>
      <c r="X24" s="24" t="n"/>
      <c r="Y24" s="25" t="n"/>
      <c r="Z24" s="24" t="n"/>
      <c r="AA24" s="23" t="n"/>
      <c r="AB24" s="24" t="n"/>
      <c r="AC24" s="25" t="n"/>
      <c r="AD24" s="24" t="n"/>
      <c r="AE24" s="23" t="n"/>
      <c r="AF24" s="24" t="n"/>
      <c r="AG24" s="25" t="n"/>
      <c r="AH24" s="24" t="n"/>
      <c r="AI24" s="23" t="n"/>
      <c r="AJ24" s="24" t="n"/>
      <c r="AK24" s="25" t="n"/>
      <c r="AL24" s="24" t="n"/>
      <c r="AM24" s="23" t="n"/>
      <c r="AN24" s="24" t="n"/>
      <c r="AO24" s="25" t="n"/>
      <c r="AP24" s="24" t="n"/>
      <c r="AQ24" s="23" t="n"/>
      <c r="AR24" s="24" t="n"/>
      <c r="AS24" s="25" t="n"/>
      <c r="AT24" s="24" t="n"/>
      <c r="AU24" s="23" t="n"/>
      <c r="AV24" s="24" t="n"/>
      <c r="AW24" s="25" t="n"/>
      <c r="AX24" s="24" t="n"/>
      <c r="AY24" s="23" t="n"/>
      <c r="AZ24" s="24" t="n"/>
      <c r="BA24" s="25" t="n"/>
      <c r="BB24" s="24" t="n"/>
      <c r="BC24" s="23" t="n"/>
      <c r="BD24" s="24" t="n"/>
      <c r="BE24" s="25" t="n"/>
      <c r="BF24" s="24" t="n"/>
      <c r="BG24" s="23" t="n"/>
      <c r="BH24" s="24" t="n"/>
      <c r="BI24" s="25" t="n"/>
      <c r="BJ24" s="24" t="n"/>
      <c r="BK24" s="340" t="n"/>
      <c r="BL24" s="803">
        <f>SUMPRODUCT(--(MOD(COLUMN($O24:$AL24),4)=MOD(COLUMN($O24)+0,4)),$O24:$AL24)
+SUMPRODUCT(--(MOD(COLUMN($AM24:$BJ24),4)=MOD(COLUMN($AM24)+0,4)),$AM24:$BJ24)</f>
        <v/>
      </c>
      <c r="BM24" s="804">
        <f>SUMPRODUCT(--(MOD(COLUMN($O24:$AL24),4)=MOD(COLUMN($O24)+0,4)),$O24:$AL24)*
$I24+SUMPRODUCT(--(MOD(COLUMN($AM24:$BJ24),4)=MOD(COLUMN($AM24)+0,4)),$AM24:$BJ24)*$I24</f>
        <v/>
      </c>
      <c r="BN24" s="805">
        <f>SUMPRODUCT(--(MOD(COLUMN($O24:$AL24),4)=MOD(COLUMN($O24)+1,4)),$O24:$AL24)
+SUMPRODUCT(--(MOD(COLUMN($AM24:$BJ24),4)=MOD(COLUMN($AM24)+1,4)),$AM24:$BJ24)</f>
        <v/>
      </c>
      <c r="BO24" s="806">
        <f>SUMPRODUCT(--(MOD(COLUMN($O24:$AL24),4)=MOD(COLUMN($O24)+1,4)),$O24:$AL24)*
$I24+SUMPRODUCT(--(MOD(COLUMN($AM24:$BJ24),4)=MOD(COLUMN($AM24)+1,4)),$AM24:$BJ24)*$I24</f>
        <v/>
      </c>
      <c r="BP24" s="807">
        <f>SUMPRODUCT(--(MOD(COLUMN($O24:$AL24),4)=MOD(COLUMN($O24)+2,4)),$O24:$AL24)
+SUMPRODUCT(--(MOD(COLUMN($AM24:$BJ24),4)=MOD(COLUMN($AM24)+2,4)),$AM24:$BJ24)</f>
        <v/>
      </c>
      <c r="BQ24" s="808">
        <f>SUMPRODUCT(--(MOD(COLUMN($O24:$AL24),4)=MOD(COLUMN($O24)+2,4)),$O24:$AL24)*
$I24+SUMPRODUCT(--(MOD(COLUMN($AM24:$BJ24),4)=MOD(COLUMN($AM24)+2,4)),$AM24:$BJ24)*$I24</f>
        <v/>
      </c>
      <c r="BR24" s="809" t="n"/>
      <c r="BS24" s="801" t="n"/>
      <c r="BT24" s="23" t="n">
        <v>621</v>
      </c>
      <c r="BU24" s="24" t="n"/>
      <c r="BV24" s="25" t="n">
        <v>0</v>
      </c>
      <c r="BW24" s="24" t="n"/>
      <c r="BX24" s="23" t="n">
        <v>621</v>
      </c>
      <c r="BY24" s="24" t="n"/>
      <c r="BZ24" s="25" t="n">
        <v>0</v>
      </c>
      <c r="CA24" s="24" t="n"/>
      <c r="CB24" s="23" t="n">
        <v>621</v>
      </c>
      <c r="CC24" s="24" t="n"/>
      <c r="CD24" s="25" t="n">
        <v>0</v>
      </c>
      <c r="CE24" s="24" t="n"/>
      <c r="CF24" s="23" t="n">
        <v>621</v>
      </c>
      <c r="CG24" s="24" t="n"/>
      <c r="CH24" s="25" t="n">
        <v>0</v>
      </c>
      <c r="CI24" s="24" t="n"/>
      <c r="CJ24" s="23" t="n">
        <v>621</v>
      </c>
      <c r="CK24" s="24" t="n"/>
      <c r="CL24" s="25" t="n">
        <v>0</v>
      </c>
      <c r="CM24" s="24" t="n"/>
      <c r="CN24" s="23" t="n">
        <v>621</v>
      </c>
      <c r="CO24" s="24" t="n"/>
      <c r="CP24" s="25" t="n">
        <v>0</v>
      </c>
      <c r="CQ24" s="24" t="n"/>
      <c r="CR24" s="23" t="n">
        <v>621</v>
      </c>
      <c r="CS24" s="24" t="n"/>
      <c r="CT24" s="25" t="n">
        <v>0</v>
      </c>
      <c r="CU24" s="24" t="n"/>
      <c r="CV24" s="23" t="n">
        <v>621</v>
      </c>
      <c r="CW24" s="24" t="n"/>
      <c r="CX24" s="25" t="n">
        <v>0</v>
      </c>
      <c r="CY24" s="24" t="n"/>
      <c r="CZ24" s="23" t="n">
        <v>621</v>
      </c>
      <c r="DA24" s="24" t="n"/>
      <c r="DB24" s="25" t="n">
        <v>0</v>
      </c>
      <c r="DC24" s="24" t="n"/>
      <c r="DD24" s="23" t="n">
        <v>621</v>
      </c>
      <c r="DE24" s="24" t="n"/>
      <c r="DF24" s="25" t="n">
        <v>0</v>
      </c>
      <c r="DG24" s="24" t="n"/>
      <c r="DH24" s="23" t="n">
        <v>621</v>
      </c>
      <c r="DI24" s="24" t="n"/>
      <c r="DJ24" s="25" t="n">
        <v>0</v>
      </c>
      <c r="DK24" s="24" t="n"/>
      <c r="DL24" s="23" t="n">
        <v>621</v>
      </c>
      <c r="DM24" s="24" t="n"/>
      <c r="DN24" s="25" t="n">
        <v>0</v>
      </c>
      <c r="DO24" s="24" t="n"/>
      <c r="DP24" s="340" t="n"/>
      <c r="DQ24" s="803">
        <f>SUMPRODUCT(--(MOD(COLUMN(BT24:CQ24),4)=MOD(COLUMN(BT24),4)),BT24:CQ24)+SUMPRODUCT(--(MOD(COLUMN(CR24:DO24),4)=MOD(COLUMN(CR24),4)),CR24:DO24)</f>
        <v/>
      </c>
      <c r="DR24" s="803">
        <f>SUMPRODUCT(--(MOD(COLUMN(BT24:CQ24),4)=MOD(COLUMN(BT24),4)),BT24:CQ24)*#REF!+SUMPRODUCT(--(MOD(COLUMN(CR24:DO24),4)=MOD(COLUMN(CR24),4)),CR24:DO24)*#REF!</f>
        <v/>
      </c>
      <c r="DS24" s="809" t="n"/>
      <c r="DT24" s="801" t="n"/>
      <c r="DU24" s="23" t="n">
        <v>828</v>
      </c>
      <c r="DV24" s="24" t="n"/>
      <c r="DW24" s="25" t="n">
        <v>0</v>
      </c>
      <c r="DX24" s="24" t="n"/>
      <c r="DY24" s="23" t="n">
        <v>828</v>
      </c>
      <c r="DZ24" s="24" t="n"/>
      <c r="EA24" s="25" t="n">
        <v>0</v>
      </c>
      <c r="EB24" s="24" t="n"/>
      <c r="EC24" s="23" t="n">
        <v>828</v>
      </c>
      <c r="ED24" s="24" t="n"/>
      <c r="EE24" s="25" t="n">
        <v>0</v>
      </c>
      <c r="EF24" s="24" t="n"/>
      <c r="EG24" s="23" t="n">
        <v>828</v>
      </c>
      <c r="EH24" s="24" t="n"/>
      <c r="EI24" s="25" t="n">
        <v>0</v>
      </c>
      <c r="EJ24" s="24" t="n"/>
      <c r="EK24" s="23" t="n">
        <v>828</v>
      </c>
      <c r="EL24" s="24" t="n"/>
      <c r="EM24" s="25" t="n">
        <v>0</v>
      </c>
      <c r="EN24" s="24" t="n"/>
      <c r="EO24" s="23" t="n">
        <v>828</v>
      </c>
      <c r="EP24" s="24" t="n"/>
      <c r="EQ24" s="25" t="n">
        <v>0</v>
      </c>
      <c r="ER24" s="24" t="n"/>
      <c r="ES24" s="23" t="n">
        <v>828</v>
      </c>
      <c r="ET24" s="24" t="n"/>
      <c r="EU24" s="25" t="n">
        <v>0</v>
      </c>
      <c r="EV24" s="24" t="n"/>
      <c r="EW24" s="23" t="n">
        <v>828</v>
      </c>
      <c r="EX24" s="24" t="n"/>
      <c r="EY24" s="25" t="n">
        <v>0</v>
      </c>
      <c r="EZ24" s="24" t="n"/>
      <c r="FA24" s="23" t="n">
        <v>828</v>
      </c>
      <c r="FB24" s="24" t="n"/>
      <c r="FC24" s="25" t="n">
        <v>0</v>
      </c>
      <c r="FD24" s="24" t="n"/>
      <c r="FE24" s="23" t="n">
        <v>828</v>
      </c>
      <c r="FF24" s="24" t="n"/>
      <c r="FG24" s="25" t="n">
        <v>0</v>
      </c>
      <c r="FH24" s="24" t="n"/>
      <c r="FI24" s="23" t="n">
        <v>828</v>
      </c>
      <c r="FJ24" s="24" t="n"/>
      <c r="FK24" s="25" t="n">
        <v>0</v>
      </c>
      <c r="FL24" s="24" t="n"/>
      <c r="FM24" s="23" t="n">
        <v>828</v>
      </c>
      <c r="FN24" s="24" t="n"/>
      <c r="FO24" s="25" t="n">
        <v>0</v>
      </c>
      <c r="FP24" s="24" t="n"/>
      <c r="FQ24" s="340" t="n"/>
      <c r="FR24" s="803">
        <f>SUMPRODUCT(--(MOD(COLUMN(DU24:ER24),4)=MOD(COLUMN(DU24),4)),DU24:ER24)+SUMPRODUCT(--(MOD(COLUMN(ES24:FP24),4)=MOD(COLUMN(ES24),4)),ES24:FP24)</f>
        <v/>
      </c>
      <c r="FS24" s="803">
        <f>SUMPRODUCT(--(MOD(COLUMN(DU24:ER24),4)=MOD(COLUMN(DU24),4)),DU24:ER24)*#REF!+SUMPRODUCT(--(MOD(COLUMN(ES24:FP24),4)=MOD(COLUMN(ES24),4)),ES24:FP24)*#REF!</f>
        <v/>
      </c>
      <c r="FT24" s="360" t="n"/>
    </row>
    <row r="25" outlineLevel="2" customFormat="1" s="14">
      <c r="A25" s="15" t="inlineStr">
        <is>
          <t>HJBridge (нет в системе)</t>
        </is>
      </c>
      <c r="B25" s="16" t="inlineStr">
        <is>
          <t>Договор не подписан</t>
        </is>
      </c>
      <c r="C25" s="15" t="inlineStr">
        <is>
          <t>ВБК Восток</t>
        </is>
      </c>
      <c r="D25" s="15" t="inlineStr">
        <is>
          <t>Прасолов, Соловьёв</t>
        </is>
      </c>
      <c r="E25" s="17">
        <f>IF(ISBLANK(G25),"",IF($A$6:$A$64=$A25,COUNTIF($A$6:A25,$A25),""))</f>
        <v/>
      </c>
      <c r="F25" s="17" t="n">
        <v>1</v>
      </c>
      <c r="G25" s="33" t="n">
        <v>4410328080</v>
      </c>
      <c r="H25" s="18" t="inlineStr">
        <is>
          <t>Датчик АБС, 0,4 м</t>
        </is>
      </c>
      <c r="I25" s="627">
        <f>84/НДС_20</f>
        <v/>
      </c>
      <c r="J25" s="798" t="n"/>
      <c r="K25" s="798" t="n"/>
      <c r="L25" s="798">
        <f>IF(K25="RUB",J25/ЮАНЬ,IF(K25="EUR",J25*ЕВРО/ЮАНЬ,""))</f>
        <v/>
      </c>
      <c r="M25" s="801" t="n"/>
      <c r="N25" s="802">
        <f>IF(BP25&gt;0,1,IF(BN25&gt;0,2,))</f>
        <v/>
      </c>
      <c r="O25" s="23" t="n"/>
      <c r="P25" s="24" t="n"/>
      <c r="Q25" s="25" t="n"/>
      <c r="R25" s="24" t="n"/>
      <c r="S25" s="23" t="n"/>
      <c r="T25" s="24" t="n"/>
      <c r="U25" s="25" t="n">
        <v>0</v>
      </c>
      <c r="V25" s="24" t="n"/>
      <c r="W25" s="23" t="n"/>
      <c r="X25" s="24" t="n"/>
      <c r="Y25" s="25" t="n"/>
      <c r="Z25" s="24" t="n"/>
      <c r="AA25" s="23" t="n"/>
      <c r="AB25" s="24" t="n"/>
      <c r="AC25" s="25" t="n"/>
      <c r="AD25" s="24" t="n"/>
      <c r="AE25" s="23" t="n"/>
      <c r="AF25" s="24" t="n"/>
      <c r="AG25" s="25" t="n"/>
      <c r="AH25" s="24" t="n"/>
      <c r="AI25" s="23" t="n"/>
      <c r="AJ25" s="24" t="n"/>
      <c r="AK25" s="25" t="n"/>
      <c r="AL25" s="24" t="n"/>
      <c r="AM25" s="23" t="n"/>
      <c r="AN25" s="24" t="n"/>
      <c r="AO25" s="25" t="n"/>
      <c r="AP25" s="24" t="n"/>
      <c r="AQ25" s="23" t="n"/>
      <c r="AR25" s="24" t="n"/>
      <c r="AS25" s="25" t="n"/>
      <c r="AT25" s="24" t="n"/>
      <c r="AU25" s="23" t="n"/>
      <c r="AV25" s="24" t="n"/>
      <c r="AW25" s="25" t="n"/>
      <c r="AX25" s="24" t="n"/>
      <c r="AY25" s="23" t="n"/>
      <c r="AZ25" s="24" t="n"/>
      <c r="BA25" s="25" t="n"/>
      <c r="BB25" s="24" t="n"/>
      <c r="BC25" s="23" t="n"/>
      <c r="BD25" s="24" t="n"/>
      <c r="BE25" s="25" t="n"/>
      <c r="BF25" s="24" t="n"/>
      <c r="BG25" s="23" t="n"/>
      <c r="BH25" s="24" t="n"/>
      <c r="BI25" s="25" t="n"/>
      <c r="BJ25" s="24" t="n"/>
      <c r="BK25" s="340" t="n"/>
      <c r="BL25" s="803">
        <f>SUMPRODUCT(--(MOD(COLUMN($O25:$AL25),4)=MOD(COLUMN($O25)+0,4)),$O25:$AL25)
+SUMPRODUCT(--(MOD(COLUMN($AM25:$BJ25),4)=MOD(COLUMN($AM25)+0,4)),$AM25:$BJ25)</f>
        <v/>
      </c>
      <c r="BM25" s="804">
        <f>SUMPRODUCT(--(MOD(COLUMN($O25:$AL25),4)=MOD(COLUMN($O25)+0,4)),$O25:$AL25)*
$I25+SUMPRODUCT(--(MOD(COLUMN($AM25:$BJ25),4)=MOD(COLUMN($AM25)+0,4)),$AM25:$BJ25)*$I25</f>
        <v/>
      </c>
      <c r="BN25" s="805">
        <f>SUMPRODUCT(--(MOD(COLUMN($O25:$AL25),4)=MOD(COLUMN($O25)+1,4)),$O25:$AL25)
+SUMPRODUCT(--(MOD(COLUMN($AM25:$BJ25),4)=MOD(COLUMN($AM25)+1,4)),$AM25:$BJ25)</f>
        <v/>
      </c>
      <c r="BO25" s="806">
        <f>SUMPRODUCT(--(MOD(COLUMN($O25:$AL25),4)=MOD(COLUMN($O25)+1,4)),$O25:$AL25)*
$I25+SUMPRODUCT(--(MOD(COLUMN($AM25:$BJ25),4)=MOD(COLUMN($AM25)+1,4)),$AM25:$BJ25)*$I25</f>
        <v/>
      </c>
      <c r="BP25" s="807">
        <f>SUMPRODUCT(--(MOD(COLUMN($O25:$AL25),4)=MOD(COLUMN($O25)+2,4)),$O25:$AL25)
+SUMPRODUCT(--(MOD(COLUMN($AM25:$BJ25),4)=MOD(COLUMN($AM25)+2,4)),$AM25:$BJ25)</f>
        <v/>
      </c>
      <c r="BQ25" s="808">
        <f>SUMPRODUCT(--(MOD(COLUMN($O25:$AL25),4)=MOD(COLUMN($O25)+2,4)),$O25:$AL25)*
$I25+SUMPRODUCT(--(MOD(COLUMN($AM25:$BJ25),4)=MOD(COLUMN($AM25)+2,4)),$AM25:$BJ25)*$I25</f>
        <v/>
      </c>
      <c r="BR25" s="809" t="n"/>
      <c r="BS25" s="801" t="n"/>
      <c r="BT25" s="23" t="n">
        <v>414</v>
      </c>
      <c r="BU25" s="24" t="n"/>
      <c r="BV25" s="25" t="n">
        <v>0</v>
      </c>
      <c r="BW25" s="24" t="n"/>
      <c r="BX25" s="23" t="n">
        <v>414</v>
      </c>
      <c r="BY25" s="24" t="n"/>
      <c r="BZ25" s="25" t="n">
        <v>0</v>
      </c>
      <c r="CA25" s="24" t="n"/>
      <c r="CB25" s="23" t="n">
        <v>414</v>
      </c>
      <c r="CC25" s="24" t="n"/>
      <c r="CD25" s="25" t="n">
        <v>0</v>
      </c>
      <c r="CE25" s="24" t="n"/>
      <c r="CF25" s="23" t="n">
        <v>414</v>
      </c>
      <c r="CG25" s="24" t="n"/>
      <c r="CH25" s="25" t="n">
        <v>0</v>
      </c>
      <c r="CI25" s="24" t="n"/>
      <c r="CJ25" s="23" t="n">
        <v>414</v>
      </c>
      <c r="CK25" s="24" t="n"/>
      <c r="CL25" s="25" t="n">
        <v>0</v>
      </c>
      <c r="CM25" s="24" t="n"/>
      <c r="CN25" s="23" t="n">
        <v>414</v>
      </c>
      <c r="CO25" s="24" t="n"/>
      <c r="CP25" s="25" t="n">
        <v>0</v>
      </c>
      <c r="CQ25" s="24" t="n"/>
      <c r="CR25" s="23" t="n">
        <v>414</v>
      </c>
      <c r="CS25" s="24" t="n"/>
      <c r="CT25" s="25" t="n">
        <v>0</v>
      </c>
      <c r="CU25" s="24" t="n"/>
      <c r="CV25" s="23" t="n">
        <v>414</v>
      </c>
      <c r="CW25" s="24" t="n"/>
      <c r="CX25" s="25" t="n">
        <v>0</v>
      </c>
      <c r="CY25" s="24" t="n"/>
      <c r="CZ25" s="23" t="n">
        <v>414</v>
      </c>
      <c r="DA25" s="24" t="n"/>
      <c r="DB25" s="25" t="n">
        <v>0</v>
      </c>
      <c r="DC25" s="24" t="n"/>
      <c r="DD25" s="23" t="n">
        <v>414</v>
      </c>
      <c r="DE25" s="24" t="n"/>
      <c r="DF25" s="25" t="n">
        <v>0</v>
      </c>
      <c r="DG25" s="24" t="n"/>
      <c r="DH25" s="23" t="n">
        <v>414</v>
      </c>
      <c r="DI25" s="24" t="n"/>
      <c r="DJ25" s="25" t="n">
        <v>0</v>
      </c>
      <c r="DK25" s="24" t="n"/>
      <c r="DL25" s="23" t="n">
        <v>414</v>
      </c>
      <c r="DM25" s="24" t="n"/>
      <c r="DN25" s="25" t="n">
        <v>0</v>
      </c>
      <c r="DO25" s="24" t="n"/>
      <c r="DP25" s="340" t="n"/>
      <c r="DQ25" s="803">
        <f>SUMPRODUCT(--(MOD(COLUMN(BT25:CQ25),4)=MOD(COLUMN(BT25),4)),BT25:CQ25)+SUMPRODUCT(--(MOD(COLUMN(CR25:DO25),4)=MOD(COLUMN(CR25),4)),CR25:DO25)</f>
        <v/>
      </c>
      <c r="DR25" s="803">
        <f>SUMPRODUCT(--(MOD(COLUMN(BT25:CQ25),4)=MOD(COLUMN(BT25),4)),BT25:CQ25)*#REF!+SUMPRODUCT(--(MOD(COLUMN(CR25:DO25),4)=MOD(COLUMN(CR25),4)),CR25:DO25)*#REF!</f>
        <v/>
      </c>
      <c r="DS25" s="809" t="n"/>
      <c r="DT25" s="801" t="n"/>
      <c r="DU25" s="23" t="n">
        <v>552</v>
      </c>
      <c r="DV25" s="24" t="n"/>
      <c r="DW25" s="25" t="n">
        <v>0</v>
      </c>
      <c r="DX25" s="24" t="n"/>
      <c r="DY25" s="23" t="n">
        <v>552</v>
      </c>
      <c r="DZ25" s="24" t="n"/>
      <c r="EA25" s="25" t="n">
        <v>0</v>
      </c>
      <c r="EB25" s="24" t="n"/>
      <c r="EC25" s="23" t="n">
        <v>552</v>
      </c>
      <c r="ED25" s="24" t="n"/>
      <c r="EE25" s="25" t="n">
        <v>0</v>
      </c>
      <c r="EF25" s="24" t="n"/>
      <c r="EG25" s="23" t="n">
        <v>552</v>
      </c>
      <c r="EH25" s="24" t="n"/>
      <c r="EI25" s="25" t="n">
        <v>0</v>
      </c>
      <c r="EJ25" s="24" t="n"/>
      <c r="EK25" s="23" t="n">
        <v>552</v>
      </c>
      <c r="EL25" s="24" t="n"/>
      <c r="EM25" s="25" t="n">
        <v>0</v>
      </c>
      <c r="EN25" s="24" t="n"/>
      <c r="EO25" s="23" t="n">
        <v>552</v>
      </c>
      <c r="EP25" s="24" t="n"/>
      <c r="EQ25" s="25" t="n">
        <v>0</v>
      </c>
      <c r="ER25" s="24" t="n"/>
      <c r="ES25" s="23" t="n">
        <v>552</v>
      </c>
      <c r="ET25" s="24" t="n"/>
      <c r="EU25" s="25" t="n">
        <v>0</v>
      </c>
      <c r="EV25" s="24" t="n"/>
      <c r="EW25" s="23" t="n">
        <v>552</v>
      </c>
      <c r="EX25" s="24" t="n"/>
      <c r="EY25" s="25" t="n">
        <v>0</v>
      </c>
      <c r="EZ25" s="24" t="n"/>
      <c r="FA25" s="23" t="n">
        <v>552</v>
      </c>
      <c r="FB25" s="24" t="n"/>
      <c r="FC25" s="25" t="n">
        <v>0</v>
      </c>
      <c r="FD25" s="24" t="n"/>
      <c r="FE25" s="23" t="n">
        <v>552</v>
      </c>
      <c r="FF25" s="24" t="n"/>
      <c r="FG25" s="25" t="n">
        <v>0</v>
      </c>
      <c r="FH25" s="24" t="n"/>
      <c r="FI25" s="23" t="n">
        <v>552</v>
      </c>
      <c r="FJ25" s="24" t="n"/>
      <c r="FK25" s="25" t="n">
        <v>0</v>
      </c>
      <c r="FL25" s="24" t="n"/>
      <c r="FM25" s="23" t="n">
        <v>552</v>
      </c>
      <c r="FN25" s="24" t="n"/>
      <c r="FO25" s="25" t="n">
        <v>0</v>
      </c>
      <c r="FP25" s="24" t="n"/>
      <c r="FQ25" s="340" t="n"/>
      <c r="FR25" s="803">
        <f>SUMPRODUCT(--(MOD(COLUMN(DU25:ER25),4)=MOD(COLUMN(DU25),4)),DU25:ER25)+SUMPRODUCT(--(MOD(COLUMN(ES25:FP25),4)=MOD(COLUMN(ES25),4)),ES25:FP25)</f>
        <v/>
      </c>
      <c r="FS25" s="803">
        <f>SUMPRODUCT(--(MOD(COLUMN(DU25:ER25),4)=MOD(COLUMN(DU25),4)),DU25:ER25)*#REF!+SUMPRODUCT(--(MOD(COLUMN(ES25:FP25),4)=MOD(COLUMN(ES25),4)),ES25:FP25)*#REF!</f>
        <v/>
      </c>
      <c r="FT25" s="360" t="n"/>
    </row>
    <row r="26" outlineLevel="2" customFormat="1" s="14">
      <c r="A26" s="15" t="inlineStr">
        <is>
          <t>HJBridge (нет в системе)</t>
        </is>
      </c>
      <c r="B26" s="16" t="inlineStr">
        <is>
          <t>Договор не подписан</t>
        </is>
      </c>
      <c r="C26" s="15" t="inlineStr">
        <is>
          <t>ВБК Восток</t>
        </is>
      </c>
      <c r="D26" s="15" t="inlineStr">
        <is>
          <t>Прасолов, Соловьёв</t>
        </is>
      </c>
      <c r="E26" s="17">
        <f>IF(ISBLANK(G26),"",IF($A$6:$A$64=$A26,COUNTIF($A$6:A26,$A26),""))</f>
        <v/>
      </c>
      <c r="F26" s="17" t="n">
        <v>1</v>
      </c>
      <c r="G26" s="33" t="n">
        <v>8997598154</v>
      </c>
      <c r="H26" s="18" t="inlineStr">
        <is>
          <t>Втулка датчика АБС</t>
        </is>
      </c>
      <c r="I26" s="625">
        <f>8.4/НДС_20</f>
        <v/>
      </c>
      <c r="J26" s="798" t="n"/>
      <c r="K26" s="798" t="n"/>
      <c r="L26" s="798">
        <f>IF(K26="RUB",J26/ЮАНЬ,IF(K26="EUR",J26*ЕВРО/ЮАНЬ,""))</f>
        <v/>
      </c>
      <c r="M26" s="801" t="n"/>
      <c r="N26" s="802">
        <f>IF(BP26&gt;0,1,IF(BN26&gt;0,2,))</f>
        <v/>
      </c>
      <c r="O26" s="23" t="n"/>
      <c r="P26" s="24" t="n"/>
      <c r="Q26" s="25" t="n"/>
      <c r="R26" s="24" t="n"/>
      <c r="S26" s="23" t="n"/>
      <c r="T26" s="24" t="n"/>
      <c r="U26" s="25" t="n">
        <v>0</v>
      </c>
      <c r="V26" s="24" t="n"/>
      <c r="W26" s="23" t="n"/>
      <c r="X26" s="24" t="n"/>
      <c r="Y26" s="25" t="n"/>
      <c r="Z26" s="24" t="n"/>
      <c r="AA26" s="23" t="n"/>
      <c r="AB26" s="24" t="n"/>
      <c r="AC26" s="25" t="n"/>
      <c r="AD26" s="24" t="n"/>
      <c r="AE26" s="23" t="n"/>
      <c r="AF26" s="24" t="n"/>
      <c r="AG26" s="25" t="n"/>
      <c r="AH26" s="24" t="n"/>
      <c r="AI26" s="23" t="n"/>
      <c r="AJ26" s="24" t="n"/>
      <c r="AK26" s="25" t="n"/>
      <c r="AL26" s="24" t="n"/>
      <c r="AM26" s="23" t="n"/>
      <c r="AN26" s="24" t="n"/>
      <c r="AO26" s="25" t="n"/>
      <c r="AP26" s="24" t="n"/>
      <c r="AQ26" s="23" t="n"/>
      <c r="AR26" s="24" t="n"/>
      <c r="AS26" s="25" t="n"/>
      <c r="AT26" s="24" t="n"/>
      <c r="AU26" s="23" t="n"/>
      <c r="AV26" s="24" t="n"/>
      <c r="AW26" s="25" t="n"/>
      <c r="AX26" s="24" t="n"/>
      <c r="AY26" s="23" t="n"/>
      <c r="AZ26" s="24" t="n"/>
      <c r="BA26" s="25" t="n"/>
      <c r="BB26" s="24" t="n"/>
      <c r="BC26" s="23" t="n"/>
      <c r="BD26" s="24" t="n"/>
      <c r="BE26" s="25" t="n"/>
      <c r="BF26" s="24" t="n"/>
      <c r="BG26" s="23" t="n"/>
      <c r="BH26" s="24" t="n"/>
      <c r="BI26" s="25" t="n"/>
      <c r="BJ26" s="24" t="n"/>
      <c r="BK26" s="340" t="n"/>
      <c r="BL26" s="803">
        <f>SUMPRODUCT(--(MOD(COLUMN($O26:$AL26),4)=MOD(COLUMN($O26)+0,4)),$O26:$AL26)
+SUMPRODUCT(--(MOD(COLUMN($AM26:$BJ26),4)=MOD(COLUMN($AM26)+0,4)),$AM26:$BJ26)</f>
        <v/>
      </c>
      <c r="BM26" s="804">
        <f>SUMPRODUCT(--(MOD(COLUMN($O26:$AL26),4)=MOD(COLUMN($O26)+0,4)),$O26:$AL26)*
$I26+SUMPRODUCT(--(MOD(COLUMN($AM26:$BJ26),4)=MOD(COLUMN($AM26)+0,4)),$AM26:$BJ26)*$I26</f>
        <v/>
      </c>
      <c r="BN26" s="805">
        <f>SUMPRODUCT(--(MOD(COLUMN($O26:$AL26),4)=MOD(COLUMN($O26)+1,4)),$O26:$AL26)
+SUMPRODUCT(--(MOD(COLUMN($AM26:$BJ26),4)=MOD(COLUMN($AM26)+1,4)),$AM26:$BJ26)</f>
        <v/>
      </c>
      <c r="BO26" s="806">
        <f>SUMPRODUCT(--(MOD(COLUMN($O26:$AL26),4)=MOD(COLUMN($O26)+1,4)),$O26:$AL26)*
$I26+SUMPRODUCT(--(MOD(COLUMN($AM26:$BJ26),4)=MOD(COLUMN($AM26)+1,4)),$AM26:$BJ26)*$I26</f>
        <v/>
      </c>
      <c r="BP26" s="807">
        <f>SUMPRODUCT(--(MOD(COLUMN($O26:$AL26),4)=MOD(COLUMN($O26)+2,4)),$O26:$AL26)
+SUMPRODUCT(--(MOD(COLUMN($AM26:$BJ26),4)=MOD(COLUMN($AM26)+2,4)),$AM26:$BJ26)</f>
        <v/>
      </c>
      <c r="BQ26" s="808">
        <f>SUMPRODUCT(--(MOD(COLUMN($O26:$AL26),4)=MOD(COLUMN($O26)+2,4)),$O26:$AL26)*
$I26+SUMPRODUCT(--(MOD(COLUMN($AM26:$BJ26),4)=MOD(COLUMN($AM26)+2,4)),$AM26:$BJ26)*$I26</f>
        <v/>
      </c>
      <c r="BR26" s="809" t="n"/>
      <c r="BS26" s="801" t="n"/>
      <c r="BT26" s="23" t="n">
        <v>414</v>
      </c>
      <c r="BU26" s="24" t="n"/>
      <c r="BV26" s="25" t="n">
        <v>0</v>
      </c>
      <c r="BW26" s="24" t="n"/>
      <c r="BX26" s="23" t="n">
        <v>414</v>
      </c>
      <c r="BY26" s="24" t="n"/>
      <c r="BZ26" s="25" t="n">
        <v>0</v>
      </c>
      <c r="CA26" s="24" t="n"/>
      <c r="CB26" s="23" t="n">
        <v>414</v>
      </c>
      <c r="CC26" s="24" t="n"/>
      <c r="CD26" s="25" t="n">
        <v>0</v>
      </c>
      <c r="CE26" s="24" t="n"/>
      <c r="CF26" s="23" t="n">
        <v>414</v>
      </c>
      <c r="CG26" s="24" t="n"/>
      <c r="CH26" s="25" t="n">
        <v>0</v>
      </c>
      <c r="CI26" s="24" t="n"/>
      <c r="CJ26" s="23" t="n">
        <v>414</v>
      </c>
      <c r="CK26" s="24" t="n"/>
      <c r="CL26" s="25" t="n">
        <v>0</v>
      </c>
      <c r="CM26" s="24" t="n"/>
      <c r="CN26" s="23" t="n">
        <v>414</v>
      </c>
      <c r="CO26" s="24" t="n"/>
      <c r="CP26" s="25" t="n">
        <v>0</v>
      </c>
      <c r="CQ26" s="24" t="n"/>
      <c r="CR26" s="23" t="n">
        <v>414</v>
      </c>
      <c r="CS26" s="24" t="n"/>
      <c r="CT26" s="25" t="n">
        <v>0</v>
      </c>
      <c r="CU26" s="24" t="n"/>
      <c r="CV26" s="23" t="n">
        <v>414</v>
      </c>
      <c r="CW26" s="24" t="n"/>
      <c r="CX26" s="25" t="n">
        <v>0</v>
      </c>
      <c r="CY26" s="24" t="n"/>
      <c r="CZ26" s="23" t="n">
        <v>414</v>
      </c>
      <c r="DA26" s="24" t="n"/>
      <c r="DB26" s="25" t="n">
        <v>0</v>
      </c>
      <c r="DC26" s="24" t="n"/>
      <c r="DD26" s="23" t="n">
        <v>414</v>
      </c>
      <c r="DE26" s="24" t="n"/>
      <c r="DF26" s="25" t="n">
        <v>0</v>
      </c>
      <c r="DG26" s="24" t="n"/>
      <c r="DH26" s="23" t="n">
        <v>414</v>
      </c>
      <c r="DI26" s="24" t="n"/>
      <c r="DJ26" s="25" t="n">
        <v>0</v>
      </c>
      <c r="DK26" s="24" t="n"/>
      <c r="DL26" s="23" t="n">
        <v>414</v>
      </c>
      <c r="DM26" s="24" t="n"/>
      <c r="DN26" s="25" t="n">
        <v>0</v>
      </c>
      <c r="DO26" s="24" t="n"/>
      <c r="DP26" s="340" t="n"/>
      <c r="DQ26" s="803">
        <f>SUMPRODUCT(--(MOD(COLUMN(BT26:CQ26),4)=MOD(COLUMN(BT26),4)),BT26:CQ26)+SUMPRODUCT(--(MOD(COLUMN(CR26:DO26),4)=MOD(COLUMN(CR26),4)),CR26:DO26)</f>
        <v/>
      </c>
      <c r="DR26" s="803">
        <f>SUMPRODUCT(--(MOD(COLUMN(BT26:CQ26),4)=MOD(COLUMN(BT26),4)),BT26:CQ26)*#REF!+SUMPRODUCT(--(MOD(COLUMN(CR26:DO26),4)=MOD(COLUMN(CR26),4)),CR26:DO26)*#REF!</f>
        <v/>
      </c>
      <c r="DS26" s="809" t="n"/>
      <c r="DT26" s="801" t="n"/>
      <c r="DU26" s="23" t="n">
        <v>552</v>
      </c>
      <c r="DV26" s="24" t="n"/>
      <c r="DW26" s="25" t="n">
        <v>0</v>
      </c>
      <c r="DX26" s="24" t="n"/>
      <c r="DY26" s="23" t="n">
        <v>552</v>
      </c>
      <c r="DZ26" s="24" t="n"/>
      <c r="EA26" s="25" t="n">
        <v>0</v>
      </c>
      <c r="EB26" s="24" t="n"/>
      <c r="EC26" s="23" t="n">
        <v>552</v>
      </c>
      <c r="ED26" s="24" t="n"/>
      <c r="EE26" s="25" t="n">
        <v>0</v>
      </c>
      <c r="EF26" s="24" t="n"/>
      <c r="EG26" s="23" t="n">
        <v>552</v>
      </c>
      <c r="EH26" s="24" t="n"/>
      <c r="EI26" s="25" t="n">
        <v>0</v>
      </c>
      <c r="EJ26" s="24" t="n"/>
      <c r="EK26" s="23" t="n">
        <v>552</v>
      </c>
      <c r="EL26" s="24" t="n"/>
      <c r="EM26" s="25" t="n">
        <v>0</v>
      </c>
      <c r="EN26" s="24" t="n"/>
      <c r="EO26" s="23" t="n">
        <v>552</v>
      </c>
      <c r="EP26" s="24" t="n"/>
      <c r="EQ26" s="25" t="n">
        <v>0</v>
      </c>
      <c r="ER26" s="24" t="n"/>
      <c r="ES26" s="23" t="n">
        <v>552</v>
      </c>
      <c r="ET26" s="24" t="n"/>
      <c r="EU26" s="25" t="n">
        <v>0</v>
      </c>
      <c r="EV26" s="24" t="n"/>
      <c r="EW26" s="23" t="n">
        <v>552</v>
      </c>
      <c r="EX26" s="24" t="n"/>
      <c r="EY26" s="25" t="n">
        <v>0</v>
      </c>
      <c r="EZ26" s="24" t="n"/>
      <c r="FA26" s="23" t="n">
        <v>552</v>
      </c>
      <c r="FB26" s="24" t="n"/>
      <c r="FC26" s="25" t="n">
        <v>0</v>
      </c>
      <c r="FD26" s="24" t="n"/>
      <c r="FE26" s="23" t="n">
        <v>552</v>
      </c>
      <c r="FF26" s="24" t="n"/>
      <c r="FG26" s="25" t="n">
        <v>0</v>
      </c>
      <c r="FH26" s="24" t="n"/>
      <c r="FI26" s="23" t="n">
        <v>552</v>
      </c>
      <c r="FJ26" s="24" t="n"/>
      <c r="FK26" s="25" t="n">
        <v>0</v>
      </c>
      <c r="FL26" s="24" t="n"/>
      <c r="FM26" s="23" t="n">
        <v>552</v>
      </c>
      <c r="FN26" s="24" t="n"/>
      <c r="FO26" s="25" t="n">
        <v>0</v>
      </c>
      <c r="FP26" s="24" t="n"/>
      <c r="FQ26" s="340" t="n"/>
      <c r="FR26" s="803">
        <f>SUMPRODUCT(--(MOD(COLUMN(DU26:ER26),4)=MOD(COLUMN(DU26),4)),DU26:ER26)+SUMPRODUCT(--(MOD(COLUMN(ES26:FP26),4)=MOD(COLUMN(ES26),4)),ES26:FP26)</f>
        <v/>
      </c>
      <c r="FS26" s="803">
        <f>SUMPRODUCT(--(MOD(COLUMN(DU26:ER26),4)=MOD(COLUMN(DU26),4)),DU26:ER26)*#REF!+SUMPRODUCT(--(MOD(COLUMN(ES26:FP26),4)=MOD(COLUMN(ES26),4)),ES26:FP26)*#REF!</f>
        <v/>
      </c>
      <c r="FT26" s="360" t="n"/>
    </row>
    <row r="27" outlineLevel="2" customFormat="1" s="14">
      <c r="A27" s="15" t="inlineStr">
        <is>
          <t>HJBridge (нет в системе)</t>
        </is>
      </c>
      <c r="B27" s="16" t="inlineStr">
        <is>
          <t>Договор не подписан</t>
        </is>
      </c>
      <c r="C27" s="15" t="inlineStr">
        <is>
          <t>ВБК Восток</t>
        </is>
      </c>
      <c r="D27" s="15" t="inlineStr">
        <is>
          <t>Прасолов, Соловьёв</t>
        </is>
      </c>
      <c r="E27" s="17">
        <f>IF(ISBLANK(G27),"",IF($A$6:$A$64=$A27,COUNTIF($A$6:A27,$A27),""))</f>
        <v/>
      </c>
      <c r="F27" s="10" t="n">
        <v>1</v>
      </c>
      <c r="G27" s="54" t="n">
        <v>4235050030</v>
      </c>
      <c r="H27" s="55" t="inlineStr">
        <is>
          <t>Тормозная камера, тип 20</t>
        </is>
      </c>
      <c r="I27" s="629">
        <f>163.08/НДС_20</f>
        <v/>
      </c>
      <c r="J27" s="798" t="n"/>
      <c r="K27" s="798" t="n"/>
      <c r="L27" s="798">
        <f>IF(K27="RUB",J27/ЮАНЬ,IF(K27="EUR",J27*ЕВРО/ЮАНЬ,""))</f>
        <v/>
      </c>
      <c r="M27" s="801" t="n"/>
      <c r="N27" s="802">
        <f>IF(BP27&gt;0,1,IF(BN27&gt;0,2,))</f>
        <v/>
      </c>
      <c r="O27" s="23" t="n"/>
      <c r="P27" s="24" t="n"/>
      <c r="Q27" s="25" t="n"/>
      <c r="R27" s="24" t="n"/>
      <c r="S27" s="23" t="n"/>
      <c r="T27" s="24" t="n"/>
      <c r="U27" s="25" t="n">
        <v>0</v>
      </c>
      <c r="V27" s="24" t="n"/>
      <c r="W27" s="23" t="n"/>
      <c r="X27" s="24" t="n"/>
      <c r="Y27" s="25" t="n"/>
      <c r="Z27" s="24" t="n"/>
      <c r="AA27" s="23" t="n"/>
      <c r="AB27" s="24" t="n"/>
      <c r="AC27" s="25" t="n"/>
      <c r="AD27" s="24" t="n"/>
      <c r="AE27" s="23" t="n"/>
      <c r="AF27" s="24" t="n"/>
      <c r="AG27" s="25" t="n"/>
      <c r="AH27" s="24" t="n"/>
      <c r="AI27" s="23" t="n"/>
      <c r="AJ27" s="24" t="n"/>
      <c r="AK27" s="25" t="n"/>
      <c r="AL27" s="24" t="n"/>
      <c r="AM27" s="23" t="n"/>
      <c r="AN27" s="24" t="n"/>
      <c r="AO27" s="25" t="n"/>
      <c r="AP27" s="24" t="n"/>
      <c r="AQ27" s="23" t="n"/>
      <c r="AR27" s="24" t="n"/>
      <c r="AS27" s="25" t="n"/>
      <c r="AT27" s="24" t="n"/>
      <c r="AU27" s="23" t="n"/>
      <c r="AV27" s="24" t="n"/>
      <c r="AW27" s="25" t="n"/>
      <c r="AX27" s="24" t="n"/>
      <c r="AY27" s="23" t="n"/>
      <c r="AZ27" s="24" t="n"/>
      <c r="BA27" s="25" t="n"/>
      <c r="BB27" s="24" t="n"/>
      <c r="BC27" s="23" t="n"/>
      <c r="BD27" s="24" t="n"/>
      <c r="BE27" s="25" t="n"/>
      <c r="BF27" s="24" t="n"/>
      <c r="BG27" s="23" t="n"/>
      <c r="BH27" s="24" t="n"/>
      <c r="BI27" s="25" t="n"/>
      <c r="BJ27" s="24" t="n"/>
      <c r="BK27" s="340" t="n"/>
      <c r="BL27" s="803">
        <f>SUMPRODUCT(--(MOD(COLUMN($O27:$AL27),4)=MOD(COLUMN($O27)+0,4)),$O27:$AL27)
+SUMPRODUCT(--(MOD(COLUMN($AM27:$BJ27),4)=MOD(COLUMN($AM27)+0,4)),$AM27:$BJ27)</f>
        <v/>
      </c>
      <c r="BM27" s="804">
        <f>SUMPRODUCT(--(MOD(COLUMN($O27:$AL27),4)=MOD(COLUMN($O27)+0,4)),$O27:$AL27)*
$I27+SUMPRODUCT(--(MOD(COLUMN($AM27:$BJ27),4)=MOD(COLUMN($AM27)+0,4)),$AM27:$BJ27)*$I27</f>
        <v/>
      </c>
      <c r="BN27" s="805">
        <f>SUMPRODUCT(--(MOD(COLUMN($O27:$AL27),4)=MOD(COLUMN($O27)+1,4)),$O27:$AL27)
+SUMPRODUCT(--(MOD(COLUMN($AM27:$BJ27),4)=MOD(COLUMN($AM27)+1,4)),$AM27:$BJ27)</f>
        <v/>
      </c>
      <c r="BO27" s="806">
        <f>SUMPRODUCT(--(MOD(COLUMN($O27:$AL27),4)=MOD(COLUMN($O27)+1,4)),$O27:$AL27)*
$I27+SUMPRODUCT(--(MOD(COLUMN($AM27:$BJ27),4)=MOD(COLUMN($AM27)+1,4)),$AM27:$BJ27)*$I27</f>
        <v/>
      </c>
      <c r="BP27" s="807">
        <f>SUMPRODUCT(--(MOD(COLUMN($O27:$AL27),4)=MOD(COLUMN($O27)+2,4)),$O27:$AL27)
+SUMPRODUCT(--(MOD(COLUMN($AM27:$BJ27),4)=MOD(COLUMN($AM27)+2,4)),$AM27:$BJ27)</f>
        <v/>
      </c>
      <c r="BQ27" s="808">
        <f>SUMPRODUCT(--(MOD(COLUMN($O27:$AL27),4)=MOD(COLUMN($O27)+2,4)),$O27:$AL27)*
$I27+SUMPRODUCT(--(MOD(COLUMN($AM27:$BJ27),4)=MOD(COLUMN($AM27)+2,4)),$AM27:$BJ27)*$I27</f>
        <v/>
      </c>
      <c r="BR27" s="809" t="n"/>
      <c r="BS27" s="801" t="n"/>
      <c r="BT27" s="23" t="n"/>
      <c r="BU27" s="24" t="n"/>
      <c r="BV27" s="25" t="n"/>
      <c r="BW27" s="24" t="n"/>
      <c r="BX27" s="23" t="n"/>
      <c r="BY27" s="24" t="n"/>
      <c r="BZ27" s="25" t="n"/>
      <c r="CA27" s="24" t="n"/>
      <c r="CB27" s="23" t="n"/>
      <c r="CC27" s="24" t="n"/>
      <c r="CD27" s="25" t="n"/>
      <c r="CE27" s="24" t="n"/>
      <c r="CF27" s="23" t="n"/>
      <c r="CG27" s="24" t="n"/>
      <c r="CH27" s="25" t="n"/>
      <c r="CI27" s="24" t="n"/>
      <c r="CJ27" s="23" t="n"/>
      <c r="CK27" s="24" t="n"/>
      <c r="CL27" s="25" t="n"/>
      <c r="CM27" s="24" t="n"/>
      <c r="CN27" s="23" t="n"/>
      <c r="CO27" s="24" t="n"/>
      <c r="CP27" s="25" t="n"/>
      <c r="CQ27" s="24" t="n"/>
      <c r="CR27" s="23" t="n"/>
      <c r="CS27" s="24" t="n"/>
      <c r="CT27" s="25" t="n"/>
      <c r="CU27" s="24" t="n"/>
      <c r="CV27" s="23" t="n"/>
      <c r="CW27" s="24" t="n"/>
      <c r="CX27" s="25" t="n"/>
      <c r="CY27" s="24" t="n"/>
      <c r="CZ27" s="23" t="n"/>
      <c r="DA27" s="24" t="n"/>
      <c r="DB27" s="25" t="n"/>
      <c r="DC27" s="24" t="n"/>
      <c r="DD27" s="23" t="n"/>
      <c r="DE27" s="24" t="n"/>
      <c r="DF27" s="25" t="n"/>
      <c r="DG27" s="24" t="n"/>
      <c r="DH27" s="23" t="n"/>
      <c r="DI27" s="24" t="n"/>
      <c r="DJ27" s="25" t="n"/>
      <c r="DK27" s="24" t="n"/>
      <c r="DL27" s="23" t="n"/>
      <c r="DM27" s="24" t="n"/>
      <c r="DN27" s="25" t="n"/>
      <c r="DO27" s="24" t="n"/>
      <c r="DP27" s="340" t="n"/>
      <c r="DQ27" s="803">
        <f>SUMPRODUCT(--(MOD(COLUMN(BT27:CQ27),4)=MOD(COLUMN(BT27),4)),BT27:CQ27)+SUMPRODUCT(--(MOD(COLUMN(CR27:DO27),4)=MOD(COLUMN(CR27),4)),CR27:DO27)</f>
        <v/>
      </c>
      <c r="DR27" s="803">
        <f>SUMPRODUCT(--(MOD(COLUMN(BT27:CQ27),4)=MOD(COLUMN(BT27),4)),BT27:CQ27)*#REF!+SUMPRODUCT(--(MOD(COLUMN(CR27:DO27),4)=MOD(COLUMN(CR27),4)),CR27:DO27)*#REF!</f>
        <v/>
      </c>
      <c r="DS27" s="809" t="n"/>
      <c r="DT27" s="801" t="n"/>
      <c r="DU27" s="23" t="n"/>
      <c r="DV27" s="24" t="n"/>
      <c r="DW27" s="25" t="n"/>
      <c r="DX27" s="24" t="n"/>
      <c r="DY27" s="23" t="n"/>
      <c r="DZ27" s="24" t="n"/>
      <c r="EA27" s="25" t="n"/>
      <c r="EB27" s="24" t="n"/>
      <c r="EC27" s="23" t="n"/>
      <c r="ED27" s="24" t="n"/>
      <c r="EE27" s="25" t="n"/>
      <c r="EF27" s="24" t="n"/>
      <c r="EG27" s="23" t="n"/>
      <c r="EH27" s="24" t="n"/>
      <c r="EI27" s="25" t="n"/>
      <c r="EJ27" s="24" t="n"/>
      <c r="EK27" s="23" t="n"/>
      <c r="EL27" s="24" t="n"/>
      <c r="EM27" s="25" t="n"/>
      <c r="EN27" s="24" t="n"/>
      <c r="EO27" s="23" t="n"/>
      <c r="EP27" s="24" t="n"/>
      <c r="EQ27" s="25" t="n"/>
      <c r="ER27" s="24" t="n"/>
      <c r="ES27" s="23" t="n"/>
      <c r="ET27" s="24" t="n"/>
      <c r="EU27" s="25" t="n"/>
      <c r="EV27" s="24" t="n"/>
      <c r="EW27" s="23" t="n"/>
      <c r="EX27" s="24" t="n"/>
      <c r="EY27" s="25" t="n"/>
      <c r="EZ27" s="24" t="n"/>
      <c r="FA27" s="23" t="n"/>
      <c r="FB27" s="24" t="n"/>
      <c r="FC27" s="25" t="n"/>
      <c r="FD27" s="24" t="n"/>
      <c r="FE27" s="23" t="n"/>
      <c r="FF27" s="24" t="n"/>
      <c r="FG27" s="25" t="n"/>
      <c r="FH27" s="24" t="n"/>
      <c r="FI27" s="23" t="n"/>
      <c r="FJ27" s="24" t="n"/>
      <c r="FK27" s="25" t="n"/>
      <c r="FL27" s="24" t="n"/>
      <c r="FM27" s="23" t="n"/>
      <c r="FN27" s="24" t="n"/>
      <c r="FO27" s="25" t="n"/>
      <c r="FP27" s="24" t="n"/>
      <c r="FQ27" s="340" t="n"/>
      <c r="FR27" s="803">
        <f>SUMPRODUCT(--(MOD(COLUMN(DU27:ER27),4)=MOD(COLUMN(DU27),4)),DU27:ER27)+SUMPRODUCT(--(MOD(COLUMN(ES27:FP27),4)=MOD(COLUMN(ES27),4)),ES27:FP27)</f>
        <v/>
      </c>
      <c r="FS27" s="803">
        <f>SUMPRODUCT(--(MOD(COLUMN(DU27:ER27),4)=MOD(COLUMN(DU27),4)),DU27:ER27)*#REF!+SUMPRODUCT(--(MOD(COLUMN(ES27:FP27),4)=MOD(COLUMN(ES27),4)),ES27:FP27)*#REF!</f>
        <v/>
      </c>
      <c r="FT27" s="360" t="n"/>
    </row>
    <row r="28" outlineLevel="2" customFormat="1" s="14">
      <c r="A28" s="15" t="inlineStr">
        <is>
          <t>HJBridge (нет в системе)</t>
        </is>
      </c>
      <c r="B28" s="16" t="inlineStr">
        <is>
          <t>Договор не подписан</t>
        </is>
      </c>
      <c r="C28" s="15" t="inlineStr">
        <is>
          <t>ВБК Восток</t>
        </is>
      </c>
      <c r="D28" s="15" t="inlineStr">
        <is>
          <t>Прасолов, Соловьёв</t>
        </is>
      </c>
      <c r="E28" s="17">
        <f>IF(ISBLANK(G28),"",IF($A$6:$A$64=$A28,COUNTIF($A$6:A28,$A28),""))</f>
        <v/>
      </c>
      <c r="F28" s="10" t="n">
        <v>1</v>
      </c>
      <c r="G28" s="54" t="n">
        <v>9254800506</v>
      </c>
      <c r="H28" s="55" t="inlineStr">
        <is>
          <t>Энергоаккумулятор, тип 20/24</t>
        </is>
      </c>
      <c r="I28" s="629">
        <f>373.98/НДС_20</f>
        <v/>
      </c>
      <c r="J28" s="798" t="n"/>
      <c r="K28" s="798" t="n"/>
      <c r="L28" s="798">
        <f>IF(K28="RUB",J28/ЮАНЬ,IF(K28="EUR",J28*ЕВРО/ЮАНЬ,""))</f>
        <v/>
      </c>
      <c r="M28" s="801" t="n"/>
      <c r="N28" s="802">
        <f>IF(BP28&gt;0,1,IF(BN28&gt;0,2,))</f>
        <v/>
      </c>
      <c r="O28" s="23" t="n"/>
      <c r="P28" s="24" t="n"/>
      <c r="Q28" s="25" t="n"/>
      <c r="R28" s="24" t="n"/>
      <c r="S28" s="23" t="n"/>
      <c r="T28" s="24" t="n"/>
      <c r="U28" s="25" t="n">
        <v>0</v>
      </c>
      <c r="V28" s="24" t="n"/>
      <c r="W28" s="23" t="n"/>
      <c r="X28" s="24" t="n"/>
      <c r="Y28" s="25" t="n"/>
      <c r="Z28" s="24" t="n"/>
      <c r="AA28" s="23" t="n"/>
      <c r="AB28" s="24" t="n"/>
      <c r="AC28" s="25" t="n"/>
      <c r="AD28" s="24" t="n"/>
      <c r="AE28" s="23" t="n"/>
      <c r="AF28" s="24" t="n"/>
      <c r="AG28" s="25" t="n"/>
      <c r="AH28" s="24" t="n"/>
      <c r="AI28" s="23" t="n"/>
      <c r="AJ28" s="24" t="n"/>
      <c r="AK28" s="25" t="n"/>
      <c r="AL28" s="24" t="n"/>
      <c r="AM28" s="23" t="n"/>
      <c r="AN28" s="24" t="n"/>
      <c r="AO28" s="25" t="n"/>
      <c r="AP28" s="24" t="n"/>
      <c r="AQ28" s="23" t="n"/>
      <c r="AR28" s="24" t="n"/>
      <c r="AS28" s="25" t="n"/>
      <c r="AT28" s="24" t="n"/>
      <c r="AU28" s="23" t="n"/>
      <c r="AV28" s="24" t="n"/>
      <c r="AW28" s="25" t="n"/>
      <c r="AX28" s="24" t="n"/>
      <c r="AY28" s="23" t="n"/>
      <c r="AZ28" s="24" t="n"/>
      <c r="BA28" s="25" t="n"/>
      <c r="BB28" s="24" t="n"/>
      <c r="BC28" s="23" t="n"/>
      <c r="BD28" s="24" t="n"/>
      <c r="BE28" s="25" t="n"/>
      <c r="BF28" s="24" t="n"/>
      <c r="BG28" s="23" t="n"/>
      <c r="BH28" s="24" t="n"/>
      <c r="BI28" s="25" t="n"/>
      <c r="BJ28" s="24" t="n"/>
      <c r="BK28" s="340" t="n"/>
      <c r="BL28" s="803">
        <f>SUMPRODUCT(--(MOD(COLUMN($O28:$AL28),4)=MOD(COLUMN($O28)+0,4)),$O28:$AL28)
+SUMPRODUCT(--(MOD(COLUMN($AM28:$BJ28),4)=MOD(COLUMN($AM28)+0,4)),$AM28:$BJ28)</f>
        <v/>
      </c>
      <c r="BM28" s="804">
        <f>SUMPRODUCT(--(MOD(COLUMN($O28:$AL28),4)=MOD(COLUMN($O28)+0,4)),$O28:$AL28)*
$I28+SUMPRODUCT(--(MOD(COLUMN($AM28:$BJ28),4)=MOD(COLUMN($AM28)+0,4)),$AM28:$BJ28)*$I28</f>
        <v/>
      </c>
      <c r="BN28" s="805">
        <f>SUMPRODUCT(--(MOD(COLUMN($O28:$AL28),4)=MOD(COLUMN($O28)+1,4)),$O28:$AL28)
+SUMPRODUCT(--(MOD(COLUMN($AM28:$BJ28),4)=MOD(COLUMN($AM28)+1,4)),$AM28:$BJ28)</f>
        <v/>
      </c>
      <c r="BO28" s="806">
        <f>SUMPRODUCT(--(MOD(COLUMN($O28:$AL28),4)=MOD(COLUMN($O28)+1,4)),$O28:$AL28)*
$I28+SUMPRODUCT(--(MOD(COLUMN($AM28:$BJ28),4)=MOD(COLUMN($AM28)+1,4)),$AM28:$BJ28)*$I28</f>
        <v/>
      </c>
      <c r="BP28" s="807">
        <f>SUMPRODUCT(--(MOD(COLUMN($O28:$AL28),4)=MOD(COLUMN($O28)+2,4)),$O28:$AL28)
+SUMPRODUCT(--(MOD(COLUMN($AM28:$BJ28),4)=MOD(COLUMN($AM28)+2,4)),$AM28:$BJ28)</f>
        <v/>
      </c>
      <c r="BQ28" s="808">
        <f>SUMPRODUCT(--(MOD(COLUMN($O28:$AL28),4)=MOD(COLUMN($O28)+2,4)),$O28:$AL28)*
$I28+SUMPRODUCT(--(MOD(COLUMN($AM28:$BJ28),4)=MOD(COLUMN($AM28)+2,4)),$AM28:$BJ28)*$I28</f>
        <v/>
      </c>
      <c r="BR28" s="809" t="n"/>
      <c r="BS28" s="801" t="n"/>
      <c r="BT28" s="23" t="n"/>
      <c r="BU28" s="24" t="n"/>
      <c r="BV28" s="25" t="n"/>
      <c r="BW28" s="24" t="n"/>
      <c r="BX28" s="23" t="n"/>
      <c r="BY28" s="24" t="n"/>
      <c r="BZ28" s="25" t="n"/>
      <c r="CA28" s="24" t="n"/>
      <c r="CB28" s="23" t="n"/>
      <c r="CC28" s="24" t="n"/>
      <c r="CD28" s="25" t="n"/>
      <c r="CE28" s="24" t="n"/>
      <c r="CF28" s="23" t="n"/>
      <c r="CG28" s="24" t="n"/>
      <c r="CH28" s="25" t="n"/>
      <c r="CI28" s="24" t="n"/>
      <c r="CJ28" s="23" t="n"/>
      <c r="CK28" s="24" t="n"/>
      <c r="CL28" s="25" t="n"/>
      <c r="CM28" s="24" t="n"/>
      <c r="CN28" s="23" t="n"/>
      <c r="CO28" s="24" t="n"/>
      <c r="CP28" s="25" t="n"/>
      <c r="CQ28" s="24" t="n"/>
      <c r="CR28" s="23" t="n"/>
      <c r="CS28" s="24" t="n"/>
      <c r="CT28" s="25" t="n"/>
      <c r="CU28" s="24" t="n"/>
      <c r="CV28" s="23" t="n"/>
      <c r="CW28" s="24" t="n"/>
      <c r="CX28" s="25" t="n"/>
      <c r="CY28" s="24" t="n"/>
      <c r="CZ28" s="23" t="n"/>
      <c r="DA28" s="24" t="n"/>
      <c r="DB28" s="25" t="n"/>
      <c r="DC28" s="24" t="n"/>
      <c r="DD28" s="23" t="n"/>
      <c r="DE28" s="24" t="n"/>
      <c r="DF28" s="25" t="n"/>
      <c r="DG28" s="24" t="n"/>
      <c r="DH28" s="23" t="n"/>
      <c r="DI28" s="24" t="n"/>
      <c r="DJ28" s="25" t="n"/>
      <c r="DK28" s="24" t="n"/>
      <c r="DL28" s="23" t="n"/>
      <c r="DM28" s="24" t="n"/>
      <c r="DN28" s="25" t="n"/>
      <c r="DO28" s="24" t="n"/>
      <c r="DP28" s="340" t="n"/>
      <c r="DQ28" s="803">
        <f>SUMPRODUCT(--(MOD(COLUMN(BT28:CQ28),4)=MOD(COLUMN(BT28),4)),BT28:CQ28)+SUMPRODUCT(--(MOD(COLUMN(CR28:DO28),4)=MOD(COLUMN(CR28),4)),CR28:DO28)</f>
        <v/>
      </c>
      <c r="DR28" s="803">
        <f>SUMPRODUCT(--(MOD(COLUMN(BT28:CQ28),4)=MOD(COLUMN(BT28),4)),BT28:CQ28)*#REF!+SUMPRODUCT(--(MOD(COLUMN(CR28:DO28),4)=MOD(COLUMN(CR28),4)),CR28:DO28)*#REF!</f>
        <v/>
      </c>
      <c r="DS28" s="809" t="n"/>
      <c r="DT28" s="801" t="n"/>
      <c r="DU28" s="23" t="n"/>
      <c r="DV28" s="24" t="n"/>
      <c r="DW28" s="25" t="n"/>
      <c r="DX28" s="24" t="n"/>
      <c r="DY28" s="23" t="n"/>
      <c r="DZ28" s="24" t="n"/>
      <c r="EA28" s="25" t="n"/>
      <c r="EB28" s="24" t="n"/>
      <c r="EC28" s="23" t="n"/>
      <c r="ED28" s="24" t="n"/>
      <c r="EE28" s="25" t="n"/>
      <c r="EF28" s="24" t="n"/>
      <c r="EG28" s="23" t="n"/>
      <c r="EH28" s="24" t="n"/>
      <c r="EI28" s="25" t="n"/>
      <c r="EJ28" s="24" t="n"/>
      <c r="EK28" s="23" t="n"/>
      <c r="EL28" s="24" t="n"/>
      <c r="EM28" s="25" t="n"/>
      <c r="EN28" s="24" t="n"/>
      <c r="EO28" s="23" t="n"/>
      <c r="EP28" s="24" t="n"/>
      <c r="EQ28" s="25" t="n"/>
      <c r="ER28" s="24" t="n"/>
      <c r="ES28" s="23" t="n"/>
      <c r="ET28" s="24" t="n"/>
      <c r="EU28" s="25" t="n"/>
      <c r="EV28" s="24" t="n"/>
      <c r="EW28" s="23" t="n"/>
      <c r="EX28" s="24" t="n"/>
      <c r="EY28" s="25" t="n"/>
      <c r="EZ28" s="24" t="n"/>
      <c r="FA28" s="23" t="n"/>
      <c r="FB28" s="24" t="n"/>
      <c r="FC28" s="25" t="n"/>
      <c r="FD28" s="24" t="n"/>
      <c r="FE28" s="23" t="n"/>
      <c r="FF28" s="24" t="n"/>
      <c r="FG28" s="25" t="n"/>
      <c r="FH28" s="24" t="n"/>
      <c r="FI28" s="23" t="n"/>
      <c r="FJ28" s="24" t="n"/>
      <c r="FK28" s="25" t="n"/>
      <c r="FL28" s="24" t="n"/>
      <c r="FM28" s="23" t="n"/>
      <c r="FN28" s="24" t="n"/>
      <c r="FO28" s="25" t="n"/>
      <c r="FP28" s="24" t="n"/>
      <c r="FQ28" s="340" t="n"/>
      <c r="FR28" s="803">
        <f>SUMPRODUCT(--(MOD(COLUMN(DU28:ER28),4)=MOD(COLUMN(DU28),4)),DU28:ER28)+SUMPRODUCT(--(MOD(COLUMN(ES28:FP28),4)=MOD(COLUMN(ES28),4)),ES28:FP28)</f>
        <v/>
      </c>
      <c r="FS28" s="803">
        <f>SUMPRODUCT(--(MOD(COLUMN(DU28:ER28),4)=MOD(COLUMN(DU28),4)),DU28:ER28)*#REF!+SUMPRODUCT(--(MOD(COLUMN(ES28:FP28),4)=MOD(COLUMN(ES28),4)),ES28:FP28)*#REF!</f>
        <v/>
      </c>
      <c r="FT28" s="360" t="n"/>
    </row>
    <row r="29" outlineLevel="2" customFormat="1" s="14">
      <c r="A29" s="15" t="inlineStr">
        <is>
          <t>HJBridge (нет в системе)</t>
        </is>
      </c>
      <c r="B29" s="16" t="inlineStr">
        <is>
          <t>Договор не подписан</t>
        </is>
      </c>
      <c r="C29" s="15" t="inlineStr">
        <is>
          <t>ВБК Восток</t>
        </is>
      </c>
      <c r="D29" s="15" t="inlineStr">
        <is>
          <t>Прасолов, Соловьёв</t>
        </is>
      </c>
      <c r="E29" s="17">
        <f>IF(ISBLANK(G29),"",IF($A$6:$A$64=$A29,COUNTIF($A$6:A29,$A29),""))</f>
        <v/>
      </c>
      <c r="F29" s="17" t="n">
        <v>1</v>
      </c>
      <c r="G29" s="33" t="n">
        <v>4235041050</v>
      </c>
      <c r="H29" s="55" t="inlineStr">
        <is>
          <t>Тормозная камера, тип 16</t>
        </is>
      </c>
      <c r="I29" s="627">
        <f>156/НДС_20</f>
        <v/>
      </c>
      <c r="J29" s="798" t="n"/>
      <c r="K29" s="798" t="n"/>
      <c r="L29" s="798">
        <f>IF(K29="RUB",J29/ЮАНЬ,IF(K29="EUR",J29*ЕВРО/ЮАНЬ,""))</f>
        <v/>
      </c>
      <c r="M29" s="801" t="n"/>
      <c r="N29" s="802">
        <f>IF(BP29&gt;0,1,IF(BN29&gt;0,2,))</f>
        <v/>
      </c>
      <c r="O29" s="23" t="n"/>
      <c r="P29" s="24" t="n"/>
      <c r="Q29" s="25" t="n"/>
      <c r="R29" s="24" t="n"/>
      <c r="S29" s="23" t="n"/>
      <c r="T29" s="24" t="n"/>
      <c r="U29" s="25" t="n">
        <v>0</v>
      </c>
      <c r="V29" s="24" t="n"/>
      <c r="W29" s="23" t="n"/>
      <c r="X29" s="24" t="n"/>
      <c r="Y29" s="25" t="n"/>
      <c r="Z29" s="24" t="n"/>
      <c r="AA29" s="23" t="n"/>
      <c r="AB29" s="24" t="n"/>
      <c r="AC29" s="25" t="n"/>
      <c r="AD29" s="24" t="n"/>
      <c r="AE29" s="23" t="n"/>
      <c r="AF29" s="24" t="n"/>
      <c r="AG29" s="25" t="n"/>
      <c r="AH29" s="24" t="n"/>
      <c r="AI29" s="23" t="n"/>
      <c r="AJ29" s="24" t="n"/>
      <c r="AK29" s="25" t="n"/>
      <c r="AL29" s="24" t="n"/>
      <c r="AM29" s="23" t="n"/>
      <c r="AN29" s="24" t="n"/>
      <c r="AO29" s="25" t="n"/>
      <c r="AP29" s="24" t="n"/>
      <c r="AQ29" s="23" t="n"/>
      <c r="AR29" s="24" t="n"/>
      <c r="AS29" s="25" t="n"/>
      <c r="AT29" s="24" t="n"/>
      <c r="AU29" s="23" t="n"/>
      <c r="AV29" s="24" t="n"/>
      <c r="AW29" s="25" t="n"/>
      <c r="AX29" s="24" t="n"/>
      <c r="AY29" s="23" t="n"/>
      <c r="AZ29" s="24" t="n"/>
      <c r="BA29" s="25" t="n"/>
      <c r="BB29" s="24" t="n"/>
      <c r="BC29" s="23" t="n"/>
      <c r="BD29" s="24" t="n"/>
      <c r="BE29" s="25" t="n"/>
      <c r="BF29" s="24" t="n"/>
      <c r="BG29" s="23" t="n"/>
      <c r="BH29" s="24" t="n"/>
      <c r="BI29" s="25" t="n"/>
      <c r="BJ29" s="24" t="n"/>
      <c r="BK29" s="340" t="n"/>
      <c r="BL29" s="803">
        <f>SUMPRODUCT(--(MOD(COLUMN($O29:$AL29),4)=MOD(COLUMN($O29)+0,4)),$O29:$AL29)
+SUMPRODUCT(--(MOD(COLUMN($AM29:$BJ29),4)=MOD(COLUMN($AM29)+0,4)),$AM29:$BJ29)</f>
        <v/>
      </c>
      <c r="BM29" s="804">
        <f>SUMPRODUCT(--(MOD(COLUMN($O29:$AL29),4)=MOD(COLUMN($O29)+0,4)),$O29:$AL29)*
$I29+SUMPRODUCT(--(MOD(COLUMN($AM29:$BJ29),4)=MOD(COLUMN($AM29)+0,4)),$AM29:$BJ29)*$I29</f>
        <v/>
      </c>
      <c r="BN29" s="805">
        <f>SUMPRODUCT(--(MOD(COLUMN($O29:$AL29),4)=MOD(COLUMN($O29)+1,4)),$O29:$AL29)
+SUMPRODUCT(--(MOD(COLUMN($AM29:$BJ29),4)=MOD(COLUMN($AM29)+1,4)),$AM29:$BJ29)</f>
        <v/>
      </c>
      <c r="BO29" s="806">
        <f>SUMPRODUCT(--(MOD(COLUMN($O29:$AL29),4)=MOD(COLUMN($O29)+1,4)),$O29:$AL29)*
$I29+SUMPRODUCT(--(MOD(COLUMN($AM29:$BJ29),4)=MOD(COLUMN($AM29)+1,4)),$AM29:$BJ29)*$I29</f>
        <v/>
      </c>
      <c r="BP29" s="807">
        <f>SUMPRODUCT(--(MOD(COLUMN($O29:$AL29),4)=MOD(COLUMN($O29)+2,4)),$O29:$AL29)
+SUMPRODUCT(--(MOD(COLUMN($AM29:$BJ29),4)=MOD(COLUMN($AM29)+2,4)),$AM29:$BJ29)</f>
        <v/>
      </c>
      <c r="BQ29" s="808">
        <f>SUMPRODUCT(--(MOD(COLUMN($O29:$AL29),4)=MOD(COLUMN($O29)+2,4)),$O29:$AL29)*
$I29+SUMPRODUCT(--(MOD(COLUMN($AM29:$BJ29),4)=MOD(COLUMN($AM29)+2,4)),$AM29:$BJ29)*$I29</f>
        <v/>
      </c>
      <c r="BR29" s="809" t="n"/>
      <c r="BS29" s="801" t="n"/>
      <c r="BT29" s="23" t="n"/>
      <c r="BU29" s="24" t="n"/>
      <c r="BV29" s="25" t="n"/>
      <c r="BW29" s="24" t="n"/>
      <c r="BX29" s="23" t="n"/>
      <c r="BY29" s="24" t="n"/>
      <c r="BZ29" s="25" t="n"/>
      <c r="CA29" s="24" t="n"/>
      <c r="CB29" s="23" t="n"/>
      <c r="CC29" s="24" t="n"/>
      <c r="CD29" s="25" t="n"/>
      <c r="CE29" s="24" t="n"/>
      <c r="CF29" s="23" t="n"/>
      <c r="CG29" s="24" t="n"/>
      <c r="CH29" s="25" t="n"/>
      <c r="CI29" s="24" t="n"/>
      <c r="CJ29" s="23" t="n"/>
      <c r="CK29" s="24" t="n"/>
      <c r="CL29" s="25" t="n"/>
      <c r="CM29" s="24" t="n"/>
      <c r="CN29" s="23" t="n"/>
      <c r="CO29" s="24" t="n"/>
      <c r="CP29" s="25" t="n"/>
      <c r="CQ29" s="24" t="n"/>
      <c r="CR29" s="23" t="n"/>
      <c r="CS29" s="24" t="n"/>
      <c r="CT29" s="25" t="n"/>
      <c r="CU29" s="24" t="n"/>
      <c r="CV29" s="23" t="n"/>
      <c r="CW29" s="24" t="n"/>
      <c r="CX29" s="25" t="n"/>
      <c r="CY29" s="24" t="n"/>
      <c r="CZ29" s="23" t="n"/>
      <c r="DA29" s="24" t="n"/>
      <c r="DB29" s="25" t="n"/>
      <c r="DC29" s="24" t="n"/>
      <c r="DD29" s="23" t="n"/>
      <c r="DE29" s="24" t="n"/>
      <c r="DF29" s="25" t="n"/>
      <c r="DG29" s="24" t="n"/>
      <c r="DH29" s="23" t="n"/>
      <c r="DI29" s="24" t="n"/>
      <c r="DJ29" s="25" t="n"/>
      <c r="DK29" s="24" t="n"/>
      <c r="DL29" s="23" t="n"/>
      <c r="DM29" s="24" t="n"/>
      <c r="DN29" s="25" t="n"/>
      <c r="DO29" s="24" t="n"/>
      <c r="DP29" s="340" t="n"/>
      <c r="DQ29" s="803">
        <f>SUMPRODUCT(--(MOD(COLUMN(BT29:CQ29),4)=MOD(COLUMN(BT29),4)),BT29:CQ29)+SUMPRODUCT(--(MOD(COLUMN(CR29:DO29),4)=MOD(COLUMN(CR29),4)),CR29:DO29)</f>
        <v/>
      </c>
      <c r="DR29" s="803">
        <f>SUMPRODUCT(--(MOD(COLUMN(BT29:CQ29),4)=MOD(COLUMN(BT29),4)),BT29:CQ29)*#REF!+SUMPRODUCT(--(MOD(COLUMN(CR29:DO29),4)=MOD(COLUMN(CR29),4)),CR29:DO29)*#REF!</f>
        <v/>
      </c>
      <c r="DS29" s="809" t="n"/>
      <c r="DT29" s="801" t="n"/>
      <c r="DU29" s="23" t="n"/>
      <c r="DV29" s="24" t="n"/>
      <c r="DW29" s="25" t="n"/>
      <c r="DX29" s="24" t="n"/>
      <c r="DY29" s="23" t="n"/>
      <c r="DZ29" s="24" t="n"/>
      <c r="EA29" s="25" t="n"/>
      <c r="EB29" s="24" t="n"/>
      <c r="EC29" s="23" t="n"/>
      <c r="ED29" s="24" t="n"/>
      <c r="EE29" s="25" t="n"/>
      <c r="EF29" s="24" t="n"/>
      <c r="EG29" s="23" t="n"/>
      <c r="EH29" s="24" t="n"/>
      <c r="EI29" s="25" t="n"/>
      <c r="EJ29" s="24" t="n"/>
      <c r="EK29" s="23" t="n"/>
      <c r="EL29" s="24" t="n"/>
      <c r="EM29" s="25" t="n"/>
      <c r="EN29" s="24" t="n"/>
      <c r="EO29" s="23" t="n"/>
      <c r="EP29" s="24" t="n"/>
      <c r="EQ29" s="25" t="n"/>
      <c r="ER29" s="24" t="n"/>
      <c r="ES29" s="23" t="n"/>
      <c r="ET29" s="24" t="n"/>
      <c r="EU29" s="25" t="n"/>
      <c r="EV29" s="24" t="n"/>
      <c r="EW29" s="23" t="n"/>
      <c r="EX29" s="24" t="n"/>
      <c r="EY29" s="25" t="n"/>
      <c r="EZ29" s="24" t="n"/>
      <c r="FA29" s="23" t="n"/>
      <c r="FB29" s="24" t="n"/>
      <c r="FC29" s="25" t="n"/>
      <c r="FD29" s="24" t="n"/>
      <c r="FE29" s="23" t="n"/>
      <c r="FF29" s="24" t="n"/>
      <c r="FG29" s="25" t="n"/>
      <c r="FH29" s="24" t="n"/>
      <c r="FI29" s="23" t="n"/>
      <c r="FJ29" s="24" t="n"/>
      <c r="FK29" s="25" t="n"/>
      <c r="FL29" s="24" t="n"/>
      <c r="FM29" s="23" t="n"/>
      <c r="FN29" s="24" t="n"/>
      <c r="FO29" s="25" t="n"/>
      <c r="FP29" s="24" t="n"/>
      <c r="FQ29" s="340" t="n"/>
      <c r="FR29" s="803">
        <f>SUMPRODUCT(--(MOD(COLUMN(DU29:ER29),4)=MOD(COLUMN(DU29),4)),DU29:ER29)+SUMPRODUCT(--(MOD(COLUMN(ES29:FP29),4)=MOD(COLUMN(ES29),4)),ES29:FP29)</f>
        <v/>
      </c>
      <c r="FS29" s="803">
        <f>SUMPRODUCT(--(MOD(COLUMN(DU29:ER29),4)=MOD(COLUMN(DU29),4)),DU29:ER29)*#REF!+SUMPRODUCT(--(MOD(COLUMN(ES29:FP29),4)=MOD(COLUMN(ES29),4)),ES29:FP29)*#REF!</f>
        <v/>
      </c>
      <c r="FT29" s="360" t="n"/>
    </row>
    <row r="30" outlineLevel="2" customFormat="1" s="14">
      <c r="A30" s="15" t="inlineStr">
        <is>
          <t>HJBridge (нет в системе)</t>
        </is>
      </c>
      <c r="B30" s="16" t="inlineStr">
        <is>
          <t>Договор не подписан</t>
        </is>
      </c>
      <c r="C30" s="15" t="inlineStr">
        <is>
          <t>ВБК Восток</t>
        </is>
      </c>
      <c r="D30" s="15" t="inlineStr">
        <is>
          <t>Прасолов, Соловьёв</t>
        </is>
      </c>
      <c r="E30" s="17">
        <f>IF(ISBLANK(G30),"",IF($A$6:$A$64=$A30,COUNTIF($A$6:A30,$A30),""))</f>
        <v/>
      </c>
      <c r="F30" s="17" t="n">
        <v>1</v>
      </c>
      <c r="G30" s="33" t="n">
        <v>9254849611</v>
      </c>
      <c r="H30" s="55" t="inlineStr">
        <is>
          <t>Энергоаккумулятор, тип 16/24</t>
        </is>
      </c>
      <c r="I30" s="627">
        <f>360/НДС_20</f>
        <v/>
      </c>
      <c r="J30" s="798" t="n"/>
      <c r="K30" s="798" t="n"/>
      <c r="L30" s="798">
        <f>IF(K30="RUB",J30/ЮАНЬ,IF(K30="EUR",J30*ЕВРО/ЮАНЬ,""))</f>
        <v/>
      </c>
      <c r="M30" s="801" t="n"/>
      <c r="N30" s="802">
        <f>IF(BP30&gt;0,1,IF(BN30&gt;0,2,))</f>
        <v/>
      </c>
      <c r="O30" s="23" t="n"/>
      <c r="P30" s="24" t="n"/>
      <c r="Q30" s="25" t="n"/>
      <c r="R30" s="24" t="n"/>
      <c r="S30" s="23" t="n"/>
      <c r="T30" s="24" t="n"/>
      <c r="U30" s="25" t="n">
        <v>0</v>
      </c>
      <c r="V30" s="24" t="n"/>
      <c r="W30" s="23" t="n"/>
      <c r="X30" s="24" t="n"/>
      <c r="Y30" s="25" t="n"/>
      <c r="Z30" s="24" t="n"/>
      <c r="AA30" s="23" t="n"/>
      <c r="AB30" s="24" t="n"/>
      <c r="AC30" s="25" t="n"/>
      <c r="AD30" s="24" t="n"/>
      <c r="AE30" s="23" t="n"/>
      <c r="AF30" s="24" t="n"/>
      <c r="AG30" s="25" t="n"/>
      <c r="AH30" s="24" t="n"/>
      <c r="AI30" s="23" t="n"/>
      <c r="AJ30" s="24" t="n"/>
      <c r="AK30" s="25" t="n"/>
      <c r="AL30" s="24" t="n"/>
      <c r="AM30" s="23" t="n"/>
      <c r="AN30" s="24" t="n"/>
      <c r="AO30" s="25" t="n"/>
      <c r="AP30" s="24" t="n"/>
      <c r="AQ30" s="23" t="n"/>
      <c r="AR30" s="24" t="n"/>
      <c r="AS30" s="25" t="n"/>
      <c r="AT30" s="24" t="n"/>
      <c r="AU30" s="23" t="n"/>
      <c r="AV30" s="24" t="n"/>
      <c r="AW30" s="25" t="n"/>
      <c r="AX30" s="24" t="n"/>
      <c r="AY30" s="23" t="n"/>
      <c r="AZ30" s="24" t="n"/>
      <c r="BA30" s="25" t="n"/>
      <c r="BB30" s="24" t="n"/>
      <c r="BC30" s="23" t="n"/>
      <c r="BD30" s="24" t="n"/>
      <c r="BE30" s="25" t="n"/>
      <c r="BF30" s="24" t="n"/>
      <c r="BG30" s="23" t="n"/>
      <c r="BH30" s="24" t="n"/>
      <c r="BI30" s="25" t="n"/>
      <c r="BJ30" s="24" t="n"/>
      <c r="BK30" s="340" t="n"/>
      <c r="BL30" s="803">
        <f>SUMPRODUCT(--(MOD(COLUMN($O30:$AL30),4)=MOD(COLUMN($O30)+0,4)),$O30:$AL30)
+SUMPRODUCT(--(MOD(COLUMN($AM30:$BJ30),4)=MOD(COLUMN($AM30)+0,4)),$AM30:$BJ30)</f>
        <v/>
      </c>
      <c r="BM30" s="804">
        <f>SUMPRODUCT(--(MOD(COLUMN($O30:$AL30),4)=MOD(COLUMN($O30)+0,4)),$O30:$AL30)*
$I30+SUMPRODUCT(--(MOD(COLUMN($AM30:$BJ30),4)=MOD(COLUMN($AM30)+0,4)),$AM30:$BJ30)*$I30</f>
        <v/>
      </c>
      <c r="BN30" s="805">
        <f>SUMPRODUCT(--(MOD(COLUMN($O30:$AL30),4)=MOD(COLUMN($O30)+1,4)),$O30:$AL30)
+SUMPRODUCT(--(MOD(COLUMN($AM30:$BJ30),4)=MOD(COLUMN($AM30)+1,4)),$AM30:$BJ30)</f>
        <v/>
      </c>
      <c r="BO30" s="806">
        <f>SUMPRODUCT(--(MOD(COLUMN($O30:$AL30),4)=MOD(COLUMN($O30)+1,4)),$O30:$AL30)*
$I30+SUMPRODUCT(--(MOD(COLUMN($AM30:$BJ30),4)=MOD(COLUMN($AM30)+1,4)),$AM30:$BJ30)*$I30</f>
        <v/>
      </c>
      <c r="BP30" s="807">
        <f>SUMPRODUCT(--(MOD(COLUMN($O30:$AL30),4)=MOD(COLUMN($O30)+2,4)),$O30:$AL30)
+SUMPRODUCT(--(MOD(COLUMN($AM30:$BJ30),4)=MOD(COLUMN($AM30)+2,4)),$AM30:$BJ30)</f>
        <v/>
      </c>
      <c r="BQ30" s="808">
        <f>SUMPRODUCT(--(MOD(COLUMN($O30:$AL30),4)=MOD(COLUMN($O30)+2,4)),$O30:$AL30)*
$I30+SUMPRODUCT(--(MOD(COLUMN($AM30:$BJ30),4)=MOD(COLUMN($AM30)+2,4)),$AM30:$BJ30)*$I30</f>
        <v/>
      </c>
      <c r="BR30" s="809" t="n"/>
      <c r="BS30" s="801" t="n"/>
      <c r="BT30" s="23" t="n"/>
      <c r="BU30" s="24" t="n"/>
      <c r="BV30" s="25" t="n"/>
      <c r="BW30" s="24" t="n"/>
      <c r="BX30" s="23" t="n"/>
      <c r="BY30" s="24" t="n"/>
      <c r="BZ30" s="25" t="n"/>
      <c r="CA30" s="24" t="n"/>
      <c r="CB30" s="23" t="n"/>
      <c r="CC30" s="24" t="n"/>
      <c r="CD30" s="25" t="n"/>
      <c r="CE30" s="24" t="n"/>
      <c r="CF30" s="23" t="n"/>
      <c r="CG30" s="24" t="n"/>
      <c r="CH30" s="25" t="n"/>
      <c r="CI30" s="24" t="n"/>
      <c r="CJ30" s="23" t="n"/>
      <c r="CK30" s="24" t="n"/>
      <c r="CL30" s="25" t="n"/>
      <c r="CM30" s="24" t="n"/>
      <c r="CN30" s="23" t="n"/>
      <c r="CO30" s="24" t="n"/>
      <c r="CP30" s="25" t="n"/>
      <c r="CQ30" s="24" t="n"/>
      <c r="CR30" s="23" t="n"/>
      <c r="CS30" s="24" t="n"/>
      <c r="CT30" s="25" t="n"/>
      <c r="CU30" s="24" t="n"/>
      <c r="CV30" s="23" t="n"/>
      <c r="CW30" s="24" t="n"/>
      <c r="CX30" s="25" t="n"/>
      <c r="CY30" s="24" t="n"/>
      <c r="CZ30" s="23" t="n"/>
      <c r="DA30" s="24" t="n"/>
      <c r="DB30" s="25" t="n"/>
      <c r="DC30" s="24" t="n"/>
      <c r="DD30" s="23" t="n"/>
      <c r="DE30" s="24" t="n"/>
      <c r="DF30" s="25" t="n"/>
      <c r="DG30" s="24" t="n"/>
      <c r="DH30" s="23" t="n"/>
      <c r="DI30" s="24" t="n"/>
      <c r="DJ30" s="25" t="n"/>
      <c r="DK30" s="24" t="n"/>
      <c r="DL30" s="23" t="n"/>
      <c r="DM30" s="24" t="n"/>
      <c r="DN30" s="25" t="n"/>
      <c r="DO30" s="24" t="n"/>
      <c r="DP30" s="340" t="n"/>
      <c r="DQ30" s="803">
        <f>SUMPRODUCT(--(MOD(COLUMN(BT30:CQ30),4)=MOD(COLUMN(BT30),4)),BT30:CQ30)+SUMPRODUCT(--(MOD(COLUMN(CR30:DO30),4)=MOD(COLUMN(CR30),4)),CR30:DO30)</f>
        <v/>
      </c>
      <c r="DR30" s="803">
        <f>SUMPRODUCT(--(MOD(COLUMN(BT30:CQ30),4)=MOD(COLUMN(BT30),4)),BT30:CQ30)*#REF!+SUMPRODUCT(--(MOD(COLUMN(CR30:DO30),4)=MOD(COLUMN(CR30),4)),CR30:DO30)*#REF!</f>
        <v/>
      </c>
      <c r="DS30" s="809" t="n"/>
      <c r="DT30" s="801" t="n"/>
      <c r="DU30" s="23" t="n"/>
      <c r="DV30" s="24" t="n"/>
      <c r="DW30" s="25" t="n"/>
      <c r="DX30" s="24" t="n"/>
      <c r="DY30" s="23" t="n"/>
      <c r="DZ30" s="24" t="n"/>
      <c r="EA30" s="25" t="n"/>
      <c r="EB30" s="24" t="n"/>
      <c r="EC30" s="23" t="n"/>
      <c r="ED30" s="24" t="n"/>
      <c r="EE30" s="25" t="n"/>
      <c r="EF30" s="24" t="n"/>
      <c r="EG30" s="23" t="n"/>
      <c r="EH30" s="24" t="n"/>
      <c r="EI30" s="25" t="n"/>
      <c r="EJ30" s="24" t="n"/>
      <c r="EK30" s="23" t="n"/>
      <c r="EL30" s="24" t="n"/>
      <c r="EM30" s="25" t="n"/>
      <c r="EN30" s="24" t="n"/>
      <c r="EO30" s="23" t="n"/>
      <c r="EP30" s="24" t="n"/>
      <c r="EQ30" s="25" t="n"/>
      <c r="ER30" s="24" t="n"/>
      <c r="ES30" s="23" t="n"/>
      <c r="ET30" s="24" t="n"/>
      <c r="EU30" s="25" t="n"/>
      <c r="EV30" s="24" t="n"/>
      <c r="EW30" s="23" t="n"/>
      <c r="EX30" s="24" t="n"/>
      <c r="EY30" s="25" t="n"/>
      <c r="EZ30" s="24" t="n"/>
      <c r="FA30" s="23" t="n"/>
      <c r="FB30" s="24" t="n"/>
      <c r="FC30" s="25" t="n"/>
      <c r="FD30" s="24" t="n"/>
      <c r="FE30" s="23" t="n"/>
      <c r="FF30" s="24" t="n"/>
      <c r="FG30" s="25" t="n"/>
      <c r="FH30" s="24" t="n"/>
      <c r="FI30" s="23" t="n"/>
      <c r="FJ30" s="24" t="n"/>
      <c r="FK30" s="25" t="n"/>
      <c r="FL30" s="24" t="n"/>
      <c r="FM30" s="23" t="n"/>
      <c r="FN30" s="24" t="n"/>
      <c r="FO30" s="25" t="n"/>
      <c r="FP30" s="24" t="n"/>
      <c r="FQ30" s="340" t="n"/>
      <c r="FR30" s="803">
        <f>SUMPRODUCT(--(MOD(COLUMN(DU30:ER30),4)=MOD(COLUMN(DU30),4)),DU30:ER30)+SUMPRODUCT(--(MOD(COLUMN(ES30:FP30),4)=MOD(COLUMN(ES30),4)),ES30:FP30)</f>
        <v/>
      </c>
      <c r="FS30" s="803">
        <f>SUMPRODUCT(--(MOD(COLUMN(DU30:ER30),4)=MOD(COLUMN(DU30),4)),DU30:ER30)*#REF!+SUMPRODUCT(--(MOD(COLUMN(ES30:FP30),4)=MOD(COLUMN(ES30),4)),ES30:FP30)*#REF!</f>
        <v/>
      </c>
      <c r="FT30" s="360" t="n"/>
    </row>
    <row r="31" outlineLevel="2" customFormat="1" s="14">
      <c r="A31" s="15" t="inlineStr">
        <is>
          <t>HJBridge (нет в системе)</t>
        </is>
      </c>
      <c r="B31" s="16" t="inlineStr">
        <is>
          <t>Договор не подписан</t>
        </is>
      </c>
      <c r="C31" s="15" t="inlineStr">
        <is>
          <t>ВБК Восток</t>
        </is>
      </c>
      <c r="D31" s="15" t="inlineStr">
        <is>
          <t>Прасолов, Соловьёв</t>
        </is>
      </c>
      <c r="E31" s="17">
        <f>IF(ISBLANK(G31),"",IF($A$6:$A$64=$A31,COUNTIF($A$6:A31,$A31),""))</f>
        <v/>
      </c>
      <c r="F31" s="17" t="n">
        <v>1</v>
      </c>
      <c r="G31" s="33" t="n">
        <v>9254800620</v>
      </c>
      <c r="H31" s="55" t="inlineStr">
        <is>
          <t>Энергоаккумулятор, тип 16/24</t>
        </is>
      </c>
      <c r="I31" s="627">
        <f>360/НДС_20</f>
        <v/>
      </c>
      <c r="J31" s="798" t="n"/>
      <c r="K31" s="798" t="n"/>
      <c r="L31" s="798">
        <f>IF(K31="RUB",J31/ЮАНЬ,IF(K31="EUR",J31*ЕВРО/ЮАНЬ,""))</f>
        <v/>
      </c>
      <c r="M31" s="801" t="n"/>
      <c r="N31" s="802">
        <f>IF(BP31&gt;0,1,IF(BN31&gt;0,2,))</f>
        <v/>
      </c>
      <c r="O31" s="23" t="n"/>
      <c r="P31" s="24" t="n"/>
      <c r="Q31" s="25" t="n"/>
      <c r="R31" s="24" t="n"/>
      <c r="S31" s="23" t="n"/>
      <c r="T31" s="24" t="n"/>
      <c r="U31" s="25" t="n">
        <v>0</v>
      </c>
      <c r="V31" s="24" t="n"/>
      <c r="W31" s="23" t="n"/>
      <c r="X31" s="24" t="n"/>
      <c r="Y31" s="25" t="n"/>
      <c r="Z31" s="24" t="n"/>
      <c r="AA31" s="23" t="n"/>
      <c r="AB31" s="24" t="n"/>
      <c r="AC31" s="25" t="n"/>
      <c r="AD31" s="24" t="n"/>
      <c r="AE31" s="23" t="n"/>
      <c r="AF31" s="24" t="n"/>
      <c r="AG31" s="25" t="n"/>
      <c r="AH31" s="24" t="n"/>
      <c r="AI31" s="23" t="n"/>
      <c r="AJ31" s="24" t="n"/>
      <c r="AK31" s="25" t="n"/>
      <c r="AL31" s="24" t="n"/>
      <c r="AM31" s="23" t="n"/>
      <c r="AN31" s="24" t="n"/>
      <c r="AO31" s="25" t="n"/>
      <c r="AP31" s="24" t="n"/>
      <c r="AQ31" s="23" t="n"/>
      <c r="AR31" s="24" t="n"/>
      <c r="AS31" s="25" t="n"/>
      <c r="AT31" s="24" t="n"/>
      <c r="AU31" s="23" t="n"/>
      <c r="AV31" s="24" t="n"/>
      <c r="AW31" s="25" t="n"/>
      <c r="AX31" s="24" t="n"/>
      <c r="AY31" s="23" t="n"/>
      <c r="AZ31" s="24" t="n"/>
      <c r="BA31" s="25" t="n"/>
      <c r="BB31" s="24" t="n"/>
      <c r="BC31" s="23" t="n"/>
      <c r="BD31" s="24" t="n"/>
      <c r="BE31" s="25" t="n"/>
      <c r="BF31" s="24" t="n"/>
      <c r="BG31" s="23" t="n"/>
      <c r="BH31" s="24" t="n"/>
      <c r="BI31" s="25" t="n"/>
      <c r="BJ31" s="24" t="n"/>
      <c r="BK31" s="340" t="n"/>
      <c r="BL31" s="803">
        <f>SUMPRODUCT(--(MOD(COLUMN($O31:$AL31),4)=MOD(COLUMN($O31)+0,4)),$O31:$AL31)
+SUMPRODUCT(--(MOD(COLUMN($AM31:$BJ31),4)=MOD(COLUMN($AM31)+0,4)),$AM31:$BJ31)</f>
        <v/>
      </c>
      <c r="BM31" s="804">
        <f>SUMPRODUCT(--(MOD(COLUMN($O31:$AL31),4)=MOD(COLUMN($O31)+0,4)),$O31:$AL31)*
$I31+SUMPRODUCT(--(MOD(COLUMN($AM31:$BJ31),4)=MOD(COLUMN($AM31)+0,4)),$AM31:$BJ31)*$I31</f>
        <v/>
      </c>
      <c r="BN31" s="805">
        <f>SUMPRODUCT(--(MOD(COLUMN($O31:$AL31),4)=MOD(COLUMN($O31)+1,4)),$O31:$AL31)
+SUMPRODUCT(--(MOD(COLUMN($AM31:$BJ31),4)=MOD(COLUMN($AM31)+1,4)),$AM31:$BJ31)</f>
        <v/>
      </c>
      <c r="BO31" s="806">
        <f>SUMPRODUCT(--(MOD(COLUMN($O31:$AL31),4)=MOD(COLUMN($O31)+1,4)),$O31:$AL31)*
$I31+SUMPRODUCT(--(MOD(COLUMN($AM31:$BJ31),4)=MOD(COLUMN($AM31)+1,4)),$AM31:$BJ31)*$I31</f>
        <v/>
      </c>
      <c r="BP31" s="807">
        <f>SUMPRODUCT(--(MOD(COLUMN($O31:$AL31),4)=MOD(COLUMN($O31)+2,4)),$O31:$AL31)
+SUMPRODUCT(--(MOD(COLUMN($AM31:$BJ31),4)=MOD(COLUMN($AM31)+2,4)),$AM31:$BJ31)</f>
        <v/>
      </c>
      <c r="BQ31" s="808">
        <f>SUMPRODUCT(--(MOD(COLUMN($O31:$AL31),4)=MOD(COLUMN($O31)+2,4)),$O31:$AL31)*
$I31+SUMPRODUCT(--(MOD(COLUMN($AM31:$BJ31),4)=MOD(COLUMN($AM31)+2,4)),$AM31:$BJ31)*$I31</f>
        <v/>
      </c>
      <c r="BR31" s="809" t="n"/>
      <c r="BS31" s="801" t="n"/>
      <c r="BT31" s="23" t="n"/>
      <c r="BU31" s="24" t="n"/>
      <c r="BV31" s="25" t="n"/>
      <c r="BW31" s="24" t="n"/>
      <c r="BX31" s="23" t="n"/>
      <c r="BY31" s="24" t="n"/>
      <c r="BZ31" s="25" t="n"/>
      <c r="CA31" s="24" t="n"/>
      <c r="CB31" s="23" t="n"/>
      <c r="CC31" s="24" t="n"/>
      <c r="CD31" s="25" t="n"/>
      <c r="CE31" s="24" t="n"/>
      <c r="CF31" s="23" t="n"/>
      <c r="CG31" s="24" t="n"/>
      <c r="CH31" s="25" t="n"/>
      <c r="CI31" s="24" t="n"/>
      <c r="CJ31" s="23" t="n"/>
      <c r="CK31" s="24" t="n"/>
      <c r="CL31" s="25" t="n"/>
      <c r="CM31" s="24" t="n"/>
      <c r="CN31" s="23" t="n"/>
      <c r="CO31" s="24" t="n"/>
      <c r="CP31" s="25" t="n"/>
      <c r="CQ31" s="24" t="n"/>
      <c r="CR31" s="23" t="n"/>
      <c r="CS31" s="24" t="n"/>
      <c r="CT31" s="25" t="n"/>
      <c r="CU31" s="24" t="n"/>
      <c r="CV31" s="23" t="n"/>
      <c r="CW31" s="24" t="n"/>
      <c r="CX31" s="25" t="n"/>
      <c r="CY31" s="24" t="n"/>
      <c r="CZ31" s="23" t="n"/>
      <c r="DA31" s="24" t="n"/>
      <c r="DB31" s="25" t="n"/>
      <c r="DC31" s="24" t="n"/>
      <c r="DD31" s="23" t="n"/>
      <c r="DE31" s="24" t="n"/>
      <c r="DF31" s="25" t="n"/>
      <c r="DG31" s="24" t="n"/>
      <c r="DH31" s="23" t="n"/>
      <c r="DI31" s="24" t="n"/>
      <c r="DJ31" s="25" t="n"/>
      <c r="DK31" s="24" t="n"/>
      <c r="DL31" s="23" t="n"/>
      <c r="DM31" s="24" t="n"/>
      <c r="DN31" s="25" t="n"/>
      <c r="DO31" s="24" t="n"/>
      <c r="DP31" s="340" t="n"/>
      <c r="DQ31" s="803">
        <f>SUMPRODUCT(--(MOD(COLUMN(BT31:CQ31),4)=MOD(COLUMN(BT31),4)),BT31:CQ31)+SUMPRODUCT(--(MOD(COLUMN(CR31:DO31),4)=MOD(COLUMN(CR31),4)),CR31:DO31)</f>
        <v/>
      </c>
      <c r="DR31" s="803">
        <f>SUMPRODUCT(--(MOD(COLUMN(BT31:CQ31),4)=MOD(COLUMN(BT31),4)),BT31:CQ31)*#REF!+SUMPRODUCT(--(MOD(COLUMN(CR31:DO31),4)=MOD(COLUMN(CR31),4)),CR31:DO31)*#REF!</f>
        <v/>
      </c>
      <c r="DS31" s="809" t="n"/>
      <c r="DT31" s="801" t="n"/>
      <c r="DU31" s="23" t="n"/>
      <c r="DV31" s="24" t="n"/>
      <c r="DW31" s="25" t="n"/>
      <c r="DX31" s="24" t="n"/>
      <c r="DY31" s="23" t="n"/>
      <c r="DZ31" s="24" t="n"/>
      <c r="EA31" s="25" t="n"/>
      <c r="EB31" s="24" t="n"/>
      <c r="EC31" s="23" t="n"/>
      <c r="ED31" s="24" t="n"/>
      <c r="EE31" s="25" t="n"/>
      <c r="EF31" s="24" t="n"/>
      <c r="EG31" s="23" t="n"/>
      <c r="EH31" s="24" t="n"/>
      <c r="EI31" s="25" t="n"/>
      <c r="EJ31" s="24" t="n"/>
      <c r="EK31" s="23" t="n"/>
      <c r="EL31" s="24" t="n"/>
      <c r="EM31" s="25" t="n"/>
      <c r="EN31" s="24" t="n"/>
      <c r="EO31" s="23" t="n"/>
      <c r="EP31" s="24" t="n"/>
      <c r="EQ31" s="25" t="n"/>
      <c r="ER31" s="24" t="n"/>
      <c r="ES31" s="23" t="n"/>
      <c r="ET31" s="24" t="n"/>
      <c r="EU31" s="25" t="n"/>
      <c r="EV31" s="24" t="n"/>
      <c r="EW31" s="23" t="n"/>
      <c r="EX31" s="24" t="n"/>
      <c r="EY31" s="25" t="n"/>
      <c r="EZ31" s="24" t="n"/>
      <c r="FA31" s="23" t="n"/>
      <c r="FB31" s="24" t="n"/>
      <c r="FC31" s="25" t="n"/>
      <c r="FD31" s="24" t="n"/>
      <c r="FE31" s="23" t="n"/>
      <c r="FF31" s="24" t="n"/>
      <c r="FG31" s="25" t="n"/>
      <c r="FH31" s="24" t="n"/>
      <c r="FI31" s="23" t="n"/>
      <c r="FJ31" s="24" t="n"/>
      <c r="FK31" s="25" t="n"/>
      <c r="FL31" s="24" t="n"/>
      <c r="FM31" s="23" t="n"/>
      <c r="FN31" s="24" t="n"/>
      <c r="FO31" s="25" t="n"/>
      <c r="FP31" s="24" t="n"/>
      <c r="FQ31" s="340" t="n"/>
      <c r="FR31" s="803">
        <f>SUMPRODUCT(--(MOD(COLUMN(DU31:ER31),4)=MOD(COLUMN(DU31),4)),DU31:ER31)+SUMPRODUCT(--(MOD(COLUMN(ES31:FP31),4)=MOD(COLUMN(ES31),4)),ES31:FP31)</f>
        <v/>
      </c>
      <c r="FS31" s="803">
        <f>SUMPRODUCT(--(MOD(COLUMN(DU31:ER31),4)=MOD(COLUMN(DU31),4)),DU31:ER31)*#REF!+SUMPRODUCT(--(MOD(COLUMN(ES31:FP31),4)=MOD(COLUMN(ES31),4)),ES31:FP31)*#REF!</f>
        <v/>
      </c>
      <c r="FT31" s="360" t="n"/>
    </row>
    <row r="32" outlineLevel="2" customFormat="1" s="14">
      <c r="A32" s="15" t="inlineStr">
        <is>
          <t>HJBridge (нет в системе)</t>
        </is>
      </c>
      <c r="B32" s="16" t="inlineStr">
        <is>
          <t>Договор не подписан</t>
        </is>
      </c>
      <c r="C32" s="15" t="inlineStr">
        <is>
          <t>ВБК Восток</t>
        </is>
      </c>
      <c r="D32" s="15" t="inlineStr">
        <is>
          <t>Прасолов, Соловьёв</t>
        </is>
      </c>
      <c r="E32" s="17">
        <f>IF(ISBLANK(G32),"",IF($A$6:$A$64=$A32,COUNTIF($A$6:A32,$A32),""))</f>
        <v/>
      </c>
      <c r="F32" s="17" t="n">
        <v>1</v>
      </c>
      <c r="G32" s="33" t="n">
        <v>4235041060</v>
      </c>
      <c r="H32" s="55" t="inlineStr">
        <is>
          <t>Тормозная камера, тип 44</t>
        </is>
      </c>
      <c r="I32" s="627">
        <f>600/НДС_20</f>
        <v/>
      </c>
      <c r="J32" s="798" t="n"/>
      <c r="K32" s="798" t="n"/>
      <c r="L32" s="798">
        <f>IF(K32="RUB",J32/ЮАНЬ,IF(K32="EUR",J32*ЕВРО/ЮАНЬ,""))</f>
        <v/>
      </c>
      <c r="M32" s="801" t="n"/>
      <c r="N32" s="802">
        <f>IF(BP32&gt;0,1,IF(BN32&gt;0,2,))</f>
        <v/>
      </c>
      <c r="O32" s="23" t="n"/>
      <c r="P32" s="24" t="n"/>
      <c r="Q32" s="25" t="n"/>
      <c r="R32" s="24" t="n"/>
      <c r="S32" s="23" t="n"/>
      <c r="T32" s="24" t="n"/>
      <c r="U32" s="25" t="n">
        <v>0</v>
      </c>
      <c r="V32" s="24" t="n"/>
      <c r="W32" s="23" t="n"/>
      <c r="X32" s="24" t="n"/>
      <c r="Y32" s="25" t="n"/>
      <c r="Z32" s="24" t="n"/>
      <c r="AA32" s="23" t="n"/>
      <c r="AB32" s="24" t="n"/>
      <c r="AC32" s="25" t="n"/>
      <c r="AD32" s="24" t="n"/>
      <c r="AE32" s="23" t="n"/>
      <c r="AF32" s="24" t="n"/>
      <c r="AG32" s="25" t="n"/>
      <c r="AH32" s="24" t="n"/>
      <c r="AI32" s="23" t="n"/>
      <c r="AJ32" s="24" t="n"/>
      <c r="AK32" s="25" t="n"/>
      <c r="AL32" s="24" t="n"/>
      <c r="AM32" s="23" t="n"/>
      <c r="AN32" s="24" t="n"/>
      <c r="AO32" s="25" t="n"/>
      <c r="AP32" s="24" t="n"/>
      <c r="AQ32" s="23" t="n"/>
      <c r="AR32" s="24" t="n"/>
      <c r="AS32" s="25" t="n"/>
      <c r="AT32" s="24" t="n"/>
      <c r="AU32" s="23" t="n"/>
      <c r="AV32" s="24" t="n"/>
      <c r="AW32" s="25" t="n"/>
      <c r="AX32" s="24" t="n"/>
      <c r="AY32" s="23" t="n"/>
      <c r="AZ32" s="24" t="n"/>
      <c r="BA32" s="25" t="n"/>
      <c r="BB32" s="24" t="n"/>
      <c r="BC32" s="23" t="n"/>
      <c r="BD32" s="24" t="n"/>
      <c r="BE32" s="25" t="n"/>
      <c r="BF32" s="24" t="n"/>
      <c r="BG32" s="23" t="n"/>
      <c r="BH32" s="24" t="n"/>
      <c r="BI32" s="25" t="n"/>
      <c r="BJ32" s="24" t="n"/>
      <c r="BK32" s="340" t="n"/>
      <c r="BL32" s="803">
        <f>SUMPRODUCT(--(MOD(COLUMN($O32:$AL32),4)=MOD(COLUMN($O32)+0,4)),$O32:$AL32)
+SUMPRODUCT(--(MOD(COLUMN($AM32:$BJ32),4)=MOD(COLUMN($AM32)+0,4)),$AM32:$BJ32)</f>
        <v/>
      </c>
      <c r="BM32" s="804">
        <f>SUMPRODUCT(--(MOD(COLUMN($O32:$AL32),4)=MOD(COLUMN($O32)+0,4)),$O32:$AL32)*
$I32+SUMPRODUCT(--(MOD(COLUMN($AM32:$BJ32),4)=MOD(COLUMN($AM32)+0,4)),$AM32:$BJ32)*$I32</f>
        <v/>
      </c>
      <c r="BN32" s="805">
        <f>SUMPRODUCT(--(MOD(COLUMN($O32:$AL32),4)=MOD(COLUMN($O32)+1,4)),$O32:$AL32)
+SUMPRODUCT(--(MOD(COLUMN($AM32:$BJ32),4)=MOD(COLUMN($AM32)+1,4)),$AM32:$BJ32)</f>
        <v/>
      </c>
      <c r="BO32" s="806">
        <f>SUMPRODUCT(--(MOD(COLUMN($O32:$AL32),4)=MOD(COLUMN($O32)+1,4)),$O32:$AL32)*
$I32+SUMPRODUCT(--(MOD(COLUMN($AM32:$BJ32),4)=MOD(COLUMN($AM32)+1,4)),$AM32:$BJ32)*$I32</f>
        <v/>
      </c>
      <c r="BP32" s="807">
        <f>SUMPRODUCT(--(MOD(COLUMN($O32:$AL32),4)=MOD(COLUMN($O32)+2,4)),$O32:$AL32)
+SUMPRODUCT(--(MOD(COLUMN($AM32:$BJ32),4)=MOD(COLUMN($AM32)+2,4)),$AM32:$BJ32)</f>
        <v/>
      </c>
      <c r="BQ32" s="808">
        <f>SUMPRODUCT(--(MOD(COLUMN($O32:$AL32),4)=MOD(COLUMN($O32)+2,4)),$O32:$AL32)*
$I32+SUMPRODUCT(--(MOD(COLUMN($AM32:$BJ32),4)=MOD(COLUMN($AM32)+2,4)),$AM32:$BJ32)*$I32</f>
        <v/>
      </c>
      <c r="BR32" s="809" t="n"/>
      <c r="BS32" s="801" t="n"/>
      <c r="BT32" s="23" t="n"/>
      <c r="BU32" s="24" t="n"/>
      <c r="BV32" s="25" t="n"/>
      <c r="BW32" s="24" t="n"/>
      <c r="BX32" s="23" t="n"/>
      <c r="BY32" s="24" t="n"/>
      <c r="BZ32" s="25" t="n"/>
      <c r="CA32" s="24" t="n"/>
      <c r="CB32" s="23" t="n"/>
      <c r="CC32" s="24" t="n"/>
      <c r="CD32" s="25" t="n"/>
      <c r="CE32" s="24" t="n"/>
      <c r="CF32" s="23" t="n"/>
      <c r="CG32" s="24" t="n"/>
      <c r="CH32" s="25" t="n"/>
      <c r="CI32" s="24" t="n"/>
      <c r="CJ32" s="23" t="n"/>
      <c r="CK32" s="24" t="n"/>
      <c r="CL32" s="25" t="n"/>
      <c r="CM32" s="24" t="n"/>
      <c r="CN32" s="23" t="n"/>
      <c r="CO32" s="24" t="n"/>
      <c r="CP32" s="25" t="n"/>
      <c r="CQ32" s="24" t="n"/>
      <c r="CR32" s="23" t="n"/>
      <c r="CS32" s="24" t="n"/>
      <c r="CT32" s="25" t="n"/>
      <c r="CU32" s="24" t="n"/>
      <c r="CV32" s="23" t="n"/>
      <c r="CW32" s="24" t="n"/>
      <c r="CX32" s="25" t="n"/>
      <c r="CY32" s="24" t="n"/>
      <c r="CZ32" s="23" t="n"/>
      <c r="DA32" s="24" t="n"/>
      <c r="DB32" s="25" t="n"/>
      <c r="DC32" s="24" t="n"/>
      <c r="DD32" s="23" t="n"/>
      <c r="DE32" s="24" t="n"/>
      <c r="DF32" s="25" t="n"/>
      <c r="DG32" s="24" t="n"/>
      <c r="DH32" s="23" t="n"/>
      <c r="DI32" s="24" t="n"/>
      <c r="DJ32" s="25" t="n"/>
      <c r="DK32" s="24" t="n"/>
      <c r="DL32" s="23" t="n"/>
      <c r="DM32" s="24" t="n"/>
      <c r="DN32" s="25" t="n"/>
      <c r="DO32" s="24" t="n"/>
      <c r="DP32" s="340" t="n"/>
      <c r="DQ32" s="803">
        <f>SUMPRODUCT(--(MOD(COLUMN(BT32:CQ32),4)=MOD(COLUMN(BT32),4)),BT32:CQ32)+SUMPRODUCT(--(MOD(COLUMN(CR32:DO32),4)=MOD(COLUMN(CR32),4)),CR32:DO32)</f>
        <v/>
      </c>
      <c r="DR32" s="803">
        <f>SUMPRODUCT(--(MOD(COLUMN(BT32:CQ32),4)=MOD(COLUMN(BT32),4)),BT32:CQ32)*#REF!+SUMPRODUCT(--(MOD(COLUMN(CR32:DO32),4)=MOD(COLUMN(CR32),4)),CR32:DO32)*#REF!</f>
        <v/>
      </c>
      <c r="DS32" s="809" t="n"/>
      <c r="DT32" s="801" t="n"/>
      <c r="DU32" s="23" t="n"/>
      <c r="DV32" s="24" t="n"/>
      <c r="DW32" s="25" t="n"/>
      <c r="DX32" s="24" t="n"/>
      <c r="DY32" s="23" t="n"/>
      <c r="DZ32" s="24" t="n"/>
      <c r="EA32" s="25" t="n"/>
      <c r="EB32" s="24" t="n"/>
      <c r="EC32" s="23" t="n"/>
      <c r="ED32" s="24" t="n"/>
      <c r="EE32" s="25" t="n"/>
      <c r="EF32" s="24" t="n"/>
      <c r="EG32" s="23" t="n"/>
      <c r="EH32" s="24" t="n"/>
      <c r="EI32" s="25" t="n"/>
      <c r="EJ32" s="24" t="n"/>
      <c r="EK32" s="23" t="n"/>
      <c r="EL32" s="24" t="n"/>
      <c r="EM32" s="25" t="n"/>
      <c r="EN32" s="24" t="n"/>
      <c r="EO32" s="23" t="n"/>
      <c r="EP32" s="24" t="n"/>
      <c r="EQ32" s="25" t="n"/>
      <c r="ER32" s="24" t="n"/>
      <c r="ES32" s="23" t="n"/>
      <c r="ET32" s="24" t="n"/>
      <c r="EU32" s="25" t="n"/>
      <c r="EV32" s="24" t="n"/>
      <c r="EW32" s="23" t="n"/>
      <c r="EX32" s="24" t="n"/>
      <c r="EY32" s="25" t="n"/>
      <c r="EZ32" s="24" t="n"/>
      <c r="FA32" s="23" t="n"/>
      <c r="FB32" s="24" t="n"/>
      <c r="FC32" s="25" t="n"/>
      <c r="FD32" s="24" t="n"/>
      <c r="FE32" s="23" t="n"/>
      <c r="FF32" s="24" t="n"/>
      <c r="FG32" s="25" t="n"/>
      <c r="FH32" s="24" t="n"/>
      <c r="FI32" s="23" t="n"/>
      <c r="FJ32" s="24" t="n"/>
      <c r="FK32" s="25" t="n"/>
      <c r="FL32" s="24" t="n"/>
      <c r="FM32" s="23" t="n"/>
      <c r="FN32" s="24" t="n"/>
      <c r="FO32" s="25" t="n"/>
      <c r="FP32" s="24" t="n"/>
      <c r="FQ32" s="340" t="n"/>
      <c r="FR32" s="803">
        <f>SUMPRODUCT(--(MOD(COLUMN(DU32:ER32),4)=MOD(COLUMN(DU32),4)),DU32:ER32)+SUMPRODUCT(--(MOD(COLUMN(ES32:FP32),4)=MOD(COLUMN(ES32),4)),ES32:FP32)</f>
        <v/>
      </c>
      <c r="FS32" s="803">
        <f>SUMPRODUCT(--(MOD(COLUMN(DU32:ER32),4)=MOD(COLUMN(DU32),4)),DU32:ER32)*#REF!+SUMPRODUCT(--(MOD(COLUMN(ES32:FP32),4)=MOD(COLUMN(ES32),4)),ES32:FP32)*#REF!</f>
        <v/>
      </c>
      <c r="FT32" s="360" t="n"/>
    </row>
    <row r="33" outlineLevel="2" customFormat="1" s="14">
      <c r="A33" s="15" t="inlineStr">
        <is>
          <t>HJBridge (нет в системе)</t>
        </is>
      </c>
      <c r="B33" s="16" t="n"/>
      <c r="C33" s="15" t="n"/>
      <c r="D33" s="15" t="n"/>
      <c r="E33" s="35">
        <f>IF(ISBLANK(G33),"",IF($A$6:$A$64=$A33,COUNTIF($A$6:A33,$A33),""))</f>
        <v/>
      </c>
      <c r="F33" s="35" t="n"/>
      <c r="G33" s="53" t="n"/>
      <c r="H33" s="36" t="inlineStr">
        <is>
          <t>Итого</t>
        </is>
      </c>
      <c r="I33" s="626" t="n"/>
      <c r="J33" s="810" t="n"/>
      <c r="K33" s="810" t="n"/>
      <c r="L33" s="810">
        <f>IF(K33="RUB",J33/ЮАНЬ,IF(K33="EUR",J33*ЕВРО/ЮАНЬ,""))</f>
        <v/>
      </c>
      <c r="M33" s="801" t="n"/>
      <c r="N33" s="802">
        <f>IF(BP33&gt;0,1,IF(BN33&gt;0,2,))</f>
        <v/>
      </c>
      <c r="O33" s="40" t="n"/>
      <c r="P33" s="41" t="n"/>
      <c r="Q33" s="42" t="n"/>
      <c r="R33" s="41" t="n"/>
      <c r="S33" s="40" t="n"/>
      <c r="T33" s="41" t="n"/>
      <c r="U33" s="42" t="n"/>
      <c r="V33" s="41" t="n"/>
      <c r="W33" s="40" t="n"/>
      <c r="X33" s="41" t="n"/>
      <c r="Y33" s="42" t="n"/>
      <c r="Z33" s="41" t="n"/>
      <c r="AA33" s="40" t="n"/>
      <c r="AB33" s="41" t="n"/>
      <c r="AC33" s="42" t="n"/>
      <c r="AD33" s="41" t="n"/>
      <c r="AE33" s="40" t="n"/>
      <c r="AF33" s="41" t="n"/>
      <c r="AG33" s="42" t="n"/>
      <c r="AH33" s="41" t="n"/>
      <c r="AI33" s="40" t="n"/>
      <c r="AJ33" s="41" t="n"/>
      <c r="AK33" s="42" t="n"/>
      <c r="AL33" s="41" t="n"/>
      <c r="AM33" s="40" t="n"/>
      <c r="AN33" s="41" t="n"/>
      <c r="AO33" s="42" t="n"/>
      <c r="AP33" s="41" t="n"/>
      <c r="AQ33" s="40" t="n"/>
      <c r="AR33" s="41" t="n"/>
      <c r="AS33" s="42" t="n"/>
      <c r="AT33" s="41" t="n"/>
      <c r="AU33" s="40" t="n"/>
      <c r="AV33" s="41" t="n"/>
      <c r="AW33" s="42" t="n"/>
      <c r="AX33" s="41" t="n"/>
      <c r="AY33" s="40" t="n"/>
      <c r="AZ33" s="41" t="n"/>
      <c r="BA33" s="42" t="n"/>
      <c r="BB33" s="41" t="n"/>
      <c r="BC33" s="40" t="n"/>
      <c r="BD33" s="41" t="n"/>
      <c r="BE33" s="42" t="n"/>
      <c r="BF33" s="41" t="n"/>
      <c r="BG33" s="40" t="n"/>
      <c r="BH33" s="41" t="n"/>
      <c r="BI33" s="42" t="n"/>
      <c r="BJ33" s="43" t="n"/>
      <c r="BK33" s="341" t="n"/>
      <c r="BL33" s="811">
        <f>SUMPRODUCT(--(MOD(COLUMN($O33:$AL33),4)=MOD(COLUMN($O33)+0,4)),$O33:$AL33)
+SUMPRODUCT(--(MOD(COLUMN($AM33:$BJ33),4)=MOD(COLUMN($AM33)+0,4)),$AM33:$BJ33)</f>
        <v/>
      </c>
      <c r="BM33" s="812">
        <f>SUMPRODUCT(--(MOD(COLUMN($O33:$AL33),4)=MOD(COLUMN($O33)+0,4)),$O33:$AL33)*
$I33+SUMPRODUCT(--(MOD(COLUMN($AM33:$BJ33),4)=MOD(COLUMN($AM33)+0,4)),$AM33:$BJ33)*$I33</f>
        <v/>
      </c>
      <c r="BN33" s="805">
        <f>SUMPRODUCT(--(MOD(COLUMN($O33:$AL33),4)=MOD(COLUMN($O33)+1,4)),$O33:$AL33)
+SUMPRODUCT(--(MOD(COLUMN($AM33:$BJ33),4)=MOD(COLUMN($AM33)+1,4)),$AM33:$BJ33)</f>
        <v/>
      </c>
      <c r="BO33" s="806">
        <f>SUMPRODUCT(--(MOD(COLUMN($O33:$AL33),4)=MOD(COLUMN($O33)+1,4)),$O33:$AL33)*
$I33+SUMPRODUCT(--(MOD(COLUMN($AM33:$BJ33),4)=MOD(COLUMN($AM33)+1,4)),$AM33:$BJ33)*$I33</f>
        <v/>
      </c>
      <c r="BP33" s="807">
        <f>SUMPRODUCT(--(MOD(COLUMN($O33:$AL33),4)=MOD(COLUMN($O33)+2,4)),$O33:$AL33)
+SUMPRODUCT(--(MOD(COLUMN($AM33:$BJ33),4)=MOD(COLUMN($AM33)+2,4)),$AM33:$BJ33)</f>
        <v/>
      </c>
      <c r="BQ33" s="808">
        <f>SUMPRODUCT(--(MOD(COLUMN($O33:$AL33),4)=MOD(COLUMN($O33)+2,4)),$O33:$AL33)*
$I33+SUMPRODUCT(--(MOD(COLUMN($AM33:$BJ33),4)=MOD(COLUMN($AM33)+2,4)),$AM33:$BJ33)*$I33</f>
        <v/>
      </c>
      <c r="BR33" s="813" t="n"/>
      <c r="BS33" s="801" t="n"/>
      <c r="BT33" s="40" t="n"/>
      <c r="BU33" s="41" t="n"/>
      <c r="BV33" s="42" t="n"/>
      <c r="BW33" s="41" t="n"/>
      <c r="BX33" s="40" t="n"/>
      <c r="BY33" s="41" t="n"/>
      <c r="BZ33" s="42" t="n"/>
      <c r="CA33" s="41" t="n"/>
      <c r="CB33" s="40" t="n"/>
      <c r="CC33" s="41" t="n"/>
      <c r="CD33" s="42" t="n"/>
      <c r="CE33" s="41" t="n"/>
      <c r="CF33" s="40" t="n"/>
      <c r="CG33" s="41" t="n"/>
      <c r="CH33" s="42" t="n"/>
      <c r="CI33" s="41" t="n"/>
      <c r="CJ33" s="40" t="n"/>
      <c r="CK33" s="41" t="n"/>
      <c r="CL33" s="42" t="n"/>
      <c r="CM33" s="41" t="n"/>
      <c r="CN33" s="40" t="n"/>
      <c r="CO33" s="41" t="n"/>
      <c r="CP33" s="42" t="n"/>
      <c r="CQ33" s="41" t="n"/>
      <c r="CR33" s="40" t="n"/>
      <c r="CS33" s="41" t="n"/>
      <c r="CT33" s="42" t="n"/>
      <c r="CU33" s="41" t="n"/>
      <c r="CV33" s="40" t="n"/>
      <c r="CW33" s="41" t="n"/>
      <c r="CX33" s="42" t="n"/>
      <c r="CY33" s="41" t="n"/>
      <c r="CZ33" s="40" t="n"/>
      <c r="DA33" s="41" t="n"/>
      <c r="DB33" s="42" t="n"/>
      <c r="DC33" s="41" t="n"/>
      <c r="DD33" s="40" t="n"/>
      <c r="DE33" s="41" t="n"/>
      <c r="DF33" s="42" t="n"/>
      <c r="DG33" s="41" t="n"/>
      <c r="DH33" s="40" t="n"/>
      <c r="DI33" s="41" t="n"/>
      <c r="DJ33" s="42" t="n"/>
      <c r="DK33" s="41" t="n"/>
      <c r="DL33" s="40" t="n"/>
      <c r="DM33" s="41" t="n"/>
      <c r="DN33" s="42" t="n"/>
      <c r="DO33" s="43" t="n"/>
      <c r="DP33" s="341" t="n"/>
      <c r="DQ33" s="811">
        <f>SUMPRODUCT(--(MOD(COLUMN(BT33:CQ33),4)=MOD(COLUMN(BT33),4)),BT33:CQ33)+SUMPRODUCT(--(MOD(COLUMN(CR33:DO33),4)=MOD(COLUMN(CR33),4)),CR33:DO33)</f>
        <v/>
      </c>
      <c r="DR33" s="811">
        <f>SUMPRODUCT(--(MOD(COLUMN(BT33:CQ33),4)=MOD(COLUMN(BT33),4)),BT33:CQ33)*#REF!+SUMPRODUCT(--(MOD(COLUMN(CR33:DO33),4)=MOD(COLUMN(CR33),4)),CR33:DO33)*#REF!</f>
        <v/>
      </c>
      <c r="DS33" s="813" t="n"/>
      <c r="DT33" s="801" t="n"/>
      <c r="DU33" s="40" t="n"/>
      <c r="DV33" s="41" t="n"/>
      <c r="DW33" s="42" t="n"/>
      <c r="DX33" s="41" t="n"/>
      <c r="DY33" s="40" t="n"/>
      <c r="DZ33" s="41" t="n"/>
      <c r="EA33" s="42" t="n"/>
      <c r="EB33" s="41" t="n"/>
      <c r="EC33" s="40" t="n"/>
      <c r="ED33" s="41" t="n"/>
      <c r="EE33" s="42" t="n"/>
      <c r="EF33" s="41" t="n"/>
      <c r="EG33" s="40" t="n"/>
      <c r="EH33" s="41" t="n"/>
      <c r="EI33" s="42" t="n"/>
      <c r="EJ33" s="41" t="n"/>
      <c r="EK33" s="40" t="n"/>
      <c r="EL33" s="41" t="n"/>
      <c r="EM33" s="42" t="n"/>
      <c r="EN33" s="41" t="n"/>
      <c r="EO33" s="40" t="n"/>
      <c r="EP33" s="41" t="n"/>
      <c r="EQ33" s="42" t="n"/>
      <c r="ER33" s="41" t="n"/>
      <c r="ES33" s="40" t="n"/>
      <c r="ET33" s="41" t="n"/>
      <c r="EU33" s="42" t="n"/>
      <c r="EV33" s="41" t="n"/>
      <c r="EW33" s="40" t="n"/>
      <c r="EX33" s="41" t="n"/>
      <c r="EY33" s="42" t="n"/>
      <c r="EZ33" s="41" t="n"/>
      <c r="FA33" s="40" t="n"/>
      <c r="FB33" s="41" t="n"/>
      <c r="FC33" s="42" t="n"/>
      <c r="FD33" s="41" t="n"/>
      <c r="FE33" s="40" t="n"/>
      <c r="FF33" s="41" t="n"/>
      <c r="FG33" s="42" t="n"/>
      <c r="FH33" s="41" t="n"/>
      <c r="FI33" s="40" t="n"/>
      <c r="FJ33" s="41" t="n"/>
      <c r="FK33" s="42" t="n"/>
      <c r="FL33" s="41" t="n"/>
      <c r="FM33" s="40" t="n"/>
      <c r="FN33" s="41" t="n"/>
      <c r="FO33" s="42" t="n"/>
      <c r="FP33" s="43" t="n"/>
      <c r="FQ33" s="341" t="n"/>
      <c r="FR33" s="811">
        <f>SUMPRODUCT(--(MOD(COLUMN(DU33:ER33),4)=MOD(COLUMN(DU33),4)),DU33:ER33)+SUMPRODUCT(--(MOD(COLUMN(ES33:FP33),4)=MOD(COLUMN(ES33),4)),ES33:FP33)</f>
        <v/>
      </c>
      <c r="FS33" s="811">
        <f>SUMPRODUCT(--(MOD(COLUMN(DU33:ER33),4)=MOD(COLUMN(DU33),4)),DU33:ER33)*#REF!+SUMPRODUCT(--(MOD(COLUMN(ES33:FP33),4)=MOD(COLUMN(ES33),4)),ES33:FP33)*#REF!</f>
        <v/>
      </c>
      <c r="FT33" s="360" t="n"/>
    </row>
    <row r="34" outlineLevel="1" customFormat="1" s="44">
      <c r="A34" s="45" t="inlineStr">
        <is>
          <t>HJBridge (нет в системе)</t>
        </is>
      </c>
      <c r="B34" s="46" t="n"/>
      <c r="C34" s="46" t="n"/>
      <c r="D34" s="46" t="n"/>
      <c r="E34" s="47">
        <f>IF(ISBLANK(G34),"",IF($A$6:$A$64=$A34,COUNTIF($A$6:A34,$A34),""))</f>
        <v/>
      </c>
      <c r="F34" s="47" t="n"/>
      <c r="G34" s="48" t="n"/>
      <c r="H34" s="49" t="n"/>
      <c r="I34" s="620" t="n"/>
      <c r="J34" s="50" t="n"/>
      <c r="K34" s="50" t="n"/>
      <c r="L34" s="50">
        <f>IF(K34="RUB",J34/ЮАНЬ,IF(K34="EUR",J34*ЕВРО/ЮАНЬ,""))</f>
        <v/>
      </c>
      <c r="M34" s="51" t="n"/>
      <c r="N34" s="802">
        <f>IF(BP34&gt;0,1,IF(BN34&gt;0,2,))</f>
        <v/>
      </c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  <c r="AD34" s="51" t="n"/>
      <c r="AE34" s="51" t="n"/>
      <c r="AF34" s="51" t="n"/>
      <c r="AG34" s="51" t="n"/>
      <c r="AH34" s="51" t="n"/>
      <c r="AI34" s="51" t="n"/>
      <c r="AJ34" s="51" t="n"/>
      <c r="AK34" s="51" t="n"/>
      <c r="AL34" s="51" t="n"/>
      <c r="AM34" s="51" t="n"/>
      <c r="AN34" s="51" t="n"/>
      <c r="AO34" s="51" t="n"/>
      <c r="AP34" s="51" t="n"/>
      <c r="AQ34" s="51" t="n"/>
      <c r="AR34" s="51" t="n"/>
      <c r="AS34" s="51" t="n"/>
      <c r="AT34" s="51" t="n"/>
      <c r="AU34" s="51" t="n"/>
      <c r="AV34" s="51" t="n"/>
      <c r="AW34" s="51" t="n"/>
      <c r="AX34" s="51" t="n"/>
      <c r="AY34" s="51" t="n"/>
      <c r="AZ34" s="51" t="n"/>
      <c r="BA34" s="51" t="n"/>
      <c r="BB34" s="51" t="n"/>
      <c r="BC34" s="51" t="n"/>
      <c r="BD34" s="51" t="n"/>
      <c r="BE34" s="51" t="n"/>
      <c r="BF34" s="51" t="n"/>
      <c r="BG34" s="51" t="n"/>
      <c r="BH34" s="51" t="n"/>
      <c r="BI34" s="51" t="n"/>
      <c r="BJ34" s="51" t="n"/>
      <c r="BK34" s="335" t="n"/>
      <c r="BL34" s="814">
        <f>SUMPRODUCT(--(MOD(COLUMN($O34:$AL34),4)=MOD(COLUMN($O34)+0,4)),$O34:$AL34)
+SUMPRODUCT(--(MOD(COLUMN($AM34:$BJ34),4)=MOD(COLUMN($AM34)+0,4)),$AM34:$BJ34)</f>
        <v/>
      </c>
      <c r="BM34" s="815">
        <f>SUMPRODUCT(--(MOD(COLUMN($O34:$AL34),4)=MOD(COLUMN($O34)+0,4)),$O34:$AL34)*
$I34+SUMPRODUCT(--(MOD(COLUMN($AM34:$BJ34),4)=MOD(COLUMN($AM34)+0,4)),$AM34:$BJ34)*$I34</f>
        <v/>
      </c>
      <c r="BN34" s="814">
        <f>SUMPRODUCT(--(MOD(COLUMN($O34:$AL34),4)=MOD(COLUMN($O34)+1,4)),$O34:$AL34)
+SUMPRODUCT(--(MOD(COLUMN($AM34:$BJ34),4)=MOD(COLUMN($AM34)+1,4)),$AM34:$BJ34)</f>
        <v/>
      </c>
      <c r="BO34" s="814">
        <f>SUMPRODUCT(--(MOD(COLUMN($O34:$AL34),4)=MOD(COLUMN($O34)+1,4)),$O34:$AL34)*
$I34+SUMPRODUCT(--(MOD(COLUMN($AM34:$BJ34),4)=MOD(COLUMN($AM34)+1,4)),$AM34:$BJ34)*$I34</f>
        <v/>
      </c>
      <c r="BP34" s="814">
        <f>SUMPRODUCT(--(MOD(COLUMN($O34:$AL34),4)=MOD(COLUMN($O34)+2,4)),$O34:$AL34)
+SUMPRODUCT(--(MOD(COLUMN($AM34:$BJ34),4)=MOD(COLUMN($AM34)+2,4)),$AM34:$BJ34)</f>
        <v/>
      </c>
      <c r="BQ34" s="814">
        <f>SUMPRODUCT(--(MOD(COLUMN($O34:$AL34),4)=MOD(COLUMN($O34)+2,4)),$O34:$AL34)*
$I34+SUMPRODUCT(--(MOD(COLUMN($AM34:$BJ34),4)=MOD(COLUMN($AM34)+2,4)),$AM34:$BJ34)*$I34</f>
        <v/>
      </c>
      <c r="BR34" s="816" t="n"/>
      <c r="BS34" s="51" t="n"/>
      <c r="BT34" s="51" t="n"/>
      <c r="BU34" s="51" t="n"/>
      <c r="BV34" s="51" t="n"/>
      <c r="BW34" s="51" t="n"/>
      <c r="BX34" s="51" t="n"/>
      <c r="BY34" s="51" t="n"/>
      <c r="BZ34" s="51" t="n"/>
      <c r="CA34" s="51" t="n"/>
      <c r="CB34" s="51" t="n"/>
      <c r="CC34" s="51" t="n"/>
      <c r="CD34" s="51" t="n"/>
      <c r="CE34" s="51" t="n"/>
      <c r="CF34" s="51" t="n"/>
      <c r="CG34" s="51" t="n"/>
      <c r="CH34" s="51" t="n"/>
      <c r="CI34" s="51" t="n"/>
      <c r="CJ34" s="51" t="n"/>
      <c r="CK34" s="51" t="n"/>
      <c r="CL34" s="51" t="n"/>
      <c r="CM34" s="51" t="n"/>
      <c r="CN34" s="51" t="n"/>
      <c r="CO34" s="51" t="n"/>
      <c r="CP34" s="51" t="n"/>
      <c r="CQ34" s="51" t="n"/>
      <c r="CR34" s="51" t="n"/>
      <c r="CS34" s="51" t="n"/>
      <c r="CT34" s="51" t="n"/>
      <c r="CU34" s="51" t="n"/>
      <c r="CV34" s="51" t="n"/>
      <c r="CW34" s="51" t="n"/>
      <c r="CX34" s="51" t="n"/>
      <c r="CY34" s="51" t="n"/>
      <c r="CZ34" s="51" t="n"/>
      <c r="DA34" s="51" t="n"/>
      <c r="DB34" s="51" t="n"/>
      <c r="DC34" s="51" t="n"/>
      <c r="DD34" s="51" t="n"/>
      <c r="DE34" s="51" t="n"/>
      <c r="DF34" s="51" t="n"/>
      <c r="DG34" s="51" t="n"/>
      <c r="DH34" s="51" t="n"/>
      <c r="DI34" s="51" t="n"/>
      <c r="DJ34" s="51" t="n"/>
      <c r="DK34" s="51" t="n"/>
      <c r="DL34" s="51" t="n"/>
      <c r="DM34" s="51" t="n"/>
      <c r="DN34" s="51" t="n"/>
      <c r="DO34" s="51" t="n"/>
      <c r="DP34" s="335" t="n"/>
      <c r="DQ34" s="814">
        <f>SUMPRODUCT(--(MOD(COLUMN(BT34:CQ34),4)=MOD(COLUMN(BT34),4)),BT34:CQ34)+SUMPRODUCT(--(MOD(COLUMN(CR34:DO34),4)=MOD(COLUMN(CR34),4)),CR34:DO34)</f>
        <v/>
      </c>
      <c r="DR34" s="814">
        <f>SUMPRODUCT(--(MOD(COLUMN(BT34:CQ34),4)=MOD(COLUMN(BT34),4)),BT34:CQ34)*#REF!+SUMPRODUCT(--(MOD(COLUMN(CR34:DO34),4)=MOD(COLUMN(CR34),4)),CR34:DO34)*#REF!</f>
        <v/>
      </c>
      <c r="DS34" s="816" t="n"/>
      <c r="DT34" s="51" t="n"/>
      <c r="DU34" s="51" t="n"/>
      <c r="DV34" s="51" t="n"/>
      <c r="DW34" s="51" t="n"/>
      <c r="DX34" s="51" t="n"/>
      <c r="DY34" s="51" t="n"/>
      <c r="DZ34" s="51" t="n"/>
      <c r="EA34" s="51" t="n"/>
      <c r="EB34" s="51" t="n"/>
      <c r="EC34" s="51" t="n"/>
      <c r="ED34" s="51" t="n"/>
      <c r="EE34" s="51" t="n"/>
      <c r="EF34" s="51" t="n"/>
      <c r="EG34" s="51" t="n"/>
      <c r="EH34" s="51" t="n"/>
      <c r="EI34" s="51" t="n"/>
      <c r="EJ34" s="51" t="n"/>
      <c r="EK34" s="51" t="n"/>
      <c r="EL34" s="51" t="n"/>
      <c r="EM34" s="51" t="n"/>
      <c r="EN34" s="51" t="n"/>
      <c r="EO34" s="51" t="n"/>
      <c r="EP34" s="51" t="n"/>
      <c r="EQ34" s="51" t="n"/>
      <c r="ER34" s="51" t="n"/>
      <c r="ES34" s="51" t="n"/>
      <c r="ET34" s="51" t="n"/>
      <c r="EU34" s="51" t="n"/>
      <c r="EV34" s="51" t="n"/>
      <c r="EW34" s="51" t="n"/>
      <c r="EX34" s="51" t="n"/>
      <c r="EY34" s="51" t="n"/>
      <c r="EZ34" s="51" t="n"/>
      <c r="FA34" s="51" t="n"/>
      <c r="FB34" s="51" t="n"/>
      <c r="FC34" s="51" t="n"/>
      <c r="FD34" s="51" t="n"/>
      <c r="FE34" s="51" t="n"/>
      <c r="FF34" s="51" t="n"/>
      <c r="FG34" s="51" t="n"/>
      <c r="FH34" s="51" t="n"/>
      <c r="FI34" s="51" t="n"/>
      <c r="FJ34" s="51" t="n"/>
      <c r="FK34" s="51" t="n"/>
      <c r="FL34" s="51" t="n"/>
      <c r="FM34" s="51" t="n"/>
      <c r="FN34" s="51" t="n"/>
      <c r="FO34" s="51" t="n"/>
      <c r="FP34" s="51" t="n"/>
      <c r="FQ34" s="335" t="n"/>
      <c r="FR34" s="814">
        <f>SUMPRODUCT(--(MOD(COLUMN(DU34:ER34),4)=MOD(COLUMN(DU34),4)),DU34:ER34)+SUMPRODUCT(--(MOD(COLUMN(ES34:FP34),4)=MOD(COLUMN(ES34),4)),ES34:FP34)</f>
        <v/>
      </c>
      <c r="FS34" s="814">
        <f>SUMPRODUCT(--(MOD(COLUMN(DU34:ER34),4)=MOD(COLUMN(DU34),4)),DU34:ER34)*#REF!+SUMPRODUCT(--(MOD(COLUMN(ES34:FP34),4)=MOD(COLUMN(ES34),4)),ES34:FP34)*#REF!</f>
        <v/>
      </c>
      <c r="FT34" s="370" t="n"/>
    </row>
    <row r="35" outlineLevel="2" customFormat="1" s="14">
      <c r="A35" s="56" t="inlineStr">
        <is>
          <t>НПО РОСТАР ООО</t>
        </is>
      </c>
      <c r="B35" s="589" t="inlineStr">
        <is>
          <t>Отсрочка 10 дней</t>
        </is>
      </c>
      <c r="C35" s="15" t="inlineStr">
        <is>
          <t>ВБК Восток</t>
        </is>
      </c>
      <c r="D35" s="15" t="inlineStr">
        <is>
          <t>Прасолов, Соловьёв</t>
        </is>
      </c>
      <c r="E35" s="17">
        <f>IF(ISBLANK(G35),"",IF($A$6:$A$64=$A35,COUNTIF($A$6:A35,$A35),""))</f>
        <v/>
      </c>
      <c r="F35" s="17" t="n">
        <v>1</v>
      </c>
      <c r="G35" s="33" t="n">
        <v>6402250560</v>
      </c>
      <c r="H35" s="410" t="inlineStr">
        <is>
          <t>6402250560 AC Тормоз дисковый ( левый )</t>
        </is>
      </c>
      <c r="I35" s="625">
        <f>2048</f>
        <v/>
      </c>
      <c r="J35" s="798" t="n"/>
      <c r="K35" s="798" t="n"/>
      <c r="L35" s="798">
        <f>IF(K35="RUB",J35/ЮАНЬ,IF(K35="EUR",J35*ЕВРО/ЮАНЬ,""))</f>
        <v/>
      </c>
      <c r="M35" s="801" t="n"/>
      <c r="N35" s="802">
        <f>IF(BP35&gt;0,1,IF(BN35&gt;0,2,))</f>
        <v/>
      </c>
      <c r="O35" s="23" t="n"/>
      <c r="P35" s="24" t="n"/>
      <c r="Q35" s="25" t="n"/>
      <c r="R35" s="24" t="n"/>
      <c r="S35" s="23" t="n"/>
      <c r="T35" s="24" t="n"/>
      <c r="U35" s="25" t="n">
        <v>0</v>
      </c>
      <c r="V35" s="24" t="n"/>
      <c r="W35" s="23" t="n"/>
      <c r="X35" s="24" t="n"/>
      <c r="Y35" s="25" t="n"/>
      <c r="Z35" s="24" t="n"/>
      <c r="AA35" s="23" t="n"/>
      <c r="AB35" s="24" t="n"/>
      <c r="AC35" s="25" t="n">
        <v>0</v>
      </c>
      <c r="AD35" s="24" t="n"/>
      <c r="AE35" s="23" t="n"/>
      <c r="AF35" s="24" t="n"/>
      <c r="AG35" s="25" t="n"/>
      <c r="AH35" s="24" t="n"/>
      <c r="AI35" s="23" t="n"/>
      <c r="AJ35" s="24" t="n"/>
      <c r="AK35" s="25" t="n"/>
      <c r="AL35" s="24" t="n"/>
      <c r="AM35" s="23" t="n"/>
      <c r="AN35" s="24" t="n"/>
      <c r="AO35" s="25" t="n"/>
      <c r="AP35" s="24" t="n"/>
      <c r="AQ35" s="23" t="n"/>
      <c r="AR35" s="24" t="n"/>
      <c r="AS35" s="25" t="n"/>
      <c r="AT35" s="24" t="n"/>
      <c r="AU35" s="23" t="n"/>
      <c r="AV35" s="24" t="n"/>
      <c r="AW35" s="25" t="n"/>
      <c r="AX35" s="24" t="n"/>
      <c r="AY35" s="23" t="n"/>
      <c r="AZ35" s="24" t="n"/>
      <c r="BA35" s="25" t="n"/>
      <c r="BB35" s="24" t="n"/>
      <c r="BC35" s="23" t="n"/>
      <c r="BD35" s="24" t="n"/>
      <c r="BE35" s="25" t="n"/>
      <c r="BF35" s="24" t="n"/>
      <c r="BG35" s="23" t="n"/>
      <c r="BH35" s="24" t="n"/>
      <c r="BI35" s="25" t="n"/>
      <c r="BJ35" s="24" t="n"/>
      <c r="BK35" s="340" t="n"/>
      <c r="BL35" s="803">
        <f>SUMPRODUCT(--(MOD(COLUMN($O35:$AL35),4)=MOD(COLUMN($O35)+0,4)),$O35:$AL35)
+SUMPRODUCT(--(MOD(COLUMN($AM35:$BJ35),4)=MOD(COLUMN($AM35)+0,4)),$AM35:$BJ35)</f>
        <v/>
      </c>
      <c r="BM35" s="804">
        <f>SUMPRODUCT(--(MOD(COLUMN($O35:$AL35),4)=MOD(COLUMN($O35)+0,4)),$O35:$AL35)*
$I35+SUMPRODUCT(--(MOD(COLUMN($AM35:$BJ35),4)=MOD(COLUMN($AM35)+0,4)),$AM35:$BJ35)*$I35</f>
        <v/>
      </c>
      <c r="BN35" s="805">
        <f>SUMPRODUCT(--(MOD(COLUMN($O35:$AL35),4)=MOD(COLUMN($O35)+1,4)),$O35:$AL35)
+SUMPRODUCT(--(MOD(COLUMN($AM35:$BJ35),4)=MOD(COLUMN($AM35)+1,4)),$AM35:$BJ35)</f>
        <v/>
      </c>
      <c r="BO35" s="806">
        <f>SUMPRODUCT(--(MOD(COLUMN($O35:$AL35),4)=MOD(COLUMN($O35)+1,4)),$O35:$AL35)*
$I35+SUMPRODUCT(--(MOD(COLUMN($AM35:$BJ35),4)=MOD(COLUMN($AM35)+1,4)),$AM35:$BJ35)*$I35</f>
        <v/>
      </c>
      <c r="BP35" s="807">
        <f>SUMPRODUCT(--(MOD(COLUMN($O35:$AL35),4)=MOD(COLUMN($O35)+2,4)),$O35:$AL35)
+SUMPRODUCT(--(MOD(COLUMN($AM35:$BJ35),4)=MOD(COLUMN($AM35)+2,4)),$AM35:$BJ35)</f>
        <v/>
      </c>
      <c r="BQ35" s="808">
        <f>SUMPRODUCT(--(MOD(COLUMN($O35:$AL35),4)=MOD(COLUMN($O35)+2,4)),$O35:$AL35)*
$I35+SUMPRODUCT(--(MOD(COLUMN($AM35:$BJ35),4)=MOD(COLUMN($AM35)+2,4)),$AM35:$BJ35)*$I35</f>
        <v/>
      </c>
      <c r="BR35" s="809" t="n"/>
      <c r="BS35" s="801" t="n"/>
      <c r="BT35" s="23" t="n"/>
      <c r="BU35" s="24" t="n"/>
      <c r="BV35" s="25" t="n"/>
      <c r="BW35" s="24" t="n"/>
      <c r="BX35" s="23" t="n"/>
      <c r="BY35" s="24" t="n"/>
      <c r="BZ35" s="25" t="n"/>
      <c r="CA35" s="24" t="n"/>
      <c r="CB35" s="23" t="n"/>
      <c r="CC35" s="24" t="n"/>
      <c r="CD35" s="25" t="n"/>
      <c r="CE35" s="24" t="n"/>
      <c r="CF35" s="23" t="n"/>
      <c r="CG35" s="24" t="n"/>
      <c r="CH35" s="25" t="n"/>
      <c r="CI35" s="24" t="n"/>
      <c r="CJ35" s="23" t="n"/>
      <c r="CK35" s="24" t="n"/>
      <c r="CL35" s="25" t="n"/>
      <c r="CM35" s="24" t="n"/>
      <c r="CN35" s="23" t="n"/>
      <c r="CO35" s="24" t="n"/>
      <c r="CP35" s="25" t="n"/>
      <c r="CQ35" s="24" t="n"/>
      <c r="CR35" s="23" t="n"/>
      <c r="CS35" s="24" t="n"/>
      <c r="CT35" s="25" t="n"/>
      <c r="CU35" s="24" t="n"/>
      <c r="CV35" s="23" t="n"/>
      <c r="CW35" s="24" t="n"/>
      <c r="CX35" s="25" t="n"/>
      <c r="CY35" s="24" t="n"/>
      <c r="CZ35" s="23" t="n"/>
      <c r="DA35" s="24" t="n"/>
      <c r="DB35" s="25" t="n"/>
      <c r="DC35" s="24" t="n"/>
      <c r="DD35" s="23" t="n"/>
      <c r="DE35" s="24" t="n"/>
      <c r="DF35" s="25" t="n"/>
      <c r="DG35" s="24" t="n"/>
      <c r="DH35" s="23" t="n"/>
      <c r="DI35" s="24" t="n"/>
      <c r="DJ35" s="25" t="n"/>
      <c r="DK35" s="24" t="n"/>
      <c r="DL35" s="23" t="n"/>
      <c r="DM35" s="24" t="n"/>
      <c r="DN35" s="25" t="n"/>
      <c r="DO35" s="24" t="n"/>
      <c r="DP35" s="340" t="n"/>
      <c r="DQ35" s="803">
        <f>SUMPRODUCT(--(MOD(COLUMN(BT35:CQ35),4)=MOD(COLUMN(BT35),4)),BT35:CQ35)+SUMPRODUCT(--(MOD(COLUMN(CR35:DO35),4)=MOD(COLUMN(CR35),4)),CR35:DO35)</f>
        <v/>
      </c>
      <c r="DR35" s="803">
        <f>SUMPRODUCT(--(MOD(COLUMN(BT35:CQ35),4)=MOD(COLUMN(BT35),4)),BT35:CQ35)*#REF!+SUMPRODUCT(--(MOD(COLUMN(CR35:DO35),4)=MOD(COLUMN(CR35),4)),CR35:DO35)*#REF!</f>
        <v/>
      </c>
      <c r="DS35" s="809" t="n"/>
      <c r="DT35" s="801" t="n"/>
      <c r="DU35" s="23" t="n"/>
      <c r="DV35" s="24" t="n"/>
      <c r="DW35" s="25" t="n"/>
      <c r="DX35" s="24" t="n"/>
      <c r="DY35" s="23" t="n"/>
      <c r="DZ35" s="24" t="n"/>
      <c r="EA35" s="25" t="n"/>
      <c r="EB35" s="24" t="n"/>
      <c r="EC35" s="23" t="n"/>
      <c r="ED35" s="24" t="n"/>
      <c r="EE35" s="25" t="n"/>
      <c r="EF35" s="24" t="n"/>
      <c r="EG35" s="23" t="n"/>
      <c r="EH35" s="24" t="n"/>
      <c r="EI35" s="25" t="n"/>
      <c r="EJ35" s="24" t="n"/>
      <c r="EK35" s="23" t="n"/>
      <c r="EL35" s="24" t="n"/>
      <c r="EM35" s="25" t="n"/>
      <c r="EN35" s="24" t="n"/>
      <c r="EO35" s="23" t="n"/>
      <c r="EP35" s="24" t="n"/>
      <c r="EQ35" s="25" t="n"/>
      <c r="ER35" s="24" t="n"/>
      <c r="ES35" s="23" t="n"/>
      <c r="ET35" s="24" t="n"/>
      <c r="EU35" s="25" t="n"/>
      <c r="EV35" s="24" t="n"/>
      <c r="EW35" s="23" t="n"/>
      <c r="EX35" s="24" t="n"/>
      <c r="EY35" s="25" t="n"/>
      <c r="EZ35" s="24" t="n"/>
      <c r="FA35" s="23" t="n"/>
      <c r="FB35" s="24" t="n"/>
      <c r="FC35" s="25" t="n"/>
      <c r="FD35" s="24" t="n"/>
      <c r="FE35" s="23" t="n"/>
      <c r="FF35" s="24" t="n"/>
      <c r="FG35" s="25" t="n"/>
      <c r="FH35" s="24" t="n"/>
      <c r="FI35" s="23" t="n"/>
      <c r="FJ35" s="24" t="n"/>
      <c r="FK35" s="25" t="n"/>
      <c r="FL35" s="24" t="n"/>
      <c r="FM35" s="23" t="n"/>
      <c r="FN35" s="24" t="n"/>
      <c r="FO35" s="25" t="n"/>
      <c r="FP35" s="24" t="n"/>
      <c r="FQ35" s="340" t="n"/>
      <c r="FR35" s="803">
        <f>SUMPRODUCT(--(MOD(COLUMN(DU35:ER35),4)=MOD(COLUMN(DU35),4)),DU35:ER35)+SUMPRODUCT(--(MOD(COLUMN(ES35:FP35),4)=MOD(COLUMN(ES35),4)),ES35:FP35)</f>
        <v/>
      </c>
      <c r="FS35" s="803">
        <f>SUMPRODUCT(--(MOD(COLUMN(DU35:ER35),4)=MOD(COLUMN(DU35),4)),DU35:ER35)*#REF!+SUMPRODUCT(--(MOD(COLUMN(ES35:FP35),4)=MOD(COLUMN(ES35),4)),ES35:FP35)*#REF!</f>
        <v/>
      </c>
      <c r="FT35" s="360" t="n"/>
    </row>
    <row r="36" outlineLevel="2" customFormat="1" s="14">
      <c r="A36" s="56" t="inlineStr">
        <is>
          <t>НПО РОСТАР ООО</t>
        </is>
      </c>
      <c r="B36" s="589" t="inlineStr">
        <is>
          <t>Отсрочка 10 дней</t>
        </is>
      </c>
      <c r="C36" s="15" t="inlineStr">
        <is>
          <t>ВБК Восток</t>
        </is>
      </c>
      <c r="D36" s="15" t="inlineStr">
        <is>
          <t>Прасолов, Соловьёв</t>
        </is>
      </c>
      <c r="E36" s="17">
        <f>IF(ISBLANK(G36),"",IF($A$6:$A$64=$A36,COUNTIF($A$6:A36,$A36),""))</f>
        <v/>
      </c>
      <c r="F36" s="17" t="n">
        <v>1</v>
      </c>
      <c r="G36" s="33" t="n">
        <v>6402250570</v>
      </c>
      <c r="H36" s="410" t="inlineStr">
        <is>
          <t>6402250570 AC Тормоз дисковый ( правый )</t>
        </is>
      </c>
      <c r="I36" s="625">
        <f>I35</f>
        <v/>
      </c>
      <c r="J36" s="798" t="n"/>
      <c r="K36" s="798" t="n"/>
      <c r="L36" s="798">
        <f>IF(K36="RUB",J36/ЮАНЬ,IF(K36="EUR",J36*ЕВРО/ЮАНЬ,""))</f>
        <v/>
      </c>
      <c r="M36" s="801" t="n"/>
      <c r="N36" s="802">
        <f>IF(BP36&gt;0,1,IF(BN36&gt;0,2,))</f>
        <v/>
      </c>
      <c r="O36" s="23" t="n"/>
      <c r="P36" s="24" t="n"/>
      <c r="Q36" s="25" t="n"/>
      <c r="R36" s="24" t="n"/>
      <c r="S36" s="23" t="n"/>
      <c r="T36" s="24" t="n"/>
      <c r="U36" s="25" t="n">
        <v>0</v>
      </c>
      <c r="V36" s="24" t="n"/>
      <c r="W36" s="23" t="n"/>
      <c r="X36" s="24" t="n"/>
      <c r="Y36" s="25" t="n"/>
      <c r="Z36" s="24" t="n"/>
      <c r="AA36" s="23" t="n"/>
      <c r="AB36" s="24" t="n"/>
      <c r="AC36" s="25" t="n"/>
      <c r="AD36" s="24" t="n"/>
      <c r="AE36" s="23" t="n"/>
      <c r="AF36" s="24" t="n"/>
      <c r="AG36" s="25" t="n"/>
      <c r="AH36" s="24" t="n"/>
      <c r="AI36" s="23" t="n"/>
      <c r="AJ36" s="24" t="n"/>
      <c r="AK36" s="25" t="n"/>
      <c r="AL36" s="24" t="n"/>
      <c r="AM36" s="23" t="n"/>
      <c r="AN36" s="24" t="n"/>
      <c r="AO36" s="25" t="n"/>
      <c r="AP36" s="24" t="n"/>
      <c r="AQ36" s="23" t="n"/>
      <c r="AR36" s="24" t="n"/>
      <c r="AS36" s="25" t="n"/>
      <c r="AT36" s="24" t="n"/>
      <c r="AU36" s="23" t="n"/>
      <c r="AV36" s="24" t="n"/>
      <c r="AW36" s="25" t="n"/>
      <c r="AX36" s="24" t="n"/>
      <c r="AY36" s="23" t="n"/>
      <c r="AZ36" s="24" t="n"/>
      <c r="BA36" s="25" t="n"/>
      <c r="BB36" s="24" t="n"/>
      <c r="BC36" s="23" t="n"/>
      <c r="BD36" s="24" t="n"/>
      <c r="BE36" s="25" t="n"/>
      <c r="BF36" s="24" t="n"/>
      <c r="BG36" s="23" t="n"/>
      <c r="BH36" s="24" t="n"/>
      <c r="BI36" s="25" t="n"/>
      <c r="BJ36" s="24" t="n"/>
      <c r="BK36" s="340" t="n"/>
      <c r="BL36" s="803">
        <f>SUMPRODUCT(--(MOD(COLUMN($O36:$AL36),4)=MOD(COLUMN($O36)+0,4)),$O36:$AL36)
+SUMPRODUCT(--(MOD(COLUMN($AM36:$BJ36),4)=MOD(COLUMN($AM36)+0,4)),$AM36:$BJ36)</f>
        <v/>
      </c>
      <c r="BM36" s="804">
        <f>SUMPRODUCT(--(MOD(COLUMN($O36:$AL36),4)=MOD(COLUMN($O36)+0,4)),$O36:$AL36)*
$I36+SUMPRODUCT(--(MOD(COLUMN($AM36:$BJ36),4)=MOD(COLUMN($AM36)+0,4)),$AM36:$BJ36)*$I36</f>
        <v/>
      </c>
      <c r="BN36" s="805">
        <f>SUMPRODUCT(--(MOD(COLUMN($O36:$AL36),4)=MOD(COLUMN($O36)+1,4)),$O36:$AL36)
+SUMPRODUCT(--(MOD(COLUMN($AM36:$BJ36),4)=MOD(COLUMN($AM36)+1,4)),$AM36:$BJ36)</f>
        <v/>
      </c>
      <c r="BO36" s="806">
        <f>SUMPRODUCT(--(MOD(COLUMN($O36:$AL36),4)=MOD(COLUMN($O36)+1,4)),$O36:$AL36)*
$I36+SUMPRODUCT(--(MOD(COLUMN($AM36:$BJ36),4)=MOD(COLUMN($AM36)+1,4)),$AM36:$BJ36)*$I36</f>
        <v/>
      </c>
      <c r="BP36" s="807">
        <f>SUMPRODUCT(--(MOD(COLUMN($O36:$AL36),4)=MOD(COLUMN($O36)+2,4)),$O36:$AL36)
+SUMPRODUCT(--(MOD(COLUMN($AM36:$BJ36),4)=MOD(COLUMN($AM36)+2,4)),$AM36:$BJ36)</f>
        <v/>
      </c>
      <c r="BQ36" s="808">
        <f>SUMPRODUCT(--(MOD(COLUMN($O36:$AL36),4)=MOD(COLUMN($O36)+2,4)),$O36:$AL36)*
$I36+SUMPRODUCT(--(MOD(COLUMN($AM36:$BJ36),4)=MOD(COLUMN($AM36)+2,4)),$AM36:$BJ36)*$I36</f>
        <v/>
      </c>
      <c r="BR36" s="809" t="n"/>
      <c r="BS36" s="801" t="n"/>
      <c r="BT36" s="23" t="n"/>
      <c r="BU36" s="24" t="n"/>
      <c r="BV36" s="25" t="n"/>
      <c r="BW36" s="24" t="n"/>
      <c r="BX36" s="23" t="n"/>
      <c r="BY36" s="24" t="n"/>
      <c r="BZ36" s="25" t="n"/>
      <c r="CA36" s="24" t="n"/>
      <c r="CB36" s="23" t="n"/>
      <c r="CC36" s="24" t="n"/>
      <c r="CD36" s="25" t="n"/>
      <c r="CE36" s="24" t="n"/>
      <c r="CF36" s="23" t="n"/>
      <c r="CG36" s="24" t="n"/>
      <c r="CH36" s="25" t="n"/>
      <c r="CI36" s="24" t="n"/>
      <c r="CJ36" s="23" t="n"/>
      <c r="CK36" s="24" t="n"/>
      <c r="CL36" s="25" t="n"/>
      <c r="CM36" s="24" t="n"/>
      <c r="CN36" s="23" t="n"/>
      <c r="CO36" s="24" t="n"/>
      <c r="CP36" s="25" t="n"/>
      <c r="CQ36" s="24" t="n"/>
      <c r="CR36" s="23" t="n"/>
      <c r="CS36" s="24" t="n"/>
      <c r="CT36" s="25" t="n"/>
      <c r="CU36" s="24" t="n"/>
      <c r="CV36" s="23" t="n"/>
      <c r="CW36" s="24" t="n"/>
      <c r="CX36" s="25" t="n"/>
      <c r="CY36" s="24" t="n"/>
      <c r="CZ36" s="23" t="n"/>
      <c r="DA36" s="24" t="n"/>
      <c r="DB36" s="25" t="n"/>
      <c r="DC36" s="24" t="n"/>
      <c r="DD36" s="23" t="n"/>
      <c r="DE36" s="24" t="n"/>
      <c r="DF36" s="25" t="n"/>
      <c r="DG36" s="24" t="n"/>
      <c r="DH36" s="23" t="n"/>
      <c r="DI36" s="24" t="n"/>
      <c r="DJ36" s="25" t="n"/>
      <c r="DK36" s="24" t="n"/>
      <c r="DL36" s="23" t="n"/>
      <c r="DM36" s="24" t="n"/>
      <c r="DN36" s="25" t="n"/>
      <c r="DO36" s="24" t="n"/>
      <c r="DP36" s="340" t="n"/>
      <c r="DQ36" s="803">
        <f>SUMPRODUCT(--(MOD(COLUMN(BT36:CQ36),4)=MOD(COLUMN(BT36),4)),BT36:CQ36)+SUMPRODUCT(--(MOD(COLUMN(CR36:DO36),4)=MOD(COLUMN(CR36),4)),CR36:DO36)</f>
        <v/>
      </c>
      <c r="DR36" s="803">
        <f>SUMPRODUCT(--(MOD(COLUMN(BT36:CQ36),4)=MOD(COLUMN(BT36),4)),BT36:CQ36)*#REF!+SUMPRODUCT(--(MOD(COLUMN(CR36:DO36),4)=MOD(COLUMN(CR36),4)),CR36:DO36)*#REF!</f>
        <v/>
      </c>
      <c r="DS36" s="809" t="n"/>
      <c r="DT36" s="801" t="n"/>
      <c r="DU36" s="23" t="n"/>
      <c r="DV36" s="24" t="n"/>
      <c r="DW36" s="25" t="n"/>
      <c r="DX36" s="24" t="n"/>
      <c r="DY36" s="23" t="n"/>
      <c r="DZ36" s="24" t="n"/>
      <c r="EA36" s="25" t="n"/>
      <c r="EB36" s="24" t="n"/>
      <c r="EC36" s="23" t="n"/>
      <c r="ED36" s="24" t="n"/>
      <c r="EE36" s="25" t="n"/>
      <c r="EF36" s="24" t="n"/>
      <c r="EG36" s="23" t="n"/>
      <c r="EH36" s="24" t="n"/>
      <c r="EI36" s="25" t="n"/>
      <c r="EJ36" s="24" t="n"/>
      <c r="EK36" s="23" t="n"/>
      <c r="EL36" s="24" t="n"/>
      <c r="EM36" s="25" t="n"/>
      <c r="EN36" s="24" t="n"/>
      <c r="EO36" s="23" t="n"/>
      <c r="EP36" s="24" t="n"/>
      <c r="EQ36" s="25" t="n"/>
      <c r="ER36" s="24" t="n"/>
      <c r="ES36" s="23" t="n"/>
      <c r="ET36" s="24" t="n"/>
      <c r="EU36" s="25" t="n"/>
      <c r="EV36" s="24" t="n"/>
      <c r="EW36" s="23" t="n"/>
      <c r="EX36" s="24" t="n"/>
      <c r="EY36" s="25" t="n"/>
      <c r="EZ36" s="24" t="n"/>
      <c r="FA36" s="23" t="n"/>
      <c r="FB36" s="24" t="n"/>
      <c r="FC36" s="25" t="n"/>
      <c r="FD36" s="24" t="n"/>
      <c r="FE36" s="23" t="n"/>
      <c r="FF36" s="24" t="n"/>
      <c r="FG36" s="25" t="n"/>
      <c r="FH36" s="24" t="n"/>
      <c r="FI36" s="23" t="n"/>
      <c r="FJ36" s="24" t="n"/>
      <c r="FK36" s="25" t="n"/>
      <c r="FL36" s="24" t="n"/>
      <c r="FM36" s="23" t="n"/>
      <c r="FN36" s="24" t="n"/>
      <c r="FO36" s="25" t="n"/>
      <c r="FP36" s="24" t="n"/>
      <c r="FQ36" s="340" t="n"/>
      <c r="FR36" s="803">
        <f>SUMPRODUCT(--(MOD(COLUMN(DU36:ER36),4)=MOD(COLUMN(DU36),4)),DU36:ER36)+SUMPRODUCT(--(MOD(COLUMN(ES36:FP36),4)=MOD(COLUMN(ES36),4)),ES36:FP36)</f>
        <v/>
      </c>
      <c r="FS36" s="803">
        <f>SUMPRODUCT(--(MOD(COLUMN(DU36:ER36),4)=MOD(COLUMN(DU36),4)),DU36:ER36)*#REF!+SUMPRODUCT(--(MOD(COLUMN(ES36:FP36),4)=MOD(COLUMN(ES36),4)),ES36:FP36)*#REF!</f>
        <v/>
      </c>
      <c r="FT36" s="360" t="n"/>
    </row>
    <row r="37" outlineLevel="2" customFormat="1" s="14">
      <c r="A37" s="56" t="inlineStr">
        <is>
          <t>НПО РОСТАР ООО</t>
        </is>
      </c>
      <c r="B37" s="589" t="inlineStr">
        <is>
          <t>Отсрочка 10 дней</t>
        </is>
      </c>
      <c r="C37" s="15" t="inlineStr">
        <is>
          <t>ВБК Восток</t>
        </is>
      </c>
      <c r="D37" s="15" t="inlineStr">
        <is>
          <t>Прасолов, Соловьёв</t>
        </is>
      </c>
      <c r="E37" s="17">
        <f>IF(ISBLANK(G37),"",IF($A$6:$A$64=$A37,COUNTIF($A$6:A37,$A37),""))</f>
        <v/>
      </c>
      <c r="F37" s="17" t="n">
        <v>1</v>
      </c>
      <c r="G37" s="33" t="n">
        <v>4410328080</v>
      </c>
      <c r="H37" s="18" t="inlineStr">
        <is>
          <t>Датчик АБС, 0,4 м</t>
        </is>
      </c>
      <c r="I37" s="627">
        <f>84/НДС_20</f>
        <v/>
      </c>
      <c r="J37" s="798" t="n"/>
      <c r="K37" s="798" t="n"/>
      <c r="L37" s="798">
        <f>IF(K37="RUB",J37/ЮАНЬ,IF(K37="EUR",J37*ЕВРО/ЮАНЬ,""))</f>
        <v/>
      </c>
      <c r="M37" s="801" t="n"/>
      <c r="N37" s="802">
        <f>IF(BP37&gt;0,1,IF(BN37&gt;0,2,))</f>
        <v/>
      </c>
      <c r="O37" s="23" t="n"/>
      <c r="P37" s="24" t="n"/>
      <c r="Q37" s="25" t="n"/>
      <c r="R37" s="24" t="n"/>
      <c r="S37" s="23" t="n"/>
      <c r="T37" s="24" t="n"/>
      <c r="U37" s="25" t="n">
        <v>0</v>
      </c>
      <c r="V37" s="24" t="n"/>
      <c r="W37" s="23" t="n"/>
      <c r="X37" s="24" t="n"/>
      <c r="Y37" s="25" t="n"/>
      <c r="Z37" s="24" t="n"/>
      <c r="AA37" s="23" t="n"/>
      <c r="AB37" s="24" t="n"/>
      <c r="AC37" s="25" t="n"/>
      <c r="AD37" s="24" t="n"/>
      <c r="AE37" s="23" t="n"/>
      <c r="AF37" s="24" t="n"/>
      <c r="AG37" s="25" t="n"/>
      <c r="AH37" s="24" t="n"/>
      <c r="AI37" s="23" t="n"/>
      <c r="AJ37" s="24" t="n"/>
      <c r="AK37" s="25" t="n"/>
      <c r="AL37" s="24" t="n"/>
      <c r="AM37" s="23" t="n"/>
      <c r="AN37" s="24" t="n"/>
      <c r="AO37" s="25" t="n"/>
      <c r="AP37" s="24" t="n"/>
      <c r="AQ37" s="23" t="n"/>
      <c r="AR37" s="24" t="n"/>
      <c r="AS37" s="25" t="n"/>
      <c r="AT37" s="24" t="n"/>
      <c r="AU37" s="23" t="n"/>
      <c r="AV37" s="24" t="n"/>
      <c r="AW37" s="25" t="n"/>
      <c r="AX37" s="24" t="n"/>
      <c r="AY37" s="23" t="n"/>
      <c r="AZ37" s="24" t="n"/>
      <c r="BA37" s="25" t="n"/>
      <c r="BB37" s="24" t="n"/>
      <c r="BC37" s="23" t="n"/>
      <c r="BD37" s="24" t="n"/>
      <c r="BE37" s="25" t="n"/>
      <c r="BF37" s="24" t="n"/>
      <c r="BG37" s="23" t="n"/>
      <c r="BH37" s="24" t="n"/>
      <c r="BI37" s="25" t="n"/>
      <c r="BJ37" s="24" t="n"/>
      <c r="BK37" s="340" t="n"/>
      <c r="BL37" s="803">
        <f>SUMPRODUCT(--(MOD(COLUMN($O37:$AL37),4)=MOD(COLUMN($O37)+0,4)),$O37:$AL37)
+SUMPRODUCT(--(MOD(COLUMN($AM37:$BJ37),4)=MOD(COLUMN($AM37)+0,4)),$AM37:$BJ37)</f>
        <v/>
      </c>
      <c r="BM37" s="804">
        <f>SUMPRODUCT(--(MOD(COLUMN($O37:$AL37),4)=MOD(COLUMN($O37)+0,4)),$O37:$AL37)*
$I37+SUMPRODUCT(--(MOD(COLUMN($AM37:$BJ37),4)=MOD(COLUMN($AM37)+0,4)),$AM37:$BJ37)*$I37</f>
        <v/>
      </c>
      <c r="BN37" s="805">
        <f>SUMPRODUCT(--(MOD(COLUMN($O37:$AL37),4)=MOD(COLUMN($O37)+1,4)),$O37:$AL37)
+SUMPRODUCT(--(MOD(COLUMN($AM37:$BJ37),4)=MOD(COLUMN($AM37)+1,4)),$AM37:$BJ37)</f>
        <v/>
      </c>
      <c r="BO37" s="806">
        <f>SUMPRODUCT(--(MOD(COLUMN($O37:$AL37),4)=MOD(COLUMN($O37)+1,4)),$O37:$AL37)*
$I37+SUMPRODUCT(--(MOD(COLUMN($AM37:$BJ37),4)=MOD(COLUMN($AM37)+1,4)),$AM37:$BJ37)*$I37</f>
        <v/>
      </c>
      <c r="BP37" s="807">
        <f>SUMPRODUCT(--(MOD(COLUMN($O37:$AL37),4)=MOD(COLUMN($O37)+2,4)),$O37:$AL37)
+SUMPRODUCT(--(MOD(COLUMN($AM37:$BJ37),4)=MOD(COLUMN($AM37)+2,4)),$AM37:$BJ37)</f>
        <v/>
      </c>
      <c r="BQ37" s="808">
        <f>SUMPRODUCT(--(MOD(COLUMN($O37:$AL37),4)=MOD(COLUMN($O37)+2,4)),$O37:$AL37)*
$I37+SUMPRODUCT(--(MOD(COLUMN($AM37:$BJ37),4)=MOD(COLUMN($AM37)+2,4)),$AM37:$BJ37)*$I37</f>
        <v/>
      </c>
      <c r="BR37" s="809" t="n"/>
      <c r="BS37" s="801" t="n"/>
      <c r="BT37" s="23" t="n"/>
      <c r="BU37" s="24" t="n"/>
      <c r="BV37" s="25" t="n"/>
      <c r="BW37" s="24" t="n"/>
      <c r="BX37" s="23" t="n"/>
      <c r="BY37" s="24" t="n"/>
      <c r="BZ37" s="25" t="n"/>
      <c r="CA37" s="24" t="n"/>
      <c r="CB37" s="23" t="n"/>
      <c r="CC37" s="24" t="n"/>
      <c r="CD37" s="25" t="n"/>
      <c r="CE37" s="24" t="n"/>
      <c r="CF37" s="23" t="n"/>
      <c r="CG37" s="24" t="n"/>
      <c r="CH37" s="25" t="n"/>
      <c r="CI37" s="24" t="n"/>
      <c r="CJ37" s="23" t="n"/>
      <c r="CK37" s="24" t="n"/>
      <c r="CL37" s="25" t="n"/>
      <c r="CM37" s="24" t="n"/>
      <c r="CN37" s="23" t="n"/>
      <c r="CO37" s="24" t="n"/>
      <c r="CP37" s="25" t="n"/>
      <c r="CQ37" s="24" t="n"/>
      <c r="CR37" s="23" t="n"/>
      <c r="CS37" s="24" t="n"/>
      <c r="CT37" s="25" t="n"/>
      <c r="CU37" s="24" t="n"/>
      <c r="CV37" s="23" t="n"/>
      <c r="CW37" s="24" t="n"/>
      <c r="CX37" s="25" t="n"/>
      <c r="CY37" s="24" t="n"/>
      <c r="CZ37" s="23" t="n"/>
      <c r="DA37" s="24" t="n"/>
      <c r="DB37" s="25" t="n"/>
      <c r="DC37" s="24" t="n"/>
      <c r="DD37" s="23" t="n"/>
      <c r="DE37" s="24" t="n"/>
      <c r="DF37" s="25" t="n"/>
      <c r="DG37" s="24" t="n"/>
      <c r="DH37" s="23" t="n"/>
      <c r="DI37" s="24" t="n"/>
      <c r="DJ37" s="25" t="n"/>
      <c r="DK37" s="24" t="n"/>
      <c r="DL37" s="23" t="n"/>
      <c r="DM37" s="24" t="n"/>
      <c r="DN37" s="25" t="n"/>
      <c r="DO37" s="24" t="n"/>
      <c r="DP37" s="340" t="n"/>
      <c r="DQ37" s="803">
        <f>SUMPRODUCT(--(MOD(COLUMN(BT37:CQ37),4)=MOD(COLUMN(BT37),4)),BT37:CQ37)+SUMPRODUCT(--(MOD(COLUMN(CR37:DO37),4)=MOD(COLUMN(CR37),4)),CR37:DO37)</f>
        <v/>
      </c>
      <c r="DR37" s="803">
        <f>SUMPRODUCT(--(MOD(COLUMN(BT37:CQ37),4)=MOD(COLUMN(BT37),4)),BT37:CQ37)*#REF!+SUMPRODUCT(--(MOD(COLUMN(CR37:DO37),4)=MOD(COLUMN(CR37),4)),CR37:DO37)*#REF!</f>
        <v/>
      </c>
      <c r="DS37" s="809" t="n"/>
      <c r="DT37" s="801" t="n"/>
      <c r="DU37" s="23" t="n"/>
      <c r="DV37" s="24" t="n"/>
      <c r="DW37" s="25" t="n"/>
      <c r="DX37" s="24" t="n"/>
      <c r="DY37" s="23" t="n"/>
      <c r="DZ37" s="24" t="n"/>
      <c r="EA37" s="25" t="n"/>
      <c r="EB37" s="24" t="n"/>
      <c r="EC37" s="23" t="n"/>
      <c r="ED37" s="24" t="n"/>
      <c r="EE37" s="25" t="n"/>
      <c r="EF37" s="24" t="n"/>
      <c r="EG37" s="23" t="n"/>
      <c r="EH37" s="24" t="n"/>
      <c r="EI37" s="25" t="n"/>
      <c r="EJ37" s="24" t="n"/>
      <c r="EK37" s="23" t="n"/>
      <c r="EL37" s="24" t="n"/>
      <c r="EM37" s="25" t="n"/>
      <c r="EN37" s="24" t="n"/>
      <c r="EO37" s="23" t="n"/>
      <c r="EP37" s="24" t="n"/>
      <c r="EQ37" s="25" t="n"/>
      <c r="ER37" s="24" t="n"/>
      <c r="ES37" s="23" t="n"/>
      <c r="ET37" s="24" t="n"/>
      <c r="EU37" s="25" t="n"/>
      <c r="EV37" s="24" t="n"/>
      <c r="EW37" s="23" t="n"/>
      <c r="EX37" s="24" t="n"/>
      <c r="EY37" s="25" t="n"/>
      <c r="EZ37" s="24" t="n"/>
      <c r="FA37" s="23" t="n"/>
      <c r="FB37" s="24" t="n"/>
      <c r="FC37" s="25" t="n"/>
      <c r="FD37" s="24" t="n"/>
      <c r="FE37" s="23" t="n"/>
      <c r="FF37" s="24" t="n"/>
      <c r="FG37" s="25" t="n"/>
      <c r="FH37" s="24" t="n"/>
      <c r="FI37" s="23" t="n"/>
      <c r="FJ37" s="24" t="n"/>
      <c r="FK37" s="25" t="n"/>
      <c r="FL37" s="24" t="n"/>
      <c r="FM37" s="23" t="n"/>
      <c r="FN37" s="24" t="n"/>
      <c r="FO37" s="25" t="n"/>
      <c r="FP37" s="24" t="n"/>
      <c r="FQ37" s="340" t="n"/>
      <c r="FR37" s="803">
        <f>SUMPRODUCT(--(MOD(COLUMN(DU37:ER37),4)=MOD(COLUMN(DU37),4)),DU37:ER37)+SUMPRODUCT(--(MOD(COLUMN(ES37:FP37),4)=MOD(COLUMN(ES37),4)),ES37:FP37)</f>
        <v/>
      </c>
      <c r="FS37" s="803">
        <f>SUMPRODUCT(--(MOD(COLUMN(DU37:ER37),4)=MOD(COLUMN(DU37),4)),DU37:ER37)*#REF!+SUMPRODUCT(--(MOD(COLUMN(ES37:FP37),4)=MOD(COLUMN(ES37),4)),ES37:FP37)*#REF!</f>
        <v/>
      </c>
      <c r="FT37" s="360" t="n"/>
    </row>
    <row r="38" outlineLevel="2" customFormat="1" s="14">
      <c r="A38" s="56" t="inlineStr">
        <is>
          <t>НПО РОСТАР ООО</t>
        </is>
      </c>
      <c r="B38" s="589" t="inlineStr">
        <is>
          <t>Отсрочка 10 дней</t>
        </is>
      </c>
      <c r="C38" s="15" t="inlineStr">
        <is>
          <t>ВБК Восток</t>
        </is>
      </c>
      <c r="D38" s="15" t="inlineStr">
        <is>
          <t>Прасолов, Соловьёв</t>
        </is>
      </c>
      <c r="E38" s="17">
        <f>IF(ISBLANK(G38),"",IF($A$6:$A$64=$A38,COUNTIF($A$6:A38,$A38),""))</f>
        <v/>
      </c>
      <c r="F38" s="17" t="n">
        <v>1</v>
      </c>
      <c r="G38" s="33" t="n">
        <v>8997598154</v>
      </c>
      <c r="H38" s="18" t="inlineStr">
        <is>
          <t>Втулка датчика АБС</t>
        </is>
      </c>
      <c r="I38" s="629" t="n">
        <v>6.44</v>
      </c>
      <c r="J38" s="798" t="n"/>
      <c r="K38" s="798" t="n"/>
      <c r="L38" s="798">
        <f>IF(K38="RUB",J38/ЮАНЬ,IF(K38="EUR",J38*ЕВРО/ЮАНЬ,""))</f>
        <v/>
      </c>
      <c r="M38" s="801" t="n"/>
      <c r="N38" s="802">
        <f>IF(BP38&gt;0,1,IF(BN38&gt;0,2,))</f>
        <v/>
      </c>
      <c r="O38" s="23" t="n"/>
      <c r="P38" s="24" t="n"/>
      <c r="Q38" s="25" t="n">
        <v>200</v>
      </c>
      <c r="R38" s="24" t="n"/>
      <c r="S38" s="23" t="n"/>
      <c r="T38" s="24" t="n"/>
      <c r="U38" s="25" t="n">
        <v>0</v>
      </c>
      <c r="V38" s="24" t="n"/>
      <c r="W38" s="23" t="n"/>
      <c r="X38" s="24" t="n"/>
      <c r="Y38" s="25" t="n">
        <v>555</v>
      </c>
      <c r="Z38" s="24" t="n"/>
      <c r="AA38" s="23" t="n"/>
      <c r="AB38" s="24" t="n"/>
      <c r="AC38" s="25" t="n"/>
      <c r="AD38" s="24" t="n"/>
      <c r="AE38" s="23" t="n"/>
      <c r="AF38" s="24" t="n"/>
      <c r="AG38" s="25" t="n">
        <v>300</v>
      </c>
      <c r="AH38" s="24" t="n"/>
      <c r="AI38" s="23" t="n"/>
      <c r="AJ38" s="24" t="n"/>
      <c r="AK38" s="25" t="n">
        <v>0</v>
      </c>
      <c r="AL38" s="24" t="n"/>
      <c r="AM38" s="23" t="n"/>
      <c r="AN38" s="24" t="n"/>
      <c r="AO38" s="25" t="n">
        <v>0</v>
      </c>
      <c r="AP38" s="24" t="n"/>
      <c r="AQ38" s="23" t="n"/>
      <c r="AR38" s="24" t="n"/>
      <c r="AS38" s="25" t="n">
        <v>0</v>
      </c>
      <c r="AT38" s="24" t="n"/>
      <c r="AU38" s="23" t="n"/>
      <c r="AV38" s="24" t="n"/>
      <c r="AW38" s="25" t="n">
        <v>0</v>
      </c>
      <c r="AX38" s="24" t="n"/>
      <c r="AY38" s="23" t="n"/>
      <c r="AZ38" s="24" t="n"/>
      <c r="BA38" s="25" t="n">
        <v>0</v>
      </c>
      <c r="BB38" s="24" t="n"/>
      <c r="BC38" s="23" t="n"/>
      <c r="BD38" s="24" t="n"/>
      <c r="BE38" s="25" t="n">
        <v>0</v>
      </c>
      <c r="BF38" s="24" t="n"/>
      <c r="BG38" s="23" t="n"/>
      <c r="BH38" s="24" t="n"/>
      <c r="BI38" s="25" t="n">
        <v>0</v>
      </c>
      <c r="BJ38" s="24" t="n"/>
      <c r="BK38" s="340" t="n"/>
      <c r="BL38" s="803">
        <f>SUMPRODUCT(--(MOD(COLUMN($O38:$AL38),4)=MOD(COLUMN($O38)+0,4)),$O38:$AL38)
+SUMPRODUCT(--(MOD(COLUMN($AM38:$BJ38),4)=MOD(COLUMN($AM38)+0,4)),$AM38:$BJ38)</f>
        <v/>
      </c>
      <c r="BM38" s="804">
        <f>SUMPRODUCT(--(MOD(COLUMN($O38:$AL38),4)=MOD(COLUMN($O38)+0,4)),$O38:$AL38)*$I38
+SUMPRODUCT(--(MOD(COLUMN($AM38:$BJ38),4)=MOD(COLUMN($AM38)+0,4)),$AM38:$BJ38)*$I38</f>
        <v/>
      </c>
      <c r="BN38" s="805">
        <f>SUMPRODUCT(--(MOD(COLUMN($O38:$AL38),4)=MOD(COLUMN($O38)+1,4)),$O38:$AL38)
+SUMPRODUCT(--(MOD(COLUMN($AM38:$BJ38),4)=MOD(COLUMN($AM38)+1,4)),$AM38:$BJ38)</f>
        <v/>
      </c>
      <c r="BO38" s="806">
        <f>SUMPRODUCT(--(MOD(COLUMN($O38:$AL38),4)=MOD(COLUMN($O38)+1,4)),$O38:$AL38)*$I38
+SUMPRODUCT(--(MOD(COLUMN($AM38:$BJ38),4)=MOD(COLUMN($AM38)+1,4)),$AM38:$BJ38)*$I38</f>
        <v/>
      </c>
      <c r="BP38" s="807">
        <f>SUMPRODUCT(--(MOD(COLUMN($O38:$AL38),4)=MOD(COLUMN($O38)+2,4)),$O38:$AL38)
+SUMPRODUCT(--(MOD(COLUMN($AM38:$BJ38),4)=MOD(COLUMN($AM38)+2,4)),$AM38:$BJ38)</f>
        <v/>
      </c>
      <c r="BQ38" s="808">
        <f>SUMPRODUCT(--(MOD(COLUMN($O38:$AL38),4)=MOD(COLUMN($O38)+2,4)),$O38:$AL38)*$I38
+SUMPRODUCT(--(MOD(COLUMN($AM38:$BJ38),4)=MOD(COLUMN($AM38)+2,4)),$AM38:$BJ38)*$I38</f>
        <v/>
      </c>
      <c r="BR38" s="809" t="n"/>
      <c r="BS38" s="801" t="n"/>
      <c r="BT38" s="23" t="n"/>
      <c r="BU38" s="24" t="n"/>
      <c r="BV38" s="25" t="n"/>
      <c r="BW38" s="24" t="n"/>
      <c r="BX38" s="23" t="n"/>
      <c r="BY38" s="24" t="n"/>
      <c r="BZ38" s="25" t="n"/>
      <c r="CA38" s="24" t="n"/>
      <c r="CB38" s="23" t="n"/>
      <c r="CC38" s="24" t="n"/>
      <c r="CD38" s="25" t="n"/>
      <c r="CE38" s="24" t="n"/>
      <c r="CF38" s="23" t="n"/>
      <c r="CG38" s="24" t="n"/>
      <c r="CH38" s="25" t="n"/>
      <c r="CI38" s="24" t="n"/>
      <c r="CJ38" s="23" t="n"/>
      <c r="CK38" s="24" t="n"/>
      <c r="CL38" s="25" t="n"/>
      <c r="CM38" s="24" t="n"/>
      <c r="CN38" s="23" t="n"/>
      <c r="CO38" s="24" t="n"/>
      <c r="CP38" s="25" t="n"/>
      <c r="CQ38" s="24" t="n"/>
      <c r="CR38" s="23" t="n"/>
      <c r="CS38" s="24" t="n"/>
      <c r="CT38" s="25" t="n"/>
      <c r="CU38" s="24" t="n"/>
      <c r="CV38" s="23" t="n"/>
      <c r="CW38" s="24" t="n"/>
      <c r="CX38" s="25" t="n"/>
      <c r="CY38" s="24" t="n"/>
      <c r="CZ38" s="23" t="n"/>
      <c r="DA38" s="24" t="n"/>
      <c r="DB38" s="25" t="n"/>
      <c r="DC38" s="24" t="n"/>
      <c r="DD38" s="23" t="n"/>
      <c r="DE38" s="24" t="n"/>
      <c r="DF38" s="25" t="n"/>
      <c r="DG38" s="24" t="n"/>
      <c r="DH38" s="23" t="n"/>
      <c r="DI38" s="24" t="n"/>
      <c r="DJ38" s="25" t="n"/>
      <c r="DK38" s="24" t="n"/>
      <c r="DL38" s="23" t="n"/>
      <c r="DM38" s="24" t="n"/>
      <c r="DN38" s="25" t="n"/>
      <c r="DO38" s="24" t="n"/>
      <c r="DP38" s="340" t="n"/>
      <c r="DQ38" s="803">
        <f>SUMPRODUCT(--(MOD(COLUMN(BT38:CQ38),4)=MOD(COLUMN(BT38),4)),BT38:CQ38)+SUMPRODUCT(--(MOD(COLUMN(CR38:DO38),4)=MOD(COLUMN(CR38),4)),CR38:DO38)</f>
        <v/>
      </c>
      <c r="DR38" s="803">
        <f>SUMPRODUCT(--(MOD(COLUMN(BT38:CQ38),4)=MOD(COLUMN(BT38),4)),BT38:CQ38)*#REF!+SUMPRODUCT(--(MOD(COLUMN(CR38:DO38),4)=MOD(COLUMN(CR38),4)),CR38:DO38)*#REF!</f>
        <v/>
      </c>
      <c r="DS38" s="809" t="n"/>
      <c r="DT38" s="801" t="n"/>
      <c r="DU38" s="23" t="n"/>
      <c r="DV38" s="24" t="n"/>
      <c r="DW38" s="25" t="n"/>
      <c r="DX38" s="24" t="n"/>
      <c r="DY38" s="23" t="n"/>
      <c r="DZ38" s="24" t="n"/>
      <c r="EA38" s="25" t="n"/>
      <c r="EB38" s="24" t="n"/>
      <c r="EC38" s="23" t="n"/>
      <c r="ED38" s="24" t="n"/>
      <c r="EE38" s="25" t="n"/>
      <c r="EF38" s="24" t="n"/>
      <c r="EG38" s="23" t="n"/>
      <c r="EH38" s="24" t="n"/>
      <c r="EI38" s="25" t="n"/>
      <c r="EJ38" s="24" t="n"/>
      <c r="EK38" s="23" t="n"/>
      <c r="EL38" s="24" t="n"/>
      <c r="EM38" s="25" t="n"/>
      <c r="EN38" s="24" t="n"/>
      <c r="EO38" s="23" t="n"/>
      <c r="EP38" s="24" t="n"/>
      <c r="EQ38" s="25" t="n"/>
      <c r="ER38" s="24" t="n"/>
      <c r="ES38" s="23" t="n"/>
      <c r="ET38" s="24" t="n"/>
      <c r="EU38" s="25" t="n"/>
      <c r="EV38" s="24" t="n"/>
      <c r="EW38" s="23" t="n"/>
      <c r="EX38" s="24" t="n"/>
      <c r="EY38" s="25" t="n"/>
      <c r="EZ38" s="24" t="n"/>
      <c r="FA38" s="23" t="n"/>
      <c r="FB38" s="24" t="n"/>
      <c r="FC38" s="25" t="n"/>
      <c r="FD38" s="24" t="n"/>
      <c r="FE38" s="23" t="n"/>
      <c r="FF38" s="24" t="n"/>
      <c r="FG38" s="25" t="n"/>
      <c r="FH38" s="24" t="n"/>
      <c r="FI38" s="23" t="n"/>
      <c r="FJ38" s="24" t="n"/>
      <c r="FK38" s="25" t="n"/>
      <c r="FL38" s="24" t="n"/>
      <c r="FM38" s="23" t="n"/>
      <c r="FN38" s="24" t="n"/>
      <c r="FO38" s="25" t="n"/>
      <c r="FP38" s="24" t="n"/>
      <c r="FQ38" s="340" t="n"/>
      <c r="FR38" s="803">
        <f>SUMPRODUCT(--(MOD(COLUMN(DU38:ER38),4)=MOD(COLUMN(DU38),4)),DU38:ER38)+SUMPRODUCT(--(MOD(COLUMN(ES38:FP38),4)=MOD(COLUMN(ES38),4)),ES38:FP38)</f>
        <v/>
      </c>
      <c r="FS38" s="803">
        <f>SUMPRODUCT(--(MOD(COLUMN(DU38:ER38),4)=MOD(COLUMN(DU38),4)),DU38:ER38)*#REF!+SUMPRODUCT(--(MOD(COLUMN(ES38:FP38),4)=MOD(COLUMN(ES38),4)),ES38:FP38)*#REF!</f>
        <v/>
      </c>
      <c r="FT38" s="360" t="n"/>
    </row>
    <row r="39" outlineLevel="2" customFormat="1" s="14">
      <c r="A39" s="56" t="inlineStr">
        <is>
          <t>НПО РОСТАР ООО</t>
        </is>
      </c>
      <c r="B39" s="589" t="inlineStr">
        <is>
          <t>Отсрочка 10 дней</t>
        </is>
      </c>
      <c r="C39" s="15" t="inlineStr">
        <is>
          <t>ВБК Восток</t>
        </is>
      </c>
      <c r="D39" s="15" t="inlineStr">
        <is>
          <t>Прасолов, Соловьёв</t>
        </is>
      </c>
      <c r="E39" s="17">
        <f>IF(ISBLANK(G39),"",IF($A$6:$A$64=$A39,COUNTIF($A$6:A39,$A39),""))</f>
        <v/>
      </c>
      <c r="F39" s="17" t="n">
        <v>1</v>
      </c>
      <c r="G39" s="33" t="n">
        <v>4235041001</v>
      </c>
      <c r="H39" s="18" t="inlineStr">
        <is>
          <t>Тормозная камера, тип 20</t>
        </is>
      </c>
      <c r="I39" s="624">
        <f>163.08/НДС_20</f>
        <v/>
      </c>
      <c r="J39" s="798" t="n"/>
      <c r="K39" s="798" t="n"/>
      <c r="L39" s="798">
        <f>IF(K39="RUB",J39/ЮАНЬ,IF(K39="EUR",J39*ЕВРО/ЮАНЬ,""))</f>
        <v/>
      </c>
      <c r="M39" s="801" t="n"/>
      <c r="N39" s="802">
        <f>IF(BP39&gt;0,1,IF(BN39&gt;0,2,))</f>
        <v/>
      </c>
      <c r="O39" s="23" t="n"/>
      <c r="P39" s="24" t="n"/>
      <c r="Q39" s="25" t="n"/>
      <c r="R39" s="24" t="n"/>
      <c r="S39" s="23" t="n"/>
      <c r="T39" s="24" t="n"/>
      <c r="U39" s="25" t="n">
        <v>0</v>
      </c>
      <c r="V39" s="24" t="n"/>
      <c r="W39" s="23" t="n"/>
      <c r="X39" s="24" t="n"/>
      <c r="Y39" s="25" t="n"/>
      <c r="Z39" s="24" t="n"/>
      <c r="AA39" s="23" t="n"/>
      <c r="AB39" s="24" t="n"/>
      <c r="AC39" s="25" t="n"/>
      <c r="AD39" s="24" t="n"/>
      <c r="AE39" s="23" t="n"/>
      <c r="AF39" s="24" t="n"/>
      <c r="AG39" s="25" t="n"/>
      <c r="AH39" s="24" t="n"/>
      <c r="AI39" s="23" t="n"/>
      <c r="AJ39" s="24" t="n"/>
      <c r="AK39" s="25" t="n"/>
      <c r="AL39" s="24" t="n"/>
      <c r="AM39" s="23" t="n"/>
      <c r="AN39" s="24" t="n"/>
      <c r="AO39" s="25" t="n"/>
      <c r="AP39" s="24" t="n"/>
      <c r="AQ39" s="23" t="n"/>
      <c r="AR39" s="24" t="n"/>
      <c r="AS39" s="25" t="n"/>
      <c r="AT39" s="24" t="n"/>
      <c r="AU39" s="23" t="n"/>
      <c r="AV39" s="24" t="n"/>
      <c r="AW39" s="25" t="n"/>
      <c r="AX39" s="24" t="n"/>
      <c r="AY39" s="23" t="n"/>
      <c r="AZ39" s="24" t="n"/>
      <c r="BA39" s="25" t="n"/>
      <c r="BB39" s="24" t="n"/>
      <c r="BC39" s="23" t="n"/>
      <c r="BD39" s="24" t="n"/>
      <c r="BE39" s="25" t="n"/>
      <c r="BF39" s="24" t="n"/>
      <c r="BG39" s="23" t="n"/>
      <c r="BH39" s="24" t="n"/>
      <c r="BI39" s="25" t="n"/>
      <c r="BJ39" s="24" t="n"/>
      <c r="BK39" s="340" t="n"/>
      <c r="BL39" s="803">
        <f>SUMPRODUCT(--(MOD(COLUMN($O39:$AL39),4)=MOD(COLUMN($O39)+0,4)),$O39:$AL39)
+SUMPRODUCT(--(MOD(COLUMN($AM39:$BJ39),4)=MOD(COLUMN($AM39)+0,4)),$AM39:$BJ39)</f>
        <v/>
      </c>
      <c r="BM39" s="804">
        <f>SUMPRODUCT(--(MOD(COLUMN($O39:$AL39),4)=MOD(COLUMN($O39)+0,4)),$O39:$AL39)*
$I39+SUMPRODUCT(--(MOD(COLUMN($AM39:$BJ39),4)=MOD(COLUMN($AM39)+0,4)),$AM39:$BJ39)*$I39</f>
        <v/>
      </c>
      <c r="BN39" s="805">
        <f>SUMPRODUCT(--(MOD(COLUMN($O39:$AL39),4)=MOD(COLUMN($O39)+1,4)),$O39:$AL39)
+SUMPRODUCT(--(MOD(COLUMN($AM39:$BJ39),4)=MOD(COLUMN($AM39)+1,4)),$AM39:$BJ39)</f>
        <v/>
      </c>
      <c r="BO39" s="806">
        <f>SUMPRODUCT(--(MOD(COLUMN($O39:$AL39),4)=MOD(COLUMN($O39)+1,4)),$O39:$AL39)*
$I39+SUMPRODUCT(--(MOD(COLUMN($AM39:$BJ39),4)=MOD(COLUMN($AM39)+1,4)),$AM39:$BJ39)*$I39</f>
        <v/>
      </c>
      <c r="BP39" s="807">
        <f>SUMPRODUCT(--(MOD(COLUMN($O39:$AL39),4)=MOD(COLUMN($O39)+2,4)),$O39:$AL39)
+SUMPRODUCT(--(MOD(COLUMN($AM39:$BJ39),4)=MOD(COLUMN($AM39)+2,4)),$AM39:$BJ39)</f>
        <v/>
      </c>
      <c r="BQ39" s="808">
        <f>SUMPRODUCT(--(MOD(COLUMN($O39:$AL39),4)=MOD(COLUMN($O39)+2,4)),$O39:$AL39)*
$I39+SUMPRODUCT(--(MOD(COLUMN($AM39:$BJ39),4)=MOD(COLUMN($AM39)+2,4)),$AM39:$BJ39)*$I39</f>
        <v/>
      </c>
      <c r="BR39" s="809" t="n"/>
      <c r="BS39" s="801" t="n"/>
      <c r="BT39" s="23" t="n"/>
      <c r="BU39" s="24" t="n"/>
      <c r="BV39" s="25" t="n"/>
      <c r="BW39" s="24" t="n"/>
      <c r="BX39" s="23" t="n"/>
      <c r="BY39" s="24" t="n"/>
      <c r="BZ39" s="25" t="n"/>
      <c r="CA39" s="24" t="n"/>
      <c r="CB39" s="23" t="n"/>
      <c r="CC39" s="24" t="n"/>
      <c r="CD39" s="25" t="n"/>
      <c r="CE39" s="24" t="n"/>
      <c r="CF39" s="23" t="n"/>
      <c r="CG39" s="24" t="n"/>
      <c r="CH39" s="25" t="n"/>
      <c r="CI39" s="24" t="n"/>
      <c r="CJ39" s="23" t="n"/>
      <c r="CK39" s="24" t="n"/>
      <c r="CL39" s="25" t="n"/>
      <c r="CM39" s="24" t="n"/>
      <c r="CN39" s="23" t="n"/>
      <c r="CO39" s="24" t="n"/>
      <c r="CP39" s="25" t="n"/>
      <c r="CQ39" s="24" t="n"/>
      <c r="CR39" s="23" t="n"/>
      <c r="CS39" s="24" t="n"/>
      <c r="CT39" s="25" t="n"/>
      <c r="CU39" s="24" t="n"/>
      <c r="CV39" s="23" t="n"/>
      <c r="CW39" s="24" t="n"/>
      <c r="CX39" s="25" t="n"/>
      <c r="CY39" s="24" t="n"/>
      <c r="CZ39" s="23" t="n"/>
      <c r="DA39" s="24" t="n"/>
      <c r="DB39" s="25" t="n"/>
      <c r="DC39" s="24" t="n"/>
      <c r="DD39" s="23" t="n"/>
      <c r="DE39" s="24" t="n"/>
      <c r="DF39" s="25" t="n"/>
      <c r="DG39" s="24" t="n"/>
      <c r="DH39" s="23" t="n"/>
      <c r="DI39" s="24" t="n"/>
      <c r="DJ39" s="25" t="n"/>
      <c r="DK39" s="24" t="n"/>
      <c r="DL39" s="23" t="n"/>
      <c r="DM39" s="24" t="n"/>
      <c r="DN39" s="25" t="n"/>
      <c r="DO39" s="24" t="n"/>
      <c r="DP39" s="340" t="n"/>
      <c r="DQ39" s="803">
        <f>SUMPRODUCT(--(MOD(COLUMN(BT39:CQ39),4)=MOD(COLUMN(BT39),4)),BT39:CQ39)+SUMPRODUCT(--(MOD(COLUMN(CR39:DO39),4)=MOD(COLUMN(CR39),4)),CR39:DO39)</f>
        <v/>
      </c>
      <c r="DR39" s="803">
        <f>SUMPRODUCT(--(MOD(COLUMN(BT39:CQ39),4)=MOD(COLUMN(BT39),4)),BT39:CQ39)*#REF!+SUMPRODUCT(--(MOD(COLUMN(CR39:DO39),4)=MOD(COLUMN(CR39),4)),CR39:DO39)*#REF!</f>
        <v/>
      </c>
      <c r="DS39" s="809" t="n"/>
      <c r="DT39" s="801" t="n"/>
      <c r="DU39" s="23" t="n"/>
      <c r="DV39" s="24" t="n"/>
      <c r="DW39" s="25" t="n"/>
      <c r="DX39" s="24" t="n"/>
      <c r="DY39" s="23" t="n"/>
      <c r="DZ39" s="24" t="n"/>
      <c r="EA39" s="25" t="n"/>
      <c r="EB39" s="24" t="n"/>
      <c r="EC39" s="23" t="n"/>
      <c r="ED39" s="24" t="n"/>
      <c r="EE39" s="25" t="n"/>
      <c r="EF39" s="24" t="n"/>
      <c r="EG39" s="23" t="n"/>
      <c r="EH39" s="24" t="n"/>
      <c r="EI39" s="25" t="n"/>
      <c r="EJ39" s="24" t="n"/>
      <c r="EK39" s="23" t="n"/>
      <c r="EL39" s="24" t="n"/>
      <c r="EM39" s="25" t="n"/>
      <c r="EN39" s="24" t="n"/>
      <c r="EO39" s="23" t="n"/>
      <c r="EP39" s="24" t="n"/>
      <c r="EQ39" s="25" t="n"/>
      <c r="ER39" s="24" t="n"/>
      <c r="ES39" s="23" t="n"/>
      <c r="ET39" s="24" t="n"/>
      <c r="EU39" s="25" t="n"/>
      <c r="EV39" s="24" t="n"/>
      <c r="EW39" s="23" t="n"/>
      <c r="EX39" s="24" t="n"/>
      <c r="EY39" s="25" t="n"/>
      <c r="EZ39" s="24" t="n"/>
      <c r="FA39" s="23" t="n"/>
      <c r="FB39" s="24" t="n"/>
      <c r="FC39" s="25" t="n"/>
      <c r="FD39" s="24" t="n"/>
      <c r="FE39" s="23" t="n"/>
      <c r="FF39" s="24" t="n"/>
      <c r="FG39" s="25" t="n"/>
      <c r="FH39" s="24" t="n"/>
      <c r="FI39" s="23" t="n"/>
      <c r="FJ39" s="24" t="n"/>
      <c r="FK39" s="25" t="n"/>
      <c r="FL39" s="24" t="n"/>
      <c r="FM39" s="23" t="n"/>
      <c r="FN39" s="24" t="n"/>
      <c r="FO39" s="25" t="n"/>
      <c r="FP39" s="24" t="n"/>
      <c r="FQ39" s="340" t="n"/>
      <c r="FR39" s="803">
        <f>SUMPRODUCT(--(MOD(COLUMN(DU39:ER39),4)=MOD(COLUMN(DU39),4)),DU39:ER39)+SUMPRODUCT(--(MOD(COLUMN(ES39:FP39),4)=MOD(COLUMN(ES39),4)),ES39:FP39)</f>
        <v/>
      </c>
      <c r="FS39" s="803">
        <f>SUMPRODUCT(--(MOD(COLUMN(DU39:ER39),4)=MOD(COLUMN(DU39),4)),DU39:ER39)*#REF!+SUMPRODUCT(--(MOD(COLUMN(ES39:FP39),4)=MOD(COLUMN(ES39),4)),ES39:FP39)*#REF!</f>
        <v/>
      </c>
      <c r="FT39" s="360" t="n"/>
    </row>
    <row r="40" outlineLevel="2" customFormat="1" s="14">
      <c r="A40" s="56" t="inlineStr">
        <is>
          <t>НПО РОСТАР ООО</t>
        </is>
      </c>
      <c r="B40" s="589" t="inlineStr">
        <is>
          <t>Отсрочка 10 дней</t>
        </is>
      </c>
      <c r="C40" s="15" t="inlineStr">
        <is>
          <t>ВБК Восток</t>
        </is>
      </c>
      <c r="D40" s="15" t="inlineStr">
        <is>
          <t>Прасолов, Соловьёв</t>
        </is>
      </c>
      <c r="E40" s="17">
        <f>IF(ISBLANK(G40),"",IF($A$6:$A$64=$A40,COUNTIF($A$6:A40,$A40),""))</f>
        <v/>
      </c>
      <c r="F40" s="17" t="n">
        <v>1</v>
      </c>
      <c r="G40" s="33" t="n">
        <v>9254800504</v>
      </c>
      <c r="H40" s="18" t="inlineStr">
        <is>
          <t>Энергоаккумулятор, тип 20/24</t>
        </is>
      </c>
      <c r="I40" s="624">
        <f>373.98/НДС_20</f>
        <v/>
      </c>
      <c r="J40" s="798" t="n"/>
      <c r="K40" s="798" t="n"/>
      <c r="L40" s="798">
        <f>IF(K40="RUB",J40/ЮАНЬ,IF(K40="EUR",J40*ЕВРО/ЮАНЬ,""))</f>
        <v/>
      </c>
      <c r="M40" s="801" t="n"/>
      <c r="N40" s="802">
        <f>IF(BP40&gt;0,1,IF(BN40&gt;0,2,))</f>
        <v/>
      </c>
      <c r="O40" s="23" t="n"/>
      <c r="P40" s="24" t="n"/>
      <c r="Q40" s="25" t="n"/>
      <c r="R40" s="24" t="n"/>
      <c r="S40" s="23" t="n"/>
      <c r="T40" s="24" t="n"/>
      <c r="U40" s="25" t="n">
        <v>0</v>
      </c>
      <c r="V40" s="24" t="n"/>
      <c r="W40" s="23" t="n"/>
      <c r="X40" s="24" t="n"/>
      <c r="Y40" s="25" t="n"/>
      <c r="Z40" s="24" t="n"/>
      <c r="AA40" s="23" t="n"/>
      <c r="AB40" s="24" t="n"/>
      <c r="AC40" s="25" t="n"/>
      <c r="AD40" s="24" t="n"/>
      <c r="AE40" s="23" t="n"/>
      <c r="AF40" s="24" t="n"/>
      <c r="AG40" s="25" t="n"/>
      <c r="AH40" s="24" t="n"/>
      <c r="AI40" s="23" t="n"/>
      <c r="AJ40" s="24" t="n"/>
      <c r="AK40" s="25" t="n"/>
      <c r="AL40" s="24" t="n"/>
      <c r="AM40" s="23" t="n"/>
      <c r="AN40" s="24" t="n"/>
      <c r="AO40" s="25" t="n"/>
      <c r="AP40" s="24" t="n"/>
      <c r="AQ40" s="23" t="n"/>
      <c r="AR40" s="24" t="n"/>
      <c r="AS40" s="25" t="n"/>
      <c r="AT40" s="24" t="n"/>
      <c r="AU40" s="23" t="n"/>
      <c r="AV40" s="24" t="n"/>
      <c r="AW40" s="25" t="n"/>
      <c r="AX40" s="24" t="n"/>
      <c r="AY40" s="23" t="n"/>
      <c r="AZ40" s="24" t="n"/>
      <c r="BA40" s="25" t="n"/>
      <c r="BB40" s="24" t="n"/>
      <c r="BC40" s="23" t="n"/>
      <c r="BD40" s="24" t="n"/>
      <c r="BE40" s="25" t="n"/>
      <c r="BF40" s="24" t="n"/>
      <c r="BG40" s="23" t="n"/>
      <c r="BH40" s="24" t="n"/>
      <c r="BI40" s="25" t="n"/>
      <c r="BJ40" s="24" t="n"/>
      <c r="BK40" s="340" t="n"/>
      <c r="BL40" s="803">
        <f>SUMPRODUCT(--(MOD(COLUMN($O40:$AL40),4)=MOD(COLUMN($O40)+0,4)),$O40:$AL40)
+SUMPRODUCT(--(MOD(COLUMN($AM40:$BJ40),4)=MOD(COLUMN($AM40)+0,4)),$AM40:$BJ40)</f>
        <v/>
      </c>
      <c r="BM40" s="804">
        <f>SUMPRODUCT(--(MOD(COLUMN($O40:$AL40),4)=MOD(COLUMN($O40)+0,4)),$O40:$AL40)*
$I40+SUMPRODUCT(--(MOD(COLUMN($AM40:$BJ40),4)=MOD(COLUMN($AM40)+0,4)),$AM40:$BJ40)*$I40</f>
        <v/>
      </c>
      <c r="BN40" s="805">
        <f>SUMPRODUCT(--(MOD(COLUMN($O40:$AL40),4)=MOD(COLUMN($O40)+1,4)),$O40:$AL40)
+SUMPRODUCT(--(MOD(COLUMN($AM40:$BJ40),4)=MOD(COLUMN($AM40)+1,4)),$AM40:$BJ40)</f>
        <v/>
      </c>
      <c r="BO40" s="806">
        <f>SUMPRODUCT(--(MOD(COLUMN($O40:$AL40),4)=MOD(COLUMN($O40)+1,4)),$O40:$AL40)*
$I40+SUMPRODUCT(--(MOD(COLUMN($AM40:$BJ40),4)=MOD(COLUMN($AM40)+1,4)),$AM40:$BJ40)*$I40</f>
        <v/>
      </c>
      <c r="BP40" s="807">
        <f>SUMPRODUCT(--(MOD(COLUMN($O40:$AL40),4)=MOD(COLUMN($O40)+2,4)),$O40:$AL40)
+SUMPRODUCT(--(MOD(COLUMN($AM40:$BJ40),4)=MOD(COLUMN($AM40)+2,4)),$AM40:$BJ40)</f>
        <v/>
      </c>
      <c r="BQ40" s="808">
        <f>SUMPRODUCT(--(MOD(COLUMN($O40:$AL40),4)=MOD(COLUMN($O40)+2,4)),$O40:$AL40)*
$I40+SUMPRODUCT(--(MOD(COLUMN($AM40:$BJ40),4)=MOD(COLUMN($AM40)+2,4)),$AM40:$BJ40)*$I40</f>
        <v/>
      </c>
      <c r="BR40" s="809" t="n"/>
      <c r="BS40" s="801" t="n"/>
      <c r="BT40" s="23" t="n"/>
      <c r="BU40" s="24" t="n"/>
      <c r="BV40" s="25" t="n"/>
      <c r="BW40" s="24" t="n"/>
      <c r="BX40" s="23" t="n"/>
      <c r="BY40" s="24" t="n"/>
      <c r="BZ40" s="25" t="n"/>
      <c r="CA40" s="24" t="n"/>
      <c r="CB40" s="23" t="n"/>
      <c r="CC40" s="24" t="n"/>
      <c r="CD40" s="25" t="n"/>
      <c r="CE40" s="24" t="n"/>
      <c r="CF40" s="23" t="n"/>
      <c r="CG40" s="24" t="n"/>
      <c r="CH40" s="25" t="n"/>
      <c r="CI40" s="24" t="n"/>
      <c r="CJ40" s="23" t="n"/>
      <c r="CK40" s="24" t="n"/>
      <c r="CL40" s="25" t="n"/>
      <c r="CM40" s="24" t="n"/>
      <c r="CN40" s="23" t="n"/>
      <c r="CO40" s="24" t="n"/>
      <c r="CP40" s="25" t="n"/>
      <c r="CQ40" s="24" t="n"/>
      <c r="CR40" s="23" t="n"/>
      <c r="CS40" s="24" t="n"/>
      <c r="CT40" s="25" t="n"/>
      <c r="CU40" s="24" t="n"/>
      <c r="CV40" s="23" t="n"/>
      <c r="CW40" s="24" t="n"/>
      <c r="CX40" s="25" t="n"/>
      <c r="CY40" s="24" t="n"/>
      <c r="CZ40" s="23" t="n"/>
      <c r="DA40" s="24" t="n"/>
      <c r="DB40" s="25" t="n"/>
      <c r="DC40" s="24" t="n"/>
      <c r="DD40" s="23" t="n"/>
      <c r="DE40" s="24" t="n"/>
      <c r="DF40" s="25" t="n"/>
      <c r="DG40" s="24" t="n"/>
      <c r="DH40" s="23" t="n"/>
      <c r="DI40" s="24" t="n"/>
      <c r="DJ40" s="25" t="n"/>
      <c r="DK40" s="24" t="n"/>
      <c r="DL40" s="23" t="n"/>
      <c r="DM40" s="24" t="n"/>
      <c r="DN40" s="25" t="n"/>
      <c r="DO40" s="24" t="n"/>
      <c r="DP40" s="340" t="n"/>
      <c r="DQ40" s="803">
        <f>SUMPRODUCT(--(MOD(COLUMN(BT40:CQ40),4)=MOD(COLUMN(BT40),4)),BT40:CQ40)+SUMPRODUCT(--(MOD(COLUMN(CR40:DO40),4)=MOD(COLUMN(CR40),4)),CR40:DO40)</f>
        <v/>
      </c>
      <c r="DR40" s="803">
        <f>SUMPRODUCT(--(MOD(COLUMN(BT40:CQ40),4)=MOD(COLUMN(BT40),4)),BT40:CQ40)*#REF!+SUMPRODUCT(--(MOD(COLUMN(CR40:DO40),4)=MOD(COLUMN(CR40),4)),CR40:DO40)*#REF!</f>
        <v/>
      </c>
      <c r="DS40" s="809" t="n"/>
      <c r="DT40" s="801" t="n"/>
      <c r="DU40" s="23" t="n"/>
      <c r="DV40" s="24" t="n"/>
      <c r="DW40" s="25" t="n"/>
      <c r="DX40" s="24" t="n"/>
      <c r="DY40" s="23" t="n"/>
      <c r="DZ40" s="24" t="n"/>
      <c r="EA40" s="25" t="n"/>
      <c r="EB40" s="24" t="n"/>
      <c r="EC40" s="23" t="n"/>
      <c r="ED40" s="24" t="n"/>
      <c r="EE40" s="25" t="n"/>
      <c r="EF40" s="24" t="n"/>
      <c r="EG40" s="23" t="n"/>
      <c r="EH40" s="24" t="n"/>
      <c r="EI40" s="25" t="n"/>
      <c r="EJ40" s="24" t="n"/>
      <c r="EK40" s="23" t="n"/>
      <c r="EL40" s="24" t="n"/>
      <c r="EM40" s="25" t="n"/>
      <c r="EN40" s="24" t="n"/>
      <c r="EO40" s="23" t="n"/>
      <c r="EP40" s="24" t="n"/>
      <c r="EQ40" s="25" t="n"/>
      <c r="ER40" s="24" t="n"/>
      <c r="ES40" s="23" t="n"/>
      <c r="ET40" s="24" t="n"/>
      <c r="EU40" s="25" t="n"/>
      <c r="EV40" s="24" t="n"/>
      <c r="EW40" s="23" t="n"/>
      <c r="EX40" s="24" t="n"/>
      <c r="EY40" s="25" t="n"/>
      <c r="EZ40" s="24" t="n"/>
      <c r="FA40" s="23" t="n"/>
      <c r="FB40" s="24" t="n"/>
      <c r="FC40" s="25" t="n"/>
      <c r="FD40" s="24" t="n"/>
      <c r="FE40" s="23" t="n"/>
      <c r="FF40" s="24" t="n"/>
      <c r="FG40" s="25" t="n"/>
      <c r="FH40" s="24" t="n"/>
      <c r="FI40" s="23" t="n"/>
      <c r="FJ40" s="24" t="n"/>
      <c r="FK40" s="25" t="n"/>
      <c r="FL40" s="24" t="n"/>
      <c r="FM40" s="23" t="n"/>
      <c r="FN40" s="24" t="n"/>
      <c r="FO40" s="25" t="n"/>
      <c r="FP40" s="24" t="n"/>
      <c r="FQ40" s="340" t="n"/>
      <c r="FR40" s="803">
        <f>SUMPRODUCT(--(MOD(COLUMN(DU40:ER40),4)=MOD(COLUMN(DU40),4)),DU40:ER40)+SUMPRODUCT(--(MOD(COLUMN(ES40:FP40),4)=MOD(COLUMN(ES40),4)),ES40:FP40)</f>
        <v/>
      </c>
      <c r="FS40" s="803">
        <f>SUMPRODUCT(--(MOD(COLUMN(DU40:ER40),4)=MOD(COLUMN(DU40),4)),DU40:ER40)*#REF!+SUMPRODUCT(--(MOD(COLUMN(ES40:FP40),4)=MOD(COLUMN(ES40),4)),ES40:FP40)*#REF!</f>
        <v/>
      </c>
      <c r="FT40" s="360" t="n"/>
    </row>
    <row r="41" outlineLevel="2" customFormat="1" s="14">
      <c r="A41" s="56" t="inlineStr">
        <is>
          <t>НПО РОСТАР ООО</t>
        </is>
      </c>
      <c r="B41" s="16" t="n"/>
      <c r="C41" s="15" t="n"/>
      <c r="D41" s="15" t="n"/>
      <c r="E41" s="35">
        <f>IF(ISBLANK(G41),"",IF($A$6:$A$64=$A41,COUNTIF($A$6:A41,$A41),""))</f>
        <v/>
      </c>
      <c r="F41" s="35" t="n"/>
      <c r="G41" s="53" t="n"/>
      <c r="H41" s="36" t="inlineStr">
        <is>
          <t>Итого</t>
        </is>
      </c>
      <c r="I41" s="626" t="n"/>
      <c r="J41" s="810" t="n"/>
      <c r="K41" s="810" t="n"/>
      <c r="L41" s="810">
        <f>IF(K41="RUB",J41/ЮАНЬ,IF(K41="EUR",J41*ЕВРО/ЮАНЬ,""))</f>
        <v/>
      </c>
      <c r="M41" s="801" t="n"/>
      <c r="N41" s="802">
        <f>IF(BP41&gt;0,1,IF(BN41&gt;0,2,))</f>
        <v/>
      </c>
      <c r="O41" s="40" t="n"/>
      <c r="P41" s="41" t="n"/>
      <c r="Q41" s="42" t="n"/>
      <c r="R41" s="41" t="n"/>
      <c r="S41" s="40" t="n"/>
      <c r="T41" s="41" t="n"/>
      <c r="U41" s="42" t="n"/>
      <c r="V41" s="41" t="n"/>
      <c r="W41" s="40" t="n"/>
      <c r="X41" s="41" t="n"/>
      <c r="Y41" s="42" t="n"/>
      <c r="Z41" s="41" t="n"/>
      <c r="AA41" s="40" t="n"/>
      <c r="AB41" s="41" t="n"/>
      <c r="AC41" s="42" t="n"/>
      <c r="AD41" s="41" t="n"/>
      <c r="AE41" s="40" t="n"/>
      <c r="AF41" s="41" t="n"/>
      <c r="AG41" s="42" t="n"/>
      <c r="AH41" s="41" t="n"/>
      <c r="AI41" s="40" t="n"/>
      <c r="AJ41" s="41" t="n"/>
      <c r="AK41" s="42" t="n"/>
      <c r="AL41" s="41" t="n"/>
      <c r="AM41" s="40" t="n"/>
      <c r="AN41" s="41" t="n"/>
      <c r="AO41" s="42" t="n"/>
      <c r="AP41" s="41" t="n"/>
      <c r="AQ41" s="40" t="n"/>
      <c r="AR41" s="41" t="n"/>
      <c r="AS41" s="42" t="n"/>
      <c r="AT41" s="41" t="n"/>
      <c r="AU41" s="40" t="n"/>
      <c r="AV41" s="41" t="n"/>
      <c r="AW41" s="42" t="n"/>
      <c r="AX41" s="41" t="n"/>
      <c r="AY41" s="40" t="n"/>
      <c r="AZ41" s="41" t="n"/>
      <c r="BA41" s="42" t="n"/>
      <c r="BB41" s="41" t="n"/>
      <c r="BC41" s="40" t="n"/>
      <c r="BD41" s="41" t="n"/>
      <c r="BE41" s="42" t="n"/>
      <c r="BF41" s="41" t="n"/>
      <c r="BG41" s="40" t="n"/>
      <c r="BH41" s="41" t="n"/>
      <c r="BI41" s="42" t="n"/>
      <c r="BJ41" s="43" t="n"/>
      <c r="BK41" s="341" t="n"/>
      <c r="BL41" s="811">
        <f>SUMPRODUCT(--(MOD(COLUMN($O41:$AL41),4)=MOD(COLUMN($O41)+0,4)),$O41:$AL41)
+SUMPRODUCT(--(MOD(COLUMN($AM41:$BJ41),4)=MOD(COLUMN($AM41)+0,4)),$AM41:$BJ41)</f>
        <v/>
      </c>
      <c r="BM41" s="812">
        <f>SUMPRODUCT(--(MOD(COLUMN($O41:$AL41),4)=MOD(COLUMN($O41)+0,4)),$O41:$AL41)*
$I41+SUMPRODUCT(--(MOD(COLUMN($AM41:$BJ41),4)=MOD(COLUMN($AM41)+0,4)),$AM41:$BJ41)*$I41</f>
        <v/>
      </c>
      <c r="BN41" s="805">
        <f>SUMPRODUCT(--(MOD(COLUMN($O41:$AL41),4)=MOD(COLUMN($O41)+1,4)),$O41:$AL41)
+SUMPRODUCT(--(MOD(COLUMN($AM41:$BJ41),4)=MOD(COLUMN($AM41)+1,4)),$AM41:$BJ41)</f>
        <v/>
      </c>
      <c r="BO41" s="806">
        <f>SUMPRODUCT(--(MOD(COLUMN($O41:$AL41),4)=MOD(COLUMN($O41)+1,4)),$O41:$AL41)*
$I41+SUMPRODUCT(--(MOD(COLUMN($AM41:$BJ41),4)=MOD(COLUMN($AM41)+1,4)),$AM41:$BJ41)*$I41</f>
        <v/>
      </c>
      <c r="BP41" s="807">
        <f>SUMPRODUCT(--(MOD(COLUMN($O41:$AL41),4)=MOD(COLUMN($O41)+2,4)),$O41:$AL41)
+SUMPRODUCT(--(MOD(COLUMN($AM41:$BJ41),4)=MOD(COLUMN($AM41)+2,4)),$AM41:$BJ41)</f>
        <v/>
      </c>
      <c r="BQ41" s="808">
        <f>SUMPRODUCT(--(MOD(COLUMN($O41:$AL41),4)=MOD(COLUMN($O41)+2,4)),$O41:$AL41)*
$I41+SUMPRODUCT(--(MOD(COLUMN($AM41:$BJ41),4)=MOD(COLUMN($AM41)+2,4)),$AM41:$BJ41)*$I41</f>
        <v/>
      </c>
      <c r="BR41" s="813" t="n"/>
      <c r="BS41" s="801" t="n"/>
      <c r="BT41" s="40" t="n"/>
      <c r="BU41" s="41" t="n"/>
      <c r="BV41" s="42" t="n"/>
      <c r="BW41" s="41" t="n"/>
      <c r="BX41" s="40" t="n"/>
      <c r="BY41" s="41" t="n"/>
      <c r="BZ41" s="42" t="n"/>
      <c r="CA41" s="41" t="n"/>
      <c r="CB41" s="40" t="n"/>
      <c r="CC41" s="41" t="n"/>
      <c r="CD41" s="42" t="n"/>
      <c r="CE41" s="41" t="n"/>
      <c r="CF41" s="40" t="n"/>
      <c r="CG41" s="41" t="n"/>
      <c r="CH41" s="42" t="n"/>
      <c r="CI41" s="41" t="n"/>
      <c r="CJ41" s="40" t="n"/>
      <c r="CK41" s="41" t="n"/>
      <c r="CL41" s="42" t="n"/>
      <c r="CM41" s="41" t="n"/>
      <c r="CN41" s="40" t="n"/>
      <c r="CO41" s="41" t="n"/>
      <c r="CP41" s="42" t="n"/>
      <c r="CQ41" s="41" t="n"/>
      <c r="CR41" s="40" t="n"/>
      <c r="CS41" s="41" t="n"/>
      <c r="CT41" s="42" t="n"/>
      <c r="CU41" s="41" t="n"/>
      <c r="CV41" s="40" t="n"/>
      <c r="CW41" s="41" t="n"/>
      <c r="CX41" s="42" t="n"/>
      <c r="CY41" s="41" t="n"/>
      <c r="CZ41" s="40" t="n"/>
      <c r="DA41" s="41" t="n"/>
      <c r="DB41" s="42" t="n"/>
      <c r="DC41" s="41" t="n"/>
      <c r="DD41" s="40" t="n"/>
      <c r="DE41" s="41" t="n"/>
      <c r="DF41" s="42" t="n"/>
      <c r="DG41" s="41" t="n"/>
      <c r="DH41" s="40" t="n"/>
      <c r="DI41" s="41" t="n"/>
      <c r="DJ41" s="42" t="n"/>
      <c r="DK41" s="41" t="n"/>
      <c r="DL41" s="40" t="n"/>
      <c r="DM41" s="41" t="n"/>
      <c r="DN41" s="42" t="n"/>
      <c r="DO41" s="43" t="n"/>
      <c r="DP41" s="341" t="n"/>
      <c r="DQ41" s="811">
        <f>SUMPRODUCT(--(MOD(COLUMN(BT41:CQ41),4)=MOD(COLUMN(BT41),4)),BT41:CQ41)+SUMPRODUCT(--(MOD(COLUMN(CR41:DO41),4)=MOD(COLUMN(CR41),4)),CR41:DO41)</f>
        <v/>
      </c>
      <c r="DR41" s="811">
        <f>SUMPRODUCT(--(MOD(COLUMN(BT41:CQ41),4)=MOD(COLUMN(BT41),4)),BT41:CQ41)*#REF!+SUMPRODUCT(--(MOD(COLUMN(CR41:DO41),4)=MOD(COLUMN(CR41),4)),CR41:DO41)*#REF!</f>
        <v/>
      </c>
      <c r="DS41" s="813" t="n"/>
      <c r="DT41" s="801" t="n"/>
      <c r="DU41" s="40" t="n"/>
      <c r="DV41" s="41" t="n"/>
      <c r="DW41" s="42" t="n"/>
      <c r="DX41" s="41" t="n"/>
      <c r="DY41" s="40" t="n"/>
      <c r="DZ41" s="41" t="n"/>
      <c r="EA41" s="42" t="n"/>
      <c r="EB41" s="41" t="n"/>
      <c r="EC41" s="40" t="n"/>
      <c r="ED41" s="41" t="n"/>
      <c r="EE41" s="42" t="n"/>
      <c r="EF41" s="41" t="n"/>
      <c r="EG41" s="40" t="n"/>
      <c r="EH41" s="41" t="n"/>
      <c r="EI41" s="42" t="n"/>
      <c r="EJ41" s="41" t="n"/>
      <c r="EK41" s="40" t="n"/>
      <c r="EL41" s="41" t="n"/>
      <c r="EM41" s="42" t="n"/>
      <c r="EN41" s="41" t="n"/>
      <c r="EO41" s="40" t="n"/>
      <c r="EP41" s="41" t="n"/>
      <c r="EQ41" s="42" t="n"/>
      <c r="ER41" s="41" t="n"/>
      <c r="ES41" s="40" t="n"/>
      <c r="ET41" s="41" t="n"/>
      <c r="EU41" s="42" t="n"/>
      <c r="EV41" s="41" t="n"/>
      <c r="EW41" s="40" t="n"/>
      <c r="EX41" s="41" t="n"/>
      <c r="EY41" s="42" t="n"/>
      <c r="EZ41" s="41" t="n"/>
      <c r="FA41" s="40" t="n"/>
      <c r="FB41" s="41" t="n"/>
      <c r="FC41" s="42" t="n"/>
      <c r="FD41" s="41" t="n"/>
      <c r="FE41" s="40" t="n"/>
      <c r="FF41" s="41" t="n"/>
      <c r="FG41" s="42" t="n"/>
      <c r="FH41" s="41" t="n"/>
      <c r="FI41" s="40" t="n"/>
      <c r="FJ41" s="41" t="n"/>
      <c r="FK41" s="42" t="n"/>
      <c r="FL41" s="41" t="n"/>
      <c r="FM41" s="40" t="n"/>
      <c r="FN41" s="41" t="n"/>
      <c r="FO41" s="42" t="n"/>
      <c r="FP41" s="43" t="n"/>
      <c r="FQ41" s="341" t="n"/>
      <c r="FR41" s="811">
        <f>SUMPRODUCT(--(MOD(COLUMN(DU41:ER41),4)=MOD(COLUMN(DU41),4)),DU41:ER41)+SUMPRODUCT(--(MOD(COLUMN(ES41:FP41),4)=MOD(COLUMN(ES41),4)),ES41:FP41)</f>
        <v/>
      </c>
      <c r="FS41" s="811">
        <f>SUMPRODUCT(--(MOD(COLUMN(DU41:ER41),4)=MOD(COLUMN(DU41),4)),DU41:ER41)*#REF!+SUMPRODUCT(--(MOD(COLUMN(ES41:FP41),4)=MOD(COLUMN(ES41),4)),ES41:FP41)*#REF!</f>
        <v/>
      </c>
      <c r="FT41" s="360" t="n"/>
    </row>
    <row r="42" outlineLevel="1" customFormat="1" s="44">
      <c r="A42" s="45" t="inlineStr">
        <is>
          <t>НПО РОСТАР ООО</t>
        </is>
      </c>
      <c r="B42" s="46" t="n"/>
      <c r="C42" s="46" t="n"/>
      <c r="D42" s="46" t="n"/>
      <c r="E42" s="47">
        <f>IF(ISBLANK(G42),"",IF($A$6:$A$64=$A42,COUNTIF($A$6:A42,$A42),""))</f>
        <v/>
      </c>
      <c r="F42" s="47" t="n"/>
      <c r="G42" s="48" t="n"/>
      <c r="H42" s="49" t="n"/>
      <c r="I42" s="620" t="n"/>
      <c r="J42" s="50" t="n"/>
      <c r="K42" s="50" t="n"/>
      <c r="L42" s="50">
        <f>IF(K42="RUB",J42/ЮАНЬ,IF(K42="EUR",J42*ЕВРО/ЮАНЬ,""))</f>
        <v/>
      </c>
      <c r="M42" s="51" t="n"/>
      <c r="N42" s="802">
        <f>IF(BP42&gt;0,1,IF(BN42&gt;0,2,))</f>
        <v/>
      </c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  <c r="AD42" s="51" t="n"/>
      <c r="AE42" s="51" t="n"/>
      <c r="AF42" s="51" t="n"/>
      <c r="AG42" s="51" t="n"/>
      <c r="AH42" s="51" t="n"/>
      <c r="AI42" s="51" t="n"/>
      <c r="AJ42" s="51" t="n"/>
      <c r="AK42" s="51" t="n"/>
      <c r="AL42" s="51" t="n"/>
      <c r="AM42" s="51" t="n"/>
      <c r="AN42" s="51" t="n"/>
      <c r="AO42" s="51" t="n"/>
      <c r="AP42" s="51" t="n"/>
      <c r="AQ42" s="51" t="n"/>
      <c r="AR42" s="51" t="n"/>
      <c r="AS42" s="51" t="n"/>
      <c r="AT42" s="51" t="n"/>
      <c r="AU42" s="51" t="n"/>
      <c r="AV42" s="51" t="n"/>
      <c r="AW42" s="51" t="n"/>
      <c r="AX42" s="51" t="n"/>
      <c r="AY42" s="51" t="n"/>
      <c r="AZ42" s="51" t="n"/>
      <c r="BA42" s="51" t="n"/>
      <c r="BB42" s="51" t="n"/>
      <c r="BC42" s="51" t="n"/>
      <c r="BD42" s="51" t="n"/>
      <c r="BE42" s="51" t="n"/>
      <c r="BF42" s="51" t="n"/>
      <c r="BG42" s="51" t="n"/>
      <c r="BH42" s="51" t="n"/>
      <c r="BI42" s="51" t="n"/>
      <c r="BJ42" s="51" t="n"/>
      <c r="BK42" s="335" t="n"/>
      <c r="BL42" s="814">
        <f>SUMPRODUCT(--(MOD(COLUMN($O42:$AL42),4)=MOD(COLUMN($O42)+0,4)),$O42:$AL42)
+SUMPRODUCT(--(MOD(COLUMN($AM42:$BJ42),4)=MOD(COLUMN($AM42)+0,4)),$AM42:$BJ42)</f>
        <v/>
      </c>
      <c r="BM42" s="815">
        <f>SUMPRODUCT(--(MOD(COLUMN($O42:$AL42),4)=MOD(COLUMN($O42)+0,4)),$O42:$AL42)*
$I42+SUMPRODUCT(--(MOD(COLUMN($AM42:$BJ42),4)=MOD(COLUMN($AM42)+0,4)),$AM42:$BJ42)*$I42</f>
        <v/>
      </c>
      <c r="BN42" s="814">
        <f>SUMPRODUCT(--(MOD(COLUMN($O42:$AL42),4)=MOD(COLUMN($O42)+1,4)),$O42:$AL42)
+SUMPRODUCT(--(MOD(COLUMN($AM42:$BJ42),4)=MOD(COLUMN($AM42)+1,4)),$AM42:$BJ42)</f>
        <v/>
      </c>
      <c r="BO42" s="814">
        <f>SUMPRODUCT(--(MOD(COLUMN($O42:$AL42),4)=MOD(COLUMN($O42)+1,4)),$O42:$AL42)*
$I42+SUMPRODUCT(--(MOD(COLUMN($AM42:$BJ42),4)=MOD(COLUMN($AM42)+1,4)),$AM42:$BJ42)*$I42</f>
        <v/>
      </c>
      <c r="BP42" s="814">
        <f>SUMPRODUCT(--(MOD(COLUMN($O42:$AL42),4)=MOD(COLUMN($O42)+2,4)),$O42:$AL42)
+SUMPRODUCT(--(MOD(COLUMN($AM42:$BJ42),4)=MOD(COLUMN($AM42)+2,4)),$AM42:$BJ42)</f>
        <v/>
      </c>
      <c r="BQ42" s="814">
        <f>SUMPRODUCT(--(MOD(COLUMN($O42:$AL42),4)=MOD(COLUMN($O42)+2,4)),$O42:$AL42)*
$I42+SUMPRODUCT(--(MOD(COLUMN($AM42:$BJ42),4)=MOD(COLUMN($AM42)+2,4)),$AM42:$BJ42)*$I42</f>
        <v/>
      </c>
      <c r="BR42" s="816" t="n"/>
      <c r="BS42" s="51" t="n"/>
      <c r="BT42" s="51" t="n"/>
      <c r="BU42" s="51" t="n"/>
      <c r="BV42" s="51" t="n"/>
      <c r="BW42" s="51" t="n"/>
      <c r="BX42" s="51" t="n"/>
      <c r="BY42" s="51" t="n"/>
      <c r="BZ42" s="51" t="n"/>
      <c r="CA42" s="51" t="n"/>
      <c r="CB42" s="51" t="n"/>
      <c r="CC42" s="51" t="n"/>
      <c r="CD42" s="51" t="n"/>
      <c r="CE42" s="51" t="n"/>
      <c r="CF42" s="51" t="n"/>
      <c r="CG42" s="51" t="n"/>
      <c r="CH42" s="51" t="n"/>
      <c r="CI42" s="51" t="n"/>
      <c r="CJ42" s="51" t="n"/>
      <c r="CK42" s="51" t="n"/>
      <c r="CL42" s="51" t="n"/>
      <c r="CM42" s="51" t="n"/>
      <c r="CN42" s="51" t="n"/>
      <c r="CO42" s="51" t="n"/>
      <c r="CP42" s="51" t="n"/>
      <c r="CQ42" s="51" t="n"/>
      <c r="CR42" s="51" t="n"/>
      <c r="CS42" s="51" t="n"/>
      <c r="CT42" s="51" t="n"/>
      <c r="CU42" s="51" t="n"/>
      <c r="CV42" s="51" t="n"/>
      <c r="CW42" s="51" t="n"/>
      <c r="CX42" s="51" t="n"/>
      <c r="CY42" s="51" t="n"/>
      <c r="CZ42" s="51" t="n"/>
      <c r="DA42" s="51" t="n"/>
      <c r="DB42" s="51" t="n"/>
      <c r="DC42" s="51" t="n"/>
      <c r="DD42" s="51" t="n"/>
      <c r="DE42" s="51" t="n"/>
      <c r="DF42" s="51" t="n"/>
      <c r="DG42" s="51" t="n"/>
      <c r="DH42" s="51" t="n"/>
      <c r="DI42" s="51" t="n"/>
      <c r="DJ42" s="51" t="n"/>
      <c r="DK42" s="51" t="n"/>
      <c r="DL42" s="51" t="n"/>
      <c r="DM42" s="51" t="n"/>
      <c r="DN42" s="51" t="n"/>
      <c r="DO42" s="51" t="n"/>
      <c r="DP42" s="335" t="n"/>
      <c r="DQ42" s="814">
        <f>SUMPRODUCT(--(MOD(COLUMN(BT42:CQ42),4)=MOD(COLUMN(BT42),4)),BT42:CQ42)+SUMPRODUCT(--(MOD(COLUMN(CR42:DO42),4)=MOD(COLUMN(CR42),4)),CR42:DO42)</f>
        <v/>
      </c>
      <c r="DR42" s="814">
        <f>SUMPRODUCT(--(MOD(COLUMN(BT42:CQ42),4)=MOD(COLUMN(BT42),4)),BT42:CQ42)*#REF!+SUMPRODUCT(--(MOD(COLUMN(CR42:DO42),4)=MOD(COLUMN(CR42),4)),CR42:DO42)*#REF!</f>
        <v/>
      </c>
      <c r="DS42" s="816" t="n"/>
      <c r="DT42" s="51" t="n"/>
      <c r="DU42" s="51" t="n"/>
      <c r="DV42" s="51" t="n"/>
      <c r="DW42" s="51" t="n"/>
      <c r="DX42" s="51" t="n"/>
      <c r="DY42" s="51" t="n"/>
      <c r="DZ42" s="51" t="n"/>
      <c r="EA42" s="51" t="n"/>
      <c r="EB42" s="51" t="n"/>
      <c r="EC42" s="51" t="n"/>
      <c r="ED42" s="51" t="n"/>
      <c r="EE42" s="51" t="n"/>
      <c r="EF42" s="51" t="n"/>
      <c r="EG42" s="51" t="n"/>
      <c r="EH42" s="51" t="n"/>
      <c r="EI42" s="51" t="n"/>
      <c r="EJ42" s="51" t="n"/>
      <c r="EK42" s="51" t="n"/>
      <c r="EL42" s="51" t="n"/>
      <c r="EM42" s="51" t="n"/>
      <c r="EN42" s="51" t="n"/>
      <c r="EO42" s="51" t="n"/>
      <c r="EP42" s="51" t="n"/>
      <c r="EQ42" s="51" t="n"/>
      <c r="ER42" s="51" t="n"/>
      <c r="ES42" s="51" t="n"/>
      <c r="ET42" s="51" t="n"/>
      <c r="EU42" s="51" t="n"/>
      <c r="EV42" s="51" t="n"/>
      <c r="EW42" s="51" t="n"/>
      <c r="EX42" s="51" t="n"/>
      <c r="EY42" s="51" t="n"/>
      <c r="EZ42" s="51" t="n"/>
      <c r="FA42" s="51" t="n"/>
      <c r="FB42" s="51" t="n"/>
      <c r="FC42" s="51" t="n"/>
      <c r="FD42" s="51" t="n"/>
      <c r="FE42" s="51" t="n"/>
      <c r="FF42" s="51" t="n"/>
      <c r="FG42" s="51" t="n"/>
      <c r="FH42" s="51" t="n"/>
      <c r="FI42" s="51" t="n"/>
      <c r="FJ42" s="51" t="n"/>
      <c r="FK42" s="51" t="n"/>
      <c r="FL42" s="51" t="n"/>
      <c r="FM42" s="51" t="n"/>
      <c r="FN42" s="51" t="n"/>
      <c r="FO42" s="51" t="n"/>
      <c r="FP42" s="51" t="n"/>
      <c r="FQ42" s="335" t="n"/>
      <c r="FR42" s="814">
        <f>SUMPRODUCT(--(MOD(COLUMN(DU42:ER42),4)=MOD(COLUMN(DU42),4)),DU42:ER42)+SUMPRODUCT(--(MOD(COLUMN(ES42:FP42),4)=MOD(COLUMN(ES42),4)),ES42:FP42)</f>
        <v/>
      </c>
      <c r="FS42" s="814">
        <f>SUMPRODUCT(--(MOD(COLUMN(DU42:ER42),4)=MOD(COLUMN(DU42),4)),DU42:ER42)*#REF!+SUMPRODUCT(--(MOD(COLUMN(ES42:FP42),4)=MOD(COLUMN(ES42),4)),ES42:FP42)*#REF!</f>
        <v/>
      </c>
      <c r="FT42" s="370" t="n"/>
    </row>
    <row r="43" outlineLevel="2" customFormat="1" s="14">
      <c r="A43" s="56" t="inlineStr">
        <is>
          <t>ПЛАНТ ООО</t>
        </is>
      </c>
      <c r="B43" s="16" t="inlineStr">
        <is>
          <t>Предоплата 50%</t>
        </is>
      </c>
      <c r="C43" s="15" t="inlineStr">
        <is>
          <t>ВБК Восток</t>
        </is>
      </c>
      <c r="D43" s="15" t="inlineStr">
        <is>
          <t>Прасолов, Соловьёв</t>
        </is>
      </c>
      <c r="E43" s="17">
        <f>IF(ISBLANK(G43),"",IF($A$6:$A$64=$A43,COUNTIF($A$6:A43,$A43),""))</f>
        <v/>
      </c>
      <c r="F43" s="17" t="n">
        <v>1</v>
      </c>
      <c r="G43" s="33" t="n">
        <v>6402250560</v>
      </c>
      <c r="H43" s="410" t="inlineStr">
        <is>
          <t>6402250560 AC Тормоз дисковый ( левый )</t>
        </is>
      </c>
      <c r="I43" s="625" t="n">
        <v>2068</v>
      </c>
      <c r="J43" s="798" t="n"/>
      <c r="K43" s="798" t="n"/>
      <c r="L43" s="798">
        <f>IF(K43="RUB",J43/ЮАНЬ,IF(K43="EUR",J43*ЕВРО/ЮАНЬ,""))</f>
        <v/>
      </c>
      <c r="M43" s="801" t="n"/>
      <c r="N43" s="802">
        <f>IF(BP43&gt;0,1,IF(BN43&gt;0,2,))</f>
        <v/>
      </c>
      <c r="O43" s="23" t="n"/>
      <c r="P43" s="24" t="n"/>
      <c r="Q43" s="25" t="n"/>
      <c r="R43" s="24" t="n"/>
      <c r="S43" s="23" t="n"/>
      <c r="T43" s="24" t="n"/>
      <c r="U43" s="25" t="n">
        <v>0</v>
      </c>
      <c r="V43" s="24" t="n"/>
      <c r="W43" s="23" t="n"/>
      <c r="X43" s="24">
        <f>24+27</f>
        <v/>
      </c>
      <c r="Y43" s="25" t="n">
        <v>51</v>
      </c>
      <c r="Z43" s="24" t="n"/>
      <c r="AA43" s="23" t="n"/>
      <c r="AB43" s="24">
        <f>(15+30+29)</f>
        <v/>
      </c>
      <c r="AC43" s="25" t="n">
        <v>74</v>
      </c>
      <c r="AD43" s="24" t="n"/>
      <c r="AE43" s="23" t="n"/>
      <c r="AF43" s="24">
        <f>20</f>
        <v/>
      </c>
      <c r="AG43" s="25" t="n">
        <v>20</v>
      </c>
      <c r="AH43" s="24" t="n"/>
      <c r="AI43" s="23" t="n"/>
      <c r="AJ43" s="24">
        <f>(146-(27+15+30+29+20))</f>
        <v/>
      </c>
      <c r="AK43" s="25" t="n">
        <v>0</v>
      </c>
      <c r="AL43" s="24" t="n"/>
      <c r="AM43" s="23" t="n"/>
      <c r="AN43" s="24" t="n">
        <v>50</v>
      </c>
      <c r="AO43" s="25" t="n">
        <v>0</v>
      </c>
      <c r="AP43" s="24" t="n"/>
      <c r="AQ43" s="23" t="n"/>
      <c r="AR43" s="24" t="n"/>
      <c r="AS43" s="25" t="n"/>
      <c r="AT43" s="24" t="n"/>
      <c r="AU43" s="23" t="n"/>
      <c r="AV43" s="24" t="n"/>
      <c r="AW43" s="25" t="n"/>
      <c r="AX43" s="24" t="n"/>
      <c r="AY43" s="23" t="n"/>
      <c r="AZ43" s="24" t="n"/>
      <c r="BA43" s="25" t="n"/>
      <c r="BB43" s="24" t="n"/>
      <c r="BC43" s="23" t="n"/>
      <c r="BD43" s="24" t="n"/>
      <c r="BE43" s="25" t="n"/>
      <c r="BF43" s="24" t="n"/>
      <c r="BG43" s="23" t="n"/>
      <c r="BH43" s="24" t="n"/>
      <c r="BI43" s="25" t="n"/>
      <c r="BJ43" s="24" t="n"/>
      <c r="BK43" s="340" t="n"/>
      <c r="BL43" s="803">
        <f>SUMPRODUCT(--(MOD(COLUMN($O43:$AL43),4)=MOD(COLUMN($O43)+0,4)),$O43:$AL43)
+SUMPRODUCT(--(MOD(COLUMN($AM43:$BJ43),4)=MOD(COLUMN($AM43)+0,4)),$AM43:$BJ43)</f>
        <v/>
      </c>
      <c r="BM43" s="804">
        <f>SUMPRODUCT(--(MOD(COLUMN($O43:$AL43),4)=MOD(COLUMN($O43)+0,4)),$O43:$AL43)*
$I43+SUMPRODUCT(--(MOD(COLUMN($AM43:$BJ43),4)=MOD(COLUMN($AM43)+0,4)),$AM43:$BJ43)*$I43</f>
        <v/>
      </c>
      <c r="BN43" s="805">
        <f>SUMPRODUCT(--(MOD(COLUMN($O43:$AL43),4)=MOD(COLUMN($O43)+1,4)),$O43:$AL43)
+SUMPRODUCT(--(MOD(COLUMN($AM43:$BJ43),4)=MOD(COLUMN($AM43)+1,4)),$AM43:$BJ43)</f>
        <v/>
      </c>
      <c r="BO43" s="806">
        <f>SUMPRODUCT(--(MOD(COLUMN($O43:$AL43),4)=MOD(COLUMN($O43)+1,4)),$O43:$AL43)*
$I43+SUMPRODUCT(--(MOD(COLUMN($AM43:$BJ43),4)=MOD(COLUMN($AM43)+1,4)),$AM43:$BJ43)*$I43</f>
        <v/>
      </c>
      <c r="BP43" s="807">
        <f>SUMPRODUCT(--(MOD(COLUMN($O43:$AL43),4)=MOD(COLUMN($O43)+2,4)),$O43:$AL43)
+SUMPRODUCT(--(MOD(COLUMN($AM43:$BJ43),4)=MOD(COLUMN($AM43)+2,4)),$AM43:$BJ43)</f>
        <v/>
      </c>
      <c r="BQ43" s="808">
        <f>SUMPRODUCT(--(MOD(COLUMN($O43:$AL43),4)=MOD(COLUMN($O43)+2,4)),$O43:$AL43)*
$I43+SUMPRODUCT(--(MOD(COLUMN($AM43:$BJ43),4)=MOD(COLUMN($AM43)+2,4)),$AM43:$BJ43)*$I43</f>
        <v/>
      </c>
      <c r="BR43" s="809" t="n"/>
      <c r="BS43" s="801" t="n"/>
      <c r="BT43" s="23" t="n"/>
      <c r="BU43" s="24" t="n"/>
      <c r="BV43" s="25" t="n"/>
      <c r="BW43" s="24" t="n"/>
      <c r="BX43" s="23" t="n"/>
      <c r="BY43" s="24" t="n"/>
      <c r="BZ43" s="25" t="n"/>
      <c r="CA43" s="24" t="n"/>
      <c r="CB43" s="23" t="n"/>
      <c r="CC43" s="24" t="n"/>
      <c r="CD43" s="25" t="n"/>
      <c r="CE43" s="24" t="n"/>
      <c r="CF43" s="23" t="n"/>
      <c r="CG43" s="24" t="n"/>
      <c r="CH43" s="25" t="n"/>
      <c r="CI43" s="24" t="n"/>
      <c r="CJ43" s="23" t="n"/>
      <c r="CK43" s="24" t="n"/>
      <c r="CL43" s="25" t="n"/>
      <c r="CM43" s="24" t="n"/>
      <c r="CN43" s="23" t="n"/>
      <c r="CO43" s="24" t="n"/>
      <c r="CP43" s="25" t="n"/>
      <c r="CQ43" s="24" t="n"/>
      <c r="CR43" s="23" t="n"/>
      <c r="CS43" s="24" t="n"/>
      <c r="CT43" s="25" t="n"/>
      <c r="CU43" s="24" t="n"/>
      <c r="CV43" s="23" t="n"/>
      <c r="CW43" s="24" t="n"/>
      <c r="CX43" s="25" t="n"/>
      <c r="CY43" s="24" t="n"/>
      <c r="CZ43" s="23" t="n"/>
      <c r="DA43" s="24" t="n"/>
      <c r="DB43" s="25" t="n"/>
      <c r="DC43" s="24" t="n"/>
      <c r="DD43" s="23" t="n"/>
      <c r="DE43" s="24" t="n"/>
      <c r="DF43" s="25" t="n"/>
      <c r="DG43" s="24" t="n"/>
      <c r="DH43" s="23" t="n"/>
      <c r="DI43" s="24" t="n"/>
      <c r="DJ43" s="25" t="n"/>
      <c r="DK43" s="24" t="n"/>
      <c r="DL43" s="23" t="n"/>
      <c r="DM43" s="24" t="n"/>
      <c r="DN43" s="25" t="n"/>
      <c r="DO43" s="24" t="n"/>
      <c r="DP43" s="340" t="n"/>
      <c r="DQ43" s="803" t="n"/>
      <c r="DR43" s="803" t="n"/>
      <c r="DS43" s="809" t="n"/>
      <c r="DT43" s="801" t="n"/>
      <c r="DU43" s="23" t="n"/>
      <c r="DV43" s="24" t="n"/>
      <c r="DW43" s="25" t="n"/>
      <c r="DX43" s="24" t="n"/>
      <c r="DY43" s="23" t="n"/>
      <c r="DZ43" s="24" t="n"/>
      <c r="EA43" s="25" t="n"/>
      <c r="EB43" s="24" t="n"/>
      <c r="EC43" s="23" t="n"/>
      <c r="ED43" s="24" t="n"/>
      <c r="EE43" s="25" t="n"/>
      <c r="EF43" s="24" t="n"/>
      <c r="EG43" s="23" t="n"/>
      <c r="EH43" s="24" t="n"/>
      <c r="EI43" s="25" t="n"/>
      <c r="EJ43" s="24" t="n"/>
      <c r="EK43" s="23" t="n"/>
      <c r="EL43" s="24" t="n"/>
      <c r="EM43" s="25" t="n"/>
      <c r="EN43" s="24" t="n"/>
      <c r="EO43" s="23" t="n"/>
      <c r="EP43" s="24" t="n"/>
      <c r="EQ43" s="25" t="n"/>
      <c r="ER43" s="24" t="n"/>
      <c r="ES43" s="23" t="n"/>
      <c r="ET43" s="24" t="n"/>
      <c r="EU43" s="25" t="n"/>
      <c r="EV43" s="24" t="n"/>
      <c r="EW43" s="23" t="n"/>
      <c r="EX43" s="24" t="n"/>
      <c r="EY43" s="25" t="n"/>
      <c r="EZ43" s="24" t="n"/>
      <c r="FA43" s="23" t="n"/>
      <c r="FB43" s="24" t="n"/>
      <c r="FC43" s="25" t="n"/>
      <c r="FD43" s="24" t="n"/>
      <c r="FE43" s="23" t="n"/>
      <c r="FF43" s="24" t="n"/>
      <c r="FG43" s="25" t="n"/>
      <c r="FH43" s="24" t="n"/>
      <c r="FI43" s="23" t="n"/>
      <c r="FJ43" s="24" t="n"/>
      <c r="FK43" s="25" t="n"/>
      <c r="FL43" s="24" t="n"/>
      <c r="FM43" s="23" t="n"/>
      <c r="FN43" s="24" t="n"/>
      <c r="FO43" s="25" t="n"/>
      <c r="FP43" s="24" t="n"/>
      <c r="FQ43" s="340" t="n"/>
      <c r="FR43" s="803" t="n"/>
      <c r="FS43" s="803" t="n"/>
      <c r="FT43" s="360" t="n"/>
    </row>
    <row r="44" outlineLevel="2" customFormat="1" s="14">
      <c r="A44" s="56" t="inlineStr">
        <is>
          <t>ПЛАНТ ООО</t>
        </is>
      </c>
      <c r="B44" s="16" t="inlineStr">
        <is>
          <t>Предоплата 50%</t>
        </is>
      </c>
      <c r="C44" s="15" t="inlineStr">
        <is>
          <t>ВБК Восток</t>
        </is>
      </c>
      <c r="D44" s="15" t="inlineStr">
        <is>
          <t>Прасолов, Соловьёв</t>
        </is>
      </c>
      <c r="E44" s="17">
        <f>IF(ISBLANK(G44),"",IF($A$6:$A$64=$A44,COUNTIF($A$6:A44,$A44),""))</f>
        <v/>
      </c>
      <c r="F44" s="17" t="n">
        <v>1</v>
      </c>
      <c r="G44" s="33" t="n">
        <v>6402250570</v>
      </c>
      <c r="H44" s="410" t="inlineStr">
        <is>
          <t>6402250570 AC Тормоз дисковый ( правый )</t>
        </is>
      </c>
      <c r="I44" s="625">
        <f>I43</f>
        <v/>
      </c>
      <c r="J44" s="798" t="n"/>
      <c r="K44" s="798" t="n"/>
      <c r="L44" s="798">
        <f>IF(K44="RUB",J44/ЮАНЬ,IF(K44="EUR",J44*ЕВРО/ЮАНЬ,""))</f>
        <v/>
      </c>
      <c r="M44" s="801" t="n"/>
      <c r="N44" s="802">
        <f>IF(BP44&gt;0,1,IF(BN44&gt;0,2,))</f>
        <v/>
      </c>
      <c r="O44" s="23" t="n"/>
      <c r="P44" s="24" t="n"/>
      <c r="Q44" s="25" t="n"/>
      <c r="R44" s="24" t="n"/>
      <c r="S44" s="23" t="n"/>
      <c r="T44" s="24" t="n"/>
      <c r="U44" s="25" t="n">
        <v>0</v>
      </c>
      <c r="V44" s="24" t="n"/>
      <c r="W44" s="23" t="n"/>
      <c r="X44" s="24">
        <f>X43</f>
        <v/>
      </c>
      <c r="Y44" s="25" t="n">
        <v>51</v>
      </c>
      <c r="Z44" s="24" t="n"/>
      <c r="AA44" s="23" t="n"/>
      <c r="AB44" s="24">
        <f>AB43</f>
        <v/>
      </c>
      <c r="AC44" s="25" t="n">
        <v>74</v>
      </c>
      <c r="AD44" s="24" t="n"/>
      <c r="AE44" s="23" t="n"/>
      <c r="AF44" s="24">
        <f>AF43</f>
        <v/>
      </c>
      <c r="AG44" s="25" t="n">
        <v>20</v>
      </c>
      <c r="AH44" s="24" t="n"/>
      <c r="AI44" s="23" t="n"/>
      <c r="AJ44" s="24">
        <f>AJ43</f>
        <v/>
      </c>
      <c r="AK44" s="25" t="n">
        <v>0</v>
      </c>
      <c r="AL44" s="24" t="n"/>
      <c r="AM44" s="23" t="n"/>
      <c r="AN44" s="24">
        <f>AN43</f>
        <v/>
      </c>
      <c r="AO44" s="25" t="n">
        <v>0</v>
      </c>
      <c r="AP44" s="24" t="n"/>
      <c r="AQ44" s="23" t="n"/>
      <c r="AR44" s="24" t="n"/>
      <c r="AS44" s="25" t="n"/>
      <c r="AT44" s="24" t="n"/>
      <c r="AU44" s="23" t="n"/>
      <c r="AV44" s="24" t="n"/>
      <c r="AW44" s="25" t="n"/>
      <c r="AX44" s="24" t="n"/>
      <c r="AY44" s="23" t="n"/>
      <c r="AZ44" s="24" t="n"/>
      <c r="BA44" s="25" t="n"/>
      <c r="BB44" s="24" t="n"/>
      <c r="BC44" s="23" t="n"/>
      <c r="BD44" s="24" t="n"/>
      <c r="BE44" s="25" t="n"/>
      <c r="BF44" s="24" t="n"/>
      <c r="BG44" s="23" t="n"/>
      <c r="BH44" s="24" t="n"/>
      <c r="BI44" s="25" t="n"/>
      <c r="BJ44" s="24" t="n"/>
      <c r="BK44" s="340" t="n"/>
      <c r="BL44" s="803">
        <f>SUMPRODUCT(--(MOD(COLUMN($O44:$AL44),4)=MOD(COLUMN($O44)+0,4)),$O44:$AL44)
+SUMPRODUCT(--(MOD(COLUMN($AM44:$BJ44),4)=MOD(COLUMN($AM44)+0,4)),$AM44:$BJ44)</f>
        <v/>
      </c>
      <c r="BM44" s="804">
        <f>SUMPRODUCT(--(MOD(COLUMN($O44:$AL44),4)=MOD(COLUMN($O44)+0,4)),$O44:$AL44)*
$I44+SUMPRODUCT(--(MOD(COLUMN($AM44:$BJ44),4)=MOD(COLUMN($AM44)+0,4)),$AM44:$BJ44)*$I44</f>
        <v/>
      </c>
      <c r="BN44" s="805">
        <f>SUMPRODUCT(--(MOD(COLUMN($O44:$AL44),4)=MOD(COLUMN($O44)+1,4)),$O44:$AL44)
+SUMPRODUCT(--(MOD(COLUMN($AM44:$BJ44),4)=MOD(COLUMN($AM44)+1,4)),$AM44:$BJ44)</f>
        <v/>
      </c>
      <c r="BO44" s="806">
        <f>SUMPRODUCT(--(MOD(COLUMN($O44:$AL44),4)=MOD(COLUMN($O44)+1,4)),$O44:$AL44)*
$I44+SUMPRODUCT(--(MOD(COLUMN($AM44:$BJ44),4)=MOD(COLUMN($AM44)+1,4)),$AM44:$BJ44)*$I44</f>
        <v/>
      </c>
      <c r="BP44" s="807">
        <f>SUMPRODUCT(--(MOD(COLUMN($O44:$AL44),4)=MOD(COLUMN($O44)+2,4)),$O44:$AL44)
+SUMPRODUCT(--(MOD(COLUMN($AM44:$BJ44),4)=MOD(COLUMN($AM44)+2,4)),$AM44:$BJ44)</f>
        <v/>
      </c>
      <c r="BQ44" s="808">
        <f>SUMPRODUCT(--(MOD(COLUMN($O44:$AL44),4)=MOD(COLUMN($O44)+2,4)),$O44:$AL44)*
$I44+SUMPRODUCT(--(MOD(COLUMN($AM44:$BJ44),4)=MOD(COLUMN($AM44)+2,4)),$AM44:$BJ44)*$I44</f>
        <v/>
      </c>
      <c r="BR44" s="809" t="n"/>
      <c r="BS44" s="801" t="n"/>
      <c r="BT44" s="23" t="n"/>
      <c r="BU44" s="24" t="n"/>
      <c r="BV44" s="25" t="n"/>
      <c r="BW44" s="24" t="n"/>
      <c r="BX44" s="23" t="n"/>
      <c r="BY44" s="24" t="n"/>
      <c r="BZ44" s="25" t="n"/>
      <c r="CA44" s="24" t="n"/>
      <c r="CB44" s="23" t="n"/>
      <c r="CC44" s="24" t="n"/>
      <c r="CD44" s="25" t="n"/>
      <c r="CE44" s="24" t="n"/>
      <c r="CF44" s="23" t="n"/>
      <c r="CG44" s="24" t="n"/>
      <c r="CH44" s="25" t="n"/>
      <c r="CI44" s="24" t="n"/>
      <c r="CJ44" s="23" t="n"/>
      <c r="CK44" s="24" t="n"/>
      <c r="CL44" s="25" t="n"/>
      <c r="CM44" s="24" t="n"/>
      <c r="CN44" s="23" t="n"/>
      <c r="CO44" s="24" t="n"/>
      <c r="CP44" s="25" t="n"/>
      <c r="CQ44" s="24" t="n"/>
      <c r="CR44" s="23" t="n"/>
      <c r="CS44" s="24" t="n"/>
      <c r="CT44" s="25" t="n"/>
      <c r="CU44" s="24" t="n"/>
      <c r="CV44" s="23" t="n"/>
      <c r="CW44" s="24" t="n"/>
      <c r="CX44" s="25" t="n"/>
      <c r="CY44" s="24" t="n"/>
      <c r="CZ44" s="23" t="n"/>
      <c r="DA44" s="24" t="n"/>
      <c r="DB44" s="25" t="n"/>
      <c r="DC44" s="24" t="n"/>
      <c r="DD44" s="23" t="n"/>
      <c r="DE44" s="24" t="n"/>
      <c r="DF44" s="25" t="n"/>
      <c r="DG44" s="24" t="n"/>
      <c r="DH44" s="23" t="n"/>
      <c r="DI44" s="24" t="n"/>
      <c r="DJ44" s="25" t="n"/>
      <c r="DK44" s="24" t="n"/>
      <c r="DL44" s="23" t="n"/>
      <c r="DM44" s="24" t="n"/>
      <c r="DN44" s="25" t="n"/>
      <c r="DO44" s="24" t="n"/>
      <c r="DP44" s="340" t="n"/>
      <c r="DQ44" s="803" t="n"/>
      <c r="DR44" s="803" t="n"/>
      <c r="DS44" s="809" t="n"/>
      <c r="DT44" s="801" t="n"/>
      <c r="DU44" s="23" t="n"/>
      <c r="DV44" s="24" t="n"/>
      <c r="DW44" s="25" t="n"/>
      <c r="DX44" s="24" t="n"/>
      <c r="DY44" s="23" t="n"/>
      <c r="DZ44" s="24" t="n"/>
      <c r="EA44" s="25" t="n"/>
      <c r="EB44" s="24" t="n"/>
      <c r="EC44" s="23" t="n"/>
      <c r="ED44" s="24" t="n"/>
      <c r="EE44" s="25" t="n"/>
      <c r="EF44" s="24" t="n"/>
      <c r="EG44" s="23" t="n"/>
      <c r="EH44" s="24" t="n"/>
      <c r="EI44" s="25" t="n"/>
      <c r="EJ44" s="24" t="n"/>
      <c r="EK44" s="23" t="n"/>
      <c r="EL44" s="24" t="n"/>
      <c r="EM44" s="25" t="n"/>
      <c r="EN44" s="24" t="n"/>
      <c r="EO44" s="23" t="n"/>
      <c r="EP44" s="24" t="n"/>
      <c r="EQ44" s="25" t="n"/>
      <c r="ER44" s="24" t="n"/>
      <c r="ES44" s="23" t="n"/>
      <c r="ET44" s="24" t="n"/>
      <c r="EU44" s="25" t="n"/>
      <c r="EV44" s="24" t="n"/>
      <c r="EW44" s="23" t="n"/>
      <c r="EX44" s="24" t="n"/>
      <c r="EY44" s="25" t="n"/>
      <c r="EZ44" s="24" t="n"/>
      <c r="FA44" s="23" t="n"/>
      <c r="FB44" s="24" t="n"/>
      <c r="FC44" s="25" t="n"/>
      <c r="FD44" s="24" t="n"/>
      <c r="FE44" s="23" t="n"/>
      <c r="FF44" s="24" t="n"/>
      <c r="FG44" s="25" t="n"/>
      <c r="FH44" s="24" t="n"/>
      <c r="FI44" s="23" t="n"/>
      <c r="FJ44" s="24" t="n"/>
      <c r="FK44" s="25" t="n"/>
      <c r="FL44" s="24" t="n"/>
      <c r="FM44" s="23" t="n"/>
      <c r="FN44" s="24" t="n"/>
      <c r="FO44" s="25" t="n"/>
      <c r="FP44" s="24" t="n"/>
      <c r="FQ44" s="340" t="n"/>
      <c r="FR44" s="803" t="n"/>
      <c r="FS44" s="803" t="n"/>
      <c r="FT44" s="360" t="n"/>
    </row>
    <row r="45" outlineLevel="2" customFormat="1" s="14">
      <c r="A45" s="56" t="inlineStr">
        <is>
          <t>ПЛАНТ ООО</t>
        </is>
      </c>
      <c r="B45" s="16" t="inlineStr">
        <is>
          <t>Предоплата 50%</t>
        </is>
      </c>
      <c r="C45" s="15" t="inlineStr">
        <is>
          <t>ВБК Восток</t>
        </is>
      </c>
      <c r="D45" s="15" t="inlineStr">
        <is>
          <t>Прасолов, Соловьёв</t>
        </is>
      </c>
      <c r="E45" s="17">
        <f>IF(ISBLANK(G45),"",IF($A$6:$A$64=$A45,COUNTIF($A$6:A45,$A45),""))</f>
        <v/>
      </c>
      <c r="F45" s="17" t="n">
        <v>1</v>
      </c>
      <c r="G45" s="33" t="n">
        <v>4410328080</v>
      </c>
      <c r="H45" s="18" t="inlineStr">
        <is>
          <t>Датчик АБС, 0,4 м</t>
        </is>
      </c>
      <c r="I45" s="627">
        <f>84/НДС_20</f>
        <v/>
      </c>
      <c r="J45" s="798" t="n"/>
      <c r="K45" s="798" t="n"/>
      <c r="L45" s="798">
        <f>IF(K45="RUB",J45/ЮАНЬ,IF(K45="EUR",J45*ЕВРО/ЮАНЬ,""))</f>
        <v/>
      </c>
      <c r="M45" s="801" t="n"/>
      <c r="N45" s="802">
        <f>IF(BP45&gt;0,1,IF(BN45&gt;0,2,))</f>
        <v/>
      </c>
      <c r="O45" s="23" t="n"/>
      <c r="P45" s="24" t="n"/>
      <c r="Q45" s="25" t="n"/>
      <c r="R45" s="24" t="n"/>
      <c r="S45" s="23" t="n"/>
      <c r="T45" s="24" t="n"/>
      <c r="U45" s="25" t="n">
        <v>0</v>
      </c>
      <c r="V45" s="24" t="n"/>
      <c r="W45" s="23" t="n"/>
      <c r="X45" s="24" t="n"/>
      <c r="Y45" s="25" t="n"/>
      <c r="Z45" s="24" t="n"/>
      <c r="AA45" s="23" t="n"/>
      <c r="AB45" s="24" t="n"/>
      <c r="AC45" s="25" t="n"/>
      <c r="AD45" s="24" t="n"/>
      <c r="AE45" s="23" t="n"/>
      <c r="AF45" s="24" t="n"/>
      <c r="AG45" s="25" t="n"/>
      <c r="AH45" s="24" t="n"/>
      <c r="AI45" s="23" t="n"/>
      <c r="AJ45" s="24" t="n"/>
      <c r="AK45" s="25" t="n"/>
      <c r="AL45" s="24" t="n"/>
      <c r="AM45" s="23" t="n"/>
      <c r="AN45" s="24" t="n"/>
      <c r="AO45" s="25" t="n"/>
      <c r="AP45" s="24" t="n"/>
      <c r="AQ45" s="23" t="n"/>
      <c r="AR45" s="24" t="n"/>
      <c r="AS45" s="25" t="n"/>
      <c r="AT45" s="24" t="n"/>
      <c r="AU45" s="23" t="n"/>
      <c r="AV45" s="24" t="n"/>
      <c r="AW45" s="25" t="n"/>
      <c r="AX45" s="24" t="n"/>
      <c r="AY45" s="23" t="n"/>
      <c r="AZ45" s="24" t="n"/>
      <c r="BA45" s="25" t="n"/>
      <c r="BB45" s="24" t="n"/>
      <c r="BC45" s="23" t="n"/>
      <c r="BD45" s="24" t="n"/>
      <c r="BE45" s="25" t="n"/>
      <c r="BF45" s="24" t="n"/>
      <c r="BG45" s="23" t="n"/>
      <c r="BH45" s="24" t="n"/>
      <c r="BI45" s="25" t="n"/>
      <c r="BJ45" s="24" t="n"/>
      <c r="BK45" s="340" t="n"/>
      <c r="BL45" s="803">
        <f>SUMPRODUCT(--(MOD(COLUMN($O45:$AL45),4)=MOD(COLUMN($O45)+0,4)),$O45:$AL45)
+SUMPRODUCT(--(MOD(COLUMN($AM45:$BJ45),4)=MOD(COLUMN($AM45)+0,4)),$AM45:$BJ45)</f>
        <v/>
      </c>
      <c r="BM45" s="804">
        <f>SUMPRODUCT(--(MOD(COLUMN($O45:$AL45),4)=MOD(COLUMN($O45)+0,4)),$O45:$AL45)*
$I45+SUMPRODUCT(--(MOD(COLUMN($AM45:$BJ45),4)=MOD(COLUMN($AM45)+0,4)),$AM45:$BJ45)*$I45</f>
        <v/>
      </c>
      <c r="BN45" s="805">
        <f>SUMPRODUCT(--(MOD(COLUMN($O45:$AL45),4)=MOD(COLUMN($O45)+1,4)),$O45:$AL45)
+SUMPRODUCT(--(MOD(COLUMN($AM45:$BJ45),4)=MOD(COLUMN($AM45)+1,4)),$AM45:$BJ45)</f>
        <v/>
      </c>
      <c r="BO45" s="806">
        <f>SUMPRODUCT(--(MOD(COLUMN($O45:$AL45),4)=MOD(COLUMN($O45)+1,4)),$O45:$AL45)*
$I45+SUMPRODUCT(--(MOD(COLUMN($AM45:$BJ45),4)=MOD(COLUMN($AM45)+1,4)),$AM45:$BJ45)*$I45</f>
        <v/>
      </c>
      <c r="BP45" s="807">
        <f>SUMPRODUCT(--(MOD(COLUMN($O45:$AL45),4)=MOD(COLUMN($O45)+2,4)),$O45:$AL45)
+SUMPRODUCT(--(MOD(COLUMN($AM45:$BJ45),4)=MOD(COLUMN($AM45)+2,4)),$AM45:$BJ45)</f>
        <v/>
      </c>
      <c r="BQ45" s="808">
        <f>SUMPRODUCT(--(MOD(COLUMN($O45:$AL45),4)=MOD(COLUMN($O45)+2,4)),$O45:$AL45)*
$I45+SUMPRODUCT(--(MOD(COLUMN($AM45:$BJ45),4)=MOD(COLUMN($AM45)+2,4)),$AM45:$BJ45)*$I45</f>
        <v/>
      </c>
      <c r="BR45" s="809" t="n"/>
      <c r="BS45" s="801" t="n"/>
      <c r="BT45" s="23" t="n"/>
      <c r="BU45" s="24" t="n"/>
      <c r="BV45" s="25" t="n"/>
      <c r="BW45" s="24" t="n"/>
      <c r="BX45" s="23" t="n"/>
      <c r="BY45" s="24" t="n"/>
      <c r="BZ45" s="25" t="n"/>
      <c r="CA45" s="24" t="n"/>
      <c r="CB45" s="23" t="n"/>
      <c r="CC45" s="24" t="n"/>
      <c r="CD45" s="25" t="n"/>
      <c r="CE45" s="24" t="n"/>
      <c r="CF45" s="23" t="n"/>
      <c r="CG45" s="24" t="n"/>
      <c r="CH45" s="25" t="n"/>
      <c r="CI45" s="24" t="n"/>
      <c r="CJ45" s="23" t="n"/>
      <c r="CK45" s="24" t="n"/>
      <c r="CL45" s="25" t="n"/>
      <c r="CM45" s="24" t="n"/>
      <c r="CN45" s="23" t="n"/>
      <c r="CO45" s="24" t="n"/>
      <c r="CP45" s="25" t="n"/>
      <c r="CQ45" s="24" t="n"/>
      <c r="CR45" s="23" t="n"/>
      <c r="CS45" s="24" t="n"/>
      <c r="CT45" s="25" t="n"/>
      <c r="CU45" s="24" t="n"/>
      <c r="CV45" s="23" t="n"/>
      <c r="CW45" s="24" t="n"/>
      <c r="CX45" s="25" t="n"/>
      <c r="CY45" s="24" t="n"/>
      <c r="CZ45" s="23" t="n"/>
      <c r="DA45" s="24" t="n"/>
      <c r="DB45" s="25" t="n"/>
      <c r="DC45" s="24" t="n"/>
      <c r="DD45" s="23" t="n"/>
      <c r="DE45" s="24" t="n"/>
      <c r="DF45" s="25" t="n"/>
      <c r="DG45" s="24" t="n"/>
      <c r="DH45" s="23" t="n"/>
      <c r="DI45" s="24" t="n"/>
      <c r="DJ45" s="25" t="n"/>
      <c r="DK45" s="24" t="n"/>
      <c r="DL45" s="23" t="n"/>
      <c r="DM45" s="24" t="n"/>
      <c r="DN45" s="25" t="n"/>
      <c r="DO45" s="24" t="n"/>
      <c r="DP45" s="340" t="n"/>
      <c r="DQ45" s="803" t="n"/>
      <c r="DR45" s="803" t="n"/>
      <c r="DS45" s="809" t="n"/>
      <c r="DT45" s="801" t="n"/>
      <c r="DU45" s="23" t="n"/>
      <c r="DV45" s="24" t="n"/>
      <c r="DW45" s="25" t="n"/>
      <c r="DX45" s="24" t="n"/>
      <c r="DY45" s="23" t="n"/>
      <c r="DZ45" s="24" t="n"/>
      <c r="EA45" s="25" t="n"/>
      <c r="EB45" s="24" t="n"/>
      <c r="EC45" s="23" t="n"/>
      <c r="ED45" s="24" t="n"/>
      <c r="EE45" s="25" t="n"/>
      <c r="EF45" s="24" t="n"/>
      <c r="EG45" s="23" t="n"/>
      <c r="EH45" s="24" t="n"/>
      <c r="EI45" s="25" t="n"/>
      <c r="EJ45" s="24" t="n"/>
      <c r="EK45" s="23" t="n"/>
      <c r="EL45" s="24" t="n"/>
      <c r="EM45" s="25" t="n"/>
      <c r="EN45" s="24" t="n"/>
      <c r="EO45" s="23" t="n"/>
      <c r="EP45" s="24" t="n"/>
      <c r="EQ45" s="25" t="n"/>
      <c r="ER45" s="24" t="n"/>
      <c r="ES45" s="23" t="n"/>
      <c r="ET45" s="24" t="n"/>
      <c r="EU45" s="25" t="n"/>
      <c r="EV45" s="24" t="n"/>
      <c r="EW45" s="23" t="n"/>
      <c r="EX45" s="24" t="n"/>
      <c r="EY45" s="25" t="n"/>
      <c r="EZ45" s="24" t="n"/>
      <c r="FA45" s="23" t="n"/>
      <c r="FB45" s="24" t="n"/>
      <c r="FC45" s="25" t="n"/>
      <c r="FD45" s="24" t="n"/>
      <c r="FE45" s="23" t="n"/>
      <c r="FF45" s="24" t="n"/>
      <c r="FG45" s="25" t="n"/>
      <c r="FH45" s="24" t="n"/>
      <c r="FI45" s="23" t="n"/>
      <c r="FJ45" s="24" t="n"/>
      <c r="FK45" s="25" t="n"/>
      <c r="FL45" s="24" t="n"/>
      <c r="FM45" s="23" t="n"/>
      <c r="FN45" s="24" t="n"/>
      <c r="FO45" s="25" t="n"/>
      <c r="FP45" s="24" t="n"/>
      <c r="FQ45" s="340" t="n"/>
      <c r="FR45" s="803" t="n"/>
      <c r="FS45" s="803" t="n"/>
      <c r="FT45" s="360" t="n"/>
    </row>
    <row r="46" outlineLevel="2" customFormat="1" s="14">
      <c r="A46" s="56" t="inlineStr">
        <is>
          <t>ПЛАНТ ООО</t>
        </is>
      </c>
      <c r="B46" s="16" t="inlineStr">
        <is>
          <t>Предоплата 50%</t>
        </is>
      </c>
      <c r="C46" s="15" t="inlineStr">
        <is>
          <t>ВБК Восток</t>
        </is>
      </c>
      <c r="D46" s="15" t="inlineStr">
        <is>
          <t>Прасолов, Соловьёв</t>
        </is>
      </c>
      <c r="E46" s="17">
        <f>IF(ISBLANK(G46),"",IF($A$6:$A$64=$A46,COUNTIF($A$6:A46,$A46),""))</f>
        <v/>
      </c>
      <c r="F46" s="17" t="n">
        <v>1</v>
      </c>
      <c r="G46" s="33" t="n">
        <v>8997598154</v>
      </c>
      <c r="H46" s="18" t="inlineStr">
        <is>
          <t>Втулка датчика АБС</t>
        </is>
      </c>
      <c r="I46" s="624">
        <f>8.4/НДС_20</f>
        <v/>
      </c>
      <c r="J46" s="798" t="n"/>
      <c r="K46" s="798" t="n"/>
      <c r="L46" s="798">
        <f>IF(K46="RUB",J46/ЮАНЬ,IF(K46="EUR",J46*ЕВРО/ЮАНЬ,""))</f>
        <v/>
      </c>
      <c r="M46" s="801" t="n"/>
      <c r="N46" s="802">
        <f>IF(BP46&gt;0,1,IF(BN46&gt;0,2,))</f>
        <v/>
      </c>
      <c r="O46" s="23" t="n"/>
      <c r="P46" s="24" t="n"/>
      <c r="Q46" s="25" t="n"/>
      <c r="R46" s="24" t="n"/>
      <c r="S46" s="23" t="n"/>
      <c r="T46" s="24" t="n"/>
      <c r="U46" s="25" t="n">
        <v>0</v>
      </c>
      <c r="V46" s="24" t="n"/>
      <c r="W46" s="23" t="n"/>
      <c r="X46" s="24" t="n"/>
      <c r="Y46" s="25" t="n"/>
      <c r="Z46" s="24" t="n"/>
      <c r="AA46" s="23" t="n"/>
      <c r="AB46" s="24" t="n"/>
      <c r="AC46" s="25" t="n"/>
      <c r="AD46" s="24" t="n"/>
      <c r="AE46" s="23" t="n"/>
      <c r="AF46" s="24" t="n"/>
      <c r="AG46" s="25" t="n"/>
      <c r="AH46" s="24" t="n"/>
      <c r="AI46" s="23" t="n"/>
      <c r="AJ46" s="24" t="n"/>
      <c r="AK46" s="25" t="n"/>
      <c r="AL46" s="24" t="n"/>
      <c r="AM46" s="23" t="n"/>
      <c r="AN46" s="24" t="n"/>
      <c r="AO46" s="25" t="n"/>
      <c r="AP46" s="24" t="n"/>
      <c r="AQ46" s="23" t="n"/>
      <c r="AR46" s="24" t="n"/>
      <c r="AS46" s="25" t="n"/>
      <c r="AT46" s="24" t="n"/>
      <c r="AU46" s="23" t="n"/>
      <c r="AV46" s="24" t="n"/>
      <c r="AW46" s="25" t="n"/>
      <c r="AX46" s="24" t="n"/>
      <c r="AY46" s="23" t="n"/>
      <c r="AZ46" s="24" t="n"/>
      <c r="BA46" s="25" t="n"/>
      <c r="BB46" s="24" t="n"/>
      <c r="BC46" s="23" t="n"/>
      <c r="BD46" s="24" t="n"/>
      <c r="BE46" s="25" t="n"/>
      <c r="BF46" s="24" t="n"/>
      <c r="BG46" s="23" t="n"/>
      <c r="BH46" s="24" t="n"/>
      <c r="BI46" s="25" t="n"/>
      <c r="BJ46" s="24" t="n"/>
      <c r="BK46" s="340" t="n"/>
      <c r="BL46" s="803">
        <f>SUMPRODUCT(--(MOD(COLUMN($O46:$AL46),4)=MOD(COLUMN($O46)+0,4)),$O46:$AL46)
+SUMPRODUCT(--(MOD(COLUMN($AM46:$BJ46),4)=MOD(COLUMN($AM46)+0,4)),$AM46:$BJ46)</f>
        <v/>
      </c>
      <c r="BM46" s="804">
        <f>SUMPRODUCT(--(MOD(COLUMN($O46:$AL46),4)=MOD(COLUMN($O46)+0,4)),$O46:$AL46)*
$I46+SUMPRODUCT(--(MOD(COLUMN($AM46:$BJ46),4)=MOD(COLUMN($AM46)+0,4)),$AM46:$BJ46)*$I46</f>
        <v/>
      </c>
      <c r="BN46" s="805">
        <f>SUMPRODUCT(--(MOD(COLUMN($O46:$AL46),4)=MOD(COLUMN($O46)+1,4)),$O46:$AL46)
+SUMPRODUCT(--(MOD(COLUMN($AM46:$BJ46),4)=MOD(COLUMN($AM46)+1,4)),$AM46:$BJ46)</f>
        <v/>
      </c>
      <c r="BO46" s="806">
        <f>SUMPRODUCT(--(MOD(COLUMN($O46:$AL46),4)=MOD(COLUMN($O46)+1,4)),$O46:$AL46)*
$I46+SUMPRODUCT(--(MOD(COLUMN($AM46:$BJ46),4)=MOD(COLUMN($AM46)+1,4)),$AM46:$BJ46)*$I46</f>
        <v/>
      </c>
      <c r="BP46" s="807">
        <f>SUMPRODUCT(--(MOD(COLUMN($O46:$AL46),4)=MOD(COLUMN($O46)+2,4)),$O46:$AL46)
+SUMPRODUCT(--(MOD(COLUMN($AM46:$BJ46),4)=MOD(COLUMN($AM46)+2,4)),$AM46:$BJ46)</f>
        <v/>
      </c>
      <c r="BQ46" s="808">
        <f>SUMPRODUCT(--(MOD(COLUMN($O46:$AL46),4)=MOD(COLUMN($O46)+2,4)),$O46:$AL46)*
$I46+SUMPRODUCT(--(MOD(COLUMN($AM46:$BJ46),4)=MOD(COLUMN($AM46)+2,4)),$AM46:$BJ46)*$I46</f>
        <v/>
      </c>
      <c r="BR46" s="809" t="n"/>
      <c r="BS46" s="801" t="n"/>
      <c r="BT46" s="23" t="n"/>
      <c r="BU46" s="24" t="n"/>
      <c r="BV46" s="25" t="n"/>
      <c r="BW46" s="24" t="n"/>
      <c r="BX46" s="23" t="n"/>
      <c r="BY46" s="24" t="n"/>
      <c r="BZ46" s="25" t="n"/>
      <c r="CA46" s="24" t="n"/>
      <c r="CB46" s="23" t="n"/>
      <c r="CC46" s="24" t="n"/>
      <c r="CD46" s="25" t="n"/>
      <c r="CE46" s="24" t="n"/>
      <c r="CF46" s="23" t="n"/>
      <c r="CG46" s="24" t="n"/>
      <c r="CH46" s="25" t="n"/>
      <c r="CI46" s="24" t="n"/>
      <c r="CJ46" s="23" t="n"/>
      <c r="CK46" s="24" t="n"/>
      <c r="CL46" s="25" t="n"/>
      <c r="CM46" s="24" t="n"/>
      <c r="CN46" s="23" t="n"/>
      <c r="CO46" s="24" t="n"/>
      <c r="CP46" s="25" t="n"/>
      <c r="CQ46" s="24" t="n"/>
      <c r="CR46" s="23" t="n"/>
      <c r="CS46" s="24" t="n"/>
      <c r="CT46" s="25" t="n"/>
      <c r="CU46" s="24" t="n"/>
      <c r="CV46" s="23" t="n"/>
      <c r="CW46" s="24" t="n"/>
      <c r="CX46" s="25" t="n"/>
      <c r="CY46" s="24" t="n"/>
      <c r="CZ46" s="23" t="n"/>
      <c r="DA46" s="24" t="n"/>
      <c r="DB46" s="25" t="n"/>
      <c r="DC46" s="24" t="n"/>
      <c r="DD46" s="23" t="n"/>
      <c r="DE46" s="24" t="n"/>
      <c r="DF46" s="25" t="n"/>
      <c r="DG46" s="24" t="n"/>
      <c r="DH46" s="23" t="n"/>
      <c r="DI46" s="24" t="n"/>
      <c r="DJ46" s="25" t="n"/>
      <c r="DK46" s="24" t="n"/>
      <c r="DL46" s="23" t="n"/>
      <c r="DM46" s="24" t="n"/>
      <c r="DN46" s="25" t="n"/>
      <c r="DO46" s="24" t="n"/>
      <c r="DP46" s="340" t="n"/>
      <c r="DQ46" s="803" t="n"/>
      <c r="DR46" s="803" t="n"/>
      <c r="DS46" s="809" t="n"/>
      <c r="DT46" s="801" t="n"/>
      <c r="DU46" s="23" t="n"/>
      <c r="DV46" s="24" t="n"/>
      <c r="DW46" s="25" t="n"/>
      <c r="DX46" s="24" t="n"/>
      <c r="DY46" s="23" t="n"/>
      <c r="DZ46" s="24" t="n"/>
      <c r="EA46" s="25" t="n"/>
      <c r="EB46" s="24" t="n"/>
      <c r="EC46" s="23" t="n"/>
      <c r="ED46" s="24" t="n"/>
      <c r="EE46" s="25" t="n"/>
      <c r="EF46" s="24" t="n"/>
      <c r="EG46" s="23" t="n"/>
      <c r="EH46" s="24" t="n"/>
      <c r="EI46" s="25" t="n"/>
      <c r="EJ46" s="24" t="n"/>
      <c r="EK46" s="23" t="n"/>
      <c r="EL46" s="24" t="n"/>
      <c r="EM46" s="25" t="n"/>
      <c r="EN46" s="24" t="n"/>
      <c r="EO46" s="23" t="n"/>
      <c r="EP46" s="24" t="n"/>
      <c r="EQ46" s="25" t="n"/>
      <c r="ER46" s="24" t="n"/>
      <c r="ES46" s="23" t="n"/>
      <c r="ET46" s="24" t="n"/>
      <c r="EU46" s="25" t="n"/>
      <c r="EV46" s="24" t="n"/>
      <c r="EW46" s="23" t="n"/>
      <c r="EX46" s="24" t="n"/>
      <c r="EY46" s="25" t="n"/>
      <c r="EZ46" s="24" t="n"/>
      <c r="FA46" s="23" t="n"/>
      <c r="FB46" s="24" t="n"/>
      <c r="FC46" s="25" t="n"/>
      <c r="FD46" s="24" t="n"/>
      <c r="FE46" s="23" t="n"/>
      <c r="FF46" s="24" t="n"/>
      <c r="FG46" s="25" t="n"/>
      <c r="FH46" s="24" t="n"/>
      <c r="FI46" s="23" t="n"/>
      <c r="FJ46" s="24" t="n"/>
      <c r="FK46" s="25" t="n"/>
      <c r="FL46" s="24" t="n"/>
      <c r="FM46" s="23" t="n"/>
      <c r="FN46" s="24" t="n"/>
      <c r="FO46" s="25" t="n"/>
      <c r="FP46" s="24" t="n"/>
      <c r="FQ46" s="340" t="n"/>
      <c r="FR46" s="803" t="n"/>
      <c r="FS46" s="803" t="n"/>
      <c r="FT46" s="360" t="n"/>
    </row>
    <row r="47" outlineLevel="2" customFormat="1" s="14">
      <c r="A47" s="56" t="inlineStr">
        <is>
          <t>ПЛАНТ ООО</t>
        </is>
      </c>
      <c r="B47" s="16" t="inlineStr">
        <is>
          <t>Предоплата 50%</t>
        </is>
      </c>
      <c r="C47" s="15" t="inlineStr">
        <is>
          <t>ВБК Восток</t>
        </is>
      </c>
      <c r="D47" s="15" t="inlineStr">
        <is>
          <t>Прасолов, Соловьёв</t>
        </is>
      </c>
      <c r="E47" s="17">
        <f>IF(ISBLANK(G47),"",IF($A$6:$A$64=$A47,COUNTIF($A$6:A47,$A47),""))</f>
        <v/>
      </c>
      <c r="F47" s="17" t="n">
        <v>1</v>
      </c>
      <c r="G47" s="33" t="n">
        <v>4235041001</v>
      </c>
      <c r="H47" s="18" t="inlineStr">
        <is>
          <t>Тормозная камера, тип 20</t>
        </is>
      </c>
      <c r="I47" s="624">
        <f>163.08/НДС_20</f>
        <v/>
      </c>
      <c r="J47" s="798" t="n"/>
      <c r="K47" s="798" t="n"/>
      <c r="L47" s="798">
        <f>IF(K47="RUB",J47/ЮАНЬ,IF(K47="EUR",J47*ЕВРО/ЮАНЬ,""))</f>
        <v/>
      </c>
      <c r="M47" s="801" t="n"/>
      <c r="N47" s="802">
        <f>IF(BP47&gt;0,1,IF(BN47&gt;0,2,))</f>
        <v/>
      </c>
      <c r="O47" s="23" t="n"/>
      <c r="P47" s="24" t="n"/>
      <c r="Q47" s="25" t="n"/>
      <c r="R47" s="24" t="n"/>
      <c r="S47" s="23" t="n"/>
      <c r="T47" s="24" t="n"/>
      <c r="U47" s="25" t="n">
        <v>0</v>
      </c>
      <c r="V47" s="24" t="n"/>
      <c r="W47" s="23" t="n"/>
      <c r="X47" s="24" t="n"/>
      <c r="Y47" s="25" t="n"/>
      <c r="Z47" s="24" t="n"/>
      <c r="AA47" s="23" t="n"/>
      <c r="AB47" s="24" t="n"/>
      <c r="AC47" s="25" t="n"/>
      <c r="AD47" s="24" t="n"/>
      <c r="AE47" s="23" t="n"/>
      <c r="AF47" s="24" t="n"/>
      <c r="AG47" s="25" t="n"/>
      <c r="AH47" s="24" t="n"/>
      <c r="AI47" s="23" t="n"/>
      <c r="AJ47" s="24" t="n"/>
      <c r="AK47" s="25" t="n"/>
      <c r="AL47" s="24" t="n"/>
      <c r="AM47" s="23" t="n"/>
      <c r="AN47" s="24" t="n"/>
      <c r="AO47" s="25" t="n"/>
      <c r="AP47" s="24" t="n"/>
      <c r="AQ47" s="23" t="n"/>
      <c r="AR47" s="24" t="n"/>
      <c r="AS47" s="25" t="n"/>
      <c r="AT47" s="24" t="n"/>
      <c r="AU47" s="23" t="n"/>
      <c r="AV47" s="24" t="n"/>
      <c r="AW47" s="25" t="n"/>
      <c r="AX47" s="24" t="n"/>
      <c r="AY47" s="23" t="n"/>
      <c r="AZ47" s="24" t="n"/>
      <c r="BA47" s="25" t="n"/>
      <c r="BB47" s="24" t="n"/>
      <c r="BC47" s="23" t="n"/>
      <c r="BD47" s="24" t="n"/>
      <c r="BE47" s="25" t="n"/>
      <c r="BF47" s="24" t="n"/>
      <c r="BG47" s="23" t="n"/>
      <c r="BH47" s="24" t="n"/>
      <c r="BI47" s="25" t="n"/>
      <c r="BJ47" s="24" t="n"/>
      <c r="BK47" s="340" t="n"/>
      <c r="BL47" s="803">
        <f>SUMPRODUCT(--(MOD(COLUMN($O47:$AL47),4)=MOD(COLUMN($O47)+0,4)),$O47:$AL47)
+SUMPRODUCT(--(MOD(COLUMN($AM47:$BJ47),4)=MOD(COLUMN($AM47)+0,4)),$AM47:$BJ47)</f>
        <v/>
      </c>
      <c r="BM47" s="804">
        <f>SUMPRODUCT(--(MOD(COLUMN($O47:$AL47),4)=MOD(COLUMN($O47)+0,4)),$O47:$AL47)*
$I47+SUMPRODUCT(--(MOD(COLUMN($AM47:$BJ47),4)=MOD(COLUMN($AM47)+0,4)),$AM47:$BJ47)*$I47</f>
        <v/>
      </c>
      <c r="BN47" s="805">
        <f>SUMPRODUCT(--(MOD(COLUMN($O47:$AL47),4)=MOD(COLUMN($O47)+1,4)),$O47:$AL47)
+SUMPRODUCT(--(MOD(COLUMN($AM47:$BJ47),4)=MOD(COLUMN($AM47)+1,4)),$AM47:$BJ47)</f>
        <v/>
      </c>
      <c r="BO47" s="806">
        <f>SUMPRODUCT(--(MOD(COLUMN($O47:$AL47),4)=MOD(COLUMN($O47)+1,4)),$O47:$AL47)*
$I47+SUMPRODUCT(--(MOD(COLUMN($AM47:$BJ47),4)=MOD(COLUMN($AM47)+1,4)),$AM47:$BJ47)*$I47</f>
        <v/>
      </c>
      <c r="BP47" s="807">
        <f>SUMPRODUCT(--(MOD(COLUMN($O47:$AL47),4)=MOD(COLUMN($O47)+2,4)),$O47:$AL47)
+SUMPRODUCT(--(MOD(COLUMN($AM47:$BJ47),4)=MOD(COLUMN($AM47)+2,4)),$AM47:$BJ47)</f>
        <v/>
      </c>
      <c r="BQ47" s="808">
        <f>SUMPRODUCT(--(MOD(COLUMN($O47:$AL47),4)=MOD(COLUMN($O47)+2,4)),$O47:$AL47)*
$I47+SUMPRODUCT(--(MOD(COLUMN($AM47:$BJ47),4)=MOD(COLUMN($AM47)+2,4)),$AM47:$BJ47)*$I47</f>
        <v/>
      </c>
      <c r="BR47" s="809" t="n"/>
      <c r="BS47" s="801" t="n"/>
      <c r="BT47" s="23" t="n"/>
      <c r="BU47" s="24" t="n"/>
      <c r="BV47" s="25" t="n"/>
      <c r="BW47" s="24" t="n"/>
      <c r="BX47" s="23" t="n"/>
      <c r="BY47" s="24" t="n"/>
      <c r="BZ47" s="25" t="n"/>
      <c r="CA47" s="24" t="n"/>
      <c r="CB47" s="23" t="n"/>
      <c r="CC47" s="24" t="n"/>
      <c r="CD47" s="25" t="n"/>
      <c r="CE47" s="24" t="n"/>
      <c r="CF47" s="23" t="n"/>
      <c r="CG47" s="24" t="n"/>
      <c r="CH47" s="25" t="n"/>
      <c r="CI47" s="24" t="n"/>
      <c r="CJ47" s="23" t="n"/>
      <c r="CK47" s="24" t="n"/>
      <c r="CL47" s="25" t="n"/>
      <c r="CM47" s="24" t="n"/>
      <c r="CN47" s="23" t="n"/>
      <c r="CO47" s="24" t="n"/>
      <c r="CP47" s="25" t="n"/>
      <c r="CQ47" s="24" t="n"/>
      <c r="CR47" s="23" t="n"/>
      <c r="CS47" s="24" t="n"/>
      <c r="CT47" s="25" t="n"/>
      <c r="CU47" s="24" t="n"/>
      <c r="CV47" s="23" t="n"/>
      <c r="CW47" s="24" t="n"/>
      <c r="CX47" s="25" t="n"/>
      <c r="CY47" s="24" t="n"/>
      <c r="CZ47" s="23" t="n"/>
      <c r="DA47" s="24" t="n"/>
      <c r="DB47" s="25" t="n"/>
      <c r="DC47" s="24" t="n"/>
      <c r="DD47" s="23" t="n"/>
      <c r="DE47" s="24" t="n"/>
      <c r="DF47" s="25" t="n"/>
      <c r="DG47" s="24" t="n"/>
      <c r="DH47" s="23" t="n"/>
      <c r="DI47" s="24" t="n"/>
      <c r="DJ47" s="25" t="n"/>
      <c r="DK47" s="24" t="n"/>
      <c r="DL47" s="23" t="n"/>
      <c r="DM47" s="24" t="n"/>
      <c r="DN47" s="25" t="n"/>
      <c r="DO47" s="24" t="n"/>
      <c r="DP47" s="340" t="n"/>
      <c r="DQ47" s="803" t="n"/>
      <c r="DR47" s="803" t="n"/>
      <c r="DS47" s="809" t="n"/>
      <c r="DT47" s="801" t="n"/>
      <c r="DU47" s="23" t="n"/>
      <c r="DV47" s="24" t="n"/>
      <c r="DW47" s="25" t="n"/>
      <c r="DX47" s="24" t="n"/>
      <c r="DY47" s="23" t="n"/>
      <c r="DZ47" s="24" t="n"/>
      <c r="EA47" s="25" t="n"/>
      <c r="EB47" s="24" t="n"/>
      <c r="EC47" s="23" t="n"/>
      <c r="ED47" s="24" t="n"/>
      <c r="EE47" s="25" t="n"/>
      <c r="EF47" s="24" t="n"/>
      <c r="EG47" s="23" t="n"/>
      <c r="EH47" s="24" t="n"/>
      <c r="EI47" s="25" t="n"/>
      <c r="EJ47" s="24" t="n"/>
      <c r="EK47" s="23" t="n"/>
      <c r="EL47" s="24" t="n"/>
      <c r="EM47" s="25" t="n"/>
      <c r="EN47" s="24" t="n"/>
      <c r="EO47" s="23" t="n"/>
      <c r="EP47" s="24" t="n"/>
      <c r="EQ47" s="25" t="n"/>
      <c r="ER47" s="24" t="n"/>
      <c r="ES47" s="23" t="n"/>
      <c r="ET47" s="24" t="n"/>
      <c r="EU47" s="25" t="n"/>
      <c r="EV47" s="24" t="n"/>
      <c r="EW47" s="23" t="n"/>
      <c r="EX47" s="24" t="n"/>
      <c r="EY47" s="25" t="n"/>
      <c r="EZ47" s="24" t="n"/>
      <c r="FA47" s="23" t="n"/>
      <c r="FB47" s="24" t="n"/>
      <c r="FC47" s="25" t="n"/>
      <c r="FD47" s="24" t="n"/>
      <c r="FE47" s="23" t="n"/>
      <c r="FF47" s="24" t="n"/>
      <c r="FG47" s="25" t="n"/>
      <c r="FH47" s="24" t="n"/>
      <c r="FI47" s="23" t="n"/>
      <c r="FJ47" s="24" t="n"/>
      <c r="FK47" s="25" t="n"/>
      <c r="FL47" s="24" t="n"/>
      <c r="FM47" s="23" t="n"/>
      <c r="FN47" s="24" t="n"/>
      <c r="FO47" s="25" t="n"/>
      <c r="FP47" s="24" t="n"/>
      <c r="FQ47" s="340" t="n"/>
      <c r="FR47" s="803" t="n"/>
      <c r="FS47" s="803" t="n"/>
      <c r="FT47" s="360" t="n"/>
    </row>
    <row r="48" outlineLevel="2" customFormat="1" s="14">
      <c r="A48" s="56" t="inlineStr">
        <is>
          <t>ПЛАНТ ООО</t>
        </is>
      </c>
      <c r="B48" s="16" t="inlineStr">
        <is>
          <t>Предоплата 50%</t>
        </is>
      </c>
      <c r="C48" s="15" t="inlineStr">
        <is>
          <t>ВБК Восток</t>
        </is>
      </c>
      <c r="D48" s="15" t="inlineStr">
        <is>
          <t>Прасолов, Соловьёв</t>
        </is>
      </c>
      <c r="E48" s="17">
        <f>IF(ISBLANK(G48),"",IF($A$6:$A$64=$A48,COUNTIF($A$6:A48,$A48),""))</f>
        <v/>
      </c>
      <c r="F48" s="17" t="n">
        <v>1</v>
      </c>
      <c r="G48" s="33" t="n">
        <v>9254800504</v>
      </c>
      <c r="H48" s="18" t="inlineStr">
        <is>
          <t>Энергоаккумулятор, тип 20/24</t>
        </is>
      </c>
      <c r="I48" s="624">
        <f>373.98/НДС_20</f>
        <v/>
      </c>
      <c r="J48" s="798" t="n"/>
      <c r="K48" s="798" t="n"/>
      <c r="L48" s="798">
        <f>IF(K48="RUB",J48/ЮАНЬ,IF(K48="EUR",J48*ЕВРО/ЮАНЬ,""))</f>
        <v/>
      </c>
      <c r="M48" s="801" t="n"/>
      <c r="N48" s="802">
        <f>IF(BP48&gt;0,1,IF(BN48&gt;0,2,))</f>
        <v/>
      </c>
      <c r="O48" s="23" t="n"/>
      <c r="P48" s="24" t="n"/>
      <c r="Q48" s="25" t="n"/>
      <c r="R48" s="24" t="n"/>
      <c r="S48" s="23" t="n"/>
      <c r="T48" s="24" t="n"/>
      <c r="U48" s="25" t="n">
        <v>0</v>
      </c>
      <c r="V48" s="24" t="n"/>
      <c r="W48" s="23" t="n"/>
      <c r="X48" s="24" t="n"/>
      <c r="Y48" s="25" t="n"/>
      <c r="Z48" s="24" t="n"/>
      <c r="AA48" s="23" t="n"/>
      <c r="AB48" s="24" t="n"/>
      <c r="AC48" s="25" t="n"/>
      <c r="AD48" s="24" t="n"/>
      <c r="AE48" s="23" t="n"/>
      <c r="AF48" s="24" t="n"/>
      <c r="AG48" s="25" t="n"/>
      <c r="AH48" s="24" t="n"/>
      <c r="AI48" s="23" t="n"/>
      <c r="AJ48" s="24" t="n"/>
      <c r="AK48" s="25" t="n"/>
      <c r="AL48" s="24" t="n"/>
      <c r="AM48" s="23" t="n"/>
      <c r="AN48" s="24" t="n"/>
      <c r="AO48" s="25" t="n"/>
      <c r="AP48" s="24" t="n"/>
      <c r="AQ48" s="23" t="n"/>
      <c r="AR48" s="24" t="n"/>
      <c r="AS48" s="25" t="n"/>
      <c r="AT48" s="24" t="n"/>
      <c r="AU48" s="23" t="n"/>
      <c r="AV48" s="24" t="n"/>
      <c r="AW48" s="25" t="n"/>
      <c r="AX48" s="24" t="n"/>
      <c r="AY48" s="23" t="n"/>
      <c r="AZ48" s="24" t="n"/>
      <c r="BA48" s="25" t="n"/>
      <c r="BB48" s="24" t="n"/>
      <c r="BC48" s="23" t="n"/>
      <c r="BD48" s="24" t="n"/>
      <c r="BE48" s="25" t="n"/>
      <c r="BF48" s="24" t="n"/>
      <c r="BG48" s="23" t="n"/>
      <c r="BH48" s="24" t="n"/>
      <c r="BI48" s="25" t="n"/>
      <c r="BJ48" s="24" t="n"/>
      <c r="BK48" s="340" t="n"/>
      <c r="BL48" s="803">
        <f>SUMPRODUCT(--(MOD(COLUMN($O48:$AL48),4)=MOD(COLUMN($O48)+0,4)),$O48:$AL48)
+SUMPRODUCT(--(MOD(COLUMN($AM48:$BJ48),4)=MOD(COLUMN($AM48)+0,4)),$AM48:$BJ48)</f>
        <v/>
      </c>
      <c r="BM48" s="804">
        <f>SUMPRODUCT(--(MOD(COLUMN($O48:$AL48),4)=MOD(COLUMN($O48)+0,4)),$O48:$AL48)*
$I48+SUMPRODUCT(--(MOD(COLUMN($AM48:$BJ48),4)=MOD(COLUMN($AM48)+0,4)),$AM48:$BJ48)*$I48</f>
        <v/>
      </c>
      <c r="BN48" s="805">
        <f>SUMPRODUCT(--(MOD(COLUMN($O48:$AL48),4)=MOD(COLUMN($O48)+1,4)),$O48:$AL48)
+SUMPRODUCT(--(MOD(COLUMN($AM48:$BJ48),4)=MOD(COLUMN($AM48)+1,4)),$AM48:$BJ48)</f>
        <v/>
      </c>
      <c r="BO48" s="806">
        <f>SUMPRODUCT(--(MOD(COLUMN($O48:$AL48),4)=MOD(COLUMN($O48)+1,4)),$O48:$AL48)*
$I48+SUMPRODUCT(--(MOD(COLUMN($AM48:$BJ48),4)=MOD(COLUMN($AM48)+1,4)),$AM48:$BJ48)*$I48</f>
        <v/>
      </c>
      <c r="BP48" s="807">
        <f>SUMPRODUCT(--(MOD(COLUMN($O48:$AL48),4)=MOD(COLUMN($O48)+2,4)),$O48:$AL48)
+SUMPRODUCT(--(MOD(COLUMN($AM48:$BJ48),4)=MOD(COLUMN($AM48)+2,4)),$AM48:$BJ48)</f>
        <v/>
      </c>
      <c r="BQ48" s="808">
        <f>SUMPRODUCT(--(MOD(COLUMN($O48:$AL48),4)=MOD(COLUMN($O48)+2,4)),$O48:$AL48)*
$I48+SUMPRODUCT(--(MOD(COLUMN($AM48:$BJ48),4)=MOD(COLUMN($AM48)+2,4)),$AM48:$BJ48)*$I48</f>
        <v/>
      </c>
      <c r="BR48" s="809" t="n"/>
      <c r="BS48" s="801" t="n"/>
      <c r="BT48" s="23" t="n"/>
      <c r="BU48" s="24" t="n"/>
      <c r="BV48" s="25" t="n"/>
      <c r="BW48" s="24" t="n"/>
      <c r="BX48" s="23" t="n"/>
      <c r="BY48" s="24" t="n"/>
      <c r="BZ48" s="25" t="n"/>
      <c r="CA48" s="24" t="n"/>
      <c r="CB48" s="23" t="n"/>
      <c r="CC48" s="24" t="n"/>
      <c r="CD48" s="25" t="n"/>
      <c r="CE48" s="24" t="n"/>
      <c r="CF48" s="23" t="n"/>
      <c r="CG48" s="24" t="n"/>
      <c r="CH48" s="25" t="n"/>
      <c r="CI48" s="24" t="n"/>
      <c r="CJ48" s="23" t="n"/>
      <c r="CK48" s="24" t="n"/>
      <c r="CL48" s="25" t="n"/>
      <c r="CM48" s="24" t="n"/>
      <c r="CN48" s="23" t="n"/>
      <c r="CO48" s="24" t="n"/>
      <c r="CP48" s="25" t="n"/>
      <c r="CQ48" s="24" t="n"/>
      <c r="CR48" s="23" t="n"/>
      <c r="CS48" s="24" t="n"/>
      <c r="CT48" s="25" t="n"/>
      <c r="CU48" s="24" t="n"/>
      <c r="CV48" s="23" t="n"/>
      <c r="CW48" s="24" t="n"/>
      <c r="CX48" s="25" t="n"/>
      <c r="CY48" s="24" t="n"/>
      <c r="CZ48" s="23" t="n"/>
      <c r="DA48" s="24" t="n"/>
      <c r="DB48" s="25" t="n"/>
      <c r="DC48" s="24" t="n"/>
      <c r="DD48" s="23" t="n"/>
      <c r="DE48" s="24" t="n"/>
      <c r="DF48" s="25" t="n"/>
      <c r="DG48" s="24" t="n"/>
      <c r="DH48" s="23" t="n"/>
      <c r="DI48" s="24" t="n"/>
      <c r="DJ48" s="25" t="n"/>
      <c r="DK48" s="24" t="n"/>
      <c r="DL48" s="23" t="n"/>
      <c r="DM48" s="24" t="n"/>
      <c r="DN48" s="25" t="n"/>
      <c r="DO48" s="24" t="n"/>
      <c r="DP48" s="340" t="n"/>
      <c r="DQ48" s="803" t="n"/>
      <c r="DR48" s="803" t="n"/>
      <c r="DS48" s="809" t="n"/>
      <c r="DT48" s="801" t="n"/>
      <c r="DU48" s="23" t="n"/>
      <c r="DV48" s="24" t="n"/>
      <c r="DW48" s="25" t="n"/>
      <c r="DX48" s="24" t="n"/>
      <c r="DY48" s="23" t="n"/>
      <c r="DZ48" s="24" t="n"/>
      <c r="EA48" s="25" t="n"/>
      <c r="EB48" s="24" t="n"/>
      <c r="EC48" s="23" t="n"/>
      <c r="ED48" s="24" t="n"/>
      <c r="EE48" s="25" t="n"/>
      <c r="EF48" s="24" t="n"/>
      <c r="EG48" s="23" t="n"/>
      <c r="EH48" s="24" t="n"/>
      <c r="EI48" s="25" t="n"/>
      <c r="EJ48" s="24" t="n"/>
      <c r="EK48" s="23" t="n"/>
      <c r="EL48" s="24" t="n"/>
      <c r="EM48" s="25" t="n"/>
      <c r="EN48" s="24" t="n"/>
      <c r="EO48" s="23" t="n"/>
      <c r="EP48" s="24" t="n"/>
      <c r="EQ48" s="25" t="n"/>
      <c r="ER48" s="24" t="n"/>
      <c r="ES48" s="23" t="n"/>
      <c r="ET48" s="24" t="n"/>
      <c r="EU48" s="25" t="n"/>
      <c r="EV48" s="24" t="n"/>
      <c r="EW48" s="23" t="n"/>
      <c r="EX48" s="24" t="n"/>
      <c r="EY48" s="25" t="n"/>
      <c r="EZ48" s="24" t="n"/>
      <c r="FA48" s="23" t="n"/>
      <c r="FB48" s="24" t="n"/>
      <c r="FC48" s="25" t="n"/>
      <c r="FD48" s="24" t="n"/>
      <c r="FE48" s="23" t="n"/>
      <c r="FF48" s="24" t="n"/>
      <c r="FG48" s="25" t="n"/>
      <c r="FH48" s="24" t="n"/>
      <c r="FI48" s="23" t="n"/>
      <c r="FJ48" s="24" t="n"/>
      <c r="FK48" s="25" t="n"/>
      <c r="FL48" s="24" t="n"/>
      <c r="FM48" s="23" t="n"/>
      <c r="FN48" s="24" t="n"/>
      <c r="FO48" s="25" t="n"/>
      <c r="FP48" s="24" t="n"/>
      <c r="FQ48" s="340" t="n"/>
      <c r="FR48" s="803" t="n"/>
      <c r="FS48" s="803" t="n"/>
      <c r="FT48" s="360" t="n"/>
    </row>
    <row r="49" outlineLevel="2" customFormat="1" s="14">
      <c r="A49" s="56" t="inlineStr">
        <is>
          <t>ПЛАНТ ООО</t>
        </is>
      </c>
      <c r="B49" s="16" t="n"/>
      <c r="C49" s="15" t="n"/>
      <c r="D49" s="15" t="n"/>
      <c r="E49" s="35">
        <f>IF(ISBLANK(G49),"",IF($A$6:$A$64=$A49,COUNTIF($A$6:A49,$A49),""))</f>
        <v/>
      </c>
      <c r="F49" s="35" t="n"/>
      <c r="G49" s="53" t="n"/>
      <c r="H49" s="36" t="inlineStr">
        <is>
          <t>Итого</t>
        </is>
      </c>
      <c r="I49" s="626" t="n"/>
      <c r="J49" s="810" t="n"/>
      <c r="K49" s="810" t="n"/>
      <c r="L49" s="810">
        <f>IF(K49="RUB",J49/ЮАНЬ,IF(K49="EUR",J49*ЕВРО/ЮАНЬ,""))</f>
        <v/>
      </c>
      <c r="M49" s="801" t="n"/>
      <c r="N49" s="802">
        <f>IF(BP49&gt;0,1,IF(BN49&gt;0,2,))</f>
        <v/>
      </c>
      <c r="O49" s="40" t="n"/>
      <c r="P49" s="41" t="n"/>
      <c r="Q49" s="42" t="n"/>
      <c r="R49" s="41" t="n"/>
      <c r="S49" s="40" t="n"/>
      <c r="T49" s="41" t="n"/>
      <c r="U49" s="42" t="n"/>
      <c r="V49" s="41" t="n"/>
      <c r="W49" s="40" t="n"/>
      <c r="X49" s="41" t="n"/>
      <c r="Y49" s="42" t="n"/>
      <c r="Z49" s="41" t="n"/>
      <c r="AA49" s="40" t="n"/>
      <c r="AB49" s="41" t="n"/>
      <c r="AC49" s="42" t="n"/>
      <c r="AD49" s="41" t="n"/>
      <c r="AE49" s="40" t="n"/>
      <c r="AF49" s="41" t="n"/>
      <c r="AG49" s="42" t="n"/>
      <c r="AH49" s="41" t="n"/>
      <c r="AI49" s="40" t="n"/>
      <c r="AJ49" s="41" t="n"/>
      <c r="AK49" s="42" t="n"/>
      <c r="AL49" s="41" t="n"/>
      <c r="AM49" s="40" t="n"/>
      <c r="AN49" s="41" t="n"/>
      <c r="AO49" s="42" t="n"/>
      <c r="AP49" s="41" t="n"/>
      <c r="AQ49" s="40" t="n"/>
      <c r="AR49" s="41" t="n"/>
      <c r="AS49" s="42" t="n"/>
      <c r="AT49" s="41" t="n"/>
      <c r="AU49" s="40" t="n"/>
      <c r="AV49" s="41" t="n"/>
      <c r="AW49" s="42" t="n"/>
      <c r="AX49" s="41" t="n"/>
      <c r="AY49" s="40" t="n"/>
      <c r="AZ49" s="41" t="n"/>
      <c r="BA49" s="42" t="n"/>
      <c r="BB49" s="41" t="n"/>
      <c r="BC49" s="40" t="n"/>
      <c r="BD49" s="41" t="n"/>
      <c r="BE49" s="42" t="n"/>
      <c r="BF49" s="41" t="n"/>
      <c r="BG49" s="40" t="n"/>
      <c r="BH49" s="41" t="n"/>
      <c r="BI49" s="42" t="n"/>
      <c r="BJ49" s="43" t="n"/>
      <c r="BK49" s="341" t="n"/>
      <c r="BL49" s="811">
        <f>SUMPRODUCT(--(MOD(COLUMN($O49:$AL49),4)=MOD(COLUMN($O49)+0,4)),$O49:$AL49)
+SUMPRODUCT(--(MOD(COLUMN($AM49:$BJ49),4)=MOD(COLUMN($AM49)+0,4)),$AM49:$BJ49)</f>
        <v/>
      </c>
      <c r="BM49" s="812">
        <f>SUMPRODUCT(--(MOD(COLUMN($O49:$AL49),4)=MOD(COLUMN($O49)+0,4)),$O49:$AL49)*
$I49+SUMPRODUCT(--(MOD(COLUMN($AM49:$BJ49),4)=MOD(COLUMN($AM49)+0,4)),$AM49:$BJ49)*$I49</f>
        <v/>
      </c>
      <c r="BN49" s="805">
        <f>SUMPRODUCT(--(MOD(COLUMN($O49:$AL49),4)=MOD(COLUMN($O49)+1,4)),$O49:$AL49)
+SUMPRODUCT(--(MOD(COLUMN($AM49:$BJ49),4)=MOD(COLUMN($AM49)+1,4)),$AM49:$BJ49)</f>
        <v/>
      </c>
      <c r="BO49" s="806">
        <f>SUMPRODUCT(--(MOD(COLUMN($O49:$AL49),4)=MOD(COLUMN($O49)+1,4)),$O49:$AL49)*
$I49+SUMPRODUCT(--(MOD(COLUMN($AM49:$BJ49),4)=MOD(COLUMN($AM49)+1,4)),$AM49:$BJ49)*$I49</f>
        <v/>
      </c>
      <c r="BP49" s="807">
        <f>SUMPRODUCT(--(MOD(COLUMN($O49:$AL49),4)=MOD(COLUMN($O49)+2,4)),$O49:$AL49)
+SUMPRODUCT(--(MOD(COLUMN($AM49:$BJ49),4)=MOD(COLUMN($AM49)+2,4)),$AM49:$BJ49)</f>
        <v/>
      </c>
      <c r="BQ49" s="808">
        <f>SUMPRODUCT(--(MOD(COLUMN($O49:$AL49),4)=MOD(COLUMN($O49)+2,4)),$O49:$AL49)*
$I49+SUMPRODUCT(--(MOD(COLUMN($AM49:$BJ49),4)=MOD(COLUMN($AM49)+2,4)),$AM49:$BJ49)*$I49</f>
        <v/>
      </c>
      <c r="BR49" s="813" t="n"/>
      <c r="BS49" s="801" t="n"/>
      <c r="BT49" s="40" t="n"/>
      <c r="BU49" s="41" t="n"/>
      <c r="BV49" s="42" t="n"/>
      <c r="BW49" s="41" t="n"/>
      <c r="BX49" s="40" t="n"/>
      <c r="BY49" s="41" t="n"/>
      <c r="BZ49" s="42" t="n"/>
      <c r="CA49" s="41" t="n"/>
      <c r="CB49" s="40" t="n"/>
      <c r="CC49" s="41" t="n"/>
      <c r="CD49" s="42" t="n"/>
      <c r="CE49" s="41" t="n"/>
      <c r="CF49" s="40" t="n"/>
      <c r="CG49" s="41" t="n"/>
      <c r="CH49" s="42" t="n"/>
      <c r="CI49" s="41" t="n"/>
      <c r="CJ49" s="40" t="n"/>
      <c r="CK49" s="41" t="n"/>
      <c r="CL49" s="42" t="n"/>
      <c r="CM49" s="41" t="n"/>
      <c r="CN49" s="40" t="n"/>
      <c r="CO49" s="41" t="n"/>
      <c r="CP49" s="42" t="n"/>
      <c r="CQ49" s="41" t="n"/>
      <c r="CR49" s="40" t="n"/>
      <c r="CS49" s="41" t="n"/>
      <c r="CT49" s="42" t="n"/>
      <c r="CU49" s="41" t="n"/>
      <c r="CV49" s="40" t="n"/>
      <c r="CW49" s="41" t="n"/>
      <c r="CX49" s="42" t="n"/>
      <c r="CY49" s="41" t="n"/>
      <c r="CZ49" s="40" t="n"/>
      <c r="DA49" s="41" t="n"/>
      <c r="DB49" s="42" t="n"/>
      <c r="DC49" s="41" t="n"/>
      <c r="DD49" s="40" t="n"/>
      <c r="DE49" s="41" t="n"/>
      <c r="DF49" s="42" t="n"/>
      <c r="DG49" s="41" t="n"/>
      <c r="DH49" s="40" t="n"/>
      <c r="DI49" s="41" t="n"/>
      <c r="DJ49" s="42" t="n"/>
      <c r="DK49" s="41" t="n"/>
      <c r="DL49" s="40" t="n"/>
      <c r="DM49" s="41" t="n"/>
      <c r="DN49" s="42" t="n"/>
      <c r="DO49" s="43" t="n"/>
      <c r="DP49" s="341" t="n"/>
      <c r="DQ49" s="811" t="n"/>
      <c r="DR49" s="811" t="n"/>
      <c r="DS49" s="813" t="n"/>
      <c r="DT49" s="801" t="n"/>
      <c r="DU49" s="40" t="n"/>
      <c r="DV49" s="41" t="n"/>
      <c r="DW49" s="42" t="n"/>
      <c r="DX49" s="41" t="n"/>
      <c r="DY49" s="40" t="n"/>
      <c r="DZ49" s="41" t="n"/>
      <c r="EA49" s="42" t="n"/>
      <c r="EB49" s="41" t="n"/>
      <c r="EC49" s="40" t="n"/>
      <c r="ED49" s="41" t="n"/>
      <c r="EE49" s="42" t="n"/>
      <c r="EF49" s="41" t="n"/>
      <c r="EG49" s="40" t="n"/>
      <c r="EH49" s="41" t="n"/>
      <c r="EI49" s="42" t="n"/>
      <c r="EJ49" s="41" t="n"/>
      <c r="EK49" s="40" t="n"/>
      <c r="EL49" s="41" t="n"/>
      <c r="EM49" s="42" t="n"/>
      <c r="EN49" s="41" t="n"/>
      <c r="EO49" s="40" t="n"/>
      <c r="EP49" s="41" t="n"/>
      <c r="EQ49" s="42" t="n"/>
      <c r="ER49" s="41" t="n"/>
      <c r="ES49" s="40" t="n"/>
      <c r="ET49" s="41" t="n"/>
      <c r="EU49" s="42" t="n"/>
      <c r="EV49" s="41" t="n"/>
      <c r="EW49" s="40" t="n"/>
      <c r="EX49" s="41" t="n"/>
      <c r="EY49" s="42" t="n"/>
      <c r="EZ49" s="41" t="n"/>
      <c r="FA49" s="40" t="n"/>
      <c r="FB49" s="41" t="n"/>
      <c r="FC49" s="42" t="n"/>
      <c r="FD49" s="41" t="n"/>
      <c r="FE49" s="40" t="n"/>
      <c r="FF49" s="41" t="n"/>
      <c r="FG49" s="42" t="n"/>
      <c r="FH49" s="41" t="n"/>
      <c r="FI49" s="40" t="n"/>
      <c r="FJ49" s="41" t="n"/>
      <c r="FK49" s="42" t="n"/>
      <c r="FL49" s="41" t="n"/>
      <c r="FM49" s="40" t="n"/>
      <c r="FN49" s="41" t="n"/>
      <c r="FO49" s="42" t="n"/>
      <c r="FP49" s="43" t="n"/>
      <c r="FQ49" s="341" t="n"/>
      <c r="FR49" s="811" t="n"/>
      <c r="FS49" s="811" t="n"/>
      <c r="FT49" s="360" t="n"/>
    </row>
    <row r="50" outlineLevel="1" customFormat="1" s="44">
      <c r="A50" s="502" t="inlineStr">
        <is>
          <t>ПЛАНТ ООО</t>
        </is>
      </c>
      <c r="B50" s="503" t="n"/>
      <c r="C50" s="503" t="n"/>
      <c r="D50" s="503" t="n"/>
      <c r="E50" s="504">
        <f>IF(ISBLANK(G50),"",IF($A$6:$A$64=$A50,COUNTIF($A$6:A50,$A50),""))</f>
        <v/>
      </c>
      <c r="F50" s="504" t="n"/>
      <c r="G50" s="505" t="n"/>
      <c r="H50" s="506" t="n"/>
      <c r="I50" s="630" t="n"/>
      <c r="J50" s="507" t="n"/>
      <c r="K50" s="507" t="n"/>
      <c r="L50" s="507" t="n"/>
      <c r="M50" s="335" t="n"/>
      <c r="N50" s="802">
        <f>IF(BP50&gt;0,1,IF(BN50&gt;0,2,))</f>
        <v/>
      </c>
      <c r="O50" s="335" t="n"/>
      <c r="P50" s="335" t="n"/>
      <c r="Q50" s="335" t="n"/>
      <c r="R50" s="335" t="n"/>
      <c r="S50" s="335" t="n"/>
      <c r="T50" s="335" t="n"/>
      <c r="U50" s="335" t="n"/>
      <c r="V50" s="335" t="n"/>
      <c r="W50" s="335" t="n"/>
      <c r="X50" s="335" t="n"/>
      <c r="Y50" s="335" t="n"/>
      <c r="Z50" s="335" t="n"/>
      <c r="AA50" s="335" t="n"/>
      <c r="AB50" s="335" t="n"/>
      <c r="AC50" s="335" t="n"/>
      <c r="AD50" s="335" t="n"/>
      <c r="AE50" s="335" t="n"/>
      <c r="AF50" s="335" t="n"/>
      <c r="AG50" s="335" t="n"/>
      <c r="AH50" s="335" t="n"/>
      <c r="AI50" s="335" t="n"/>
      <c r="AJ50" s="335" t="n"/>
      <c r="AK50" s="335" t="n"/>
      <c r="AL50" s="335" t="n"/>
      <c r="AM50" s="335" t="n"/>
      <c r="AN50" s="335" t="n"/>
      <c r="AO50" s="335" t="n"/>
      <c r="AP50" s="335" t="n"/>
      <c r="AQ50" s="335" t="n"/>
      <c r="AR50" s="335" t="n"/>
      <c r="AS50" s="335" t="n"/>
      <c r="AT50" s="335" t="n"/>
      <c r="AU50" s="335" t="n"/>
      <c r="AV50" s="335" t="n"/>
      <c r="AW50" s="335" t="n"/>
      <c r="AX50" s="335" t="n"/>
      <c r="AY50" s="335" t="n"/>
      <c r="AZ50" s="335" t="n"/>
      <c r="BA50" s="335" t="n"/>
      <c r="BB50" s="335" t="n"/>
      <c r="BC50" s="335" t="n"/>
      <c r="BD50" s="335" t="n"/>
      <c r="BE50" s="335" t="n"/>
      <c r="BF50" s="335" t="n"/>
      <c r="BG50" s="335" t="n"/>
      <c r="BH50" s="335" t="n"/>
      <c r="BI50" s="335" t="n"/>
      <c r="BJ50" s="335" t="n"/>
      <c r="BK50" s="335" t="n"/>
      <c r="BL50" s="816">
        <f>SUMPRODUCT(--(MOD(COLUMN($O50:$AL50),4)=MOD(COLUMN($O50)+0,4)),$O50:$AL50)
+SUMPRODUCT(--(MOD(COLUMN($AM50:$BJ50),4)=MOD(COLUMN($AM50)+0,4)),$AM50:$BJ50)</f>
        <v/>
      </c>
      <c r="BM50" s="817">
        <f>SUMPRODUCT(--(MOD(COLUMN($O50:$AL50),4)=MOD(COLUMN($O50)+0,4)),$O50:$AL50)*
$I50+SUMPRODUCT(--(MOD(COLUMN($AM50:$BJ50),4)=MOD(COLUMN($AM50)+0,4)),$AM50:$BJ50)*$I50</f>
        <v/>
      </c>
      <c r="BN50" s="816">
        <f>SUMPRODUCT(--(MOD(COLUMN($O50:$AL50),4)=MOD(COLUMN($O50)+1,4)),$O50:$AL50)
+SUMPRODUCT(--(MOD(COLUMN($AM50:$BJ50),4)=MOD(COLUMN($AM50)+1,4)),$AM50:$BJ50)</f>
        <v/>
      </c>
      <c r="BO50" s="816">
        <f>SUMPRODUCT(--(MOD(COLUMN($O50:$AL50),4)=MOD(COLUMN($O50)+1,4)),$O50:$AL50)*
$I50+SUMPRODUCT(--(MOD(COLUMN($AM50:$BJ50),4)=MOD(COLUMN($AM50)+1,4)),$AM50:$BJ50)*$I50</f>
        <v/>
      </c>
      <c r="BP50" s="816">
        <f>SUMPRODUCT(--(MOD(COLUMN($O50:$AL50),4)=MOD(COLUMN($O50)+2,4)),$O50:$AL50)
+SUMPRODUCT(--(MOD(COLUMN($AM50:$BJ50),4)=MOD(COLUMN($AM50)+2,4)),$AM50:$BJ50)</f>
        <v/>
      </c>
      <c r="BQ50" s="816">
        <f>SUMPRODUCT(--(MOD(COLUMN($O50:$AL50),4)=MOD(COLUMN($O50)+2,4)),$O50:$AL50)*
$I50+SUMPRODUCT(--(MOD(COLUMN($AM50:$BJ50),4)=MOD(COLUMN($AM50)+2,4)),$AM50:$BJ50)*$I50</f>
        <v/>
      </c>
      <c r="BR50" s="816" t="n"/>
      <c r="BS50" s="335" t="n"/>
      <c r="BT50" s="335" t="n"/>
      <c r="BU50" s="335" t="n"/>
      <c r="BV50" s="335" t="n"/>
      <c r="BW50" s="335" t="n"/>
      <c r="BX50" s="335" t="n"/>
      <c r="BY50" s="335" t="n"/>
      <c r="BZ50" s="335" t="n"/>
      <c r="CA50" s="335" t="n"/>
      <c r="CB50" s="335" t="n"/>
      <c r="CC50" s="335" t="n"/>
      <c r="CD50" s="335" t="n"/>
      <c r="CE50" s="335" t="n"/>
      <c r="CF50" s="335" t="n"/>
      <c r="CG50" s="335" t="n"/>
      <c r="CH50" s="335" t="n"/>
      <c r="CI50" s="335" t="n"/>
      <c r="CJ50" s="335" t="n"/>
      <c r="CK50" s="335" t="n"/>
      <c r="CL50" s="335" t="n"/>
      <c r="CM50" s="335" t="n"/>
      <c r="CN50" s="335" t="n"/>
      <c r="CO50" s="335" t="n"/>
      <c r="CP50" s="335" t="n"/>
      <c r="CQ50" s="335" t="n"/>
      <c r="CR50" s="335" t="n"/>
      <c r="CS50" s="335" t="n"/>
      <c r="CT50" s="335" t="n"/>
      <c r="CU50" s="335" t="n"/>
      <c r="CV50" s="335" t="n"/>
      <c r="CW50" s="335" t="n"/>
      <c r="CX50" s="335" t="n"/>
      <c r="CY50" s="335" t="n"/>
      <c r="CZ50" s="335" t="n"/>
      <c r="DA50" s="335" t="n"/>
      <c r="DB50" s="335" t="n"/>
      <c r="DC50" s="335" t="n"/>
      <c r="DD50" s="335" t="n"/>
      <c r="DE50" s="335" t="n"/>
      <c r="DF50" s="335" t="n"/>
      <c r="DG50" s="335" t="n"/>
      <c r="DH50" s="335" t="n"/>
      <c r="DI50" s="335" t="n"/>
      <c r="DJ50" s="335" t="n"/>
      <c r="DK50" s="335" t="n"/>
      <c r="DL50" s="335" t="n"/>
      <c r="DM50" s="335" t="n"/>
      <c r="DN50" s="335" t="n"/>
      <c r="DO50" s="335" t="n"/>
      <c r="DP50" s="335" t="n"/>
      <c r="DQ50" s="816" t="n"/>
      <c r="DR50" s="816" t="n"/>
      <c r="DS50" s="816" t="n"/>
      <c r="DT50" s="335" t="n"/>
      <c r="DU50" s="335" t="n"/>
      <c r="DV50" s="335" t="n"/>
      <c r="DW50" s="335" t="n"/>
      <c r="DX50" s="335" t="n"/>
      <c r="DY50" s="335" t="n"/>
      <c r="DZ50" s="335" t="n"/>
      <c r="EA50" s="335" t="n"/>
      <c r="EB50" s="335" t="n"/>
      <c r="EC50" s="335" t="n"/>
      <c r="ED50" s="335" t="n"/>
      <c r="EE50" s="335" t="n"/>
      <c r="EF50" s="335" t="n"/>
      <c r="EG50" s="335" t="n"/>
      <c r="EH50" s="335" t="n"/>
      <c r="EI50" s="335" t="n"/>
      <c r="EJ50" s="335" t="n"/>
      <c r="EK50" s="335" t="n"/>
      <c r="EL50" s="335" t="n"/>
      <c r="EM50" s="335" t="n"/>
      <c r="EN50" s="335" t="n"/>
      <c r="EO50" s="335" t="n"/>
      <c r="EP50" s="335" t="n"/>
      <c r="EQ50" s="335" t="n"/>
      <c r="ER50" s="335" t="n"/>
      <c r="ES50" s="335" t="n"/>
      <c r="ET50" s="335" t="n"/>
      <c r="EU50" s="335" t="n"/>
      <c r="EV50" s="335" t="n"/>
      <c r="EW50" s="335" t="n"/>
      <c r="EX50" s="335" t="n"/>
      <c r="EY50" s="335" t="n"/>
      <c r="EZ50" s="335" t="n"/>
      <c r="FA50" s="335" t="n"/>
      <c r="FB50" s="335" t="n"/>
      <c r="FC50" s="335" t="n"/>
      <c r="FD50" s="335" t="n"/>
      <c r="FE50" s="335" t="n"/>
      <c r="FF50" s="335" t="n"/>
      <c r="FG50" s="335" t="n"/>
      <c r="FH50" s="335" t="n"/>
      <c r="FI50" s="335" t="n"/>
      <c r="FJ50" s="335" t="n"/>
      <c r="FK50" s="335" t="n"/>
      <c r="FL50" s="335" t="n"/>
      <c r="FM50" s="335" t="n"/>
      <c r="FN50" s="335" t="n"/>
      <c r="FO50" s="335" t="n"/>
      <c r="FP50" s="335" t="n"/>
      <c r="FQ50" s="335" t="n"/>
      <c r="FR50" s="816" t="n"/>
      <c r="FS50" s="816" t="n"/>
      <c r="FT50" s="370" t="n"/>
    </row>
    <row r="51" outlineLevel="2">
      <c r="A51" s="411" t="inlineStr">
        <is>
          <t>АВГ АВТОКОМПОНЕНТЫ ООО</t>
        </is>
      </c>
      <c r="B51" s="417" t="inlineStr">
        <is>
          <t>Отсрочка 30 дней</t>
        </is>
      </c>
      <c r="C51" s="418" t="inlineStr">
        <is>
          <t>ВБК Восток</t>
        </is>
      </c>
      <c r="D51" s="411" t="inlineStr">
        <is>
          <t>Прасолов, Соловьёв</t>
        </is>
      </c>
      <c r="E51" s="412">
        <f>IF(ISBLANK(G51),"",IF($A$6:$A$64=$A51,COUNTIF($A$6:A51,$A51),""))</f>
        <v/>
      </c>
      <c r="F51" s="412" t="n">
        <v>1</v>
      </c>
      <c r="G51" s="409" t="n">
        <v>6402250560</v>
      </c>
      <c r="H51" s="410" t="inlineStr">
        <is>
          <t>6402250560 AA Тормоз дисковый ( левый )</t>
        </is>
      </c>
      <c r="I51" s="629">
        <f>2100/НДС_20</f>
        <v/>
      </c>
      <c r="J51" s="798" t="n"/>
      <c r="K51" s="798" t="n"/>
      <c r="L51" s="798">
        <f>IF(K51="RUB",J51/ЮАНЬ,IF(K51="EUR",J51*ЕВРО/ЮАНЬ,""))</f>
        <v/>
      </c>
      <c r="M51" s="801" t="n"/>
      <c r="N51" s="802">
        <f>IF(BP51&gt;0,1,IF(BN51&gt;0,2,))</f>
        <v/>
      </c>
      <c r="O51" s="23" t="n"/>
      <c r="P51" s="24" t="n"/>
      <c r="Q51" s="25" t="n">
        <v>0</v>
      </c>
      <c r="R51" s="24" t="n"/>
      <c r="S51" s="23" t="n"/>
      <c r="T51" s="24" t="n"/>
      <c r="U51" s="25" t="n">
        <v>0</v>
      </c>
      <c r="V51" s="24" t="n"/>
      <c r="W51" s="23" t="n"/>
      <c r="X51" s="24" t="n"/>
      <c r="Y51" s="25" t="n">
        <v>0</v>
      </c>
      <c r="Z51" s="24" t="n"/>
      <c r="AA51" s="23" t="n"/>
      <c r="AB51" s="24" t="n"/>
      <c r="AC51" s="25" t="n">
        <v>0</v>
      </c>
      <c r="AD51" s="24" t="n"/>
      <c r="AE51" s="23" t="n"/>
      <c r="AF51" s="24" t="n"/>
      <c r="AG51" s="25" t="n">
        <v>8</v>
      </c>
      <c r="AH51" s="24" t="n"/>
      <c r="AI51" s="23" t="n"/>
      <c r="AJ51" s="24" t="n"/>
      <c r="AK51" s="25" t="n">
        <v>0</v>
      </c>
      <c r="AL51" s="24" t="n"/>
      <c r="AM51" s="23" t="n"/>
      <c r="AN51" s="24" t="n"/>
      <c r="AO51" s="25" t="n">
        <v>0</v>
      </c>
      <c r="AP51" s="24" t="n"/>
      <c r="AQ51" s="23" t="n"/>
      <c r="AR51" s="24" t="n"/>
      <c r="AS51" s="25" t="n">
        <v>0</v>
      </c>
      <c r="AT51" s="24" t="n"/>
      <c r="AU51" s="23" t="n"/>
      <c r="AV51" s="24" t="n"/>
      <c r="AW51" s="25" t="n">
        <v>0</v>
      </c>
      <c r="AX51" s="24" t="n"/>
      <c r="AY51" s="23" t="n"/>
      <c r="AZ51" s="24" t="n"/>
      <c r="BA51" s="25" t="n">
        <v>0</v>
      </c>
      <c r="BB51" s="24" t="n"/>
      <c r="BC51" s="23" t="n"/>
      <c r="BD51" s="24" t="n"/>
      <c r="BE51" s="25" t="n">
        <v>0</v>
      </c>
      <c r="BF51" s="24" t="n"/>
      <c r="BG51" s="23" t="n"/>
      <c r="BH51" s="24" t="n"/>
      <c r="BI51" s="25" t="n">
        <v>0</v>
      </c>
      <c r="BJ51" s="24" t="n"/>
      <c r="BK51" s="340" t="n"/>
      <c r="BL51" s="803">
        <f>SUMPRODUCT(--(MOD(COLUMN($O51:$AL51),4)=MOD(COLUMN($O51)+0,4)),$O51:$AL51)
+SUMPRODUCT(--(MOD(COLUMN($AM51:$BJ51),4)=MOD(COLUMN($AM51)+0,4)),$AM51:$BJ51)</f>
        <v/>
      </c>
      <c r="BM51" s="804">
        <f>SUMPRODUCT(--(MOD(COLUMN($O51:$AL51),4)=MOD(COLUMN($O51)+0,4)),$O51:$AL51)*
$I51+SUMPRODUCT(--(MOD(COLUMN($AM51:$BJ51),4)=MOD(COLUMN($AM51)+0,4)),$AM51:$BJ51)*$I51</f>
        <v/>
      </c>
      <c r="BN51" s="805">
        <f>SUMPRODUCT(--(MOD(COLUMN($O51:$AL51),4)=MOD(COLUMN($O51)+1,4)),$O51:$AL51)
+SUMPRODUCT(--(MOD(COLUMN($AM51:$BJ51),4)=MOD(COLUMN($AM51)+1,4)),$AM51:$BJ51)</f>
        <v/>
      </c>
      <c r="BO51" s="806">
        <f>SUMPRODUCT(--(MOD(COLUMN($O51:$AL51),4)=MOD(COLUMN($O51)+1,4)),$O51:$AL51)*
$I51+SUMPRODUCT(--(MOD(COLUMN($AM51:$BJ51),4)=MOD(COLUMN($AM51)+1,4)),$AM51:$BJ51)*$I51</f>
        <v/>
      </c>
      <c r="BP51" s="807">
        <f>SUMPRODUCT(--(MOD(COLUMN($O51:$AL51),4)=MOD(COLUMN($O51)+2,4)),$O51:$AL51)
+SUMPRODUCT(--(MOD(COLUMN($AM51:$BJ51),4)=MOD(COLUMN($AM51)+2,4)),$AM51:$BJ51)</f>
        <v/>
      </c>
      <c r="BQ51" s="808">
        <f>SUMPRODUCT(--(MOD(COLUMN($O51:$AL51),4)=MOD(COLUMN($O51)+2,4)),$O51:$AL51)*
$I51+SUMPRODUCT(--(MOD(COLUMN($AM51:$BJ51),4)=MOD(COLUMN($AM51)+2,4)),$AM51:$BJ51)*$I51</f>
        <v/>
      </c>
      <c r="BR51" s="809" t="n"/>
      <c r="BS51" s="801" t="n"/>
      <c r="BT51" s="23" t="n"/>
      <c r="BU51" s="24" t="n"/>
      <c r="BV51" s="25" t="n">
        <v>0</v>
      </c>
      <c r="BW51" s="24" t="n"/>
      <c r="BX51" s="23" t="n"/>
      <c r="BY51" s="24" t="n"/>
      <c r="BZ51" s="25" t="n">
        <v>0</v>
      </c>
      <c r="CA51" s="24" t="n"/>
      <c r="CB51" s="23" t="n"/>
      <c r="CC51" s="24" t="n"/>
      <c r="CD51" s="25" t="n">
        <v>0</v>
      </c>
      <c r="CE51" s="24" t="n"/>
      <c r="CF51" s="23" t="n"/>
      <c r="CG51" s="24" t="n"/>
      <c r="CH51" s="25" t="n">
        <v>0</v>
      </c>
      <c r="CI51" s="24" t="n"/>
      <c r="CJ51" s="23" t="n"/>
      <c r="CK51" s="24" t="n"/>
      <c r="CL51" s="25" t="n">
        <v>0</v>
      </c>
      <c r="CM51" s="24" t="n"/>
      <c r="CN51" s="23" t="n"/>
      <c r="CO51" s="24" t="n"/>
      <c r="CP51" s="25" t="n">
        <v>0</v>
      </c>
      <c r="CQ51" s="24" t="n"/>
      <c r="CR51" s="23" t="n"/>
      <c r="CS51" s="24" t="n"/>
      <c r="CT51" s="25" t="n">
        <v>0</v>
      </c>
      <c r="CU51" s="24" t="n"/>
      <c r="CV51" s="23" t="n"/>
      <c r="CW51" s="24" t="n"/>
      <c r="CX51" s="25" t="n">
        <v>0</v>
      </c>
      <c r="CY51" s="24" t="n"/>
      <c r="CZ51" s="23" t="n"/>
      <c r="DA51" s="24" t="n"/>
      <c r="DB51" s="25" t="n">
        <v>0</v>
      </c>
      <c r="DC51" s="24" t="n"/>
      <c r="DD51" s="23" t="n"/>
      <c r="DE51" s="24" t="n"/>
      <c r="DF51" s="25" t="n">
        <v>0</v>
      </c>
      <c r="DG51" s="24" t="n"/>
      <c r="DH51" s="23" t="n"/>
      <c r="DI51" s="24" t="n"/>
      <c r="DJ51" s="25" t="n">
        <v>0</v>
      </c>
      <c r="DK51" s="24" t="n"/>
      <c r="DL51" s="23" t="n"/>
      <c r="DM51" s="24" t="n"/>
      <c r="DN51" s="25" t="n">
        <v>0</v>
      </c>
      <c r="DO51" s="24" t="n"/>
      <c r="DP51" s="340" t="n"/>
      <c r="DQ51" s="803">
        <f>SUMPRODUCT(--(MOD(COLUMN(BT51:CQ51),4)=MOD(COLUMN(BT51),4)),BT51:CQ51)+SUMPRODUCT(--(MOD(COLUMN(CR51:DO51),4)=MOD(COLUMN(CR51),4)),CR51:DO51)</f>
        <v/>
      </c>
      <c r="DR51" s="803">
        <f>SUMPRODUCT(--(MOD(COLUMN(BT51:CQ51),4)=MOD(COLUMN(BT51),4)),BT51:CQ51)*#REF!+SUMPRODUCT(--(MOD(COLUMN(CR51:DO51),4)=MOD(COLUMN(CR51),4)),CR51:DO51)*#REF!</f>
        <v/>
      </c>
      <c r="DS51" s="809" t="n"/>
      <c r="DT51" s="801" t="n"/>
      <c r="DU51" s="23" t="n"/>
      <c r="DV51" s="24" t="n"/>
      <c r="DW51" s="25" t="n">
        <v>0</v>
      </c>
      <c r="DX51" s="24" t="n"/>
      <c r="DY51" s="23" t="n"/>
      <c r="DZ51" s="24" t="n"/>
      <c r="EA51" s="25" t="n">
        <v>0</v>
      </c>
      <c r="EB51" s="24" t="n"/>
      <c r="EC51" s="23" t="n"/>
      <c r="ED51" s="24" t="n"/>
      <c r="EE51" s="25" t="n">
        <v>0</v>
      </c>
      <c r="EF51" s="108" t="n"/>
      <c r="EG51" s="23" t="n"/>
      <c r="EH51" s="24" t="n"/>
      <c r="EI51" s="25" t="n">
        <v>0</v>
      </c>
      <c r="EJ51" s="24" t="n"/>
      <c r="EK51" s="23" t="n"/>
      <c r="EL51" s="24" t="n"/>
      <c r="EM51" s="25" t="n">
        <v>0</v>
      </c>
      <c r="EN51" s="24" t="n"/>
      <c r="EO51" s="23" t="n"/>
      <c r="EP51" s="24" t="n"/>
      <c r="EQ51" s="25" t="n">
        <v>0</v>
      </c>
      <c r="ER51" s="24" t="n"/>
      <c r="ES51" s="23" t="n"/>
      <c r="ET51" s="24" t="n"/>
      <c r="EU51" s="25" t="n">
        <v>0</v>
      </c>
      <c r="EV51" s="24" t="n"/>
      <c r="EW51" s="23" t="n"/>
      <c r="EX51" s="24" t="n"/>
      <c r="EY51" s="25" t="n">
        <v>0</v>
      </c>
      <c r="EZ51" s="24" t="n"/>
      <c r="FA51" s="23" t="n"/>
      <c r="FB51" s="24" t="n"/>
      <c r="FC51" s="25" t="n">
        <v>0</v>
      </c>
      <c r="FD51" s="24" t="n"/>
      <c r="FE51" s="23" t="n"/>
      <c r="FF51" s="24" t="n"/>
      <c r="FG51" s="25" t="n">
        <v>0</v>
      </c>
      <c r="FH51" s="24" t="n"/>
      <c r="FI51" s="23" t="n"/>
      <c r="FJ51" s="24" t="n"/>
      <c r="FK51" s="25" t="n">
        <v>0</v>
      </c>
      <c r="FL51" s="24" t="n"/>
      <c r="FM51" s="23" t="n"/>
      <c r="FN51" s="24" t="n"/>
      <c r="FO51" s="25" t="n">
        <v>0</v>
      </c>
      <c r="FP51" s="24" t="n"/>
      <c r="FQ51" s="340" t="n"/>
      <c r="FR51" s="803">
        <f>SUMPRODUCT(--(MOD(COLUMN(DU51:ER51),4)=MOD(COLUMN(DU51),4)),DU51:ER51)+SUMPRODUCT(--(MOD(COLUMN(ES51:FP51),4)=MOD(COLUMN(ES51),4)),ES51:FP51)</f>
        <v/>
      </c>
      <c r="FS51" s="803">
        <f>SUMPRODUCT(--(MOD(COLUMN(DU51:ER51),4)=MOD(COLUMN(DU51),4)),DU51:ER51)*#REF!+SUMPRODUCT(--(MOD(COLUMN(ES51:FP51),4)=MOD(COLUMN(ES51),4)),ES51:FP51)*#REF!</f>
        <v/>
      </c>
      <c r="FT51" s="361" t="n"/>
    </row>
    <row r="52" outlineLevel="2">
      <c r="A52" s="411" t="inlineStr">
        <is>
          <t>АВГ АВТОКОМПОНЕНТЫ ООО</t>
        </is>
      </c>
      <c r="B52" s="417" t="inlineStr">
        <is>
          <t>Отсрочка 30 дней</t>
        </is>
      </c>
      <c r="C52" s="418" t="inlineStr">
        <is>
          <t>ВБК Восток</t>
        </is>
      </c>
      <c r="D52" s="411" t="inlineStr">
        <is>
          <t>Прасолов, Соловьёв</t>
        </is>
      </c>
      <c r="E52" s="412">
        <f>IF(ISBLANK(G52),"",IF($A$6:$A$64=$A52,COUNTIF($A$6:A52,$A52),""))</f>
        <v/>
      </c>
      <c r="F52" s="412" t="n">
        <v>1</v>
      </c>
      <c r="G52" s="409" t="n">
        <v>6402250570</v>
      </c>
      <c r="H52" s="410" t="inlineStr">
        <is>
          <t>6402250570 AA Тормоз дисковый ( правый )</t>
        </is>
      </c>
      <c r="I52" s="629">
        <f>I51</f>
        <v/>
      </c>
      <c r="J52" s="798" t="n"/>
      <c r="K52" s="798" t="n"/>
      <c r="L52" s="798">
        <f>IF(K52="RUB",J52/ЮАНЬ,IF(K52="EUR",J52*ЕВРО/ЮАНЬ,""))</f>
        <v/>
      </c>
      <c r="M52" s="801" t="n"/>
      <c r="N52" s="802">
        <f>IF(BP52&gt;0,1,IF(BN52&gt;0,2,))</f>
        <v/>
      </c>
      <c r="O52" s="23" t="n"/>
      <c r="P52" s="24" t="n"/>
      <c r="Q52" s="25" t="n">
        <v>0</v>
      </c>
      <c r="R52" s="24" t="n"/>
      <c r="S52" s="23" t="n"/>
      <c r="T52" s="24" t="n"/>
      <c r="U52" s="25" t="n">
        <v>0</v>
      </c>
      <c r="V52" s="24" t="n"/>
      <c r="W52" s="23" t="n"/>
      <c r="X52" s="24" t="n"/>
      <c r="Y52" s="25" t="n">
        <v>0</v>
      </c>
      <c r="Z52" s="24" t="n"/>
      <c r="AA52" s="23" t="n"/>
      <c r="AB52" s="24" t="n"/>
      <c r="AC52" s="25" t="n">
        <v>0</v>
      </c>
      <c r="AD52" s="24" t="n"/>
      <c r="AE52" s="23" t="n"/>
      <c r="AF52" s="24" t="n"/>
      <c r="AG52" s="25" t="n">
        <v>8</v>
      </c>
      <c r="AH52" s="24" t="n"/>
      <c r="AI52" s="23" t="n"/>
      <c r="AJ52" s="24" t="n"/>
      <c r="AK52" s="25" t="n">
        <v>0</v>
      </c>
      <c r="AL52" s="24" t="n"/>
      <c r="AM52" s="23" t="n"/>
      <c r="AN52" s="24" t="n"/>
      <c r="AO52" s="25" t="n">
        <v>0</v>
      </c>
      <c r="AP52" s="24" t="n"/>
      <c r="AQ52" s="23" t="n"/>
      <c r="AR52" s="24" t="n"/>
      <c r="AS52" s="25" t="n">
        <v>0</v>
      </c>
      <c r="AT52" s="24" t="n"/>
      <c r="AU52" s="23" t="n"/>
      <c r="AV52" s="24" t="n"/>
      <c r="AW52" s="25" t="n">
        <v>0</v>
      </c>
      <c r="AX52" s="24" t="n"/>
      <c r="AY52" s="23" t="n"/>
      <c r="AZ52" s="24" t="n"/>
      <c r="BA52" s="25" t="n">
        <v>0</v>
      </c>
      <c r="BB52" s="24" t="n"/>
      <c r="BC52" s="23" t="n"/>
      <c r="BD52" s="24" t="n"/>
      <c r="BE52" s="25" t="n">
        <v>0</v>
      </c>
      <c r="BF52" s="24" t="n"/>
      <c r="BG52" s="23" t="n"/>
      <c r="BH52" s="24" t="n"/>
      <c r="BI52" s="25" t="n">
        <v>0</v>
      </c>
      <c r="BJ52" s="24" t="n"/>
      <c r="BK52" s="340" t="n"/>
      <c r="BL52" s="803">
        <f>SUMPRODUCT(--(MOD(COLUMN($O52:$AL52),4)=MOD(COLUMN($O52)+0,4)),$O52:$AL52)
+SUMPRODUCT(--(MOD(COLUMN($AM52:$BJ52),4)=MOD(COLUMN($AM52)+0,4)),$AM52:$BJ52)</f>
        <v/>
      </c>
      <c r="BM52" s="804">
        <f>SUMPRODUCT(--(MOD(COLUMN($O52:$AL52),4)=MOD(COLUMN($O52)+0,4)),$O52:$AL52)*
$I52+SUMPRODUCT(--(MOD(COLUMN($AM52:$BJ52),4)=MOD(COLUMN($AM52)+0,4)),$AM52:$BJ52)*$I52</f>
        <v/>
      </c>
      <c r="BN52" s="805">
        <f>SUMPRODUCT(--(MOD(COLUMN($O52:$AL52),4)=MOD(COLUMN($O52)+1,4)),$O52:$AL52)
+SUMPRODUCT(--(MOD(COLUMN($AM52:$BJ52),4)=MOD(COLUMN($AM52)+1,4)),$AM52:$BJ52)</f>
        <v/>
      </c>
      <c r="BO52" s="806">
        <f>SUMPRODUCT(--(MOD(COLUMN($O52:$AL52),4)=MOD(COLUMN($O52)+1,4)),$O52:$AL52)*
$I52+SUMPRODUCT(--(MOD(COLUMN($AM52:$BJ52),4)=MOD(COLUMN($AM52)+1,4)),$AM52:$BJ52)*$I52</f>
        <v/>
      </c>
      <c r="BP52" s="807">
        <f>SUMPRODUCT(--(MOD(COLUMN($O52:$AL52),4)=MOD(COLUMN($O52)+2,4)),$O52:$AL52)
+SUMPRODUCT(--(MOD(COLUMN($AM52:$BJ52),4)=MOD(COLUMN($AM52)+2,4)),$AM52:$BJ52)</f>
        <v/>
      </c>
      <c r="BQ52" s="808">
        <f>SUMPRODUCT(--(MOD(COLUMN($O52:$AL52),4)=MOD(COLUMN($O52)+2,4)),$O52:$AL52)*
$I52+SUMPRODUCT(--(MOD(COLUMN($AM52:$BJ52),4)=MOD(COLUMN($AM52)+2,4)),$AM52:$BJ52)*$I52</f>
        <v/>
      </c>
      <c r="BR52" s="809" t="n"/>
      <c r="BS52" s="801" t="n"/>
      <c r="BT52" s="23" t="n"/>
      <c r="BU52" s="24" t="n"/>
      <c r="BV52" s="25" t="n">
        <v>0</v>
      </c>
      <c r="BW52" s="24" t="n"/>
      <c r="BX52" s="23" t="n"/>
      <c r="BY52" s="24" t="n"/>
      <c r="BZ52" s="25" t="n">
        <v>0</v>
      </c>
      <c r="CA52" s="24" t="n"/>
      <c r="CB52" s="23" t="n"/>
      <c r="CC52" s="24" t="n"/>
      <c r="CD52" s="25" t="n">
        <v>0</v>
      </c>
      <c r="CE52" s="24" t="n"/>
      <c r="CF52" s="23" t="n"/>
      <c r="CG52" s="24" t="n"/>
      <c r="CH52" s="25" t="n">
        <v>0</v>
      </c>
      <c r="CI52" s="24" t="n"/>
      <c r="CJ52" s="23" t="n"/>
      <c r="CK52" s="24" t="n"/>
      <c r="CL52" s="25" t="n">
        <v>0</v>
      </c>
      <c r="CM52" s="24" t="n"/>
      <c r="CN52" s="23" t="n"/>
      <c r="CO52" s="24" t="n"/>
      <c r="CP52" s="25" t="n">
        <v>0</v>
      </c>
      <c r="CQ52" s="24" t="n"/>
      <c r="CR52" s="23" t="n"/>
      <c r="CS52" s="24" t="n"/>
      <c r="CT52" s="25" t="n">
        <v>0</v>
      </c>
      <c r="CU52" s="24" t="n"/>
      <c r="CV52" s="23" t="n"/>
      <c r="CW52" s="24" t="n"/>
      <c r="CX52" s="25" t="n">
        <v>0</v>
      </c>
      <c r="CY52" s="24" t="n"/>
      <c r="CZ52" s="23" t="n"/>
      <c r="DA52" s="24" t="n"/>
      <c r="DB52" s="25" t="n">
        <v>0</v>
      </c>
      <c r="DC52" s="24" t="n"/>
      <c r="DD52" s="23" t="n"/>
      <c r="DE52" s="24" t="n"/>
      <c r="DF52" s="25" t="n">
        <v>0</v>
      </c>
      <c r="DG52" s="24" t="n"/>
      <c r="DH52" s="23" t="n"/>
      <c r="DI52" s="24" t="n"/>
      <c r="DJ52" s="25" t="n">
        <v>0</v>
      </c>
      <c r="DK52" s="24" t="n"/>
      <c r="DL52" s="23" t="n"/>
      <c r="DM52" s="24" t="n"/>
      <c r="DN52" s="25" t="n">
        <v>0</v>
      </c>
      <c r="DO52" s="24" t="n"/>
      <c r="DP52" s="340" t="n"/>
      <c r="DQ52" s="803">
        <f>SUMPRODUCT(--(MOD(COLUMN(BT52:CQ52),4)=MOD(COLUMN(BT52),4)),BT52:CQ52)+SUMPRODUCT(--(MOD(COLUMN(CR52:DO52),4)=MOD(COLUMN(CR52),4)),CR52:DO52)</f>
        <v/>
      </c>
      <c r="DR52" s="803">
        <f>SUMPRODUCT(--(MOD(COLUMN(BT52:CQ52),4)=MOD(COLUMN(BT52),4)),BT52:CQ52)*#REF!+SUMPRODUCT(--(MOD(COLUMN(CR52:DO52),4)=MOD(COLUMN(CR52),4)),CR52:DO52)*#REF!</f>
        <v/>
      </c>
      <c r="DS52" s="809" t="n"/>
      <c r="DT52" s="801" t="n"/>
      <c r="DU52" s="23" t="n"/>
      <c r="DV52" s="24" t="n"/>
      <c r="DW52" s="25" t="n">
        <v>0</v>
      </c>
      <c r="DX52" s="24" t="n"/>
      <c r="DY52" s="23" t="n"/>
      <c r="DZ52" s="24" t="n"/>
      <c r="EA52" s="25" t="n">
        <v>0</v>
      </c>
      <c r="EB52" s="24" t="n"/>
      <c r="EC52" s="23" t="n"/>
      <c r="ED52" s="24" t="n"/>
      <c r="EE52" s="25" t="n">
        <v>0</v>
      </c>
      <c r="EF52" s="108" t="n"/>
      <c r="EG52" s="23" t="n"/>
      <c r="EH52" s="24" t="n"/>
      <c r="EI52" s="25" t="n">
        <v>0</v>
      </c>
      <c r="EJ52" s="24" t="n"/>
      <c r="EK52" s="23" t="n"/>
      <c r="EL52" s="24" t="n"/>
      <c r="EM52" s="25" t="n">
        <v>0</v>
      </c>
      <c r="EN52" s="24" t="n"/>
      <c r="EO52" s="23" t="n"/>
      <c r="EP52" s="24" t="n"/>
      <c r="EQ52" s="25" t="n">
        <v>0</v>
      </c>
      <c r="ER52" s="24" t="n"/>
      <c r="ES52" s="23" t="n"/>
      <c r="ET52" s="24" t="n"/>
      <c r="EU52" s="25" t="n">
        <v>0</v>
      </c>
      <c r="EV52" s="24" t="n"/>
      <c r="EW52" s="23" t="n"/>
      <c r="EX52" s="24" t="n"/>
      <c r="EY52" s="25" t="n">
        <v>0</v>
      </c>
      <c r="EZ52" s="24" t="n"/>
      <c r="FA52" s="23" t="n"/>
      <c r="FB52" s="24" t="n"/>
      <c r="FC52" s="25" t="n">
        <v>0</v>
      </c>
      <c r="FD52" s="24" t="n"/>
      <c r="FE52" s="23" t="n"/>
      <c r="FF52" s="24" t="n"/>
      <c r="FG52" s="25" t="n">
        <v>0</v>
      </c>
      <c r="FH52" s="24" t="n"/>
      <c r="FI52" s="23" t="n"/>
      <c r="FJ52" s="24" t="n"/>
      <c r="FK52" s="25" t="n">
        <v>0</v>
      </c>
      <c r="FL52" s="24" t="n"/>
      <c r="FM52" s="23" t="n"/>
      <c r="FN52" s="24" t="n"/>
      <c r="FO52" s="25" t="n">
        <v>0</v>
      </c>
      <c r="FP52" s="24" t="n"/>
      <c r="FQ52" s="340" t="n"/>
      <c r="FR52" s="803">
        <f>SUMPRODUCT(--(MOD(COLUMN(DU52:ER52),4)=MOD(COLUMN(DU52),4)),DU52:ER52)+SUMPRODUCT(--(MOD(COLUMN(ES52:FP52),4)=MOD(COLUMN(ES52),4)),ES52:FP52)</f>
        <v/>
      </c>
      <c r="FS52" s="803">
        <f>SUMPRODUCT(--(MOD(COLUMN(DU52:ER52),4)=MOD(COLUMN(DU52),4)),DU52:ER52)*#REF!+SUMPRODUCT(--(MOD(COLUMN(ES52:FP52),4)=MOD(COLUMN(ES52),4)),ES52:FP52)*#REF!</f>
        <v/>
      </c>
      <c r="FT52" s="361" t="n"/>
    </row>
    <row r="53" outlineLevel="2">
      <c r="A53" s="413" t="inlineStr">
        <is>
          <t>АВГ АВТОКОМПОНЕНТЫ ООО</t>
        </is>
      </c>
      <c r="B53" s="419" t="inlineStr">
        <is>
          <t>Отсрочка 30 дней</t>
        </is>
      </c>
      <c r="C53" s="420" t="inlineStr">
        <is>
          <t>ВБК Восток</t>
        </is>
      </c>
      <c r="D53" s="413" t="inlineStr">
        <is>
          <t>Прасолов, Соловьёв</t>
        </is>
      </c>
      <c r="E53" s="414">
        <f>IF(ISBLANK(G53),"",IF($A$6:$A$64=$A53,COUNTIF($A$6:A53,$A53),""))</f>
        <v/>
      </c>
      <c r="F53" s="414" t="n">
        <v>1</v>
      </c>
      <c r="G53" s="415" t="n">
        <v>6402250560</v>
      </c>
      <c r="H53" s="416" t="inlineStr">
        <is>
          <t>6402250560 AC Тормоз дисковый ( левый )</t>
        </is>
      </c>
      <c r="I53" s="631" t="n">
        <v>2030</v>
      </c>
      <c r="J53" s="818" t="n"/>
      <c r="K53" s="818" t="n"/>
      <c r="L53" s="818">
        <f>IF(K53="RUB",J53/ЮАНЬ,IF(K53="EUR",J53*ЕВРО/ЮАНЬ,""))</f>
        <v/>
      </c>
      <c r="M53" s="819" t="n"/>
      <c r="N53" s="802">
        <f>IF(BP53&gt;0,1,IF(BN53&gt;0,2,))</f>
        <v/>
      </c>
      <c r="O53" s="322" t="n">
        <v>12</v>
      </c>
      <c r="P53" s="408" t="n"/>
      <c r="Q53" s="307" t="n">
        <v>0</v>
      </c>
      <c r="R53" s="408" t="n"/>
      <c r="S53" s="322" t="n">
        <v>12</v>
      </c>
      <c r="T53" s="408" t="n"/>
      <c r="U53" s="25" t="n">
        <v>0</v>
      </c>
      <c r="V53" s="408" t="n"/>
      <c r="W53" s="322" t="n">
        <v>12</v>
      </c>
      <c r="X53" s="408" t="n"/>
      <c r="Y53" s="307" t="n">
        <v>0</v>
      </c>
      <c r="Z53" s="408" t="n"/>
      <c r="AA53" s="322" t="n">
        <v>42</v>
      </c>
      <c r="AB53" s="408" t="n"/>
      <c r="AC53" s="307" t="n">
        <v>0</v>
      </c>
      <c r="AD53" s="408" t="n"/>
      <c r="AE53" s="322" t="n">
        <v>42</v>
      </c>
      <c r="AF53" s="408">
        <f>8</f>
        <v/>
      </c>
      <c r="AG53" s="307" t="n">
        <v>8</v>
      </c>
      <c r="AH53" s="408" t="n"/>
      <c r="AI53" s="322" t="n">
        <v>42</v>
      </c>
      <c r="AJ53" s="408">
        <f>(50-8)</f>
        <v/>
      </c>
      <c r="AK53" s="307" t="n">
        <v>0</v>
      </c>
      <c r="AL53" s="408" t="n"/>
      <c r="AM53" s="322" t="n">
        <v>84</v>
      </c>
      <c r="AN53" s="408" t="n">
        <v>12</v>
      </c>
      <c r="AO53" s="307" t="n">
        <v>0</v>
      </c>
      <c r="AP53" s="408" t="n"/>
      <c r="AQ53" s="322" t="n">
        <v>84</v>
      </c>
      <c r="AR53" s="408" t="n">
        <v>30</v>
      </c>
      <c r="AS53" s="307" t="n">
        <v>0</v>
      </c>
      <c r="AT53" s="408" t="n"/>
      <c r="AU53" s="322" t="n">
        <v>84</v>
      </c>
      <c r="AV53" s="408" t="n">
        <v>42</v>
      </c>
      <c r="AW53" s="307" t="n">
        <v>0</v>
      </c>
      <c r="AX53" s="408" t="n"/>
      <c r="AY53" s="322" t="n">
        <v>84</v>
      </c>
      <c r="AZ53" s="408" t="n">
        <v>84</v>
      </c>
      <c r="BA53" s="307" t="n">
        <v>0</v>
      </c>
      <c r="BB53" s="408" t="n"/>
      <c r="BC53" s="322" t="n">
        <v>84</v>
      </c>
      <c r="BD53" s="408" t="n">
        <v>84</v>
      </c>
      <c r="BE53" s="307" t="n">
        <v>0</v>
      </c>
      <c r="BF53" s="408" t="n"/>
      <c r="BG53" s="322" t="n">
        <v>84</v>
      </c>
      <c r="BH53" s="408" t="n">
        <v>84</v>
      </c>
      <c r="BI53" s="307" t="n">
        <v>0</v>
      </c>
      <c r="BJ53" s="408" t="n"/>
      <c r="BK53" s="340" t="n"/>
      <c r="BL53" s="820">
        <f>SUMPRODUCT(--(MOD(COLUMN($O53:$AL53),4)=MOD(COLUMN($O53)+0,4)),$O53:$AL53)
+SUMPRODUCT(--(MOD(COLUMN($AM53:$BJ53),4)=MOD(COLUMN($AM53)+0,4)),$AM53:$BJ53)</f>
        <v/>
      </c>
      <c r="BM53" s="821">
        <f>SUMPRODUCT(--(MOD(COLUMN($O53:$AL53),4)=MOD(COLUMN($O53)+0,4)),$O53:$AL53)*
$I53+SUMPRODUCT(--(MOD(COLUMN($AM53:$BJ53),4)=MOD(COLUMN($AM53)+0,4)),$AM53:$BJ53)*$I53</f>
        <v/>
      </c>
      <c r="BN53" s="822">
        <f>SUMPRODUCT(--(MOD(COLUMN($O53:$AL53),4)=MOD(COLUMN($O53)+1,4)),$O53:$AL53)
+SUMPRODUCT(--(MOD(COLUMN($AM53:$BJ53),4)=MOD(COLUMN($AM53)+1,4)),$AM53:$BJ53)</f>
        <v/>
      </c>
      <c r="BO53" s="823">
        <f>SUMPRODUCT(--(MOD(COLUMN($O53:$AL53),4)=MOD(COLUMN($O53)+1,4)),$O53:$AL53)*
$I53+SUMPRODUCT(--(MOD(COLUMN($AM53:$BJ53),4)=MOD(COLUMN($AM53)+1,4)),$AM53:$BJ53)*$I53</f>
        <v/>
      </c>
      <c r="BP53" s="824">
        <f>SUMPRODUCT(--(MOD(COLUMN($O53:$AL53),4)=MOD(COLUMN($O53)+2,4)),$O53:$AL53)
+SUMPRODUCT(--(MOD(COLUMN($AM53:$BJ53),4)=MOD(COLUMN($AM53)+2,4)),$AM53:$BJ53)</f>
        <v/>
      </c>
      <c r="BQ53" s="825">
        <f>SUMPRODUCT(--(MOD(COLUMN($O53:$AL53),4)=MOD(COLUMN($O53)+2,4)),$O53:$AL53)*
$I53+SUMPRODUCT(--(MOD(COLUMN($AM53:$BJ53),4)=MOD(COLUMN($AM53)+2,4)),$AM53:$BJ53)*$I53</f>
        <v/>
      </c>
      <c r="BR53" s="809" t="n"/>
      <c r="BS53" s="819" t="n"/>
      <c r="BT53" s="322" t="n">
        <v>207</v>
      </c>
      <c r="BU53" s="408" t="n"/>
      <c r="BV53" s="307" t="n">
        <v>0</v>
      </c>
      <c r="BW53" s="408" t="n"/>
      <c r="BX53" s="322" t="n">
        <v>207</v>
      </c>
      <c r="BY53" s="408" t="n"/>
      <c r="BZ53" s="307" t="n">
        <v>0</v>
      </c>
      <c r="CA53" s="408" t="n"/>
      <c r="CB53" s="322" t="n">
        <v>207</v>
      </c>
      <c r="CC53" s="408" t="n"/>
      <c r="CD53" s="307" t="n">
        <v>0</v>
      </c>
      <c r="CE53" s="408" t="n"/>
      <c r="CF53" s="322" t="n">
        <v>207</v>
      </c>
      <c r="CG53" s="408" t="n"/>
      <c r="CH53" s="307" t="n">
        <v>0</v>
      </c>
      <c r="CI53" s="408" t="n"/>
      <c r="CJ53" s="322" t="n">
        <v>207</v>
      </c>
      <c r="CK53" s="408" t="n"/>
      <c r="CL53" s="307" t="n">
        <v>0</v>
      </c>
      <c r="CM53" s="408" t="n"/>
      <c r="CN53" s="322" t="n">
        <v>207</v>
      </c>
      <c r="CO53" s="408" t="n"/>
      <c r="CP53" s="307" t="n">
        <v>0</v>
      </c>
      <c r="CQ53" s="408" t="n"/>
      <c r="CR53" s="322" t="n">
        <v>207</v>
      </c>
      <c r="CS53" s="408" t="n"/>
      <c r="CT53" s="307" t="n">
        <v>0</v>
      </c>
      <c r="CU53" s="408" t="n"/>
      <c r="CV53" s="322" t="n">
        <v>207</v>
      </c>
      <c r="CW53" s="408" t="n"/>
      <c r="CX53" s="307" t="n">
        <v>0</v>
      </c>
      <c r="CY53" s="408" t="n"/>
      <c r="CZ53" s="322" t="n">
        <v>207</v>
      </c>
      <c r="DA53" s="408" t="n"/>
      <c r="DB53" s="307" t="n">
        <v>0</v>
      </c>
      <c r="DC53" s="408" t="n"/>
      <c r="DD53" s="322" t="n">
        <v>207</v>
      </c>
      <c r="DE53" s="408" t="n"/>
      <c r="DF53" s="307" t="n">
        <v>0</v>
      </c>
      <c r="DG53" s="408" t="n"/>
      <c r="DH53" s="322" t="n">
        <v>207</v>
      </c>
      <c r="DI53" s="408" t="n"/>
      <c r="DJ53" s="307" t="n">
        <v>0</v>
      </c>
      <c r="DK53" s="408" t="n"/>
      <c r="DL53" s="322" t="n">
        <v>207</v>
      </c>
      <c r="DM53" s="408" t="n"/>
      <c r="DN53" s="307" t="n">
        <v>0</v>
      </c>
      <c r="DO53" s="408" t="n"/>
      <c r="DP53" s="340" t="n"/>
      <c r="DQ53" s="820">
        <f>SUMPRODUCT(--(MOD(COLUMN(BT53:CQ53),4)=MOD(COLUMN(BT53),4)),BT53:CQ53)+SUMPRODUCT(--(MOD(COLUMN(CR53:DO53),4)=MOD(COLUMN(CR53),4)),CR53:DO53)</f>
        <v/>
      </c>
      <c r="DR53" s="820">
        <f>SUMPRODUCT(--(MOD(COLUMN(BT53:CQ53),4)=MOD(COLUMN(BT53),4)),BT53:CQ53)*#REF!+SUMPRODUCT(--(MOD(COLUMN(CR53:DO53),4)=MOD(COLUMN(CR53),4)),CR53:DO53)*#REF!</f>
        <v/>
      </c>
      <c r="DS53" s="809" t="n"/>
      <c r="DT53" s="819" t="n"/>
      <c r="DU53" s="322" t="n">
        <v>414</v>
      </c>
      <c r="DV53" s="408" t="n"/>
      <c r="DW53" s="307" t="n">
        <v>0</v>
      </c>
      <c r="DX53" s="408" t="n"/>
      <c r="DY53" s="322" t="n">
        <v>414</v>
      </c>
      <c r="DZ53" s="408" t="n"/>
      <c r="EA53" s="307" t="n">
        <v>0</v>
      </c>
      <c r="EB53" s="408" t="n"/>
      <c r="EC53" s="322" t="n">
        <v>414</v>
      </c>
      <c r="ED53" s="408" t="n"/>
      <c r="EE53" s="307" t="n">
        <v>0</v>
      </c>
      <c r="EF53" s="334" t="n"/>
      <c r="EG53" s="322" t="n">
        <v>414</v>
      </c>
      <c r="EH53" s="408" t="n"/>
      <c r="EI53" s="307" t="n">
        <v>0</v>
      </c>
      <c r="EJ53" s="408" t="n"/>
      <c r="EK53" s="322" t="n">
        <v>414</v>
      </c>
      <c r="EL53" s="408" t="n"/>
      <c r="EM53" s="307" t="n">
        <v>0</v>
      </c>
      <c r="EN53" s="408" t="n"/>
      <c r="EO53" s="322" t="n">
        <v>414</v>
      </c>
      <c r="EP53" s="408" t="n"/>
      <c r="EQ53" s="307" t="n">
        <v>0</v>
      </c>
      <c r="ER53" s="408" t="n"/>
      <c r="ES53" s="322" t="n">
        <v>414</v>
      </c>
      <c r="ET53" s="408" t="n"/>
      <c r="EU53" s="307" t="n">
        <v>0</v>
      </c>
      <c r="EV53" s="408" t="n"/>
      <c r="EW53" s="322" t="n">
        <v>414</v>
      </c>
      <c r="EX53" s="408" t="n"/>
      <c r="EY53" s="307" t="n">
        <v>0</v>
      </c>
      <c r="EZ53" s="408" t="n"/>
      <c r="FA53" s="322" t="n">
        <v>414</v>
      </c>
      <c r="FB53" s="408" t="n"/>
      <c r="FC53" s="307" t="n">
        <v>0</v>
      </c>
      <c r="FD53" s="408" t="n"/>
      <c r="FE53" s="322" t="n">
        <v>414</v>
      </c>
      <c r="FF53" s="408" t="n"/>
      <c r="FG53" s="307" t="n">
        <v>0</v>
      </c>
      <c r="FH53" s="408" t="n"/>
      <c r="FI53" s="322" t="n">
        <v>414</v>
      </c>
      <c r="FJ53" s="408" t="n"/>
      <c r="FK53" s="307" t="n">
        <v>0</v>
      </c>
      <c r="FL53" s="408" t="n"/>
      <c r="FM53" s="322" t="n">
        <v>414</v>
      </c>
      <c r="FN53" s="408" t="n"/>
      <c r="FO53" s="307" t="n">
        <v>0</v>
      </c>
      <c r="FP53" s="408" t="n"/>
      <c r="FQ53" s="340" t="n"/>
      <c r="FR53" s="820">
        <f>SUMPRODUCT(--(MOD(COLUMN(DU53:ER53),4)=MOD(COLUMN(DU53),4)),DU53:ER53)+SUMPRODUCT(--(MOD(COLUMN(ES53:FP53),4)=MOD(COLUMN(ES53),4)),ES53:FP53)</f>
        <v/>
      </c>
      <c r="FS53" s="820">
        <f>SUMPRODUCT(--(MOD(COLUMN(DU53:ER53),4)=MOD(COLUMN(DU53),4)),DU53:ER53)*#REF!+SUMPRODUCT(--(MOD(COLUMN(ES53:FP53),4)=MOD(COLUMN(ES53),4)),ES53:FP53)*#REF!</f>
        <v/>
      </c>
      <c r="FT53" s="361" t="n"/>
    </row>
    <row r="54" outlineLevel="2">
      <c r="A54" s="413" t="inlineStr">
        <is>
          <t>АВГ АВТОКОМПОНЕНТЫ ООО</t>
        </is>
      </c>
      <c r="B54" s="419" t="inlineStr">
        <is>
          <t>Отсрочка 30 дней</t>
        </is>
      </c>
      <c r="C54" s="420" t="inlineStr">
        <is>
          <t>ВБК Восток</t>
        </is>
      </c>
      <c r="D54" s="413" t="inlineStr">
        <is>
          <t>Прасолов, Соловьёв</t>
        </is>
      </c>
      <c r="E54" s="414">
        <f>IF(ISBLANK(G54),"",IF($A$6:$A$64=$A54,COUNTIF($A$6:A54,$A54),""))</f>
        <v/>
      </c>
      <c r="F54" s="414" t="n">
        <v>1</v>
      </c>
      <c r="G54" s="415" t="n">
        <v>6402250570</v>
      </c>
      <c r="H54" s="416" t="inlineStr">
        <is>
          <t>6402250570 AC Тормоз дисковый ( правый )</t>
        </is>
      </c>
      <c r="I54" s="631">
        <f>I53</f>
        <v/>
      </c>
      <c r="J54" s="818" t="n"/>
      <c r="K54" s="818" t="n"/>
      <c r="L54" s="818">
        <f>IF(K54="RUB",J54/ЮАНЬ,IF(K54="EUR",J54*ЕВРО/ЮАНЬ,""))</f>
        <v/>
      </c>
      <c r="M54" s="819" t="n"/>
      <c r="N54" s="802">
        <f>IF(BP54&gt;0,1,IF(BN54&gt;0,2,))</f>
        <v/>
      </c>
      <c r="O54" s="322" t="n">
        <v>12</v>
      </c>
      <c r="P54" s="408" t="n"/>
      <c r="Q54" s="307" t="n">
        <v>0</v>
      </c>
      <c r="R54" s="408" t="n"/>
      <c r="S54" s="322" t="n">
        <v>12</v>
      </c>
      <c r="T54" s="408" t="n"/>
      <c r="U54" s="25" t="n">
        <v>0</v>
      </c>
      <c r="V54" s="408" t="n"/>
      <c r="W54" s="322" t="n">
        <v>12</v>
      </c>
      <c r="X54" s="408" t="n"/>
      <c r="Y54" s="307" t="n">
        <v>0</v>
      </c>
      <c r="Z54" s="408" t="n"/>
      <c r="AA54" s="322" t="n">
        <v>42</v>
      </c>
      <c r="AB54" s="408" t="n"/>
      <c r="AC54" s="307" t="n">
        <v>0</v>
      </c>
      <c r="AD54" s="408" t="n"/>
      <c r="AE54" s="322" t="n">
        <v>42</v>
      </c>
      <c r="AF54" s="408">
        <f>AF53</f>
        <v/>
      </c>
      <c r="AG54" s="307" t="n">
        <v>8</v>
      </c>
      <c r="AH54" s="408" t="n"/>
      <c r="AI54" s="322" t="n">
        <v>42</v>
      </c>
      <c r="AJ54" s="408">
        <f>AJ53</f>
        <v/>
      </c>
      <c r="AK54" s="307" t="n">
        <v>0</v>
      </c>
      <c r="AL54" s="408" t="n"/>
      <c r="AM54" s="322" t="n">
        <v>84</v>
      </c>
      <c r="AN54" s="408">
        <f>AN53</f>
        <v/>
      </c>
      <c r="AO54" s="307" t="n">
        <v>0</v>
      </c>
      <c r="AP54" s="408" t="n"/>
      <c r="AQ54" s="322" t="n">
        <v>84</v>
      </c>
      <c r="AR54" s="408">
        <f>AR53</f>
        <v/>
      </c>
      <c r="AS54" s="307" t="n">
        <v>0</v>
      </c>
      <c r="AT54" s="408" t="n"/>
      <c r="AU54" s="322" t="n">
        <v>84</v>
      </c>
      <c r="AV54" s="408">
        <f>AV53</f>
        <v/>
      </c>
      <c r="AW54" s="307" t="n">
        <v>0</v>
      </c>
      <c r="AX54" s="408" t="n"/>
      <c r="AY54" s="322" t="n">
        <v>84</v>
      </c>
      <c r="AZ54" s="408">
        <f>AZ53</f>
        <v/>
      </c>
      <c r="BA54" s="307" t="n">
        <v>0</v>
      </c>
      <c r="BB54" s="408" t="n"/>
      <c r="BC54" s="322" t="n">
        <v>84</v>
      </c>
      <c r="BD54" s="408">
        <f>BD53</f>
        <v/>
      </c>
      <c r="BE54" s="307" t="n">
        <v>0</v>
      </c>
      <c r="BF54" s="408" t="n"/>
      <c r="BG54" s="322" t="n">
        <v>84</v>
      </c>
      <c r="BH54" s="408">
        <f>BH53</f>
        <v/>
      </c>
      <c r="BI54" s="307" t="n">
        <v>0</v>
      </c>
      <c r="BJ54" s="408" t="n"/>
      <c r="BK54" s="340" t="n"/>
      <c r="BL54" s="820">
        <f>SUMPRODUCT(--(MOD(COLUMN($O54:$AL54),4)=MOD(COLUMN($O54)+0,4)),$O54:$AL54)
+SUMPRODUCT(--(MOD(COLUMN($AM54:$BJ54),4)=MOD(COLUMN($AM54)+0,4)),$AM54:$BJ54)</f>
        <v/>
      </c>
      <c r="BM54" s="821">
        <f>SUMPRODUCT(--(MOD(COLUMN($O54:$AL54),4)=MOD(COLUMN($O54)+0,4)),$O54:$AL54)*
$I54+SUMPRODUCT(--(MOD(COLUMN($AM54:$BJ54),4)=MOD(COLUMN($AM54)+0,4)),$AM54:$BJ54)*$I54</f>
        <v/>
      </c>
      <c r="BN54" s="822">
        <f>SUMPRODUCT(--(MOD(COLUMN($O54:$AL54),4)=MOD(COLUMN($O54)+1,4)),$O54:$AL54)
+SUMPRODUCT(--(MOD(COLUMN($AM54:$BJ54),4)=MOD(COLUMN($AM54)+1,4)),$AM54:$BJ54)</f>
        <v/>
      </c>
      <c r="BO54" s="823">
        <f>SUMPRODUCT(--(MOD(COLUMN($O54:$AL54),4)=MOD(COLUMN($O54)+1,4)),$O54:$AL54)*
$I54+SUMPRODUCT(--(MOD(COLUMN($AM54:$BJ54),4)=MOD(COLUMN($AM54)+1,4)),$AM54:$BJ54)*$I54</f>
        <v/>
      </c>
      <c r="BP54" s="824">
        <f>SUMPRODUCT(--(MOD(COLUMN($O54:$AL54),4)=MOD(COLUMN($O54)+2,4)),$O54:$AL54)
+SUMPRODUCT(--(MOD(COLUMN($AM54:$BJ54),4)=MOD(COLUMN($AM54)+2,4)),$AM54:$BJ54)</f>
        <v/>
      </c>
      <c r="BQ54" s="825">
        <f>SUMPRODUCT(--(MOD(COLUMN($O54:$AL54),4)=MOD(COLUMN($O54)+2,4)),$O54:$AL54)*
$I54+SUMPRODUCT(--(MOD(COLUMN($AM54:$BJ54),4)=MOD(COLUMN($AM54)+2,4)),$AM54:$BJ54)*$I54</f>
        <v/>
      </c>
      <c r="BR54" s="809" t="n"/>
      <c r="BS54" s="819" t="n"/>
      <c r="BT54" s="322" t="n">
        <v>207</v>
      </c>
      <c r="BU54" s="408" t="n"/>
      <c r="BV54" s="307" t="n">
        <v>0</v>
      </c>
      <c r="BW54" s="408" t="n"/>
      <c r="BX54" s="322" t="n">
        <v>207</v>
      </c>
      <c r="BY54" s="408" t="n"/>
      <c r="BZ54" s="307" t="n">
        <v>0</v>
      </c>
      <c r="CA54" s="408" t="n"/>
      <c r="CB54" s="322" t="n">
        <v>207</v>
      </c>
      <c r="CC54" s="408" t="n"/>
      <c r="CD54" s="307" t="n">
        <v>0</v>
      </c>
      <c r="CE54" s="408" t="n"/>
      <c r="CF54" s="322" t="n">
        <v>207</v>
      </c>
      <c r="CG54" s="408" t="n"/>
      <c r="CH54" s="307" t="n">
        <v>0</v>
      </c>
      <c r="CI54" s="408" t="n"/>
      <c r="CJ54" s="322" t="n">
        <v>207</v>
      </c>
      <c r="CK54" s="408" t="n"/>
      <c r="CL54" s="307" t="n">
        <v>0</v>
      </c>
      <c r="CM54" s="408" t="n"/>
      <c r="CN54" s="322" t="n">
        <v>207</v>
      </c>
      <c r="CO54" s="408" t="n"/>
      <c r="CP54" s="307" t="n">
        <v>0</v>
      </c>
      <c r="CQ54" s="408" t="n"/>
      <c r="CR54" s="322" t="n">
        <v>207</v>
      </c>
      <c r="CS54" s="408" t="n"/>
      <c r="CT54" s="307" t="n">
        <v>0</v>
      </c>
      <c r="CU54" s="408" t="n"/>
      <c r="CV54" s="322" t="n">
        <v>207</v>
      </c>
      <c r="CW54" s="408" t="n"/>
      <c r="CX54" s="307" t="n">
        <v>0</v>
      </c>
      <c r="CY54" s="408" t="n"/>
      <c r="CZ54" s="322" t="n">
        <v>207</v>
      </c>
      <c r="DA54" s="408" t="n"/>
      <c r="DB54" s="307" t="n">
        <v>0</v>
      </c>
      <c r="DC54" s="408" t="n"/>
      <c r="DD54" s="322" t="n">
        <v>207</v>
      </c>
      <c r="DE54" s="408" t="n"/>
      <c r="DF54" s="307" t="n">
        <v>0</v>
      </c>
      <c r="DG54" s="408" t="n"/>
      <c r="DH54" s="322" t="n">
        <v>207</v>
      </c>
      <c r="DI54" s="408" t="n"/>
      <c r="DJ54" s="307" t="n">
        <v>0</v>
      </c>
      <c r="DK54" s="408" t="n"/>
      <c r="DL54" s="322" t="n">
        <v>207</v>
      </c>
      <c r="DM54" s="408" t="n"/>
      <c r="DN54" s="307" t="n">
        <v>0</v>
      </c>
      <c r="DO54" s="408" t="n"/>
      <c r="DP54" s="340" t="n"/>
      <c r="DQ54" s="820">
        <f>SUMPRODUCT(--(MOD(COLUMN(BT54:CQ54),4)=MOD(COLUMN(BT54),4)),BT54:CQ54)+SUMPRODUCT(--(MOD(COLUMN(CR54:DO54),4)=MOD(COLUMN(CR54),4)),CR54:DO54)</f>
        <v/>
      </c>
      <c r="DR54" s="820">
        <f>SUMPRODUCT(--(MOD(COLUMN(BT54:CQ54),4)=MOD(COLUMN(BT54),4)),BT54:CQ54)*#REF!+SUMPRODUCT(--(MOD(COLUMN(CR54:DO54),4)=MOD(COLUMN(CR54),4)),CR54:DO54)*#REF!</f>
        <v/>
      </c>
      <c r="DS54" s="809" t="n"/>
      <c r="DT54" s="819" t="n"/>
      <c r="DU54" s="322" t="n">
        <v>414</v>
      </c>
      <c r="DV54" s="408" t="n"/>
      <c r="DW54" s="307" t="n">
        <v>0</v>
      </c>
      <c r="DX54" s="408" t="n"/>
      <c r="DY54" s="322" t="n">
        <v>414</v>
      </c>
      <c r="DZ54" s="408" t="n"/>
      <c r="EA54" s="307" t="n">
        <v>0</v>
      </c>
      <c r="EB54" s="408" t="n"/>
      <c r="EC54" s="322" t="n">
        <v>414</v>
      </c>
      <c r="ED54" s="408" t="n"/>
      <c r="EE54" s="307" t="n">
        <v>0</v>
      </c>
      <c r="EF54" s="334" t="n"/>
      <c r="EG54" s="322" t="n">
        <v>414</v>
      </c>
      <c r="EH54" s="408" t="n"/>
      <c r="EI54" s="307" t="n">
        <v>0</v>
      </c>
      <c r="EJ54" s="408" t="n"/>
      <c r="EK54" s="322" t="n">
        <v>414</v>
      </c>
      <c r="EL54" s="408" t="n"/>
      <c r="EM54" s="307" t="n">
        <v>0</v>
      </c>
      <c r="EN54" s="408" t="n"/>
      <c r="EO54" s="322" t="n">
        <v>414</v>
      </c>
      <c r="EP54" s="408" t="n"/>
      <c r="EQ54" s="307" t="n">
        <v>0</v>
      </c>
      <c r="ER54" s="408" t="n"/>
      <c r="ES54" s="322" t="n">
        <v>414</v>
      </c>
      <c r="ET54" s="408" t="n"/>
      <c r="EU54" s="307" t="n">
        <v>0</v>
      </c>
      <c r="EV54" s="408" t="n"/>
      <c r="EW54" s="322" t="n">
        <v>414</v>
      </c>
      <c r="EX54" s="408" t="n"/>
      <c r="EY54" s="307" t="n">
        <v>0</v>
      </c>
      <c r="EZ54" s="408" t="n"/>
      <c r="FA54" s="322" t="n">
        <v>414</v>
      </c>
      <c r="FB54" s="408" t="n"/>
      <c r="FC54" s="307" t="n">
        <v>0</v>
      </c>
      <c r="FD54" s="408" t="n"/>
      <c r="FE54" s="322" t="n">
        <v>414</v>
      </c>
      <c r="FF54" s="408" t="n"/>
      <c r="FG54" s="307" t="n">
        <v>0</v>
      </c>
      <c r="FH54" s="408" t="n"/>
      <c r="FI54" s="322" t="n">
        <v>414</v>
      </c>
      <c r="FJ54" s="408" t="n"/>
      <c r="FK54" s="307" t="n">
        <v>0</v>
      </c>
      <c r="FL54" s="408" t="n"/>
      <c r="FM54" s="322" t="n">
        <v>414</v>
      </c>
      <c r="FN54" s="408" t="n"/>
      <c r="FO54" s="307" t="n">
        <v>0</v>
      </c>
      <c r="FP54" s="408" t="n"/>
      <c r="FQ54" s="340" t="n"/>
      <c r="FR54" s="820">
        <f>SUMPRODUCT(--(MOD(COLUMN(DU54:ER54),4)=MOD(COLUMN(DU54),4)),DU54:ER54)+SUMPRODUCT(--(MOD(COLUMN(ES54:FP54),4)=MOD(COLUMN(ES54),4)),ES54:FP54)</f>
        <v/>
      </c>
      <c r="FS54" s="820">
        <f>SUMPRODUCT(--(MOD(COLUMN(DU54:ER54),4)=MOD(COLUMN(DU54),4)),DU54:ER54)*#REF!+SUMPRODUCT(--(MOD(COLUMN(ES54:FP54),4)=MOD(COLUMN(ES54),4)),ES54:FP54)*#REF!</f>
        <v/>
      </c>
      <c r="FT54" s="361" t="n"/>
    </row>
    <row r="55" outlineLevel="2">
      <c r="A55" s="411" t="inlineStr">
        <is>
          <t>АВГ АВТОКОМПОНЕНТЫ ООО</t>
        </is>
      </c>
      <c r="B55" s="417" t="inlineStr">
        <is>
          <t>Отсрочка 30 дней</t>
        </is>
      </c>
      <c r="C55" s="418" t="inlineStr">
        <is>
          <t>ВБК Восток</t>
        </is>
      </c>
      <c r="D55" s="411" t="inlineStr">
        <is>
          <t>Прасолов, Соловьёв</t>
        </is>
      </c>
      <c r="E55" s="10">
        <f>IF(ISBLANK(G55),"",IF($A$6:$A$64=$A55,COUNTIF($A$6:A55,$A55),""))</f>
        <v/>
      </c>
      <c r="F55" s="17" t="n">
        <v>1</v>
      </c>
      <c r="G55" s="33" t="n">
        <v>4410328080</v>
      </c>
      <c r="H55" s="18" t="inlineStr">
        <is>
          <t>Датчик АБС, 0,4 м</t>
        </is>
      </c>
      <c r="I55" s="627">
        <f>84/НДС_20</f>
        <v/>
      </c>
      <c r="J55" s="798" t="n"/>
      <c r="K55" s="798" t="n"/>
      <c r="L55" s="798">
        <f>IF(K55="RUB",J55/ЮАНЬ,IF(K55="EUR",J55*ЕВРО/ЮАНЬ,""))</f>
        <v/>
      </c>
      <c r="M55" s="801" t="n"/>
      <c r="N55" s="802">
        <f>IF(BP55&gt;0,1,IF(BN55&gt;0,2,))</f>
        <v/>
      </c>
      <c r="O55" s="23" t="n">
        <v>8</v>
      </c>
      <c r="P55" s="24" t="n"/>
      <c r="Q55" s="25" t="n">
        <v>0</v>
      </c>
      <c r="R55" s="24" t="n"/>
      <c r="S55" s="23" t="n">
        <v>8</v>
      </c>
      <c r="T55" s="24" t="n"/>
      <c r="U55" s="25" t="n">
        <v>0</v>
      </c>
      <c r="V55" s="24" t="n"/>
      <c r="W55" s="23" t="n">
        <v>8</v>
      </c>
      <c r="X55" s="24" t="n"/>
      <c r="Y55" s="25" t="n">
        <v>0</v>
      </c>
      <c r="Z55" s="24" t="n"/>
      <c r="AA55" s="23" t="n">
        <v>28</v>
      </c>
      <c r="AB55" s="24" t="n"/>
      <c r="AC55" s="25" t="n">
        <v>0</v>
      </c>
      <c r="AD55" s="24" t="n"/>
      <c r="AE55" s="23" t="n">
        <v>28</v>
      </c>
      <c r="AF55" s="24" t="n"/>
      <c r="AG55" s="25" t="n">
        <v>0</v>
      </c>
      <c r="AH55" s="24" t="n"/>
      <c r="AI55" s="23" t="n">
        <v>28</v>
      </c>
      <c r="AJ55" s="24" t="n"/>
      <c r="AK55" s="25" t="n">
        <v>0</v>
      </c>
      <c r="AL55" s="24" t="n"/>
      <c r="AM55" s="23" t="n">
        <v>56</v>
      </c>
      <c r="AN55" s="24" t="n"/>
      <c r="AO55" s="25" t="n">
        <v>0</v>
      </c>
      <c r="AP55" s="24" t="n"/>
      <c r="AQ55" s="23" t="n">
        <v>56</v>
      </c>
      <c r="AR55" s="24" t="n"/>
      <c r="AS55" s="25" t="n">
        <v>0</v>
      </c>
      <c r="AT55" s="24" t="n"/>
      <c r="AU55" s="23" t="n">
        <v>56</v>
      </c>
      <c r="AV55" s="24">
        <f>SUM(AV53:AV54)/3</f>
        <v/>
      </c>
      <c r="AW55" s="25" t="n">
        <v>0</v>
      </c>
      <c r="AX55" s="24" t="n"/>
      <c r="AY55" s="23" t="n">
        <v>56</v>
      </c>
      <c r="AZ55" s="24">
        <f>SUM(AZ53:AZ54)/3</f>
        <v/>
      </c>
      <c r="BA55" s="25" t="n">
        <v>0</v>
      </c>
      <c r="BB55" s="24" t="n"/>
      <c r="BC55" s="23" t="n">
        <v>56</v>
      </c>
      <c r="BD55" s="24">
        <f>SUM(BD53:BD54)/3</f>
        <v/>
      </c>
      <c r="BE55" s="25" t="n">
        <v>0</v>
      </c>
      <c r="BF55" s="24" t="n"/>
      <c r="BG55" s="23" t="n">
        <v>56</v>
      </c>
      <c r="BH55" s="24">
        <f>SUM(BH53:BH54)/3</f>
        <v/>
      </c>
      <c r="BI55" s="25" t="n">
        <v>0</v>
      </c>
      <c r="BJ55" s="24" t="n"/>
      <c r="BK55" s="340" t="n"/>
      <c r="BL55" s="803">
        <f>SUMPRODUCT(--(MOD(COLUMN($O55:$AL55),4)=MOD(COLUMN($O55)+0,4)),$O55:$AL55)
+SUMPRODUCT(--(MOD(COLUMN($AM55:$BJ55),4)=MOD(COLUMN($AM55)+0,4)),$AM55:$BJ55)</f>
        <v/>
      </c>
      <c r="BM55" s="804">
        <f>SUMPRODUCT(--(MOD(COLUMN($O55:$AL55),4)=MOD(COLUMN($O55)+0,4)),$O55:$AL55)*
$I55+SUMPRODUCT(--(MOD(COLUMN($AM55:$BJ55),4)=MOD(COLUMN($AM55)+0,4)),$AM55:$BJ55)*$I55</f>
        <v/>
      </c>
      <c r="BN55" s="805">
        <f>SUMPRODUCT(--(MOD(COLUMN($O55:$AL55),4)=MOD(COLUMN($O55)+1,4)),$O55:$AL55)
+SUMPRODUCT(--(MOD(COLUMN($AM55:$BJ55),4)=MOD(COLUMN($AM55)+1,4)),$AM55:$BJ55)</f>
        <v/>
      </c>
      <c r="BO55" s="806">
        <f>SUMPRODUCT(--(MOD(COLUMN($O55:$AL55),4)=MOD(COLUMN($O55)+1,4)),$O55:$AL55)*
$I55+SUMPRODUCT(--(MOD(COLUMN($AM55:$BJ55),4)=MOD(COLUMN($AM55)+1,4)),$AM55:$BJ55)*$I55</f>
        <v/>
      </c>
      <c r="BP55" s="807">
        <f>SUMPRODUCT(--(MOD(COLUMN($O55:$AL55),4)=MOD(COLUMN($O55)+2,4)),$O55:$AL55)
+SUMPRODUCT(--(MOD(COLUMN($AM55:$BJ55),4)=MOD(COLUMN($AM55)+2,4)),$AM55:$BJ55)</f>
        <v/>
      </c>
      <c r="BQ55" s="808">
        <f>SUMPRODUCT(--(MOD(COLUMN($O55:$AL55),4)=MOD(COLUMN($O55)+2,4)),$O55:$AL55)*
$I55+SUMPRODUCT(--(MOD(COLUMN($AM55:$BJ55),4)=MOD(COLUMN($AM55)+2,4)),$AM55:$BJ55)*$I55</f>
        <v/>
      </c>
      <c r="BR55" s="809" t="n"/>
      <c r="BS55" s="801" t="n"/>
      <c r="BT55" s="23" t="n">
        <v>138</v>
      </c>
      <c r="BU55" s="24" t="n"/>
      <c r="BV55" s="25" t="n">
        <v>0</v>
      </c>
      <c r="BW55" s="24" t="n"/>
      <c r="BX55" s="23" t="n">
        <v>138</v>
      </c>
      <c r="BY55" s="24" t="n"/>
      <c r="BZ55" s="25" t="n">
        <v>0</v>
      </c>
      <c r="CA55" s="24" t="n"/>
      <c r="CB55" s="23" t="n">
        <v>138</v>
      </c>
      <c r="CC55" s="24" t="n"/>
      <c r="CD55" s="25" t="n">
        <v>0</v>
      </c>
      <c r="CE55" s="24" t="n"/>
      <c r="CF55" s="23" t="n">
        <v>138</v>
      </c>
      <c r="CG55" s="24" t="n"/>
      <c r="CH55" s="25" t="n">
        <v>0</v>
      </c>
      <c r="CI55" s="24" t="n"/>
      <c r="CJ55" s="23" t="n">
        <v>138</v>
      </c>
      <c r="CK55" s="24" t="n"/>
      <c r="CL55" s="25" t="n">
        <v>0</v>
      </c>
      <c r="CM55" s="24" t="n"/>
      <c r="CN55" s="23" t="n">
        <v>138</v>
      </c>
      <c r="CO55" s="24" t="n"/>
      <c r="CP55" s="25" t="n">
        <v>0</v>
      </c>
      <c r="CQ55" s="24" t="n"/>
      <c r="CR55" s="23" t="n">
        <v>138</v>
      </c>
      <c r="CS55" s="24" t="n"/>
      <c r="CT55" s="25" t="n">
        <v>0</v>
      </c>
      <c r="CU55" s="24" t="n"/>
      <c r="CV55" s="23" t="n">
        <v>138</v>
      </c>
      <c r="CW55" s="24" t="n"/>
      <c r="CX55" s="25" t="n">
        <v>0</v>
      </c>
      <c r="CY55" s="24" t="n"/>
      <c r="CZ55" s="23" t="n">
        <v>138</v>
      </c>
      <c r="DA55" s="24" t="n"/>
      <c r="DB55" s="25" t="n">
        <v>0</v>
      </c>
      <c r="DC55" s="24" t="n"/>
      <c r="DD55" s="23" t="n">
        <v>138</v>
      </c>
      <c r="DE55" s="24" t="n"/>
      <c r="DF55" s="25" t="n">
        <v>0</v>
      </c>
      <c r="DG55" s="24" t="n"/>
      <c r="DH55" s="23" t="n">
        <v>138</v>
      </c>
      <c r="DI55" s="24" t="n"/>
      <c r="DJ55" s="25" t="n">
        <v>0</v>
      </c>
      <c r="DK55" s="24" t="n"/>
      <c r="DL55" s="23" t="n">
        <v>138</v>
      </c>
      <c r="DM55" s="24" t="n"/>
      <c r="DN55" s="25" t="n">
        <v>0</v>
      </c>
      <c r="DO55" s="24" t="n"/>
      <c r="DP55" s="340" t="n"/>
      <c r="DQ55" s="803">
        <f>SUMPRODUCT(--(MOD(COLUMN(BT55:CQ55),4)=MOD(COLUMN(BT55),4)),BT55:CQ55)+SUMPRODUCT(--(MOD(COLUMN(CR55:DO55),4)=MOD(COLUMN(CR55),4)),CR55:DO55)</f>
        <v/>
      </c>
      <c r="DR55" s="803">
        <f>SUMPRODUCT(--(MOD(COLUMN(BT55:CQ55),4)=MOD(COLUMN(BT55),4)),BT55:CQ55)*#REF!+SUMPRODUCT(--(MOD(COLUMN(CR55:DO55),4)=MOD(COLUMN(CR55),4)),CR55:DO55)*#REF!</f>
        <v/>
      </c>
      <c r="DS55" s="809" t="n"/>
      <c r="DT55" s="801" t="n"/>
      <c r="DU55" s="23" t="n">
        <v>276</v>
      </c>
      <c r="DV55" s="24" t="n"/>
      <c r="DW55" s="25" t="n">
        <v>0</v>
      </c>
      <c r="DX55" s="24" t="n"/>
      <c r="DY55" s="23" t="n">
        <v>276</v>
      </c>
      <c r="DZ55" s="24" t="n"/>
      <c r="EA55" s="25" t="n">
        <v>0</v>
      </c>
      <c r="EB55" s="24" t="n"/>
      <c r="EC55" s="23" t="n">
        <v>276</v>
      </c>
      <c r="ED55" s="24" t="n"/>
      <c r="EE55" s="25" t="n">
        <v>0</v>
      </c>
      <c r="EF55" s="24" t="n"/>
      <c r="EG55" s="23" t="n">
        <v>276</v>
      </c>
      <c r="EH55" s="24" t="n"/>
      <c r="EI55" s="25" t="n">
        <v>0</v>
      </c>
      <c r="EJ55" s="24" t="n"/>
      <c r="EK55" s="23" t="n">
        <v>276</v>
      </c>
      <c r="EL55" s="24" t="n"/>
      <c r="EM55" s="25" t="n">
        <v>0</v>
      </c>
      <c r="EN55" s="24" t="n"/>
      <c r="EO55" s="23" t="n">
        <v>276</v>
      </c>
      <c r="EP55" s="24" t="n"/>
      <c r="EQ55" s="25" t="n">
        <v>0</v>
      </c>
      <c r="ER55" s="24" t="n"/>
      <c r="ES55" s="23" t="n">
        <v>276</v>
      </c>
      <c r="ET55" s="24" t="n"/>
      <c r="EU55" s="25" t="n">
        <v>0</v>
      </c>
      <c r="EV55" s="24" t="n"/>
      <c r="EW55" s="23" t="n">
        <v>276</v>
      </c>
      <c r="EX55" s="24" t="n"/>
      <c r="EY55" s="25" t="n">
        <v>0</v>
      </c>
      <c r="EZ55" s="24" t="n"/>
      <c r="FA55" s="23" t="n">
        <v>276</v>
      </c>
      <c r="FB55" s="24" t="n"/>
      <c r="FC55" s="25" t="n">
        <v>0</v>
      </c>
      <c r="FD55" s="24" t="n"/>
      <c r="FE55" s="23" t="n">
        <v>276</v>
      </c>
      <c r="FF55" s="24" t="n"/>
      <c r="FG55" s="25" t="n">
        <v>0</v>
      </c>
      <c r="FH55" s="24" t="n"/>
      <c r="FI55" s="23" t="n">
        <v>276</v>
      </c>
      <c r="FJ55" s="24" t="n"/>
      <c r="FK55" s="25" t="n">
        <v>0</v>
      </c>
      <c r="FL55" s="24" t="n"/>
      <c r="FM55" s="23" t="n">
        <v>276</v>
      </c>
      <c r="FN55" s="24" t="n"/>
      <c r="FO55" s="25" t="n">
        <v>0</v>
      </c>
      <c r="FP55" s="24" t="n"/>
      <c r="FQ55" s="340" t="n"/>
      <c r="FR55" s="803">
        <f>SUMPRODUCT(--(MOD(COLUMN(DU55:ER55),4)=MOD(COLUMN(DU55),4)),DU55:ER55)+SUMPRODUCT(--(MOD(COLUMN(ES55:FP55),4)=MOD(COLUMN(ES55),4)),ES55:FP55)</f>
        <v/>
      </c>
      <c r="FS55" s="803">
        <f>SUMPRODUCT(--(MOD(COLUMN(DU55:ER55),4)=MOD(COLUMN(DU55),4)),DU55:ER55)*#REF!+SUMPRODUCT(--(MOD(COLUMN(ES55:FP55),4)=MOD(COLUMN(ES55),4)),ES55:FP55)*#REF!</f>
        <v/>
      </c>
      <c r="FT55" s="361" t="n"/>
    </row>
    <row r="56" outlineLevel="2">
      <c r="A56" s="411" t="inlineStr">
        <is>
          <t>АВГ АВТОКОМПОНЕНТЫ ООО</t>
        </is>
      </c>
      <c r="B56" s="417" t="inlineStr">
        <is>
          <t>Отсрочка 30 дней</t>
        </is>
      </c>
      <c r="C56" s="418" t="inlineStr">
        <is>
          <t>ВБК Восток</t>
        </is>
      </c>
      <c r="D56" s="411" t="inlineStr">
        <is>
          <t>Прасолов, Соловьёв</t>
        </is>
      </c>
      <c r="E56" s="10">
        <f>IF(ISBLANK(G56),"",IF($A$6:$A$64=$A56,COUNTIF($A$6:A56,$A56),""))</f>
        <v/>
      </c>
      <c r="F56" s="17" t="n">
        <v>1</v>
      </c>
      <c r="G56" s="33" t="n">
        <v>8997598154</v>
      </c>
      <c r="H56" s="18" t="inlineStr">
        <is>
          <t>Втулка датчика АБС</t>
        </is>
      </c>
      <c r="I56" s="625">
        <f>8.4/НДС_20</f>
        <v/>
      </c>
      <c r="J56" s="826" t="n"/>
      <c r="K56" s="826" t="n"/>
      <c r="L56" s="826">
        <f>IF(K56="RUB",J56/ЮАНЬ,IF(K56="EUR",J56*ЕВРО/ЮАНЬ,""))</f>
        <v/>
      </c>
      <c r="M56" s="801" t="n"/>
      <c r="N56" s="802">
        <f>IF(BP56&gt;0,1,IF(BN56&gt;0,2,))</f>
        <v/>
      </c>
      <c r="O56" s="23" t="n">
        <v>8</v>
      </c>
      <c r="P56" s="24" t="n"/>
      <c r="Q56" s="25" t="n">
        <v>0</v>
      </c>
      <c r="R56" s="24" t="n"/>
      <c r="S56" s="23" t="n">
        <v>8</v>
      </c>
      <c r="T56" s="24" t="n"/>
      <c r="U56" s="25" t="n">
        <v>0</v>
      </c>
      <c r="V56" s="24" t="n"/>
      <c r="W56" s="23" t="n">
        <v>8</v>
      </c>
      <c r="X56" s="24" t="n"/>
      <c r="Y56" s="25" t="n">
        <v>0</v>
      </c>
      <c r="Z56" s="24" t="n"/>
      <c r="AA56" s="23" t="n">
        <v>28</v>
      </c>
      <c r="AB56" s="24" t="n"/>
      <c r="AC56" s="25" t="n">
        <v>0</v>
      </c>
      <c r="AD56" s="24" t="n"/>
      <c r="AE56" s="23" t="n">
        <v>28</v>
      </c>
      <c r="AF56" s="24" t="n"/>
      <c r="AG56" s="25" t="n">
        <v>0</v>
      </c>
      <c r="AH56" s="24" t="n"/>
      <c r="AI56" s="23" t="n">
        <v>28</v>
      </c>
      <c r="AJ56" s="24" t="n"/>
      <c r="AK56" s="25" t="n">
        <v>0</v>
      </c>
      <c r="AL56" s="24" t="n"/>
      <c r="AM56" s="23" t="n">
        <v>56</v>
      </c>
      <c r="AN56" s="24" t="n"/>
      <c r="AO56" s="25" t="n">
        <v>0</v>
      </c>
      <c r="AP56" s="24" t="n"/>
      <c r="AQ56" s="23" t="n">
        <v>56</v>
      </c>
      <c r="AR56" s="24" t="n"/>
      <c r="AS56" s="25" t="n">
        <v>0</v>
      </c>
      <c r="AT56" s="24" t="n"/>
      <c r="AU56" s="23" t="n">
        <v>56</v>
      </c>
      <c r="AV56" s="24">
        <f>SUM(AV53:AV54)/3</f>
        <v/>
      </c>
      <c r="AW56" s="25" t="n">
        <v>0</v>
      </c>
      <c r="AX56" s="24" t="n"/>
      <c r="AY56" s="23" t="n">
        <v>56</v>
      </c>
      <c r="AZ56" s="24">
        <f>SUM(AZ53:AZ54)/3</f>
        <v/>
      </c>
      <c r="BA56" s="25" t="n">
        <v>0</v>
      </c>
      <c r="BB56" s="24" t="n"/>
      <c r="BC56" s="23" t="n">
        <v>56</v>
      </c>
      <c r="BD56" s="24">
        <f>SUM(BD53:BD54)/3</f>
        <v/>
      </c>
      <c r="BE56" s="25" t="n">
        <v>0</v>
      </c>
      <c r="BF56" s="24" t="n"/>
      <c r="BG56" s="23" t="n">
        <v>56</v>
      </c>
      <c r="BH56" s="24">
        <f>SUM(BH53:BH54)/3</f>
        <v/>
      </c>
      <c r="BI56" s="25" t="n">
        <v>0</v>
      </c>
      <c r="BJ56" s="24" t="n"/>
      <c r="BK56" s="340" t="n"/>
      <c r="BL56" s="803">
        <f>SUMPRODUCT(--(MOD(COLUMN($O56:$AL56),4)=MOD(COLUMN($O56)+0,4)),$O56:$AL56)
+SUMPRODUCT(--(MOD(COLUMN($AM56:$BJ56),4)=MOD(COLUMN($AM56)+0,4)),$AM56:$BJ56)</f>
        <v/>
      </c>
      <c r="BM56" s="804">
        <f>SUMPRODUCT(--(MOD(COLUMN($O56:$AL56),4)=MOD(COLUMN($O56)+0,4)),$O56:$AL56)*
$I56+SUMPRODUCT(--(MOD(COLUMN($AM56:$BJ56),4)=MOD(COLUMN($AM56)+0,4)),$AM56:$BJ56)*$I56</f>
        <v/>
      </c>
      <c r="BN56" s="805">
        <f>SUMPRODUCT(--(MOD(COLUMN($O56:$AL56),4)=MOD(COLUMN($O56)+1,4)),$O56:$AL56)
+SUMPRODUCT(--(MOD(COLUMN($AM56:$BJ56),4)=MOD(COLUMN($AM56)+1,4)),$AM56:$BJ56)</f>
        <v/>
      </c>
      <c r="BO56" s="806">
        <f>SUMPRODUCT(--(MOD(COLUMN($O56:$AL56),4)=MOD(COLUMN($O56)+1,4)),$O56:$AL56)*
$I56+SUMPRODUCT(--(MOD(COLUMN($AM56:$BJ56),4)=MOD(COLUMN($AM56)+1,4)),$AM56:$BJ56)*$I56</f>
        <v/>
      </c>
      <c r="BP56" s="807">
        <f>SUMPRODUCT(--(MOD(COLUMN($O56:$AL56),4)=MOD(COLUMN($O56)+2,4)),$O56:$AL56)
+SUMPRODUCT(--(MOD(COLUMN($AM56:$BJ56),4)=MOD(COLUMN($AM56)+2,4)),$AM56:$BJ56)</f>
        <v/>
      </c>
      <c r="BQ56" s="808">
        <f>SUMPRODUCT(--(MOD(COLUMN($O56:$AL56),4)=MOD(COLUMN($O56)+2,4)),$O56:$AL56)*
$I56+SUMPRODUCT(--(MOD(COLUMN($AM56:$BJ56),4)=MOD(COLUMN($AM56)+2,4)),$AM56:$BJ56)*$I56</f>
        <v/>
      </c>
      <c r="BR56" s="809" t="n"/>
      <c r="BS56" s="801" t="n"/>
      <c r="BT56" s="23" t="n">
        <v>138</v>
      </c>
      <c r="BU56" s="24" t="n"/>
      <c r="BV56" s="25" t="n">
        <v>0</v>
      </c>
      <c r="BW56" s="24" t="n"/>
      <c r="BX56" s="23" t="n">
        <v>138</v>
      </c>
      <c r="BY56" s="24" t="n"/>
      <c r="BZ56" s="25" t="n">
        <v>0</v>
      </c>
      <c r="CA56" s="24" t="n"/>
      <c r="CB56" s="23" t="n">
        <v>138</v>
      </c>
      <c r="CC56" s="24" t="n"/>
      <c r="CD56" s="25" t="n">
        <v>0</v>
      </c>
      <c r="CE56" s="24" t="n"/>
      <c r="CF56" s="23" t="n">
        <v>138</v>
      </c>
      <c r="CG56" s="24" t="n"/>
      <c r="CH56" s="25" t="n">
        <v>0</v>
      </c>
      <c r="CI56" s="24" t="n"/>
      <c r="CJ56" s="23" t="n">
        <v>138</v>
      </c>
      <c r="CK56" s="24" t="n"/>
      <c r="CL56" s="25" t="n">
        <v>0</v>
      </c>
      <c r="CM56" s="24" t="n"/>
      <c r="CN56" s="23" t="n">
        <v>138</v>
      </c>
      <c r="CO56" s="24" t="n"/>
      <c r="CP56" s="25" t="n">
        <v>0</v>
      </c>
      <c r="CQ56" s="24" t="n"/>
      <c r="CR56" s="23" t="n">
        <v>138</v>
      </c>
      <c r="CS56" s="24" t="n"/>
      <c r="CT56" s="25" t="n">
        <v>0</v>
      </c>
      <c r="CU56" s="24" t="n"/>
      <c r="CV56" s="23" t="n">
        <v>138</v>
      </c>
      <c r="CW56" s="24" t="n"/>
      <c r="CX56" s="25" t="n">
        <v>0</v>
      </c>
      <c r="CY56" s="24" t="n"/>
      <c r="CZ56" s="23" t="n">
        <v>138</v>
      </c>
      <c r="DA56" s="24" t="n"/>
      <c r="DB56" s="25" t="n">
        <v>0</v>
      </c>
      <c r="DC56" s="24" t="n"/>
      <c r="DD56" s="23" t="n">
        <v>138</v>
      </c>
      <c r="DE56" s="24" t="n"/>
      <c r="DF56" s="25" t="n">
        <v>0</v>
      </c>
      <c r="DG56" s="24" t="n"/>
      <c r="DH56" s="23" t="n">
        <v>138</v>
      </c>
      <c r="DI56" s="24" t="n"/>
      <c r="DJ56" s="25" t="n">
        <v>0</v>
      </c>
      <c r="DK56" s="24" t="n"/>
      <c r="DL56" s="23" t="n">
        <v>138</v>
      </c>
      <c r="DM56" s="24" t="n"/>
      <c r="DN56" s="25" t="n">
        <v>0</v>
      </c>
      <c r="DO56" s="24" t="n"/>
      <c r="DP56" s="340" t="n"/>
      <c r="DQ56" s="803">
        <f>SUMPRODUCT(--(MOD(COLUMN(BT56:CQ56),4)=MOD(COLUMN(BT56),4)),BT56:CQ56)+SUMPRODUCT(--(MOD(COLUMN(CR56:DO56),4)=MOD(COLUMN(CR56),4)),CR56:DO56)</f>
        <v/>
      </c>
      <c r="DR56" s="803">
        <f>SUMPRODUCT(--(MOD(COLUMN(BT56:CQ56),4)=MOD(COLUMN(BT56),4)),BT56:CQ56)*#REF!+SUMPRODUCT(--(MOD(COLUMN(CR56:DO56),4)=MOD(COLUMN(CR56),4)),CR56:DO56)*#REF!</f>
        <v/>
      </c>
      <c r="DS56" s="809" t="n"/>
      <c r="DT56" s="801" t="n"/>
      <c r="DU56" s="23" t="n">
        <v>276</v>
      </c>
      <c r="DV56" s="24" t="n"/>
      <c r="DW56" s="25" t="n">
        <v>0</v>
      </c>
      <c r="DX56" s="24" t="n"/>
      <c r="DY56" s="23" t="n">
        <v>276</v>
      </c>
      <c r="DZ56" s="24" t="n"/>
      <c r="EA56" s="25" t="n">
        <v>0</v>
      </c>
      <c r="EB56" s="24" t="n"/>
      <c r="EC56" s="23" t="n">
        <v>276</v>
      </c>
      <c r="ED56" s="24" t="n"/>
      <c r="EE56" s="25" t="n">
        <v>0</v>
      </c>
      <c r="EF56" s="24" t="n"/>
      <c r="EG56" s="23" t="n">
        <v>276</v>
      </c>
      <c r="EH56" s="24" t="n"/>
      <c r="EI56" s="25" t="n">
        <v>0</v>
      </c>
      <c r="EJ56" s="24" t="n"/>
      <c r="EK56" s="23" t="n">
        <v>276</v>
      </c>
      <c r="EL56" s="24" t="n"/>
      <c r="EM56" s="25" t="n">
        <v>0</v>
      </c>
      <c r="EN56" s="24" t="n"/>
      <c r="EO56" s="23" t="n">
        <v>276</v>
      </c>
      <c r="EP56" s="24" t="n"/>
      <c r="EQ56" s="25" t="n">
        <v>0</v>
      </c>
      <c r="ER56" s="24" t="n"/>
      <c r="ES56" s="23" t="n">
        <v>276</v>
      </c>
      <c r="ET56" s="24" t="n"/>
      <c r="EU56" s="25" t="n">
        <v>0</v>
      </c>
      <c r="EV56" s="24" t="n"/>
      <c r="EW56" s="23" t="n">
        <v>276</v>
      </c>
      <c r="EX56" s="24" t="n"/>
      <c r="EY56" s="25" t="n">
        <v>0</v>
      </c>
      <c r="EZ56" s="24" t="n"/>
      <c r="FA56" s="23" t="n">
        <v>276</v>
      </c>
      <c r="FB56" s="24" t="n"/>
      <c r="FC56" s="25" t="n">
        <v>0</v>
      </c>
      <c r="FD56" s="24" t="n"/>
      <c r="FE56" s="23" t="n">
        <v>276</v>
      </c>
      <c r="FF56" s="24" t="n"/>
      <c r="FG56" s="25" t="n">
        <v>0</v>
      </c>
      <c r="FH56" s="24" t="n"/>
      <c r="FI56" s="23" t="n">
        <v>276</v>
      </c>
      <c r="FJ56" s="24" t="n"/>
      <c r="FK56" s="25" t="n">
        <v>0</v>
      </c>
      <c r="FL56" s="24" t="n"/>
      <c r="FM56" s="23" t="n">
        <v>276</v>
      </c>
      <c r="FN56" s="24" t="n"/>
      <c r="FO56" s="25" t="n">
        <v>0</v>
      </c>
      <c r="FP56" s="24" t="n"/>
      <c r="FQ56" s="340" t="n"/>
      <c r="FR56" s="803">
        <f>SUMPRODUCT(--(MOD(COLUMN(DU56:ER56),4)=MOD(COLUMN(DU56),4)),DU56:ER56)+SUMPRODUCT(--(MOD(COLUMN(ES56:FP56),4)=MOD(COLUMN(ES56),4)),ES56:FP56)</f>
        <v/>
      </c>
      <c r="FS56" s="803">
        <f>SUMPRODUCT(--(MOD(COLUMN(DU56:ER56),4)=MOD(COLUMN(DU56),4)),DU56:ER56)*#REF!+SUMPRODUCT(--(MOD(COLUMN(ES56:FP56),4)=MOD(COLUMN(ES56),4)),ES56:FP56)*#REF!</f>
        <v/>
      </c>
      <c r="FT56" s="361" t="n"/>
    </row>
    <row r="57" outlineLevel="2">
      <c r="A57" s="411" t="inlineStr">
        <is>
          <t>АВГ АВТОКОМПОНЕНТЫ ООО</t>
        </is>
      </c>
      <c r="B57" s="417" t="inlineStr">
        <is>
          <t>Отсрочка 30 дней</t>
        </is>
      </c>
      <c r="C57" s="418" t="inlineStr">
        <is>
          <t>ВБК Восток</t>
        </is>
      </c>
      <c r="D57" s="411" t="inlineStr">
        <is>
          <t>Прасолов, Соловьёв</t>
        </is>
      </c>
      <c r="E57" s="10">
        <f>IF(ISBLANK(G57),"",IF($A$6:$A$64=$A57,COUNTIF($A$6:A57,$A57),""))</f>
        <v/>
      </c>
      <c r="F57" s="412" t="n">
        <v>1</v>
      </c>
      <c r="G57" s="409" t="n">
        <v>4235041001</v>
      </c>
      <c r="H57" s="410" t="inlineStr">
        <is>
          <t>Тормозная камера, тип 20</t>
        </is>
      </c>
      <c r="I57" s="629" t="n">
        <v>135.5</v>
      </c>
      <c r="J57" s="798" t="n"/>
      <c r="K57" s="798" t="n"/>
      <c r="L57" s="798">
        <f>IF(K57="RUB",J57/ЮАНЬ,IF(K57="EUR",J57*ЕВРО/ЮАНЬ,""))</f>
        <v/>
      </c>
      <c r="M57" s="801" t="n"/>
      <c r="N57" s="802">
        <f>IF(BP57&gt;0,1,IF(BN57&gt;0,2,))</f>
        <v/>
      </c>
      <c r="O57" s="23" t="n">
        <v>8</v>
      </c>
      <c r="P57" s="24" t="n"/>
      <c r="Q57" s="25" t="n">
        <v>0</v>
      </c>
      <c r="R57" s="24" t="n"/>
      <c r="S57" s="23" t="n">
        <v>8</v>
      </c>
      <c r="T57" s="24" t="n"/>
      <c r="U57" s="25" t="n">
        <v>0</v>
      </c>
      <c r="V57" s="24" t="n"/>
      <c r="W57" s="23" t="n">
        <v>8</v>
      </c>
      <c r="X57" s="24">
        <f>20</f>
        <v/>
      </c>
      <c r="Y57" s="25" t="n">
        <v>20</v>
      </c>
      <c r="Z57" s="24" t="n"/>
      <c r="AA57" s="23" t="n">
        <v>28</v>
      </c>
      <c r="AB57" s="24" t="n"/>
      <c r="AC57" s="25" t="n">
        <v>0</v>
      </c>
      <c r="AD57" s="24" t="n"/>
      <c r="AE57" s="23" t="n">
        <v>28</v>
      </c>
      <c r="AF57" s="24">
        <f>2</f>
        <v/>
      </c>
      <c r="AG57" s="25" t="n">
        <v>2</v>
      </c>
      <c r="AH57" s="24" t="n"/>
      <c r="AI57" s="23" t="n">
        <v>28</v>
      </c>
      <c r="AJ57" s="24" t="n"/>
      <c r="AK57" s="25" t="n">
        <v>0</v>
      </c>
      <c r="AL57" s="24" t="n"/>
      <c r="AM57" s="23" t="n">
        <v>56</v>
      </c>
      <c r="AN57" s="24" t="n"/>
      <c r="AO57" s="25" t="n">
        <v>0</v>
      </c>
      <c r="AP57" s="24" t="n"/>
      <c r="AQ57" s="23" t="n">
        <v>56</v>
      </c>
      <c r="AR57" s="24" t="n"/>
      <c r="AS57" s="25" t="n">
        <v>0</v>
      </c>
      <c r="AT57" s="24" t="n"/>
      <c r="AU57" s="23" t="n">
        <v>56</v>
      </c>
      <c r="AV57" s="24">
        <f>SUM(AV53:AV54)/3</f>
        <v/>
      </c>
      <c r="AW57" s="25" t="n">
        <v>0</v>
      </c>
      <c r="AX57" s="24" t="n"/>
      <c r="AY57" s="23" t="n">
        <v>56</v>
      </c>
      <c r="AZ57" s="24">
        <f>SUM(AZ53:AZ54)/3</f>
        <v/>
      </c>
      <c r="BA57" s="25" t="n">
        <v>0</v>
      </c>
      <c r="BB57" s="24" t="n"/>
      <c r="BC57" s="23" t="n">
        <v>56</v>
      </c>
      <c r="BD57" s="24">
        <f>SUM(BD53:BD54)/3</f>
        <v/>
      </c>
      <c r="BE57" s="25" t="n">
        <v>0</v>
      </c>
      <c r="BF57" s="24" t="n"/>
      <c r="BG57" s="23" t="n">
        <v>56</v>
      </c>
      <c r="BH57" s="24">
        <f>SUM(BH53:BH54)/3</f>
        <v/>
      </c>
      <c r="BI57" s="25" t="n">
        <v>0</v>
      </c>
      <c r="BJ57" s="24" t="n"/>
      <c r="BK57" s="340" t="n"/>
      <c r="BL57" s="803">
        <f>SUMPRODUCT(--(MOD(COLUMN($O57:$AL57),4)=MOD(COLUMN($O57)+0,4)),$O57:$AL57)
+SUMPRODUCT(--(MOD(COLUMN($AM57:$BJ57),4)=MOD(COLUMN($AM57)+0,4)),$AM57:$BJ57)</f>
        <v/>
      </c>
      <c r="BM57" s="804">
        <f>SUMPRODUCT(--(MOD(COLUMN($O57:$AL57),4)=MOD(COLUMN($O57)+0,4)),$O57:$AL57)*
$I57+SUMPRODUCT(--(MOD(COLUMN($AM57:$BJ57),4)=MOD(COLUMN($AM57)+0,4)),$AM57:$BJ57)*$I57</f>
        <v/>
      </c>
      <c r="BN57" s="805">
        <f>SUMPRODUCT(--(MOD(COLUMN($O57:$AL57),4)=MOD(COLUMN($O57)+1,4)),$O57:$AL57)
+SUMPRODUCT(--(MOD(COLUMN($AM57:$BJ57),4)=MOD(COLUMN($AM57)+1,4)),$AM57:$BJ57)</f>
        <v/>
      </c>
      <c r="BO57" s="806">
        <f>SUMPRODUCT(--(MOD(COLUMN($O57:$AL57),4)=MOD(COLUMN($O57)+1,4)),$O57:$AL57)*
$I57+SUMPRODUCT(--(MOD(COLUMN($AM57:$BJ57),4)=MOD(COLUMN($AM57)+1,4)),$AM57:$BJ57)*$I57</f>
        <v/>
      </c>
      <c r="BP57" s="807">
        <f>SUMPRODUCT(--(MOD(COLUMN($O57:$AL57),4)=MOD(COLUMN($O57)+2,4)),$O57:$AL57)
+SUMPRODUCT(--(MOD(COLUMN($AM57:$BJ57),4)=MOD(COLUMN($AM57)+2,4)),$AM57:$BJ57)</f>
        <v/>
      </c>
      <c r="BQ57" s="808">
        <f>SUMPRODUCT(--(MOD(COLUMN($O57:$AL57),4)=MOD(COLUMN($O57)+2,4)),$O57:$AL57)*
$I57+SUMPRODUCT(--(MOD(COLUMN($AM57:$BJ57),4)=MOD(COLUMN($AM57)+2,4)),$AM57:$BJ57)*$I57</f>
        <v/>
      </c>
      <c r="BR57" s="809" t="n"/>
      <c r="BS57" s="801" t="n"/>
      <c r="BT57" s="23" t="n">
        <v>138</v>
      </c>
      <c r="BU57" s="24" t="n"/>
      <c r="BV57" s="25" t="n">
        <v>0</v>
      </c>
      <c r="BW57" s="24" t="n"/>
      <c r="BX57" s="23" t="n">
        <v>138</v>
      </c>
      <c r="BY57" s="24" t="n"/>
      <c r="BZ57" s="25" t="n">
        <v>0</v>
      </c>
      <c r="CA57" s="24" t="n"/>
      <c r="CB57" s="23" t="n">
        <v>138</v>
      </c>
      <c r="CC57" s="24" t="n"/>
      <c r="CD57" s="25" t="n">
        <v>0</v>
      </c>
      <c r="CE57" s="24" t="n"/>
      <c r="CF57" s="23" t="n">
        <v>138</v>
      </c>
      <c r="CG57" s="24" t="n"/>
      <c r="CH57" s="25" t="n">
        <v>0</v>
      </c>
      <c r="CI57" s="24" t="n"/>
      <c r="CJ57" s="23" t="n">
        <v>138</v>
      </c>
      <c r="CK57" s="24" t="n"/>
      <c r="CL57" s="25" t="n">
        <v>0</v>
      </c>
      <c r="CM57" s="24" t="n"/>
      <c r="CN57" s="23" t="n">
        <v>138</v>
      </c>
      <c r="CO57" s="24" t="n"/>
      <c r="CP57" s="25" t="n">
        <v>0</v>
      </c>
      <c r="CQ57" s="24" t="n"/>
      <c r="CR57" s="23" t="n">
        <v>138</v>
      </c>
      <c r="CS57" s="24" t="n"/>
      <c r="CT57" s="25" t="n">
        <v>0</v>
      </c>
      <c r="CU57" s="24" t="n"/>
      <c r="CV57" s="23" t="n">
        <v>138</v>
      </c>
      <c r="CW57" s="24" t="n"/>
      <c r="CX57" s="25" t="n">
        <v>0</v>
      </c>
      <c r="CY57" s="24" t="n"/>
      <c r="CZ57" s="23" t="n">
        <v>138</v>
      </c>
      <c r="DA57" s="24" t="n"/>
      <c r="DB57" s="25" t="n">
        <v>0</v>
      </c>
      <c r="DC57" s="24" t="n"/>
      <c r="DD57" s="23" t="n">
        <v>138</v>
      </c>
      <c r="DE57" s="24" t="n"/>
      <c r="DF57" s="25" t="n">
        <v>0</v>
      </c>
      <c r="DG57" s="24" t="n"/>
      <c r="DH57" s="23" t="n">
        <v>138</v>
      </c>
      <c r="DI57" s="24" t="n"/>
      <c r="DJ57" s="25" t="n">
        <v>0</v>
      </c>
      <c r="DK57" s="24" t="n"/>
      <c r="DL57" s="23" t="n">
        <v>138</v>
      </c>
      <c r="DM57" s="24" t="n"/>
      <c r="DN57" s="25" t="n">
        <v>0</v>
      </c>
      <c r="DO57" s="24" t="n"/>
      <c r="DP57" s="340" t="n"/>
      <c r="DQ57" s="803">
        <f>SUMPRODUCT(--(MOD(COLUMN(BT57:CQ57),4)=MOD(COLUMN(BT57),4)),BT57:CQ57)+SUMPRODUCT(--(MOD(COLUMN(CR57:DO57),4)=MOD(COLUMN(CR57),4)),CR57:DO57)</f>
        <v/>
      </c>
      <c r="DR57" s="803">
        <f>SUMPRODUCT(--(MOD(COLUMN(BT57:CQ57),4)=MOD(COLUMN(BT57),4)),BT57:CQ57)*#REF!+SUMPRODUCT(--(MOD(COLUMN(CR57:DO57),4)=MOD(COLUMN(CR57),4)),CR57:DO57)*#REF!</f>
        <v/>
      </c>
      <c r="DS57" s="809" t="n"/>
      <c r="DT57" s="801" t="n"/>
      <c r="DU57" s="23" t="n">
        <v>276</v>
      </c>
      <c r="DV57" s="24" t="n"/>
      <c r="DW57" s="25" t="n">
        <v>0</v>
      </c>
      <c r="DX57" s="24" t="n"/>
      <c r="DY57" s="23" t="n">
        <v>276</v>
      </c>
      <c r="DZ57" s="24" t="n"/>
      <c r="EA57" s="25" t="n">
        <v>0</v>
      </c>
      <c r="EB57" s="24" t="n"/>
      <c r="EC57" s="23" t="n">
        <v>276</v>
      </c>
      <c r="ED57" s="24" t="n"/>
      <c r="EE57" s="25" t="n">
        <v>0</v>
      </c>
      <c r="EF57" s="108" t="n"/>
      <c r="EG57" s="23" t="n">
        <v>276</v>
      </c>
      <c r="EH57" s="24" t="n"/>
      <c r="EI57" s="25" t="n">
        <v>0</v>
      </c>
      <c r="EJ57" s="24" t="n"/>
      <c r="EK57" s="23" t="n">
        <v>276</v>
      </c>
      <c r="EL57" s="24" t="n"/>
      <c r="EM57" s="25" t="n">
        <v>0</v>
      </c>
      <c r="EN57" s="24" t="n"/>
      <c r="EO57" s="23" t="n">
        <v>276</v>
      </c>
      <c r="EP57" s="24" t="n"/>
      <c r="EQ57" s="25" t="n">
        <v>0</v>
      </c>
      <c r="ER57" s="24" t="n"/>
      <c r="ES57" s="23" t="n">
        <v>276</v>
      </c>
      <c r="ET57" s="24" t="n"/>
      <c r="EU57" s="25" t="n">
        <v>0</v>
      </c>
      <c r="EV57" s="24" t="n"/>
      <c r="EW57" s="23" t="n">
        <v>276</v>
      </c>
      <c r="EX57" s="24" t="n"/>
      <c r="EY57" s="25" t="n">
        <v>0</v>
      </c>
      <c r="EZ57" s="24" t="n"/>
      <c r="FA57" s="23" t="n">
        <v>276</v>
      </c>
      <c r="FB57" s="24" t="n"/>
      <c r="FC57" s="25" t="n">
        <v>0</v>
      </c>
      <c r="FD57" s="24" t="n"/>
      <c r="FE57" s="23" t="n">
        <v>276</v>
      </c>
      <c r="FF57" s="24" t="n"/>
      <c r="FG57" s="25" t="n">
        <v>0</v>
      </c>
      <c r="FH57" s="24" t="n"/>
      <c r="FI57" s="23" t="n">
        <v>276</v>
      </c>
      <c r="FJ57" s="24" t="n"/>
      <c r="FK57" s="25" t="n">
        <v>0</v>
      </c>
      <c r="FL57" s="24" t="n"/>
      <c r="FM57" s="23" t="n">
        <v>276</v>
      </c>
      <c r="FN57" s="24" t="n"/>
      <c r="FO57" s="25" t="n">
        <v>0</v>
      </c>
      <c r="FP57" s="24" t="n"/>
      <c r="FQ57" s="340" t="n"/>
      <c r="FR57" s="803">
        <f>SUMPRODUCT(--(MOD(COLUMN(DU57:ER57),4)=MOD(COLUMN(DU57),4)),DU57:ER57)+SUMPRODUCT(--(MOD(COLUMN(ES57:FP57),4)=MOD(COLUMN(ES57),4)),ES57:FP57)</f>
        <v/>
      </c>
      <c r="FS57" s="803">
        <f>SUMPRODUCT(--(MOD(COLUMN(DU57:ER57),4)=MOD(COLUMN(DU57),4)),DU57:ER57)*#REF!+SUMPRODUCT(--(MOD(COLUMN(ES57:FP57),4)=MOD(COLUMN(ES57),4)),ES57:FP57)*#REF!</f>
        <v/>
      </c>
      <c r="FT57" s="361" t="n"/>
    </row>
    <row r="58" outlineLevel="2">
      <c r="A58" s="411" t="inlineStr">
        <is>
          <t>АВГ АВТОКОМПОНЕНТЫ ООО</t>
        </is>
      </c>
      <c r="B58" s="417" t="inlineStr">
        <is>
          <t>Отсрочка 30 дней</t>
        </is>
      </c>
      <c r="C58" s="418" t="inlineStr">
        <is>
          <t>ВБК Восток</t>
        </is>
      </c>
      <c r="D58" s="411" t="inlineStr">
        <is>
          <t>Прасолов, Соловьёв</t>
        </is>
      </c>
      <c r="E58" s="10">
        <f>IF(ISBLANK(G58),"",IF($A$6:$A$64=$A58,COUNTIF($A$6:A58,$A58),""))</f>
        <v/>
      </c>
      <c r="F58" s="412" t="n">
        <v>1</v>
      </c>
      <c r="G58" s="409" t="n">
        <v>9254800504</v>
      </c>
      <c r="H58" s="410" t="inlineStr">
        <is>
          <t>Энергоаккумулятор, тип 20/24</t>
        </is>
      </c>
      <c r="I58" s="629" t="n">
        <v>311.5</v>
      </c>
      <c r="J58" s="798" t="n"/>
      <c r="K58" s="798" t="n"/>
      <c r="L58" s="798">
        <f>IF(K58="RUB",J58/ЮАНЬ,IF(K58="EUR",J58*ЕВРО/ЮАНЬ,""))</f>
        <v/>
      </c>
      <c r="M58" s="801" t="n"/>
      <c r="N58" s="802">
        <f>IF(BP58&gt;0,1,IF(BN58&gt;0,2,))</f>
        <v/>
      </c>
      <c r="O58" s="23" t="n">
        <v>16</v>
      </c>
      <c r="P58" s="24" t="n"/>
      <c r="Q58" s="25" t="n">
        <v>0</v>
      </c>
      <c r="R58" s="24" t="n"/>
      <c r="S58" s="23" t="n">
        <v>16</v>
      </c>
      <c r="T58" s="24" t="n"/>
      <c r="U58" s="25" t="n">
        <v>0</v>
      </c>
      <c r="V58" s="24" t="n"/>
      <c r="W58" s="23" t="n">
        <v>16</v>
      </c>
      <c r="X58" s="24">
        <f>20</f>
        <v/>
      </c>
      <c r="Y58" s="25" t="n">
        <v>20</v>
      </c>
      <c r="Z58" s="24" t="n"/>
      <c r="AA58" s="23" t="n">
        <v>56</v>
      </c>
      <c r="AB58" s="24" t="n"/>
      <c r="AC58" s="25" t="n">
        <v>0</v>
      </c>
      <c r="AD58" s="24" t="n"/>
      <c r="AE58" s="23" t="n">
        <v>56</v>
      </c>
      <c r="AF58" s="24">
        <f>4</f>
        <v/>
      </c>
      <c r="AG58" s="25" t="n">
        <v>4</v>
      </c>
      <c r="AH58" s="24" t="n"/>
      <c r="AI58" s="23" t="n">
        <v>56</v>
      </c>
      <c r="AJ58" s="24" t="n"/>
      <c r="AK58" s="25" t="n">
        <v>0</v>
      </c>
      <c r="AL58" s="24" t="n"/>
      <c r="AM58" s="23" t="n">
        <v>112</v>
      </c>
      <c r="AN58" s="24" t="n"/>
      <c r="AO58" s="25" t="n">
        <v>0</v>
      </c>
      <c r="AP58" s="24" t="n"/>
      <c r="AQ58" s="23" t="n">
        <v>112</v>
      </c>
      <c r="AR58" s="24" t="n"/>
      <c r="AS58" s="25" t="n">
        <v>0</v>
      </c>
      <c r="AT58" s="24" t="n"/>
      <c r="AU58" s="23" t="n">
        <v>112</v>
      </c>
      <c r="AV58" s="24">
        <f>SUM(AV53:AV54)/3*2</f>
        <v/>
      </c>
      <c r="AW58" s="25" t="n">
        <v>0</v>
      </c>
      <c r="AX58" s="24" t="n"/>
      <c r="AY58" s="23" t="n">
        <v>112</v>
      </c>
      <c r="AZ58" s="24">
        <f>SUM(AZ53:AZ54)/3*2</f>
        <v/>
      </c>
      <c r="BA58" s="25" t="n">
        <v>0</v>
      </c>
      <c r="BB58" s="24" t="n"/>
      <c r="BC58" s="23" t="n">
        <v>112</v>
      </c>
      <c r="BD58" s="24">
        <f>SUM(BD53:BD54)/3*2</f>
        <v/>
      </c>
      <c r="BE58" s="25" t="n">
        <v>0</v>
      </c>
      <c r="BF58" s="24" t="n"/>
      <c r="BG58" s="23" t="n">
        <v>112</v>
      </c>
      <c r="BH58" s="24">
        <f>SUM(BH53:BH54)/3*2</f>
        <v/>
      </c>
      <c r="BI58" s="25" t="n">
        <v>0</v>
      </c>
      <c r="BJ58" s="24" t="n"/>
      <c r="BK58" s="340" t="n"/>
      <c r="BL58" s="803">
        <f>SUMPRODUCT(--(MOD(COLUMN($O58:$AL58),4)=MOD(COLUMN($O58)+0,4)),$O58:$AL58)
+SUMPRODUCT(--(MOD(COLUMN($AM58:$BJ58),4)=MOD(COLUMN($AM58)+0,4)),$AM58:$BJ58)</f>
        <v/>
      </c>
      <c r="BM58" s="804">
        <f>SUMPRODUCT(--(MOD(COLUMN($O58:$AL58),4)=MOD(COLUMN($O58)+0,4)),$O58:$AL58)*
$I58+SUMPRODUCT(--(MOD(COLUMN($AM58:$BJ58),4)=MOD(COLUMN($AM58)+0,4)),$AM58:$BJ58)*$I58</f>
        <v/>
      </c>
      <c r="BN58" s="805">
        <f>SUMPRODUCT(--(MOD(COLUMN($O58:$AL58),4)=MOD(COLUMN($O58)+1,4)),$O58:$AL58)
+SUMPRODUCT(--(MOD(COLUMN($AM58:$BJ58),4)=MOD(COLUMN($AM58)+1,4)),$AM58:$BJ58)</f>
        <v/>
      </c>
      <c r="BO58" s="806">
        <f>SUMPRODUCT(--(MOD(COLUMN($O58:$AL58),4)=MOD(COLUMN($O58)+1,4)),$O58:$AL58)*
$I58+SUMPRODUCT(--(MOD(COLUMN($AM58:$BJ58),4)=MOD(COLUMN($AM58)+1,4)),$AM58:$BJ58)*$I58</f>
        <v/>
      </c>
      <c r="BP58" s="807">
        <f>SUMPRODUCT(--(MOD(COLUMN($O58:$AL58),4)=MOD(COLUMN($O58)+2,4)),$O58:$AL58)
+SUMPRODUCT(--(MOD(COLUMN($AM58:$BJ58),4)=MOD(COLUMN($AM58)+2,4)),$AM58:$BJ58)</f>
        <v/>
      </c>
      <c r="BQ58" s="808">
        <f>SUMPRODUCT(--(MOD(COLUMN($O58:$AL58),4)=MOD(COLUMN($O58)+2,4)),$O58:$AL58)*
$I58+SUMPRODUCT(--(MOD(COLUMN($AM58:$BJ58),4)=MOD(COLUMN($AM58)+2,4)),$AM58:$BJ58)*$I58</f>
        <v/>
      </c>
      <c r="BR58" s="809" t="n"/>
      <c r="BS58" s="801" t="n"/>
      <c r="BT58" s="23" t="n">
        <v>276</v>
      </c>
      <c r="BU58" s="24" t="n"/>
      <c r="BV58" s="25" t="n">
        <v>0</v>
      </c>
      <c r="BW58" s="24" t="n"/>
      <c r="BX58" s="23" t="n">
        <v>276</v>
      </c>
      <c r="BY58" s="24" t="n"/>
      <c r="BZ58" s="25" t="n">
        <v>0</v>
      </c>
      <c r="CA58" s="24" t="n"/>
      <c r="CB58" s="23" t="n">
        <v>276</v>
      </c>
      <c r="CC58" s="24" t="n"/>
      <c r="CD58" s="25" t="n">
        <v>0</v>
      </c>
      <c r="CE58" s="24" t="n"/>
      <c r="CF58" s="23" t="n">
        <v>276</v>
      </c>
      <c r="CG58" s="24" t="n"/>
      <c r="CH58" s="25" t="n">
        <v>0</v>
      </c>
      <c r="CI58" s="24" t="n"/>
      <c r="CJ58" s="23" t="n">
        <v>276</v>
      </c>
      <c r="CK58" s="24" t="n"/>
      <c r="CL58" s="25" t="n">
        <v>0</v>
      </c>
      <c r="CM58" s="24" t="n"/>
      <c r="CN58" s="23" t="n">
        <v>276</v>
      </c>
      <c r="CO58" s="24" t="n"/>
      <c r="CP58" s="25" t="n">
        <v>0</v>
      </c>
      <c r="CQ58" s="24" t="n"/>
      <c r="CR58" s="23" t="n">
        <v>276</v>
      </c>
      <c r="CS58" s="24" t="n"/>
      <c r="CT58" s="25" t="n">
        <v>0</v>
      </c>
      <c r="CU58" s="24" t="n"/>
      <c r="CV58" s="23" t="n">
        <v>276</v>
      </c>
      <c r="CW58" s="24" t="n"/>
      <c r="CX58" s="25" t="n">
        <v>0</v>
      </c>
      <c r="CY58" s="24" t="n"/>
      <c r="CZ58" s="23" t="n">
        <v>276</v>
      </c>
      <c r="DA58" s="24" t="n"/>
      <c r="DB58" s="25" t="n">
        <v>0</v>
      </c>
      <c r="DC58" s="24" t="n"/>
      <c r="DD58" s="23" t="n">
        <v>276</v>
      </c>
      <c r="DE58" s="24" t="n"/>
      <c r="DF58" s="25" t="n">
        <v>0</v>
      </c>
      <c r="DG58" s="24" t="n"/>
      <c r="DH58" s="23" t="n">
        <v>276</v>
      </c>
      <c r="DI58" s="24" t="n"/>
      <c r="DJ58" s="25" t="n">
        <v>0</v>
      </c>
      <c r="DK58" s="24" t="n"/>
      <c r="DL58" s="23" t="n">
        <v>276</v>
      </c>
      <c r="DM58" s="24" t="n"/>
      <c r="DN58" s="25" t="n">
        <v>0</v>
      </c>
      <c r="DO58" s="24" t="n"/>
      <c r="DP58" s="340" t="n"/>
      <c r="DQ58" s="803">
        <f>SUMPRODUCT(--(MOD(COLUMN(BT58:CQ58),4)=MOD(COLUMN(BT58),4)),BT58:CQ58)+SUMPRODUCT(--(MOD(COLUMN(CR58:DO58),4)=MOD(COLUMN(CR58),4)),CR58:DO58)</f>
        <v/>
      </c>
      <c r="DR58" s="803">
        <f>SUMPRODUCT(--(MOD(COLUMN(BT58:CQ58),4)=MOD(COLUMN(BT58),4)),BT58:CQ58)*#REF!+SUMPRODUCT(--(MOD(COLUMN(CR58:DO58),4)=MOD(COLUMN(CR58),4)),CR58:DO58)*#REF!</f>
        <v/>
      </c>
      <c r="DS58" s="809" t="n"/>
      <c r="DT58" s="801" t="n"/>
      <c r="DU58" s="23" t="n">
        <v>552</v>
      </c>
      <c r="DV58" s="24" t="n"/>
      <c r="DW58" s="25" t="n">
        <v>0</v>
      </c>
      <c r="DX58" s="24" t="n"/>
      <c r="DY58" s="23" t="n">
        <v>552</v>
      </c>
      <c r="DZ58" s="24" t="n"/>
      <c r="EA58" s="25" t="n">
        <v>0</v>
      </c>
      <c r="EB58" s="24" t="n"/>
      <c r="EC58" s="23" t="n">
        <v>552</v>
      </c>
      <c r="ED58" s="24" t="n"/>
      <c r="EE58" s="25" t="n">
        <v>0</v>
      </c>
      <c r="EF58" s="108" t="n"/>
      <c r="EG58" s="23" t="n">
        <v>552</v>
      </c>
      <c r="EH58" s="24" t="n"/>
      <c r="EI58" s="25" t="n">
        <v>0</v>
      </c>
      <c r="EJ58" s="24" t="n"/>
      <c r="EK58" s="23" t="n">
        <v>552</v>
      </c>
      <c r="EL58" s="24" t="n"/>
      <c r="EM58" s="25" t="n">
        <v>0</v>
      </c>
      <c r="EN58" s="24" t="n"/>
      <c r="EO58" s="23" t="n">
        <v>552</v>
      </c>
      <c r="EP58" s="24" t="n"/>
      <c r="EQ58" s="25" t="n">
        <v>0</v>
      </c>
      <c r="ER58" s="24" t="n"/>
      <c r="ES58" s="23" t="n">
        <v>552</v>
      </c>
      <c r="ET58" s="24" t="n"/>
      <c r="EU58" s="25" t="n">
        <v>0</v>
      </c>
      <c r="EV58" s="24" t="n"/>
      <c r="EW58" s="23" t="n">
        <v>552</v>
      </c>
      <c r="EX58" s="24" t="n"/>
      <c r="EY58" s="25" t="n">
        <v>0</v>
      </c>
      <c r="EZ58" s="24" t="n"/>
      <c r="FA58" s="23" t="n">
        <v>552</v>
      </c>
      <c r="FB58" s="24" t="n"/>
      <c r="FC58" s="25" t="n">
        <v>0</v>
      </c>
      <c r="FD58" s="24" t="n"/>
      <c r="FE58" s="23" t="n">
        <v>552</v>
      </c>
      <c r="FF58" s="24" t="n"/>
      <c r="FG58" s="25" t="n">
        <v>0</v>
      </c>
      <c r="FH58" s="24" t="n"/>
      <c r="FI58" s="23" t="n">
        <v>552</v>
      </c>
      <c r="FJ58" s="24" t="n"/>
      <c r="FK58" s="25" t="n">
        <v>0</v>
      </c>
      <c r="FL58" s="24" t="n"/>
      <c r="FM58" s="23" t="n">
        <v>552</v>
      </c>
      <c r="FN58" s="24" t="n"/>
      <c r="FO58" s="25" t="n">
        <v>0</v>
      </c>
      <c r="FP58" s="24" t="n"/>
      <c r="FQ58" s="340" t="n"/>
      <c r="FR58" s="803">
        <f>SUMPRODUCT(--(MOD(COLUMN(DU58:ER58),4)=MOD(COLUMN(DU58),4)),DU58:ER58)+SUMPRODUCT(--(MOD(COLUMN(ES58:FP58),4)=MOD(COLUMN(ES58),4)),ES58:FP58)</f>
        <v/>
      </c>
      <c r="FS58" s="803">
        <f>SUMPRODUCT(--(MOD(COLUMN(DU58:ER58),4)=MOD(COLUMN(DU58),4)),DU58:ER58)*#REF!+SUMPRODUCT(--(MOD(COLUMN(ES58:FP58),4)=MOD(COLUMN(ES58),4)),ES58:FP58)*#REF!</f>
        <v/>
      </c>
      <c r="FT58" s="361" t="n"/>
    </row>
    <row r="59" outlineLevel="2">
      <c r="A59" s="411" t="inlineStr">
        <is>
          <t>АВГ АВТОКОМПОНЕНТЫ ООО</t>
        </is>
      </c>
      <c r="B59" s="417" t="inlineStr">
        <is>
          <t>Отсрочка 30 дней</t>
        </is>
      </c>
      <c r="C59" s="418" t="inlineStr">
        <is>
          <t>ВБК Восток</t>
        </is>
      </c>
      <c r="D59" s="411" t="inlineStr">
        <is>
          <t>Прасолов, Соловьёв</t>
        </is>
      </c>
      <c r="E59" s="10">
        <f>IF(ISBLANK(G59),"",IF($A$6:$A$64=$A59,COUNTIF($A$6:A59,$A59),""))</f>
        <v/>
      </c>
      <c r="F59" s="17" t="n">
        <v>1</v>
      </c>
      <c r="G59" s="33" t="n">
        <v>4231069000</v>
      </c>
      <c r="H59" s="18" t="inlineStr">
        <is>
          <t>Камера тормозная тип 24</t>
        </is>
      </c>
      <c r="I59" s="629">
        <f>144/НДС_20</f>
        <v/>
      </c>
      <c r="J59" s="826" t="n"/>
      <c r="K59" s="826" t="n"/>
      <c r="L59" s="826">
        <f>IF(K59="RUB",J59/ЮАНЬ,IF(K59="EUR",J59*ЕВРО/ЮАНЬ,""))</f>
        <v/>
      </c>
      <c r="M59" s="801" t="n"/>
      <c r="N59" s="802">
        <f>IF(BP59&gt;0,1,IF(BN59&gt;0,2,))</f>
        <v/>
      </c>
      <c r="O59" s="23" t="n"/>
      <c r="P59" s="24" t="n"/>
      <c r="Q59" s="25" t="n"/>
      <c r="R59" s="24" t="n"/>
      <c r="S59" s="23" t="n"/>
      <c r="T59" s="24" t="n"/>
      <c r="U59" s="25" t="n">
        <v>0</v>
      </c>
      <c r="V59" s="24" t="n"/>
      <c r="W59" s="23" t="n"/>
      <c r="X59" s="24">
        <f>20</f>
        <v/>
      </c>
      <c r="Y59" s="25" t="n">
        <v>20</v>
      </c>
      <c r="Z59" s="24" t="n"/>
      <c r="AA59" s="23" t="n"/>
      <c r="AB59" s="24" t="n"/>
      <c r="AC59" s="25" t="n"/>
      <c r="AD59" s="24" t="n"/>
      <c r="AE59" s="23" t="n"/>
      <c r="AF59" s="24">
        <f>6</f>
        <v/>
      </c>
      <c r="AG59" s="25" t="n">
        <v>6</v>
      </c>
      <c r="AH59" s="24" t="n"/>
      <c r="AI59" s="23" t="n"/>
      <c r="AJ59" s="24" t="n"/>
      <c r="AK59" s="25" t="n"/>
      <c r="AL59" s="24" t="n"/>
      <c r="AM59" s="23" t="n"/>
      <c r="AN59" s="24" t="n"/>
      <c r="AO59" s="25" t="n"/>
      <c r="AP59" s="24" t="n"/>
      <c r="AQ59" s="23" t="n"/>
      <c r="AR59" s="24" t="n"/>
      <c r="AS59" s="25" t="n"/>
      <c r="AT59" s="24" t="n"/>
      <c r="AU59" s="23" t="n"/>
      <c r="AV59" s="24" t="n"/>
      <c r="AW59" s="25" t="n"/>
      <c r="AX59" s="24" t="n"/>
      <c r="AY59" s="23" t="n"/>
      <c r="AZ59" s="24" t="n"/>
      <c r="BA59" s="25" t="n"/>
      <c r="BB59" s="24" t="n"/>
      <c r="BC59" s="23" t="n"/>
      <c r="BD59" s="24" t="n"/>
      <c r="BE59" s="25" t="n"/>
      <c r="BF59" s="24" t="n"/>
      <c r="BG59" s="23" t="n"/>
      <c r="BH59" s="24" t="n"/>
      <c r="BI59" s="25" t="n"/>
      <c r="BJ59" s="24" t="n"/>
      <c r="BK59" s="340" t="n"/>
      <c r="BL59" s="803">
        <f>SUMPRODUCT(--(MOD(COLUMN($O59:$AL59),4)=MOD(COLUMN($O59)+0,4)),$O59:$AL59)
+SUMPRODUCT(--(MOD(COLUMN($AM59:$BJ59),4)=MOD(COLUMN($AM59)+0,4)),$AM59:$BJ59)</f>
        <v/>
      </c>
      <c r="BM59" s="804">
        <f>SUMPRODUCT(--(MOD(COLUMN($O59:$AL59),4)=MOD(COLUMN($O59)+0,4)),$O59:$AL59)*
$I59+SUMPRODUCT(--(MOD(COLUMN($AM59:$BJ59),4)=MOD(COLUMN($AM59)+0,4)),$AM59:$BJ59)*$I59</f>
        <v/>
      </c>
      <c r="BN59" s="805">
        <f>SUMPRODUCT(--(MOD(COLUMN($O59:$AL59),4)=MOD(COLUMN($O59)+1,4)),$O59:$AL59)
+SUMPRODUCT(--(MOD(COLUMN($AM59:$BJ59),4)=MOD(COLUMN($AM59)+1,4)),$AM59:$BJ59)</f>
        <v/>
      </c>
      <c r="BO59" s="806">
        <f>SUMPRODUCT(--(MOD(COLUMN($O59:$AL59),4)=MOD(COLUMN($O59)+1,4)),$O59:$AL59)*
$I59+SUMPRODUCT(--(MOD(COLUMN($AM59:$BJ59),4)=MOD(COLUMN($AM59)+1,4)),$AM59:$BJ59)*$I59</f>
        <v/>
      </c>
      <c r="BP59" s="807">
        <f>SUMPRODUCT(--(MOD(COLUMN($O59:$AL59),4)=MOD(COLUMN($O59)+2,4)),$O59:$AL59)
+SUMPRODUCT(--(MOD(COLUMN($AM59:$BJ59),4)=MOD(COLUMN($AM59)+2,4)),$AM59:$BJ59)</f>
        <v/>
      </c>
      <c r="BQ59" s="808">
        <f>SUMPRODUCT(--(MOD(COLUMN($O59:$AL59),4)=MOD(COLUMN($O59)+2,4)),$O59:$AL59)*
$I59+SUMPRODUCT(--(MOD(COLUMN($AM59:$BJ59),4)=MOD(COLUMN($AM59)+2,4)),$AM59:$BJ59)*$I59</f>
        <v/>
      </c>
      <c r="BR59" s="809" t="n"/>
      <c r="BS59" s="801" t="n"/>
      <c r="BT59" s="23" t="n"/>
      <c r="BU59" s="24" t="n"/>
      <c r="BV59" s="25" t="n"/>
      <c r="BW59" s="24" t="n"/>
      <c r="BX59" s="23" t="n"/>
      <c r="BY59" s="24" t="n"/>
      <c r="BZ59" s="25" t="n"/>
      <c r="CA59" s="24" t="n"/>
      <c r="CB59" s="23" t="n"/>
      <c r="CC59" s="24" t="n"/>
      <c r="CD59" s="25" t="n"/>
      <c r="CE59" s="24" t="n"/>
      <c r="CF59" s="23" t="n"/>
      <c r="CG59" s="24" t="n"/>
      <c r="CH59" s="25" t="n"/>
      <c r="CI59" s="24" t="n"/>
      <c r="CJ59" s="23" t="n"/>
      <c r="CK59" s="24" t="n"/>
      <c r="CL59" s="25" t="n"/>
      <c r="CM59" s="24" t="n"/>
      <c r="CN59" s="23" t="n"/>
      <c r="CO59" s="24" t="n"/>
      <c r="CP59" s="25" t="n"/>
      <c r="CQ59" s="24" t="n"/>
      <c r="CR59" s="23" t="n"/>
      <c r="CS59" s="24" t="n"/>
      <c r="CT59" s="25" t="n"/>
      <c r="CU59" s="24" t="n"/>
      <c r="CV59" s="23" t="n"/>
      <c r="CW59" s="24" t="n"/>
      <c r="CX59" s="25" t="n"/>
      <c r="CY59" s="24" t="n"/>
      <c r="CZ59" s="23" t="n"/>
      <c r="DA59" s="24" t="n"/>
      <c r="DB59" s="25" t="n"/>
      <c r="DC59" s="24" t="n"/>
      <c r="DD59" s="23" t="n"/>
      <c r="DE59" s="24" t="n"/>
      <c r="DF59" s="25" t="n"/>
      <c r="DG59" s="24" t="n"/>
      <c r="DH59" s="23" t="n"/>
      <c r="DI59" s="24" t="n"/>
      <c r="DJ59" s="25" t="n"/>
      <c r="DK59" s="24" t="n"/>
      <c r="DL59" s="23" t="n"/>
      <c r="DM59" s="24" t="n"/>
      <c r="DN59" s="25" t="n"/>
      <c r="DO59" s="24" t="n"/>
      <c r="DP59" s="340" t="n"/>
      <c r="DQ59" s="803">
        <f>SUMPRODUCT(--(MOD(COLUMN(BT59:CQ59),4)=MOD(COLUMN(BT59),4)),BT59:CQ59)+SUMPRODUCT(--(MOD(COLUMN(CR59:DO59),4)=MOD(COLUMN(CR59),4)),CR59:DO59)</f>
        <v/>
      </c>
      <c r="DR59" s="803">
        <f>SUMPRODUCT(--(MOD(COLUMN(BT59:CQ59),4)=MOD(COLUMN(BT59),4)),BT59:CQ59)*#REF!+SUMPRODUCT(--(MOD(COLUMN(CR59:DO59),4)=MOD(COLUMN(CR59),4)),CR59:DO59)*#REF!</f>
        <v/>
      </c>
      <c r="DS59" s="809" t="n"/>
      <c r="DT59" s="801" t="n"/>
      <c r="DU59" s="23" t="n"/>
      <c r="DV59" s="24" t="n"/>
      <c r="DW59" s="25" t="n"/>
      <c r="DX59" s="24" t="n"/>
      <c r="DY59" s="23" t="n"/>
      <c r="DZ59" s="24" t="n"/>
      <c r="EA59" s="25" t="n"/>
      <c r="EB59" s="24" t="n"/>
      <c r="EC59" s="23" t="n"/>
      <c r="ED59" s="24" t="n"/>
      <c r="EE59" s="25" t="n"/>
      <c r="EF59" s="108" t="n"/>
      <c r="EG59" s="23" t="n"/>
      <c r="EH59" s="24" t="n"/>
      <c r="EI59" s="25" t="n"/>
      <c r="EJ59" s="24" t="n"/>
      <c r="EK59" s="23" t="n"/>
      <c r="EL59" s="24" t="n"/>
      <c r="EM59" s="25" t="n"/>
      <c r="EN59" s="24" t="n"/>
      <c r="EO59" s="23" t="n"/>
      <c r="EP59" s="24" t="n"/>
      <c r="EQ59" s="25" t="n"/>
      <c r="ER59" s="24" t="n"/>
      <c r="ES59" s="23" t="n"/>
      <c r="ET59" s="24" t="n"/>
      <c r="EU59" s="25" t="n"/>
      <c r="EV59" s="24" t="n"/>
      <c r="EW59" s="23" t="n"/>
      <c r="EX59" s="24" t="n"/>
      <c r="EY59" s="25" t="n"/>
      <c r="EZ59" s="24" t="n"/>
      <c r="FA59" s="23" t="n"/>
      <c r="FB59" s="24" t="n"/>
      <c r="FC59" s="25" t="n"/>
      <c r="FD59" s="24" t="n"/>
      <c r="FE59" s="23" t="n"/>
      <c r="FF59" s="24" t="n"/>
      <c r="FG59" s="25" t="n"/>
      <c r="FH59" s="24" t="n"/>
      <c r="FI59" s="23" t="n"/>
      <c r="FJ59" s="24" t="n"/>
      <c r="FK59" s="25" t="n"/>
      <c r="FL59" s="24" t="n"/>
      <c r="FM59" s="23" t="n"/>
      <c r="FN59" s="24" t="n"/>
      <c r="FO59" s="25" t="n"/>
      <c r="FP59" s="24" t="n"/>
      <c r="FQ59" s="340" t="n"/>
      <c r="FR59" s="803">
        <f>SUMPRODUCT(--(MOD(COLUMN(DU59:ER59),4)=MOD(COLUMN(DU59),4)),DU59:ER59)+SUMPRODUCT(--(MOD(COLUMN(ES59:FP59),4)=MOD(COLUMN(ES59),4)),ES59:FP59)</f>
        <v/>
      </c>
      <c r="FS59" s="803">
        <f>SUMPRODUCT(--(MOD(COLUMN(DU59:ER59),4)=MOD(COLUMN(DU59),4)),DU59:ER59)*#REF!+SUMPRODUCT(--(MOD(COLUMN(ES59:FP59),4)=MOD(COLUMN(ES59),4)),ES59:FP59)*#REF!</f>
        <v/>
      </c>
      <c r="FT59" s="361" t="n"/>
    </row>
    <row r="60" outlineLevel="2">
      <c r="A60" s="411" t="inlineStr">
        <is>
          <t>АВГ АВТОКОМПОНЕНТЫ ООО</t>
        </is>
      </c>
      <c r="B60" s="417" t="inlineStr">
        <is>
          <t>Отсрочка 30 дней</t>
        </is>
      </c>
      <c r="C60" s="418" t="inlineStr">
        <is>
          <t>ВБК Восток</t>
        </is>
      </c>
      <c r="D60" s="411" t="inlineStr">
        <is>
          <t>Прасолов, Соловьёв</t>
        </is>
      </c>
      <c r="E60" s="10">
        <f>IF(ISBLANK(G60),"",IF($A$6:$A$64=$A60,COUNTIF($A$6:A60,$A60),""))</f>
        <v/>
      </c>
      <c r="F60" s="17" t="n">
        <v>1</v>
      </c>
      <c r="G60" s="33" t="n">
        <v>4231079000</v>
      </c>
      <c r="H60" s="18" t="inlineStr">
        <is>
          <t>Камера тормозная тип 30</t>
        </is>
      </c>
      <c r="I60" s="629">
        <f>150.9/НДС_20</f>
        <v/>
      </c>
      <c r="J60" s="826" t="n"/>
      <c r="K60" s="826" t="n"/>
      <c r="L60" s="826">
        <f>IF(K60="RUB",J60/ЮАНЬ,IF(K60="EUR",J60*ЕВРО/ЮАНЬ,""))</f>
        <v/>
      </c>
      <c r="M60" s="801" t="n"/>
      <c r="N60" s="802">
        <f>IF(BP60&gt;0,1,IF(BN60&gt;0,2,))</f>
        <v/>
      </c>
      <c r="O60" s="23" t="n"/>
      <c r="P60" s="24" t="n"/>
      <c r="Q60" s="25" t="n"/>
      <c r="R60" s="24" t="n"/>
      <c r="S60" s="23" t="n"/>
      <c r="T60" s="24" t="n"/>
      <c r="U60" s="25" t="n">
        <v>0</v>
      </c>
      <c r="V60" s="24" t="n"/>
      <c r="W60" s="23" t="n"/>
      <c r="X60" s="24" t="n"/>
      <c r="Y60" s="25" t="n"/>
      <c r="Z60" s="24" t="n"/>
      <c r="AA60" s="23" t="n"/>
      <c r="AB60" s="24" t="n"/>
      <c r="AC60" s="25" t="n"/>
      <c r="AD60" s="24" t="n"/>
      <c r="AE60" s="23" t="n"/>
      <c r="AF60" s="24" t="n"/>
      <c r="AG60" s="25" t="n"/>
      <c r="AH60" s="24" t="n"/>
      <c r="AI60" s="23" t="n"/>
      <c r="AJ60" s="24" t="n"/>
      <c r="AK60" s="25" t="n"/>
      <c r="AL60" s="24" t="n"/>
      <c r="AM60" s="23" t="n"/>
      <c r="AN60" s="24" t="n"/>
      <c r="AO60" s="25" t="n"/>
      <c r="AP60" s="24" t="n"/>
      <c r="AQ60" s="23" t="n"/>
      <c r="AR60" s="24" t="n"/>
      <c r="AS60" s="25" t="n"/>
      <c r="AT60" s="24" t="n"/>
      <c r="AU60" s="23" t="n"/>
      <c r="AV60" s="24" t="n"/>
      <c r="AW60" s="25" t="n"/>
      <c r="AX60" s="24" t="n"/>
      <c r="AY60" s="23" t="n"/>
      <c r="AZ60" s="24" t="n"/>
      <c r="BA60" s="25" t="n"/>
      <c r="BB60" s="24" t="n"/>
      <c r="BC60" s="23" t="n"/>
      <c r="BD60" s="24" t="n"/>
      <c r="BE60" s="25" t="n"/>
      <c r="BF60" s="24" t="n"/>
      <c r="BG60" s="23" t="n"/>
      <c r="BH60" s="24" t="n"/>
      <c r="BI60" s="25" t="n"/>
      <c r="BJ60" s="24" t="n"/>
      <c r="BK60" s="340" t="n"/>
      <c r="BL60" s="803">
        <f>SUMPRODUCT(--(MOD(COLUMN($O60:$AL60),4)=MOD(COLUMN($O60)+0,4)),$O60:$AL60)
+SUMPRODUCT(--(MOD(COLUMN($AM60:$BJ60),4)=MOD(COLUMN($AM60)+0,4)),$AM60:$BJ60)</f>
        <v/>
      </c>
      <c r="BM60" s="804">
        <f>SUMPRODUCT(--(MOD(COLUMN($O60:$AL60),4)=MOD(COLUMN($O60)+0,4)),$O60:$AL60)*
$I60+SUMPRODUCT(--(MOD(COLUMN($AM60:$BJ60),4)=MOD(COLUMN($AM60)+0,4)),$AM60:$BJ60)*$I60</f>
        <v/>
      </c>
      <c r="BN60" s="805">
        <f>SUMPRODUCT(--(MOD(COLUMN($O60:$AL60),4)=MOD(COLUMN($O60)+1,4)),$O60:$AL60)
+SUMPRODUCT(--(MOD(COLUMN($AM60:$BJ60),4)=MOD(COLUMN($AM60)+1,4)),$AM60:$BJ60)</f>
        <v/>
      </c>
      <c r="BO60" s="806">
        <f>SUMPRODUCT(--(MOD(COLUMN($O60:$AL60),4)=MOD(COLUMN($O60)+1,4)),$O60:$AL60)*
$I60+SUMPRODUCT(--(MOD(COLUMN($AM60:$BJ60),4)=MOD(COLUMN($AM60)+1,4)),$AM60:$BJ60)*$I60</f>
        <v/>
      </c>
      <c r="BP60" s="807">
        <f>SUMPRODUCT(--(MOD(COLUMN($O60:$AL60),4)=MOD(COLUMN($O60)+2,4)),$O60:$AL60)
+SUMPRODUCT(--(MOD(COLUMN($AM60:$BJ60),4)=MOD(COLUMN($AM60)+2,4)),$AM60:$BJ60)</f>
        <v/>
      </c>
      <c r="BQ60" s="808">
        <f>SUMPRODUCT(--(MOD(COLUMN($O60:$AL60),4)=MOD(COLUMN($O60)+2,4)),$O60:$AL60)*
$I60+SUMPRODUCT(--(MOD(COLUMN($AM60:$BJ60),4)=MOD(COLUMN($AM60)+2,4)),$AM60:$BJ60)*$I60</f>
        <v/>
      </c>
      <c r="BR60" s="809" t="n"/>
      <c r="BS60" s="801" t="n"/>
      <c r="BT60" s="23" t="n"/>
      <c r="BU60" s="24" t="n"/>
      <c r="BV60" s="25" t="n"/>
      <c r="BW60" s="24" t="n"/>
      <c r="BX60" s="23" t="n"/>
      <c r="BY60" s="24" t="n"/>
      <c r="BZ60" s="25" t="n"/>
      <c r="CA60" s="24" t="n"/>
      <c r="CB60" s="23" t="n"/>
      <c r="CC60" s="24" t="n"/>
      <c r="CD60" s="25" t="n"/>
      <c r="CE60" s="24" t="n"/>
      <c r="CF60" s="23" t="n"/>
      <c r="CG60" s="24" t="n"/>
      <c r="CH60" s="25" t="n"/>
      <c r="CI60" s="24" t="n"/>
      <c r="CJ60" s="23" t="n"/>
      <c r="CK60" s="24" t="n"/>
      <c r="CL60" s="25" t="n"/>
      <c r="CM60" s="24" t="n"/>
      <c r="CN60" s="23" t="n"/>
      <c r="CO60" s="24" t="n"/>
      <c r="CP60" s="25" t="n"/>
      <c r="CQ60" s="24" t="n"/>
      <c r="CR60" s="23" t="n"/>
      <c r="CS60" s="24" t="n"/>
      <c r="CT60" s="25" t="n"/>
      <c r="CU60" s="24" t="n"/>
      <c r="CV60" s="23" t="n"/>
      <c r="CW60" s="24" t="n"/>
      <c r="CX60" s="25" t="n"/>
      <c r="CY60" s="24" t="n"/>
      <c r="CZ60" s="23" t="n"/>
      <c r="DA60" s="24" t="n"/>
      <c r="DB60" s="25" t="n"/>
      <c r="DC60" s="24" t="n"/>
      <c r="DD60" s="23" t="n"/>
      <c r="DE60" s="24" t="n"/>
      <c r="DF60" s="25" t="n"/>
      <c r="DG60" s="24" t="n"/>
      <c r="DH60" s="23" t="n"/>
      <c r="DI60" s="24" t="n"/>
      <c r="DJ60" s="25" t="n"/>
      <c r="DK60" s="24" t="n"/>
      <c r="DL60" s="23" t="n"/>
      <c r="DM60" s="24" t="n"/>
      <c r="DN60" s="25" t="n"/>
      <c r="DO60" s="24" t="n"/>
      <c r="DP60" s="340" t="n"/>
      <c r="DQ60" s="803">
        <f>SUMPRODUCT(--(MOD(COLUMN(BT60:CQ60),4)=MOD(COLUMN(BT60),4)),BT60:CQ60)+SUMPRODUCT(--(MOD(COLUMN(CR60:DO60),4)=MOD(COLUMN(CR60),4)),CR60:DO60)</f>
        <v/>
      </c>
      <c r="DR60" s="803">
        <f>SUMPRODUCT(--(MOD(COLUMN(BT60:CQ60),4)=MOD(COLUMN(BT60),4)),BT60:CQ60)*#REF!+SUMPRODUCT(--(MOD(COLUMN(CR60:DO60),4)=MOD(COLUMN(CR60),4)),CR60:DO60)*#REF!</f>
        <v/>
      </c>
      <c r="DS60" s="809" t="n"/>
      <c r="DT60" s="801" t="n"/>
      <c r="DU60" s="23" t="n"/>
      <c r="DV60" s="24" t="n"/>
      <c r="DW60" s="25" t="n"/>
      <c r="DX60" s="24" t="n"/>
      <c r="DY60" s="23" t="n"/>
      <c r="DZ60" s="24" t="n"/>
      <c r="EA60" s="25" t="n"/>
      <c r="EB60" s="24" t="n"/>
      <c r="EC60" s="23" t="n"/>
      <c r="ED60" s="24" t="n"/>
      <c r="EE60" s="25" t="n"/>
      <c r="EF60" s="108" t="n"/>
      <c r="EG60" s="23" t="n"/>
      <c r="EH60" s="24" t="n"/>
      <c r="EI60" s="25" t="n"/>
      <c r="EJ60" s="24" t="n"/>
      <c r="EK60" s="23" t="n"/>
      <c r="EL60" s="24" t="n"/>
      <c r="EM60" s="25" t="n"/>
      <c r="EN60" s="24" t="n"/>
      <c r="EO60" s="23" t="n"/>
      <c r="EP60" s="24" t="n"/>
      <c r="EQ60" s="25" t="n"/>
      <c r="ER60" s="24" t="n"/>
      <c r="ES60" s="23" t="n"/>
      <c r="ET60" s="24" t="n"/>
      <c r="EU60" s="25" t="n"/>
      <c r="EV60" s="24" t="n"/>
      <c r="EW60" s="23" t="n"/>
      <c r="EX60" s="24" t="n"/>
      <c r="EY60" s="25" t="n"/>
      <c r="EZ60" s="24" t="n"/>
      <c r="FA60" s="23" t="n"/>
      <c r="FB60" s="24" t="n"/>
      <c r="FC60" s="25" t="n"/>
      <c r="FD60" s="24" t="n"/>
      <c r="FE60" s="23" t="n"/>
      <c r="FF60" s="24" t="n"/>
      <c r="FG60" s="25" t="n"/>
      <c r="FH60" s="24" t="n"/>
      <c r="FI60" s="23" t="n"/>
      <c r="FJ60" s="24" t="n"/>
      <c r="FK60" s="25" t="n"/>
      <c r="FL60" s="24" t="n"/>
      <c r="FM60" s="23" t="n"/>
      <c r="FN60" s="24" t="n"/>
      <c r="FO60" s="25" t="n"/>
      <c r="FP60" s="24" t="n"/>
      <c r="FQ60" s="340" t="n"/>
      <c r="FR60" s="803">
        <f>SUMPRODUCT(--(MOD(COLUMN(DU60:ER60),4)=MOD(COLUMN(DU60),4)),DU60:ER60)+SUMPRODUCT(--(MOD(COLUMN(ES60:FP60),4)=MOD(COLUMN(ES60),4)),ES60:FP60)</f>
        <v/>
      </c>
      <c r="FS60" s="803">
        <f>SUMPRODUCT(--(MOD(COLUMN(DU60:ER60),4)=MOD(COLUMN(DU60),4)),DU60:ER60)*#REF!+SUMPRODUCT(--(MOD(COLUMN(ES60:FP60),4)=MOD(COLUMN(ES60),4)),ES60:FP60)*#REF!</f>
        <v/>
      </c>
      <c r="FT60" s="361" t="n"/>
    </row>
    <row r="61" outlineLevel="2">
      <c r="A61" s="411" t="inlineStr">
        <is>
          <t>АВГ АВТОКОМПОНЕНТЫ ООО</t>
        </is>
      </c>
      <c r="B61" s="417" t="inlineStr">
        <is>
          <t>Отсрочка 30 дней</t>
        </is>
      </c>
      <c r="C61" s="418" t="inlineStr">
        <is>
          <t>ВБК Восток</t>
        </is>
      </c>
      <c r="D61" s="411" t="inlineStr">
        <is>
          <t>Прасолов, Соловьёв</t>
        </is>
      </c>
      <c r="E61" s="10">
        <f>IF(ISBLANK(G61),"",IF($A$6:$A$64=$A61,COUNTIF($A$6:A61,$A61),""))</f>
        <v/>
      </c>
      <c r="F61" s="17" t="n">
        <v>1</v>
      </c>
      <c r="G61" s="33" t="n">
        <v>9253761210</v>
      </c>
      <c r="H61" s="18" t="inlineStr">
        <is>
          <t>Энергоаккумулятор тип 24/30</t>
        </is>
      </c>
      <c r="I61" s="629" t="n">
        <v>243</v>
      </c>
      <c r="J61" s="826" t="n"/>
      <c r="K61" s="826" t="n"/>
      <c r="L61" s="826">
        <f>IF(K61="RUB",J61/ЮАНЬ,IF(K61="EUR",J61*ЕВРО/ЮАНЬ,""))</f>
        <v/>
      </c>
      <c r="M61" s="801" t="n"/>
      <c r="N61" s="802">
        <f>IF(BP61&gt;0,1,IF(BN61&gt;0,2,))</f>
        <v/>
      </c>
      <c r="O61" s="23" t="n"/>
      <c r="P61" s="24" t="n"/>
      <c r="Q61" s="25" t="n"/>
      <c r="R61" s="24" t="n"/>
      <c r="S61" s="23" t="n"/>
      <c r="T61" s="24" t="n"/>
      <c r="U61" s="25" t="n">
        <v>0</v>
      </c>
      <c r="V61" s="24" t="n"/>
      <c r="W61" s="23" t="n"/>
      <c r="X61" s="24">
        <f>20</f>
        <v/>
      </c>
      <c r="Y61" s="25" t="n">
        <v>20</v>
      </c>
      <c r="Z61" s="24" t="n"/>
      <c r="AA61" s="23" t="n"/>
      <c r="AB61" s="24" t="n"/>
      <c r="AC61" s="25" t="n"/>
      <c r="AD61" s="24" t="n"/>
      <c r="AE61" s="23" t="n"/>
      <c r="AF61" s="24">
        <f>12</f>
        <v/>
      </c>
      <c r="AG61" s="25" t="n">
        <v>12</v>
      </c>
      <c r="AH61" s="24" t="n"/>
      <c r="AI61" s="23" t="n"/>
      <c r="AJ61" s="24" t="n"/>
      <c r="AK61" s="25" t="n"/>
      <c r="AL61" s="24" t="n"/>
      <c r="AM61" s="23" t="n"/>
      <c r="AN61" s="24" t="n"/>
      <c r="AO61" s="25" t="n"/>
      <c r="AP61" s="24" t="n"/>
      <c r="AQ61" s="23" t="n"/>
      <c r="AR61" s="24" t="n"/>
      <c r="AS61" s="25" t="n"/>
      <c r="AT61" s="24" t="n"/>
      <c r="AU61" s="23" t="n"/>
      <c r="AV61" s="24" t="n"/>
      <c r="AW61" s="25" t="n"/>
      <c r="AX61" s="24" t="n"/>
      <c r="AY61" s="23" t="n"/>
      <c r="AZ61" s="24" t="n"/>
      <c r="BA61" s="25" t="n"/>
      <c r="BB61" s="24" t="n"/>
      <c r="BC61" s="23" t="n"/>
      <c r="BD61" s="24" t="n"/>
      <c r="BE61" s="25" t="n"/>
      <c r="BF61" s="24" t="n"/>
      <c r="BG61" s="23" t="n"/>
      <c r="BH61" s="24" t="n"/>
      <c r="BI61" s="25" t="n"/>
      <c r="BJ61" s="24" t="n"/>
      <c r="BK61" s="340" t="n"/>
      <c r="BL61" s="803">
        <f>SUMPRODUCT(--(MOD(COLUMN($O61:$AL61),4)=MOD(COLUMN($O61)+0,4)),$O61:$AL61)
+SUMPRODUCT(--(MOD(COLUMN($AM61:$BJ61),4)=MOD(COLUMN($AM61)+0,4)),$AM61:$BJ61)</f>
        <v/>
      </c>
      <c r="BM61" s="804">
        <f>SUMPRODUCT(--(MOD(COLUMN($O61:$AL61),4)=MOD(COLUMN($O61)+0,4)),$O61:$AL61)*
$I61+SUMPRODUCT(--(MOD(COLUMN($AM61:$BJ61),4)=MOD(COLUMN($AM61)+0,4)),$AM61:$BJ61)*$I61</f>
        <v/>
      </c>
      <c r="BN61" s="805">
        <f>SUMPRODUCT(--(MOD(COLUMN($O61:$AL61),4)=MOD(COLUMN($O61)+1,4)),$O61:$AL61)
+SUMPRODUCT(--(MOD(COLUMN($AM61:$BJ61),4)=MOD(COLUMN($AM61)+1,4)),$AM61:$BJ61)</f>
        <v/>
      </c>
      <c r="BO61" s="806">
        <f>SUMPRODUCT(--(MOD(COLUMN($O61:$AL61),4)=MOD(COLUMN($O61)+1,4)),$O61:$AL61)*
$I61+SUMPRODUCT(--(MOD(COLUMN($AM61:$BJ61),4)=MOD(COLUMN($AM61)+1,4)),$AM61:$BJ61)*$I61</f>
        <v/>
      </c>
      <c r="BP61" s="807">
        <f>SUMPRODUCT(--(MOD(COLUMN($O61:$AL61),4)=MOD(COLUMN($O61)+2,4)),$O61:$AL61)
+SUMPRODUCT(--(MOD(COLUMN($AM61:$BJ61),4)=MOD(COLUMN($AM61)+2,4)),$AM61:$BJ61)</f>
        <v/>
      </c>
      <c r="BQ61" s="808">
        <f>SUMPRODUCT(--(MOD(COLUMN($O61:$AL61),4)=MOD(COLUMN($O61)+2,4)),$O61:$AL61)*
$I61+SUMPRODUCT(--(MOD(COLUMN($AM61:$BJ61),4)=MOD(COLUMN($AM61)+2,4)),$AM61:$BJ61)*$I61</f>
        <v/>
      </c>
      <c r="BR61" s="809" t="n"/>
      <c r="BS61" s="801" t="n"/>
      <c r="BT61" s="23" t="n"/>
      <c r="BU61" s="24" t="n"/>
      <c r="BV61" s="25" t="n"/>
      <c r="BW61" s="24" t="n"/>
      <c r="BX61" s="23" t="n"/>
      <c r="BY61" s="24" t="n"/>
      <c r="BZ61" s="25" t="n"/>
      <c r="CA61" s="24" t="n"/>
      <c r="CB61" s="23" t="n"/>
      <c r="CC61" s="24" t="n"/>
      <c r="CD61" s="25" t="n"/>
      <c r="CE61" s="24" t="n"/>
      <c r="CF61" s="23" t="n"/>
      <c r="CG61" s="24" t="n"/>
      <c r="CH61" s="25" t="n"/>
      <c r="CI61" s="24" t="n"/>
      <c r="CJ61" s="23" t="n"/>
      <c r="CK61" s="24" t="n"/>
      <c r="CL61" s="25" t="n"/>
      <c r="CM61" s="24" t="n"/>
      <c r="CN61" s="23" t="n"/>
      <c r="CO61" s="24" t="n"/>
      <c r="CP61" s="25" t="n"/>
      <c r="CQ61" s="24" t="n"/>
      <c r="CR61" s="23" t="n"/>
      <c r="CS61" s="24" t="n"/>
      <c r="CT61" s="25" t="n"/>
      <c r="CU61" s="24" t="n"/>
      <c r="CV61" s="23" t="n"/>
      <c r="CW61" s="24" t="n"/>
      <c r="CX61" s="25" t="n"/>
      <c r="CY61" s="24" t="n"/>
      <c r="CZ61" s="23" t="n"/>
      <c r="DA61" s="24" t="n"/>
      <c r="DB61" s="25" t="n"/>
      <c r="DC61" s="24" t="n"/>
      <c r="DD61" s="23" t="n"/>
      <c r="DE61" s="24" t="n"/>
      <c r="DF61" s="25" t="n"/>
      <c r="DG61" s="24" t="n"/>
      <c r="DH61" s="23" t="n"/>
      <c r="DI61" s="24" t="n"/>
      <c r="DJ61" s="25" t="n"/>
      <c r="DK61" s="24" t="n"/>
      <c r="DL61" s="23" t="n"/>
      <c r="DM61" s="24" t="n"/>
      <c r="DN61" s="25" t="n"/>
      <c r="DO61" s="24" t="n"/>
      <c r="DP61" s="340" t="n"/>
      <c r="DQ61" s="803">
        <f>SUMPRODUCT(--(MOD(COLUMN(BT61:CQ61),4)=MOD(COLUMN(BT61),4)),BT61:CQ61)+SUMPRODUCT(--(MOD(COLUMN(CR61:DO61),4)=MOD(COLUMN(CR61),4)),CR61:DO61)</f>
        <v/>
      </c>
      <c r="DR61" s="803">
        <f>SUMPRODUCT(--(MOD(COLUMN(BT61:CQ61),4)=MOD(COLUMN(BT61),4)),BT61:CQ61)*#REF!+SUMPRODUCT(--(MOD(COLUMN(CR61:DO61),4)=MOD(COLUMN(CR61),4)),CR61:DO61)*#REF!</f>
        <v/>
      </c>
      <c r="DS61" s="809" t="n"/>
      <c r="DT61" s="801" t="n"/>
      <c r="DU61" s="23" t="n"/>
      <c r="DV61" s="24" t="n"/>
      <c r="DW61" s="25" t="n"/>
      <c r="DX61" s="24" t="n"/>
      <c r="DY61" s="23" t="n"/>
      <c r="DZ61" s="24" t="n"/>
      <c r="EA61" s="25" t="n"/>
      <c r="EB61" s="24" t="n"/>
      <c r="EC61" s="23" t="n"/>
      <c r="ED61" s="24" t="n"/>
      <c r="EE61" s="25" t="n"/>
      <c r="EF61" s="108" t="n"/>
      <c r="EG61" s="23" t="n"/>
      <c r="EH61" s="24" t="n"/>
      <c r="EI61" s="25" t="n"/>
      <c r="EJ61" s="24" t="n"/>
      <c r="EK61" s="23" t="n"/>
      <c r="EL61" s="24" t="n"/>
      <c r="EM61" s="25" t="n"/>
      <c r="EN61" s="24" t="n"/>
      <c r="EO61" s="23" t="n"/>
      <c r="EP61" s="24" t="n"/>
      <c r="EQ61" s="25" t="n"/>
      <c r="ER61" s="24" t="n"/>
      <c r="ES61" s="23" t="n"/>
      <c r="ET61" s="24" t="n"/>
      <c r="EU61" s="25" t="n"/>
      <c r="EV61" s="24" t="n"/>
      <c r="EW61" s="23" t="n"/>
      <c r="EX61" s="24" t="n"/>
      <c r="EY61" s="25" t="n"/>
      <c r="EZ61" s="24" t="n"/>
      <c r="FA61" s="23" t="n"/>
      <c r="FB61" s="24" t="n"/>
      <c r="FC61" s="25" t="n"/>
      <c r="FD61" s="24" t="n"/>
      <c r="FE61" s="23" t="n"/>
      <c r="FF61" s="24" t="n"/>
      <c r="FG61" s="25" t="n"/>
      <c r="FH61" s="24" t="n"/>
      <c r="FI61" s="23" t="n"/>
      <c r="FJ61" s="24" t="n"/>
      <c r="FK61" s="25" t="n"/>
      <c r="FL61" s="24" t="n"/>
      <c r="FM61" s="23" t="n"/>
      <c r="FN61" s="24" t="n"/>
      <c r="FO61" s="25" t="n"/>
      <c r="FP61" s="24" t="n"/>
      <c r="FQ61" s="340" t="n"/>
      <c r="FR61" s="803">
        <f>SUMPRODUCT(--(MOD(COLUMN(DU61:ER61),4)=MOD(COLUMN(DU61),4)),DU61:ER61)+SUMPRODUCT(--(MOD(COLUMN(ES61:FP61),4)=MOD(COLUMN(ES61),4)),ES61:FP61)</f>
        <v/>
      </c>
      <c r="FS61" s="803">
        <f>SUMPRODUCT(--(MOD(COLUMN(DU61:ER61),4)=MOD(COLUMN(DU61),4)),DU61:ER61)*#REF!+SUMPRODUCT(--(MOD(COLUMN(ES61:FP61),4)=MOD(COLUMN(ES61),4)),ES61:FP61)*#REF!</f>
        <v/>
      </c>
      <c r="FT61" s="361" t="n"/>
    </row>
    <row r="62" outlineLevel="2">
      <c r="A62" s="411" t="inlineStr">
        <is>
          <t>АВГ АВТОКОМПОНЕНТЫ ООО</t>
        </is>
      </c>
      <c r="B62" s="417" t="inlineStr">
        <is>
          <t>Отсрочка 30 дней</t>
        </is>
      </c>
      <c r="C62" s="418" t="inlineStr">
        <is>
          <t>ВБК Восток</t>
        </is>
      </c>
      <c r="D62" s="411" t="inlineStr">
        <is>
          <t>Прасолов, Соловьёв</t>
        </is>
      </c>
      <c r="E62" s="10">
        <f>IF(ISBLANK(G62),"",IF($A$6:$A$64=$A62,COUNTIF($A$6:A62,$A62),""))</f>
        <v/>
      </c>
      <c r="F62" s="17" t="n">
        <v>1</v>
      </c>
      <c r="G62" s="33" t="n">
        <v>9253771100</v>
      </c>
      <c r="H62" s="18" t="inlineStr">
        <is>
          <t>Энергоаккумулятор тип 30/30</t>
        </is>
      </c>
      <c r="I62" s="625">
        <f>297.9/НДС_20</f>
        <v/>
      </c>
      <c r="J62" s="826" t="n"/>
      <c r="K62" s="826" t="n"/>
      <c r="L62" s="826">
        <f>IF(K62="RUB",J62/ЮАНЬ,IF(K62="EUR",J62*ЕВРО/ЮАНЬ,""))</f>
        <v/>
      </c>
      <c r="M62" s="801" t="n"/>
      <c r="N62" s="802">
        <f>IF(BP62&gt;0,1,IF(BN62&gt;0,2,))</f>
        <v/>
      </c>
      <c r="O62" s="23" t="n"/>
      <c r="P62" s="24" t="n"/>
      <c r="Q62" s="25" t="n"/>
      <c r="R62" s="24" t="n"/>
      <c r="S62" s="23" t="n"/>
      <c r="T62" s="24" t="n"/>
      <c r="U62" s="25" t="n"/>
      <c r="V62" s="24" t="n"/>
      <c r="W62" s="23" t="n"/>
      <c r="X62" s="24" t="n"/>
      <c r="Y62" s="25" t="n"/>
      <c r="Z62" s="24" t="n"/>
      <c r="AA62" s="23" t="n"/>
      <c r="AB62" s="24" t="n"/>
      <c r="AC62" s="25" t="n"/>
      <c r="AD62" s="24" t="n"/>
      <c r="AE62" s="23" t="n"/>
      <c r="AF62" s="24" t="n"/>
      <c r="AG62" s="25" t="n"/>
      <c r="AH62" s="24" t="n"/>
      <c r="AI62" s="23" t="n"/>
      <c r="AJ62" s="24" t="n"/>
      <c r="AK62" s="25" t="n"/>
      <c r="AL62" s="24" t="n"/>
      <c r="AM62" s="23" t="n"/>
      <c r="AN62" s="24" t="n"/>
      <c r="AO62" s="25" t="n"/>
      <c r="AP62" s="24" t="n"/>
      <c r="AQ62" s="23" t="n"/>
      <c r="AR62" s="24" t="n"/>
      <c r="AS62" s="25" t="n"/>
      <c r="AT62" s="24" t="n"/>
      <c r="AU62" s="23" t="n"/>
      <c r="AV62" s="24" t="n"/>
      <c r="AW62" s="25" t="n"/>
      <c r="AX62" s="24" t="n"/>
      <c r="AY62" s="23" t="n"/>
      <c r="AZ62" s="24" t="n"/>
      <c r="BA62" s="25" t="n"/>
      <c r="BB62" s="24" t="n"/>
      <c r="BC62" s="23" t="n"/>
      <c r="BD62" s="24" t="n"/>
      <c r="BE62" s="25" t="n"/>
      <c r="BF62" s="24" t="n"/>
      <c r="BG62" s="23" t="n"/>
      <c r="BH62" s="24" t="n"/>
      <c r="BI62" s="25" t="n"/>
      <c r="BJ62" s="24" t="n"/>
      <c r="BK62" s="340" t="n"/>
      <c r="BL62" s="803">
        <f>SUMPRODUCT(--(MOD(COLUMN($O62:$AL62),4)=MOD(COLUMN($O62)+0,4)),$O62:$AL62)
+SUMPRODUCT(--(MOD(COLUMN($AM62:$BJ62),4)=MOD(COLUMN($AM62)+0,4)),$AM62:$BJ62)</f>
        <v/>
      </c>
      <c r="BM62" s="804">
        <f>SUMPRODUCT(--(MOD(COLUMN($O62:$AL62),4)=MOD(COLUMN($O62)+0,4)),$O62:$AL62)*
$I62+SUMPRODUCT(--(MOD(COLUMN($AM62:$BJ62),4)=MOD(COLUMN($AM62)+0,4)),$AM62:$BJ62)*$I62</f>
        <v/>
      </c>
      <c r="BN62" s="805">
        <f>SUMPRODUCT(--(MOD(COLUMN($O62:$AL62),4)=MOD(COLUMN($O62)+1,4)),$O62:$AL62)
+SUMPRODUCT(--(MOD(COLUMN($AM62:$BJ62),4)=MOD(COLUMN($AM62)+1,4)),$AM62:$BJ62)</f>
        <v/>
      </c>
      <c r="BO62" s="806">
        <f>SUMPRODUCT(--(MOD(COLUMN($O62:$AL62),4)=MOD(COLUMN($O62)+1,4)),$O62:$AL62)*
$I62+SUMPRODUCT(--(MOD(COLUMN($AM62:$BJ62),4)=MOD(COLUMN($AM62)+1,4)),$AM62:$BJ62)*$I62</f>
        <v/>
      </c>
      <c r="BP62" s="807">
        <f>SUMPRODUCT(--(MOD(COLUMN($O62:$AL62),4)=MOD(COLUMN($O62)+2,4)),$O62:$AL62)
+SUMPRODUCT(--(MOD(COLUMN($AM62:$BJ62),4)=MOD(COLUMN($AM62)+2,4)),$AM62:$BJ62)</f>
        <v/>
      </c>
      <c r="BQ62" s="808">
        <f>SUMPRODUCT(--(MOD(COLUMN($O62:$AL62),4)=MOD(COLUMN($O62)+2,4)),$O62:$AL62)*
$I62+SUMPRODUCT(--(MOD(COLUMN($AM62:$BJ62),4)=MOD(COLUMN($AM62)+2,4)),$AM62:$BJ62)*$I62</f>
        <v/>
      </c>
      <c r="BR62" s="809" t="n"/>
      <c r="BS62" s="801" t="n"/>
      <c r="BT62" s="23" t="n"/>
      <c r="BU62" s="24" t="n"/>
      <c r="BV62" s="25" t="n"/>
      <c r="BW62" s="24" t="n"/>
      <c r="BX62" s="23" t="n"/>
      <c r="BY62" s="24" t="n"/>
      <c r="BZ62" s="25" t="n"/>
      <c r="CA62" s="24" t="n"/>
      <c r="CB62" s="23" t="n"/>
      <c r="CC62" s="24" t="n"/>
      <c r="CD62" s="25" t="n"/>
      <c r="CE62" s="24" t="n"/>
      <c r="CF62" s="23" t="n"/>
      <c r="CG62" s="24" t="n"/>
      <c r="CH62" s="25" t="n"/>
      <c r="CI62" s="24" t="n"/>
      <c r="CJ62" s="23" t="n"/>
      <c r="CK62" s="24" t="n"/>
      <c r="CL62" s="25" t="n"/>
      <c r="CM62" s="24" t="n"/>
      <c r="CN62" s="23" t="n"/>
      <c r="CO62" s="24" t="n"/>
      <c r="CP62" s="25" t="n"/>
      <c r="CQ62" s="24" t="n"/>
      <c r="CR62" s="23" t="n"/>
      <c r="CS62" s="24" t="n"/>
      <c r="CT62" s="25" t="n"/>
      <c r="CU62" s="24" t="n"/>
      <c r="CV62" s="23" t="n"/>
      <c r="CW62" s="24" t="n"/>
      <c r="CX62" s="25" t="n"/>
      <c r="CY62" s="24" t="n"/>
      <c r="CZ62" s="23" t="n"/>
      <c r="DA62" s="24" t="n"/>
      <c r="DB62" s="25" t="n"/>
      <c r="DC62" s="24" t="n"/>
      <c r="DD62" s="23" t="n"/>
      <c r="DE62" s="24" t="n"/>
      <c r="DF62" s="25" t="n"/>
      <c r="DG62" s="24" t="n"/>
      <c r="DH62" s="23" t="n"/>
      <c r="DI62" s="24" t="n"/>
      <c r="DJ62" s="25" t="n"/>
      <c r="DK62" s="24" t="n"/>
      <c r="DL62" s="23" t="n"/>
      <c r="DM62" s="24" t="n"/>
      <c r="DN62" s="25" t="n"/>
      <c r="DO62" s="24" t="n"/>
      <c r="DP62" s="340" t="n"/>
      <c r="DQ62" s="803">
        <f>SUMPRODUCT(--(MOD(COLUMN(BT62:CQ62),4)=MOD(COLUMN(BT62),4)),BT62:CQ62)+SUMPRODUCT(--(MOD(COLUMN(CR62:DO62),4)=MOD(COLUMN(CR62),4)),CR62:DO62)</f>
        <v/>
      </c>
      <c r="DR62" s="803">
        <f>SUMPRODUCT(--(MOD(COLUMN(BT62:CQ62),4)=MOD(COLUMN(BT62),4)),BT62:CQ62)*#REF!+SUMPRODUCT(--(MOD(COLUMN(CR62:DO62),4)=MOD(COLUMN(CR62),4)),CR62:DO62)*#REF!</f>
        <v/>
      </c>
      <c r="DS62" s="809" t="n"/>
      <c r="DT62" s="801" t="n"/>
      <c r="DU62" s="23" t="n"/>
      <c r="DV62" s="24" t="n"/>
      <c r="DW62" s="25" t="n"/>
      <c r="DX62" s="24" t="n"/>
      <c r="DY62" s="23" t="n"/>
      <c r="DZ62" s="24" t="n"/>
      <c r="EA62" s="25" t="n"/>
      <c r="EB62" s="24" t="n"/>
      <c r="EC62" s="23" t="n"/>
      <c r="ED62" s="24" t="n"/>
      <c r="EE62" s="25" t="n"/>
      <c r="EF62" s="108" t="n"/>
      <c r="EG62" s="23" t="n"/>
      <c r="EH62" s="24" t="n"/>
      <c r="EI62" s="25" t="n"/>
      <c r="EJ62" s="24" t="n"/>
      <c r="EK62" s="23" t="n"/>
      <c r="EL62" s="24" t="n"/>
      <c r="EM62" s="25" t="n"/>
      <c r="EN62" s="24" t="n"/>
      <c r="EO62" s="23" t="n"/>
      <c r="EP62" s="24" t="n"/>
      <c r="EQ62" s="25" t="n"/>
      <c r="ER62" s="24" t="n"/>
      <c r="ES62" s="23" t="n"/>
      <c r="ET62" s="24" t="n"/>
      <c r="EU62" s="25" t="n"/>
      <c r="EV62" s="24" t="n"/>
      <c r="EW62" s="23" t="n"/>
      <c r="EX62" s="24" t="n"/>
      <c r="EY62" s="25" t="n"/>
      <c r="EZ62" s="24" t="n"/>
      <c r="FA62" s="23" t="n"/>
      <c r="FB62" s="24" t="n"/>
      <c r="FC62" s="25" t="n"/>
      <c r="FD62" s="24" t="n"/>
      <c r="FE62" s="23" t="n"/>
      <c r="FF62" s="24" t="n"/>
      <c r="FG62" s="25" t="n"/>
      <c r="FH62" s="24" t="n"/>
      <c r="FI62" s="23" t="n"/>
      <c r="FJ62" s="24" t="n"/>
      <c r="FK62" s="25" t="n"/>
      <c r="FL62" s="24" t="n"/>
      <c r="FM62" s="23" t="n"/>
      <c r="FN62" s="24" t="n"/>
      <c r="FO62" s="25" t="n"/>
      <c r="FP62" s="24" t="n"/>
      <c r="FQ62" s="340" t="n"/>
      <c r="FR62" s="803">
        <f>SUMPRODUCT(--(MOD(COLUMN(DU62:ER62),4)=MOD(COLUMN(DU62),4)),DU62:ER62)+SUMPRODUCT(--(MOD(COLUMN(ES62:FP62),4)=MOD(COLUMN(ES62),4)),ES62:FP62)</f>
        <v/>
      </c>
      <c r="FS62" s="803">
        <f>SUMPRODUCT(--(MOD(COLUMN(DU62:ER62),4)=MOD(COLUMN(DU62),4)),DU62:ER62)*#REF!+SUMPRODUCT(--(MOD(COLUMN(ES62:FP62),4)=MOD(COLUMN(ES62),4)),ES62:FP62)*#REF!</f>
        <v/>
      </c>
      <c r="FT62" s="361" t="n"/>
    </row>
    <row r="63" outlineLevel="2">
      <c r="A63" s="411" t="inlineStr">
        <is>
          <t>АВГ АВТОКОМПОНЕНТЫ ООО</t>
        </is>
      </c>
      <c r="B63" s="417" t="n"/>
      <c r="C63" s="418" t="n"/>
      <c r="D63" s="411" t="n"/>
      <c r="E63" s="35">
        <f>IF(ISBLANK(G63),"",IF($A$6:$A$64=$A63,COUNTIF($A$6:A63,$A63),""))</f>
        <v/>
      </c>
      <c r="F63" s="35" t="n"/>
      <c r="G63" s="53" t="n"/>
      <c r="H63" s="36" t="inlineStr">
        <is>
          <t>Итого</t>
        </is>
      </c>
      <c r="I63" s="626" t="n"/>
      <c r="J63" s="827" t="n"/>
      <c r="K63" s="827" t="n"/>
      <c r="L63" s="827">
        <f>IF(K63="RUB",J63/ЮАНЬ,IF(K63="EUR",J63*ЕВРО/ЮАНЬ,""))</f>
        <v/>
      </c>
      <c r="M63" s="801" t="n"/>
      <c r="N63" s="802">
        <f>IF(BP63&gt;0,1,IF(BN63&gt;0,2,))</f>
        <v/>
      </c>
      <c r="O63" s="40" t="n"/>
      <c r="P63" s="41" t="n"/>
      <c r="Q63" s="42" t="n"/>
      <c r="R63" s="41" t="n"/>
      <c r="S63" s="40" t="n"/>
      <c r="T63" s="41" t="n"/>
      <c r="U63" s="42" t="n"/>
      <c r="V63" s="41" t="n"/>
      <c r="W63" s="40" t="n"/>
      <c r="X63" s="41" t="n"/>
      <c r="Y63" s="42" t="n"/>
      <c r="Z63" s="41" t="n"/>
      <c r="AA63" s="40" t="n"/>
      <c r="AB63" s="41" t="n"/>
      <c r="AC63" s="42" t="n"/>
      <c r="AD63" s="41" t="n"/>
      <c r="AE63" s="40" t="n"/>
      <c r="AF63" s="41" t="n"/>
      <c r="AG63" s="42" t="n"/>
      <c r="AH63" s="41" t="n"/>
      <c r="AI63" s="40" t="n"/>
      <c r="AJ63" s="41" t="n"/>
      <c r="AK63" s="42" t="n"/>
      <c r="AL63" s="41" t="n"/>
      <c r="AM63" s="40" t="n"/>
      <c r="AN63" s="41" t="n"/>
      <c r="AO63" s="42" t="n"/>
      <c r="AP63" s="41" t="n"/>
      <c r="AQ63" s="40" t="n"/>
      <c r="AR63" s="41" t="n"/>
      <c r="AS63" s="42" t="n"/>
      <c r="AT63" s="41" t="n"/>
      <c r="AU63" s="40" t="n"/>
      <c r="AV63" s="41" t="n"/>
      <c r="AW63" s="42" t="n"/>
      <c r="AX63" s="41" t="n"/>
      <c r="AY63" s="40" t="n"/>
      <c r="AZ63" s="41" t="n"/>
      <c r="BA63" s="42" t="n"/>
      <c r="BB63" s="41" t="n"/>
      <c r="BC63" s="40" t="n"/>
      <c r="BD63" s="41" t="n"/>
      <c r="BE63" s="42" t="n"/>
      <c r="BF63" s="41" t="n"/>
      <c r="BG63" s="40" t="n"/>
      <c r="BH63" s="41" t="n"/>
      <c r="BI63" s="42" t="n"/>
      <c r="BJ63" s="43" t="n"/>
      <c r="BK63" s="341" t="n"/>
      <c r="BL63" s="811">
        <f>SUMPRODUCT(--(MOD(COLUMN($O63:$AL63),4)=MOD(COLUMN($O63)+0,4)),$O63:$AL63)
+SUMPRODUCT(--(MOD(COLUMN($AM63:$BJ63),4)=MOD(COLUMN($AM63)+0,4)),$AM63:$BJ63)</f>
        <v/>
      </c>
      <c r="BM63" s="812">
        <f>SUMPRODUCT(--(MOD(COLUMN($O63:$AL63),4)=MOD(COLUMN($O63)+0,4)),$O63:$AL63)*
$I63+SUMPRODUCT(--(MOD(COLUMN($AM63:$BJ63),4)=MOD(COLUMN($AM63)+0,4)),$AM63:$BJ63)*$I63</f>
        <v/>
      </c>
      <c r="BN63" s="805">
        <f>SUMPRODUCT(--(MOD(COLUMN($O63:$AL63),4)=MOD(COLUMN($O63)+1,4)),$O63:$AL63)
+SUMPRODUCT(--(MOD(COLUMN($AM63:$BJ63),4)=MOD(COLUMN($AM63)+1,4)),$AM63:$BJ63)</f>
        <v/>
      </c>
      <c r="BO63" s="806">
        <f>SUMPRODUCT(--(MOD(COLUMN($O63:$AL63),4)=MOD(COLUMN($O63)+1,4)),$O63:$AL63)*
$I63+SUMPRODUCT(--(MOD(COLUMN($AM63:$BJ63),4)=MOD(COLUMN($AM63)+1,4)),$AM63:$BJ63)*$I63</f>
        <v/>
      </c>
      <c r="BP63" s="807">
        <f>SUMPRODUCT(--(MOD(COLUMN($O63:$AL63),4)=MOD(COLUMN($O63)+2,4)),$O63:$AL63)
+SUMPRODUCT(--(MOD(COLUMN($AM63:$BJ63),4)=MOD(COLUMN($AM63)+2,4)),$AM63:$BJ63)</f>
        <v/>
      </c>
      <c r="BQ63" s="808">
        <f>SUMPRODUCT(--(MOD(COLUMN($O63:$AL63),4)=MOD(COLUMN($O63)+2,4)),$O63:$AL63)*
$I63+SUMPRODUCT(--(MOD(COLUMN($AM63:$BJ63),4)=MOD(COLUMN($AM63)+2,4)),$AM63:$BJ63)*$I63</f>
        <v/>
      </c>
      <c r="BR63" s="813" t="n"/>
      <c r="BS63" s="801" t="n"/>
      <c r="BT63" s="40" t="n"/>
      <c r="BU63" s="41" t="n"/>
      <c r="BV63" s="42" t="n"/>
      <c r="BW63" s="41" t="n"/>
      <c r="BX63" s="40" t="n"/>
      <c r="BY63" s="41" t="n"/>
      <c r="BZ63" s="42" t="n"/>
      <c r="CA63" s="41" t="n"/>
      <c r="CB63" s="40" t="n"/>
      <c r="CC63" s="41" t="n"/>
      <c r="CD63" s="42" t="n"/>
      <c r="CE63" s="41" t="n"/>
      <c r="CF63" s="40" t="n"/>
      <c r="CG63" s="41" t="n"/>
      <c r="CH63" s="42" t="n"/>
      <c r="CI63" s="41" t="n"/>
      <c r="CJ63" s="40" t="n"/>
      <c r="CK63" s="41" t="n"/>
      <c r="CL63" s="42" t="n"/>
      <c r="CM63" s="41" t="n"/>
      <c r="CN63" s="40" t="n"/>
      <c r="CO63" s="41" t="n"/>
      <c r="CP63" s="42" t="n"/>
      <c r="CQ63" s="41" t="n"/>
      <c r="CR63" s="40" t="n"/>
      <c r="CS63" s="41" t="n"/>
      <c r="CT63" s="42" t="n"/>
      <c r="CU63" s="41" t="n"/>
      <c r="CV63" s="40" t="n"/>
      <c r="CW63" s="41" t="n"/>
      <c r="CX63" s="42" t="n"/>
      <c r="CY63" s="41" t="n"/>
      <c r="CZ63" s="40" t="n"/>
      <c r="DA63" s="41" t="n"/>
      <c r="DB63" s="42" t="n"/>
      <c r="DC63" s="41" t="n"/>
      <c r="DD63" s="40" t="n"/>
      <c r="DE63" s="41" t="n"/>
      <c r="DF63" s="42" t="n"/>
      <c r="DG63" s="41" t="n"/>
      <c r="DH63" s="40" t="n"/>
      <c r="DI63" s="41" t="n"/>
      <c r="DJ63" s="42" t="n"/>
      <c r="DK63" s="41" t="n"/>
      <c r="DL63" s="40" t="n"/>
      <c r="DM63" s="41" t="n"/>
      <c r="DN63" s="42" t="n"/>
      <c r="DO63" s="43" t="n"/>
      <c r="DP63" s="341" t="n"/>
      <c r="DQ63" s="811">
        <f>SUMPRODUCT(--(MOD(COLUMN(BT63:CQ63),4)=MOD(COLUMN(BT63),4)),BT63:CQ63)+SUMPRODUCT(--(MOD(COLUMN(CR63:DO63),4)=MOD(COLUMN(CR63),4)),CR63:DO63)</f>
        <v/>
      </c>
      <c r="DR63" s="811">
        <f>SUMPRODUCT(--(MOD(COLUMN(BT63:CQ63),4)=MOD(COLUMN(BT63),4)),BT63:CQ63)*#REF!+SUMPRODUCT(--(MOD(COLUMN(CR63:DO63),4)=MOD(COLUMN(CR63),4)),CR63:DO63)*#REF!</f>
        <v/>
      </c>
      <c r="DS63" s="813" t="n"/>
      <c r="DT63" s="801" t="n"/>
      <c r="DU63" s="40" t="n"/>
      <c r="DV63" s="41" t="n"/>
      <c r="DW63" s="42" t="n"/>
      <c r="DX63" s="41" t="n"/>
      <c r="DY63" s="40" t="n"/>
      <c r="DZ63" s="41" t="n"/>
      <c r="EA63" s="42" t="n"/>
      <c r="EB63" s="41" t="n"/>
      <c r="EC63" s="40" t="n"/>
      <c r="ED63" s="41" t="n"/>
      <c r="EE63" s="42" t="n"/>
      <c r="EF63" s="41" t="n"/>
      <c r="EG63" s="40" t="n"/>
      <c r="EH63" s="41" t="n"/>
      <c r="EI63" s="42" t="n"/>
      <c r="EJ63" s="41" t="n"/>
      <c r="EK63" s="40" t="n"/>
      <c r="EL63" s="41" t="n"/>
      <c r="EM63" s="42" t="n"/>
      <c r="EN63" s="41" t="n"/>
      <c r="EO63" s="40" t="n"/>
      <c r="EP63" s="41" t="n"/>
      <c r="EQ63" s="42" t="n"/>
      <c r="ER63" s="41" t="n"/>
      <c r="ES63" s="40" t="n"/>
      <c r="ET63" s="41" t="n"/>
      <c r="EU63" s="42" t="n"/>
      <c r="EV63" s="41" t="n"/>
      <c r="EW63" s="40" t="n"/>
      <c r="EX63" s="41" t="n"/>
      <c r="EY63" s="42" t="n"/>
      <c r="EZ63" s="41" t="n"/>
      <c r="FA63" s="40" t="n"/>
      <c r="FB63" s="41" t="n"/>
      <c r="FC63" s="42" t="n"/>
      <c r="FD63" s="41" t="n"/>
      <c r="FE63" s="40" t="n"/>
      <c r="FF63" s="41" t="n"/>
      <c r="FG63" s="42" t="n"/>
      <c r="FH63" s="41" t="n"/>
      <c r="FI63" s="40" t="n"/>
      <c r="FJ63" s="41" t="n"/>
      <c r="FK63" s="42" t="n"/>
      <c r="FL63" s="41" t="n"/>
      <c r="FM63" s="40" t="n"/>
      <c r="FN63" s="41" t="n"/>
      <c r="FO63" s="42" t="n"/>
      <c r="FP63" s="43" t="n"/>
      <c r="FQ63" s="341" t="n"/>
      <c r="FR63" s="811">
        <f>SUMPRODUCT(--(MOD(COLUMN(DU63:ER63),4)=MOD(COLUMN(DU63),4)),DU63:ER63)+SUMPRODUCT(--(MOD(COLUMN(ES63:FP63),4)=MOD(COLUMN(ES63),4)),ES63:FP63)</f>
        <v/>
      </c>
      <c r="FS63" s="811">
        <f>SUMPRODUCT(--(MOD(COLUMN(DU63:ER63),4)=MOD(COLUMN(DU63),4)),DU63:ER63)*#REF!+SUMPRODUCT(--(MOD(COLUMN(ES63:FP63),4)=MOD(COLUMN(ES63),4)),ES63:FP63)*#REF!</f>
        <v/>
      </c>
      <c r="FT63" s="361" t="n"/>
    </row>
    <row r="64" outlineLevel="1" customFormat="1" s="44">
      <c r="A64" s="45" t="inlineStr">
        <is>
          <t>АВГ АВТОКОМПОНЕНТЫ ООО</t>
        </is>
      </c>
      <c r="B64" s="46" t="n"/>
      <c r="C64" s="46" t="n"/>
      <c r="D64" s="46" t="n"/>
      <c r="E64" s="59">
        <f>IF(ISBLANK(G64),"",IF($A$6:$A$64=$A64,COUNTIF($A$6:A64,$A64),""))</f>
        <v/>
      </c>
      <c r="F64" s="59" t="n"/>
      <c r="G64" s="60" t="n"/>
      <c r="H64" s="49" t="n"/>
      <c r="I64" s="632" t="n"/>
      <c r="J64" s="828" t="n"/>
      <c r="K64" s="828" t="n"/>
      <c r="L64" s="828">
        <f>IF(K64="RUB",J64/ЮАНЬ,IF(K64="EUR",J64*ЕВРО/ЮАНЬ,""))</f>
        <v/>
      </c>
      <c r="M64" s="814" t="n"/>
      <c r="N64" s="802">
        <f>IF(BP64&gt;0,1,IF(BN64&gt;0,2,))</f>
        <v/>
      </c>
      <c r="O64" s="829" t="n"/>
      <c r="P64" s="829" t="n"/>
      <c r="Q64" s="829" t="n"/>
      <c r="R64" s="829" t="n"/>
      <c r="S64" s="829" t="n"/>
      <c r="T64" s="829" t="n"/>
      <c r="U64" s="829" t="n"/>
      <c r="V64" s="829" t="n"/>
      <c r="W64" s="829" t="n"/>
      <c r="X64" s="829" t="n"/>
      <c r="Y64" s="829" t="n"/>
      <c r="Z64" s="829" t="n"/>
      <c r="AA64" s="829" t="n"/>
      <c r="AB64" s="829" t="n"/>
      <c r="AC64" s="829" t="n"/>
      <c r="AD64" s="829" t="n"/>
      <c r="AE64" s="829" t="n"/>
      <c r="AF64" s="829" t="n"/>
      <c r="AG64" s="829" t="n"/>
      <c r="AH64" s="829" t="n"/>
      <c r="AI64" s="829" t="n"/>
      <c r="AJ64" s="829" t="n"/>
      <c r="AK64" s="829" t="n"/>
      <c r="AL64" s="829" t="n"/>
      <c r="AM64" s="829" t="n"/>
      <c r="AN64" s="829" t="n"/>
      <c r="AO64" s="829" t="n"/>
      <c r="AP64" s="829" t="n"/>
      <c r="AQ64" s="829" t="n"/>
      <c r="AR64" s="829" t="n"/>
      <c r="AS64" s="829" t="n"/>
      <c r="AT64" s="829" t="n"/>
      <c r="AU64" s="829" t="n"/>
      <c r="AV64" s="829" t="n"/>
      <c r="AW64" s="829" t="n"/>
      <c r="AX64" s="829" t="n"/>
      <c r="AY64" s="829" t="n"/>
      <c r="AZ64" s="829" t="n"/>
      <c r="BA64" s="829" t="n"/>
      <c r="BB64" s="829" t="n"/>
      <c r="BC64" s="829" t="n"/>
      <c r="BD64" s="829" t="n"/>
      <c r="BE64" s="829" t="n"/>
      <c r="BF64" s="829" t="n"/>
      <c r="BG64" s="829" t="n"/>
      <c r="BH64" s="829" t="n"/>
      <c r="BI64" s="829" t="n"/>
      <c r="BJ64" s="829" t="n"/>
      <c r="BK64" s="829" t="n"/>
      <c r="BL64" s="814">
        <f>SUMPRODUCT(--(MOD(COLUMN($O64:$AL64),4)=MOD(COLUMN($O64)+0,4)),$O64:$AL64)
+SUMPRODUCT(--(MOD(COLUMN($AM64:$BJ64),4)=MOD(COLUMN($AM64)+0,4)),$AM64:$BJ64)</f>
        <v/>
      </c>
      <c r="BM64" s="815">
        <f>SUMPRODUCT(--(MOD(COLUMN($O64:$AL64),4)=MOD(COLUMN($O64)+0,4)),$O64:$AL64)*
$I64+SUMPRODUCT(--(MOD(COLUMN($AM64:$BJ64),4)=MOD(COLUMN($AM64)+0,4)),$AM64:$BJ64)*$I64</f>
        <v/>
      </c>
      <c r="BN64" s="814">
        <f>SUMPRODUCT(--(MOD(COLUMN($O64:$AL64),4)=MOD(COLUMN($O64)+1,4)),$O64:$AL64)
+SUMPRODUCT(--(MOD(COLUMN($AM64:$BJ64),4)=MOD(COLUMN($AM64)+1,4)),$AM64:$BJ64)</f>
        <v/>
      </c>
      <c r="BO64" s="814">
        <f>SUMPRODUCT(--(MOD(COLUMN($O64:$AL64),4)=MOD(COLUMN($O64)+1,4)),$O64:$AL64)*
$I64+SUMPRODUCT(--(MOD(COLUMN($AM64:$BJ64),4)=MOD(COLUMN($AM64)+1,4)),$AM64:$BJ64)*$I64</f>
        <v/>
      </c>
      <c r="BP64" s="814">
        <f>SUMPRODUCT(--(MOD(COLUMN($O64:$AL64),4)=MOD(COLUMN($O64)+2,4)),$O64:$AL64)
+SUMPRODUCT(--(MOD(COLUMN($AM64:$BJ64),4)=MOD(COLUMN($AM64)+2,4)),$AM64:$BJ64)</f>
        <v/>
      </c>
      <c r="BQ64" s="814">
        <f>SUMPRODUCT(--(MOD(COLUMN($O64:$AL64),4)=MOD(COLUMN($O64)+2,4)),$O64:$AL64)*
$I64+SUMPRODUCT(--(MOD(COLUMN($AM64:$BJ64),4)=MOD(COLUMN($AM64)+2,4)),$AM64:$BJ64)*$I64</f>
        <v/>
      </c>
      <c r="BR64" s="829" t="n"/>
      <c r="BS64" s="814" t="n"/>
      <c r="BT64" s="829" t="n"/>
      <c r="BU64" s="829" t="n"/>
      <c r="BV64" s="829" t="n"/>
      <c r="BW64" s="829" t="n"/>
      <c r="BX64" s="829" t="n"/>
      <c r="BY64" s="829" t="n"/>
      <c r="BZ64" s="829" t="n"/>
      <c r="CA64" s="829" t="n"/>
      <c r="CB64" s="829" t="n"/>
      <c r="CC64" s="829" t="n"/>
      <c r="CD64" s="829" t="n"/>
      <c r="CE64" s="829" t="n"/>
      <c r="CF64" s="829" t="n"/>
      <c r="CG64" s="829" t="n"/>
      <c r="CH64" s="829" t="n"/>
      <c r="CI64" s="829" t="n"/>
      <c r="CJ64" s="829" t="n"/>
      <c r="CK64" s="829" t="n"/>
      <c r="CL64" s="829" t="n"/>
      <c r="CM64" s="829" t="n"/>
      <c r="CN64" s="829" t="n"/>
      <c r="CO64" s="829" t="n"/>
      <c r="CP64" s="829" t="n"/>
      <c r="CQ64" s="829" t="n"/>
      <c r="CR64" s="829" t="n"/>
      <c r="CS64" s="829" t="n"/>
      <c r="CT64" s="829" t="n"/>
      <c r="CU64" s="829" t="n"/>
      <c r="CV64" s="829" t="n"/>
      <c r="CW64" s="829" t="n"/>
      <c r="CX64" s="829" t="n"/>
      <c r="CY64" s="829" t="n"/>
      <c r="CZ64" s="829" t="n"/>
      <c r="DA64" s="829" t="n"/>
      <c r="DB64" s="829" t="n"/>
      <c r="DC64" s="829" t="n"/>
      <c r="DD64" s="829" t="n"/>
      <c r="DE64" s="829" t="n"/>
      <c r="DF64" s="829" t="n"/>
      <c r="DG64" s="829" t="n"/>
      <c r="DH64" s="829" t="n"/>
      <c r="DI64" s="829" t="n"/>
      <c r="DJ64" s="829" t="n"/>
      <c r="DK64" s="829" t="n"/>
      <c r="DL64" s="829" t="n"/>
      <c r="DM64" s="829" t="n"/>
      <c r="DN64" s="829" t="n"/>
      <c r="DO64" s="829" t="n"/>
      <c r="DP64" s="829" t="n"/>
      <c r="DQ64" s="814">
        <f>SUMPRODUCT(--(MOD(COLUMN(BT64:CQ64),4)=MOD(COLUMN(BT64),4)),BT64:CQ64)+SUMPRODUCT(--(MOD(COLUMN(CR64:DO64),4)=MOD(COLUMN(CR64),4)),CR64:DO64)</f>
        <v/>
      </c>
      <c r="DR64" s="814">
        <f>SUMPRODUCT(--(MOD(COLUMN(BT64:CQ64),4)=MOD(COLUMN(BT64),4)),BT64:CQ64)*#REF!+SUMPRODUCT(--(MOD(COLUMN(CR64:DO64),4)=MOD(COLUMN(CR64),4)),CR64:DO64)*#REF!</f>
        <v/>
      </c>
      <c r="DS64" s="829" t="n"/>
      <c r="DT64" s="814" t="n"/>
      <c r="DU64" s="829" t="n"/>
      <c r="DV64" s="829" t="n"/>
      <c r="DW64" s="829" t="n"/>
      <c r="DX64" s="829" t="n"/>
      <c r="DY64" s="829" t="n"/>
      <c r="DZ64" s="829" t="n"/>
      <c r="EA64" s="829" t="n"/>
      <c r="EB64" s="829" t="n"/>
      <c r="EC64" s="829" t="n"/>
      <c r="ED64" s="829" t="n"/>
      <c r="EE64" s="829" t="n"/>
      <c r="EF64" s="829" t="n"/>
      <c r="EG64" s="829" t="n"/>
      <c r="EH64" s="829" t="n"/>
      <c r="EI64" s="829" t="n"/>
      <c r="EJ64" s="829" t="n"/>
      <c r="EK64" s="829" t="n"/>
      <c r="EL64" s="829" t="n"/>
      <c r="EM64" s="829" t="n"/>
      <c r="EN64" s="829" t="n"/>
      <c r="EO64" s="829" t="n"/>
      <c r="EP64" s="829" t="n"/>
      <c r="EQ64" s="829" t="n"/>
      <c r="ER64" s="829" t="n"/>
      <c r="ES64" s="829" t="n"/>
      <c r="ET64" s="829" t="n"/>
      <c r="EU64" s="829" t="n"/>
      <c r="EV64" s="829" t="n"/>
      <c r="EW64" s="829" t="n"/>
      <c r="EX64" s="829" t="n"/>
      <c r="EY64" s="829" t="n"/>
      <c r="EZ64" s="829" t="n"/>
      <c r="FA64" s="829" t="n"/>
      <c r="FB64" s="829" t="n"/>
      <c r="FC64" s="829" t="n"/>
      <c r="FD64" s="829" t="n"/>
      <c r="FE64" s="829" t="n"/>
      <c r="FF64" s="829" t="n"/>
      <c r="FG64" s="829" t="n"/>
      <c r="FH64" s="829" t="n"/>
      <c r="FI64" s="829" t="n"/>
      <c r="FJ64" s="829" t="n"/>
      <c r="FK64" s="829" t="n"/>
      <c r="FL64" s="829" t="n"/>
      <c r="FM64" s="829" t="n"/>
      <c r="FN64" s="829" t="n"/>
      <c r="FO64" s="829" t="n"/>
      <c r="FP64" s="829" t="n"/>
      <c r="FQ64" s="829" t="n"/>
      <c r="FR64" s="814">
        <f>SUMPRODUCT(--(MOD(COLUMN(DU64:ER64),4)=MOD(COLUMN(DU64),4)),DU64:ER64)+SUMPRODUCT(--(MOD(COLUMN(ES64:FP64),4)=MOD(COLUMN(ES64),4)),ES64:FP64)</f>
        <v/>
      </c>
      <c r="FS64" s="814">
        <f>SUMPRODUCT(--(MOD(COLUMN(DU64:ER64),4)=MOD(COLUMN(DU64),4)),DU64:ER64)*#REF!+SUMPRODUCT(--(MOD(COLUMN(ES64:FP64),4)=MOD(COLUMN(ES64),4)),ES64:FP64)*#REF!</f>
        <v/>
      </c>
      <c r="FT64" s="370" t="n"/>
    </row>
    <row r="65" customFormat="1" s="524">
      <c r="A65" s="523" t="n"/>
      <c r="E65" s="525" t="n"/>
      <c r="H65" s="527" t="n"/>
      <c r="I65" s="830" t="n"/>
      <c r="J65" s="830" t="n"/>
      <c r="K65" s="830" t="n"/>
      <c r="L65" s="830" t="n"/>
      <c r="M65" s="830" t="n"/>
      <c r="N65" s="831">
        <f>IF(BP65&gt;0,1,IF(BN65&gt;0,2,))</f>
        <v/>
      </c>
      <c r="O65" s="832" t="n"/>
      <c r="P65" s="832" t="n"/>
      <c r="Q65" s="832" t="n"/>
      <c r="R65" s="832" t="n"/>
      <c r="S65" s="832" t="n"/>
      <c r="T65" s="832" t="n"/>
      <c r="U65" s="832" t="n"/>
      <c r="V65" s="832" t="n"/>
      <c r="W65" s="832" t="n"/>
      <c r="X65" s="832" t="n"/>
      <c r="Y65" s="832" t="n"/>
      <c r="Z65" s="832" t="n"/>
      <c r="AA65" s="832" t="n"/>
      <c r="AB65" s="832" t="n"/>
      <c r="AC65" s="832" t="n"/>
      <c r="AD65" s="832" t="n"/>
      <c r="AE65" s="832" t="n"/>
      <c r="AF65" s="832" t="n"/>
      <c r="AG65" s="832" t="n"/>
      <c r="AH65" s="832" t="n"/>
      <c r="AI65" s="832" t="n"/>
      <c r="AJ65" s="832" t="n"/>
      <c r="AK65" s="832" t="n"/>
      <c r="AL65" s="832" t="n"/>
      <c r="AM65" s="832" t="n"/>
      <c r="AN65" s="832" t="n"/>
      <c r="AO65" s="832" t="n"/>
      <c r="AP65" s="832" t="n"/>
      <c r="AQ65" s="832" t="n"/>
      <c r="AR65" s="832" t="n"/>
      <c r="AS65" s="832" t="n"/>
      <c r="AT65" s="832" t="n"/>
      <c r="AU65" s="832" t="n"/>
      <c r="AV65" s="832" t="n"/>
      <c r="AW65" s="832" t="n"/>
      <c r="AX65" s="832" t="n"/>
      <c r="AY65" s="832" t="n"/>
      <c r="AZ65" s="832" t="n"/>
      <c r="BA65" s="832" t="n"/>
      <c r="BB65" s="832" t="n"/>
      <c r="BC65" s="832" t="n"/>
      <c r="BD65" s="832" t="n"/>
      <c r="BE65" s="832" t="n"/>
      <c r="BF65" s="832" t="n"/>
      <c r="BG65" s="832" t="n"/>
      <c r="BH65" s="832" t="n"/>
      <c r="BI65" s="832" t="n"/>
      <c r="BJ65" s="832" t="n"/>
      <c r="BK65" s="832" t="n"/>
      <c r="BL65" s="832">
        <f>SUMPRODUCT(--(MOD(COLUMN($O65:$AL65),4)=MOD(COLUMN($O65)+0,4)),$O65:$AL65)
+SUMPRODUCT(--(MOD(COLUMN($AM65:$BJ65),4)=MOD(COLUMN($AM65)+0,4)),$AM65:$BJ65)</f>
        <v/>
      </c>
      <c r="BM65" s="832">
        <f>SUMPRODUCT(--(MOD(COLUMN($O65:$AL65),4)=MOD(COLUMN($O65)+0,4)),$O65:$AL65)*
$I65+SUMPRODUCT(--(MOD(COLUMN($AM65:$BJ65),4)=MOD(COLUMN($AM65)+0,4)),$AM65:$BJ65)*$I65</f>
        <v/>
      </c>
      <c r="BN65" s="832">
        <f>SUMPRODUCT(--(MOD(COLUMN($O65:$AL65),4)=MOD(COLUMN($O65)+1,4)),$O65:$AL65)
+SUMPRODUCT(--(MOD(COLUMN($AM65:$BJ65),4)=MOD(COLUMN($AM65)+1,4)),$AM65:$BJ65)</f>
        <v/>
      </c>
      <c r="BO65" s="832">
        <f>SUMPRODUCT(--(MOD(COLUMN($O65:$AL65),4)=MOD(COLUMN($O65)+1,4)),$O65:$AL65)*
$I65+SUMPRODUCT(--(MOD(COLUMN($AM65:$BJ65),4)=MOD(COLUMN($AM65)+1,4)),$AM65:$BJ65)*$I65</f>
        <v/>
      </c>
      <c r="BP65" s="832">
        <f>SUMPRODUCT(--(MOD(COLUMN($O65:$AL65),4)=MOD(COLUMN($O65)+2,4)),$O65:$AL65)
+SUMPRODUCT(--(MOD(COLUMN($AM65:$BJ65),4)=MOD(COLUMN($AM65)+2,4)),$AM65:$BJ65)</f>
        <v/>
      </c>
      <c r="BQ65" s="832">
        <f>SUMPRODUCT(--(MOD(COLUMN($O65:$AL65),4)=MOD(COLUMN($O65)+2,4)),$O65:$AL65)*
$I65+SUMPRODUCT(--(MOD(COLUMN($AM65:$BJ65),4)=MOD(COLUMN($AM65)+2,4)),$AM65:$BJ65)*$I65</f>
        <v/>
      </c>
      <c r="BR65" s="832" t="n"/>
      <c r="BS65" s="832" t="n"/>
      <c r="BT65" s="832" t="n"/>
      <c r="BU65" s="832" t="n"/>
      <c r="BV65" s="832" t="n"/>
      <c r="BW65" s="832" t="n"/>
      <c r="BX65" s="833" t="n"/>
      <c r="BY65" s="834" t="n"/>
      <c r="BZ65" s="834" t="n"/>
      <c r="CA65" s="835" t="n"/>
      <c r="CB65" s="832" t="n"/>
      <c r="CC65" s="832" t="n"/>
      <c r="CD65" s="832" t="n"/>
      <c r="CE65" s="832" t="n"/>
      <c r="CF65" s="832" t="n"/>
      <c r="CG65" s="832" t="n"/>
      <c r="CH65" s="832" t="n"/>
      <c r="CI65" s="832" t="n"/>
      <c r="CJ65" s="832" t="n"/>
      <c r="CK65" s="832" t="n"/>
      <c r="CL65" s="832" t="n"/>
      <c r="CM65" s="832" t="n"/>
      <c r="CN65" s="832" t="n"/>
      <c r="CO65" s="832" t="n"/>
      <c r="CP65" s="832" t="n"/>
      <c r="CQ65" s="832" t="n"/>
      <c r="CR65" s="832" t="n"/>
      <c r="CS65" s="832" t="n"/>
      <c r="CT65" s="832" t="n"/>
      <c r="CU65" s="832" t="n"/>
      <c r="CV65" s="832" t="n"/>
      <c r="CW65" s="832" t="n"/>
      <c r="CX65" s="832" t="n"/>
      <c r="CY65" s="832" t="n"/>
      <c r="CZ65" s="832" t="n"/>
      <c r="DA65" s="832" t="n"/>
      <c r="DB65" s="832" t="n"/>
      <c r="DC65" s="832" t="n"/>
      <c r="DD65" s="832" t="n"/>
      <c r="DE65" s="832" t="n"/>
      <c r="DF65" s="832" t="n"/>
      <c r="DG65" s="832" t="n"/>
      <c r="DH65" s="832" t="n"/>
      <c r="DI65" s="832" t="n"/>
      <c r="DJ65" s="832" t="n"/>
      <c r="DK65" s="832" t="n"/>
      <c r="DL65" s="832" t="n"/>
      <c r="DM65" s="832" t="n"/>
      <c r="DN65" s="832" t="n"/>
      <c r="DO65" s="832" t="n"/>
      <c r="DP65" s="832" t="n"/>
      <c r="DQ65" s="832">
        <f>SUMPRODUCT(--(MOD(COLUMN(BT65:CQ65),4)=MOD(COLUMN(BT65),4)),BT65:CQ65)+SUMPRODUCT(--(MOD(COLUMN(CR65:DO65),4)=MOD(COLUMN(CR65),4)),CR65:DO65)</f>
        <v/>
      </c>
      <c r="DR65" s="832">
        <f>SUMPRODUCT(--(MOD(COLUMN(BT65:CQ65),4)=MOD(COLUMN(BT65),4)),BT65:CQ65)*#REF!+SUMPRODUCT(--(MOD(COLUMN(CR65:DO65),4)=MOD(COLUMN(CR65),4)),CR65:DO65)*#REF!</f>
        <v/>
      </c>
      <c r="DS65" s="832" t="n"/>
      <c r="DT65" s="832" t="n"/>
      <c r="DU65" s="832" t="n"/>
      <c r="DV65" s="832" t="n"/>
      <c r="DW65" s="832" t="n"/>
      <c r="DX65" s="832" t="n"/>
      <c r="DY65" s="832" t="n"/>
      <c r="DZ65" s="832" t="n"/>
      <c r="EA65" s="832" t="n"/>
      <c r="EB65" s="835" t="n"/>
      <c r="EC65" s="832" t="n"/>
      <c r="ED65" s="832" t="n"/>
      <c r="EE65" s="832" t="n"/>
      <c r="EF65" s="832" t="n"/>
      <c r="EG65" s="832" t="n"/>
      <c r="EH65" s="832" t="n"/>
      <c r="EI65" s="832" t="n"/>
      <c r="EJ65" s="832" t="n"/>
      <c r="EK65" s="832" t="n"/>
      <c r="EL65" s="832" t="n"/>
      <c r="EM65" s="832" t="n"/>
      <c r="EN65" s="832" t="n"/>
      <c r="EO65" s="832" t="n"/>
      <c r="EP65" s="832" t="n"/>
      <c r="EQ65" s="832" t="n"/>
      <c r="ER65" s="832" t="n"/>
      <c r="ES65" s="832" t="n"/>
      <c r="ET65" s="832" t="n"/>
      <c r="EU65" s="832" t="n"/>
      <c r="EV65" s="832" t="n"/>
      <c r="EW65" s="832" t="n"/>
      <c r="EX65" s="832" t="n"/>
      <c r="EY65" s="832" t="n"/>
      <c r="EZ65" s="832" t="n"/>
      <c r="FA65" s="832" t="n"/>
      <c r="FB65" s="832" t="n"/>
      <c r="FC65" s="832" t="n"/>
      <c r="FD65" s="832" t="n"/>
      <c r="FE65" s="832" t="n"/>
      <c r="FF65" s="832" t="n"/>
      <c r="FG65" s="832" t="n"/>
      <c r="FH65" s="832" t="n"/>
      <c r="FI65" s="832" t="n"/>
      <c r="FJ65" s="832" t="n"/>
      <c r="FK65" s="832" t="n"/>
      <c r="FL65" s="832" t="n"/>
      <c r="FM65" s="832" t="n"/>
      <c r="FN65" s="832" t="n"/>
      <c r="FO65" s="832" t="n"/>
      <c r="FP65" s="832" t="n"/>
      <c r="FQ65" s="832" t="n"/>
      <c r="FR65" s="832">
        <f>SUMPRODUCT(--(MOD(COLUMN(DU65:ER65),4)=MOD(COLUMN(DU65),4)),DU65:ER65)+SUMPRODUCT(--(MOD(COLUMN(ES65:FP65),4)=MOD(COLUMN(ES65),4)),ES65:FP65)</f>
        <v/>
      </c>
      <c r="FS65" s="832">
        <f>SUMPRODUCT(--(MOD(COLUMN(DU65:ER65),4)=MOD(COLUMN(DU65),4)),DU65:ER65)*#REF!+SUMPRODUCT(--(MOD(COLUMN(ES65:FP65),4)=MOD(COLUMN(ES65),4)),ES65:FP65)*#REF!</f>
        <v/>
      </c>
      <c r="FT65" s="527" t="n"/>
      <c r="FU65" s="527" t="n"/>
      <c r="FV65" s="527" t="n"/>
      <c r="FW65" s="527" t="n"/>
      <c r="FX65" s="527" t="n"/>
      <c r="FY65" s="527" t="n"/>
      <c r="FZ65" s="527" t="n"/>
      <c r="GA65" s="527" t="n"/>
      <c r="GB65" s="835" t="n"/>
      <c r="GC65" s="527" t="n"/>
      <c r="GD65" s="527" t="n"/>
      <c r="GE65" s="527" t="n"/>
      <c r="GF65" s="527" t="n"/>
      <c r="GG65" s="527" t="n"/>
      <c r="GH65" s="527" t="n"/>
      <c r="GI65" s="527" t="n"/>
      <c r="GJ65" s="527" t="n"/>
      <c r="GK65" s="527" t="n"/>
      <c r="GL65" s="527" t="n"/>
      <c r="GM65" s="527" t="n"/>
      <c r="GN65" s="527" t="n"/>
      <c r="GO65" s="527" t="n"/>
      <c r="GP65" s="527" t="n"/>
      <c r="GQ65" s="527" t="n"/>
      <c r="GR65" s="527" t="n"/>
      <c r="GS65" s="527" t="n"/>
      <c r="GT65" s="527" t="n"/>
      <c r="GU65" s="527" t="n"/>
      <c r="GV65" s="527" t="n"/>
      <c r="GW65" s="527" t="n"/>
      <c r="GX65" s="527" t="n"/>
      <c r="GY65" s="527" t="n"/>
      <c r="GZ65" s="527" t="n"/>
      <c r="HA65" s="527" t="n"/>
      <c r="HB65" s="527" t="n"/>
      <c r="HC65" s="527" t="n"/>
      <c r="HD65" s="527" t="n"/>
      <c r="HE65" s="527" t="n"/>
      <c r="HF65" s="527" t="n"/>
      <c r="HG65" s="527" t="n"/>
      <c r="HH65" s="527" t="n"/>
      <c r="HI65" s="527" t="n"/>
      <c r="HJ65" s="527" t="n"/>
      <c r="HK65" s="527" t="n"/>
      <c r="HL65" s="527" t="n"/>
      <c r="HM65" s="527" t="n"/>
      <c r="HN65" s="527" t="n"/>
      <c r="HO65" s="527" t="n"/>
      <c r="HP65" s="527" t="n"/>
      <c r="HQ65" s="527" t="n"/>
      <c r="HR65" s="527" t="n"/>
      <c r="HS65" s="527" t="n"/>
      <c r="HT65" s="527" t="n"/>
      <c r="HU65" s="527" t="n"/>
      <c r="HV65" s="527" t="n"/>
      <c r="HW65" s="527" t="n"/>
      <c r="HX65" s="527" t="n"/>
      <c r="HY65" s="527" t="n"/>
      <c r="HZ65" s="527" t="n"/>
    </row>
    <row r="66" outlineLevel="2" customFormat="1" s="63">
      <c r="A66" s="64" t="inlineStr">
        <is>
          <t>АВТОКОМПОНЕНТ НАО</t>
        </is>
      </c>
      <c r="B66" s="65" t="n"/>
      <c r="C66" s="65" t="n"/>
      <c r="D66" s="65" t="n"/>
      <c r="E66" s="508" t="n"/>
      <c r="F66" s="65" t="n"/>
      <c r="G66" s="65" t="n"/>
      <c r="H66" s="66" t="inlineStr">
        <is>
          <t>CNY, без НДС:</t>
        </is>
      </c>
      <c r="I66" s="836" t="n"/>
      <c r="J66" s="836" t="n"/>
      <c r="K66" s="836" t="n"/>
      <c r="L66" s="836" t="n"/>
      <c r="M66" s="836" t="n"/>
      <c r="N66" s="837">
        <f>IF(BP66&gt;0,1,IF(BN66&gt;0,2,))</f>
        <v/>
      </c>
      <c r="O66" s="814">
        <f>IFERROR(SUMPRODUCT(($A66=$A$6:$A$64)*$I$6:$I$64*O$6:O$64),"")</f>
        <v/>
      </c>
      <c r="P66" s="836">
        <f>IFERROR(SUMPRODUCT(($A66=$A$6:$A$64)*$I$6:$I$64*P$6:P$64),"")</f>
        <v/>
      </c>
      <c r="Q66" s="836">
        <f>IFERROR(SUMPRODUCT(($A66=$A$6:$A$64)*$I$6:$I$64*Q$6:Q$64),"")</f>
        <v/>
      </c>
      <c r="R66" s="836">
        <f>IFERROR(SUMPRODUCT(($A66=$A$6:$A$64)*$I$6:$I$64*R$6:R$64),"")</f>
        <v/>
      </c>
      <c r="S66" s="836">
        <f>IFERROR(SUMPRODUCT(($A66=$A$6:$A$64)*$I$6:$I$64*S$6:S$64),"")</f>
        <v/>
      </c>
      <c r="T66" s="836">
        <f>IFERROR(SUMPRODUCT(($A66=$A$6:$A$64)*$I$6:$I$64*T$6:T$64),"")</f>
        <v/>
      </c>
      <c r="U66" s="836">
        <f>IFERROR(SUMPRODUCT(($A66=$A$6:$A$64)*$I$6:$I$64*U$6:U$64),"")</f>
        <v/>
      </c>
      <c r="V66" s="836">
        <f>IFERROR(SUMPRODUCT(($A66=$A$6:$A$64)*$I$6:$I$64*V$6:V$64),"")</f>
        <v/>
      </c>
      <c r="W66" s="836">
        <f>IFERROR(SUMPRODUCT(($A66=$A$6:$A$64)*$I$6:$I$64*W$6:W$64),"")</f>
        <v/>
      </c>
      <c r="X66" s="836">
        <f>IFERROR(SUMPRODUCT(($A66=$A$6:$A$64)*$I$6:$I$64*X$6:X$64),"")</f>
        <v/>
      </c>
      <c r="Y66" s="836">
        <f>IFERROR(SUMPRODUCT(($A66=$A$6:$A$64)*$I$6:$I$64*Y$6:Y$64),"")</f>
        <v/>
      </c>
      <c r="Z66" s="836">
        <f>IFERROR(SUMPRODUCT(($A66=$A$6:$A$64)*$I$6:$I$64*Z$6:Z$64),"")</f>
        <v/>
      </c>
      <c r="AA66" s="836">
        <f>IFERROR(SUMPRODUCT(($A66=$A$6:$A$64)*$I$6:$I$64*AA$6:AA$64),"")</f>
        <v/>
      </c>
      <c r="AB66" s="836">
        <f>IFERROR(SUMPRODUCT(($A66=$A$6:$A$64)*$I$6:$I$64*AB$6:AB$64),"")</f>
        <v/>
      </c>
      <c r="AC66" s="836">
        <f>IFERROR(SUMPRODUCT(($A66=$A$6:$A$64)*$I$6:$I$64*AC$6:AC$64),"")</f>
        <v/>
      </c>
      <c r="AD66" s="836">
        <f>IFERROR(SUMPRODUCT(($A66=$A$6:$A$64)*$I$6:$I$64*AD$6:AD$64),"")</f>
        <v/>
      </c>
      <c r="AE66" s="836">
        <f>IFERROR(SUMPRODUCT(($A66=$A$6:$A$64)*$I$6:$I$64*AE$6:AE$64),"")</f>
        <v/>
      </c>
      <c r="AF66" s="836">
        <f>IFERROR(SUMPRODUCT(($A66=$A$6:$A$64)*$I$6:$I$64*AF$6:AF$64),"")</f>
        <v/>
      </c>
      <c r="AG66" s="836">
        <f>IFERROR(SUMPRODUCT(($A66=$A$6:$A$64)*$I$6:$I$64*AG$6:AG$64),"")</f>
        <v/>
      </c>
      <c r="AH66" s="836">
        <f>IFERROR(SUMPRODUCT(($A66=$A$6:$A$64)*$I$6:$I$64*AH$6:AH$64),"")</f>
        <v/>
      </c>
      <c r="AI66" s="836">
        <f>IFERROR(SUMPRODUCT(($A66=$A$6:$A$64)*$I$6:$I$64*AI$6:AI$64),"")</f>
        <v/>
      </c>
      <c r="AJ66" s="836">
        <f>IFERROR(SUMPRODUCT(($A66=$A$6:$A$64)*$I$6:$I$64*AJ$6:AJ$64),"")</f>
        <v/>
      </c>
      <c r="AK66" s="836">
        <f>IFERROR(SUMPRODUCT(($A66=$A$6:$A$64)*$I$6:$I$64*AK$6:AK$64),"")</f>
        <v/>
      </c>
      <c r="AL66" s="836">
        <f>IFERROR(SUMPRODUCT(($A66=$A$6:$A$64)*$I$6:$I$64*AL$6:AL$64),"")</f>
        <v/>
      </c>
      <c r="AM66" s="836">
        <f>IFERROR(SUMPRODUCT(($A66=$A$6:$A$64)*$I$6:$I$64*AM$6:AM$64),"")</f>
        <v/>
      </c>
      <c r="AN66" s="836">
        <f>IFERROR(SUMPRODUCT(($A66=$A$6:$A$64)*$I$6:$I$64*AN$6:AN$64),"")</f>
        <v/>
      </c>
      <c r="AO66" s="836">
        <f>IFERROR(SUMPRODUCT(($A66=$A$6:$A$64)*$I$6:$I$64*AO$6:AO$64),"")</f>
        <v/>
      </c>
      <c r="AP66" s="836">
        <f>IFERROR(SUMPRODUCT(($A66=$A$6:$A$64)*$I$6:$I$64*AP$6:AP$64),"")</f>
        <v/>
      </c>
      <c r="AQ66" s="836">
        <f>IFERROR(SUMPRODUCT(($A66=$A$6:$A$64)*$I$6:$I$64*AQ$6:AQ$64),"")</f>
        <v/>
      </c>
      <c r="AR66" s="836">
        <f>IFERROR(SUMPRODUCT(($A66=$A$6:$A$64)*$I$6:$I$64*AR$6:AR$64),"")</f>
        <v/>
      </c>
      <c r="AS66" s="836">
        <f>IFERROR(SUMPRODUCT(($A66=$A$6:$A$64)*$I$6:$I$64*AS$6:AS$64),"")</f>
        <v/>
      </c>
      <c r="AT66" s="836">
        <f>IFERROR(SUMPRODUCT(($A66=$A$6:$A$64)*$I$6:$I$64*AT$6:AT$64),"")</f>
        <v/>
      </c>
      <c r="AU66" s="836">
        <f>IFERROR(SUMPRODUCT(($A66=$A$6:$A$64)*$I$6:$I$64*AU$6:AU$64),"")</f>
        <v/>
      </c>
      <c r="AV66" s="836">
        <f>IFERROR(SUMPRODUCT(($A66=$A$6:$A$64)*$I$6:$I$64*AV$6:AV$64),"")</f>
        <v/>
      </c>
      <c r="AW66" s="836">
        <f>IFERROR(SUMPRODUCT(($A66=$A$6:$A$64)*$I$6:$I$64*AW$6:AW$64),"")</f>
        <v/>
      </c>
      <c r="AX66" s="836">
        <f>IFERROR(SUMPRODUCT(($A66=$A$6:$A$64)*$I$6:$I$64*AX$6:AX$64),"")</f>
        <v/>
      </c>
      <c r="AY66" s="836">
        <f>IFERROR(SUMPRODUCT(($A66=$A$6:$A$64)*$I$6:$I$64*AY$6:AY$64),"")</f>
        <v/>
      </c>
      <c r="AZ66" s="836">
        <f>IFERROR(SUMPRODUCT(($A66=$A$6:$A$64)*$I$6:$I$64*AZ$6:AZ$64),"")</f>
        <v/>
      </c>
      <c r="BA66" s="836">
        <f>IFERROR(SUMPRODUCT(($A66=$A$6:$A$64)*$I$6:$I$64*BA$6:BA$64),"")</f>
        <v/>
      </c>
      <c r="BB66" s="836">
        <f>IFERROR(SUMPRODUCT(($A66=$A$6:$A$64)*$I$6:$I$64*BB$6:BB$64),"")</f>
        <v/>
      </c>
      <c r="BC66" s="836">
        <f>IFERROR(SUMPRODUCT(($A66=$A$6:$A$64)*$I$6:$I$64*BC$6:BC$64),"")</f>
        <v/>
      </c>
      <c r="BD66" s="836">
        <f>IFERROR(SUMPRODUCT(($A66=$A$6:$A$64)*$I$6:$I$64*BD$6:BD$64),"")</f>
        <v/>
      </c>
      <c r="BE66" s="836">
        <f>IFERROR(SUMPRODUCT(($A66=$A$6:$A$64)*$I$6:$I$64*BE$6:BE$64),"")</f>
        <v/>
      </c>
      <c r="BF66" s="836">
        <f>IFERROR(SUMPRODUCT(($A66=$A$6:$A$64)*$I$6:$I$64*BF$6:BF$64),"")</f>
        <v/>
      </c>
      <c r="BG66" s="836">
        <f>IFERROR(SUMPRODUCT(($A66=$A$6:$A$64)*$I$6:$I$64*BG$6:BG$64),"")</f>
        <v/>
      </c>
      <c r="BH66" s="836">
        <f>IFERROR(SUMPRODUCT(($A66=$A$6:$A$64)*$I$6:$I$64*BH$6:BH$64),"")</f>
        <v/>
      </c>
      <c r="BI66" s="836">
        <f>IFERROR(SUMPRODUCT(($A66=$A$6:$A$64)*$I$6:$I$64*BI$6:BI$64),"")</f>
        <v/>
      </c>
      <c r="BJ66" s="836">
        <f>IFERROR(SUMPRODUCT(($A66=$A$6:$A$64)*$I$6:$I$64*BJ$6:BJ$64),"")</f>
        <v/>
      </c>
      <c r="BK66" s="836" t="n"/>
      <c r="BL66" s="836">
        <f>SUMPRODUCT(--(MOD(COLUMN($O66:$AL66),4)=MOD(COLUMN($O66)+0,4)),$O66:$AL66)
+SUMPRODUCT(--(MOD(COLUMN($AM66:$BJ66),4)=MOD(COLUMN($AM66)+0,4)),$AM66:$BJ66)</f>
        <v/>
      </c>
      <c r="BM66" s="838">
        <f>SUMPRODUCT(--(MOD(COLUMN($O66:$AL66),4)=MOD(COLUMN($O66)+0,4)),$O66:$AL66)*
$I66+SUMPRODUCT(--(MOD(COLUMN($AM66:$BJ66),4)=MOD(COLUMN($AM66)+0,4)),$AM66:$BJ66)*$I66</f>
        <v/>
      </c>
      <c r="BN66" s="836">
        <f>SUMPRODUCT(--(MOD(COLUMN($O66:$AL66),4)=MOD(COLUMN($O66)+1,4)),$O66:$AL66)
+SUMPRODUCT(--(MOD(COLUMN($AM66:$BJ66),4)=MOD(COLUMN($AM66)+1,4)),$AM66:$BJ66)</f>
        <v/>
      </c>
      <c r="BO66" s="836">
        <f>SUMPRODUCT(--(MOD(COLUMN($O66:$AL66),4)=MOD(COLUMN($O66)+1,4)),$O66:$AL66)*
$I66+SUMPRODUCT(--(MOD(COLUMN($AM66:$BJ66),4)=MOD(COLUMN($AM66)+1,4)),$AM66:$BJ66)*$I66</f>
        <v/>
      </c>
      <c r="BP66" s="836">
        <f>SUMPRODUCT(--(MOD(COLUMN($O66:$AL66),4)=MOD(COLUMN($O66)+2,4)),$O66:$AL66)
+SUMPRODUCT(--(MOD(COLUMN($AM66:$BJ66),4)=MOD(COLUMN($AM66)+2,4)),$AM66:$BJ66)</f>
        <v/>
      </c>
      <c r="BQ66" s="836">
        <f>SUMPRODUCT(--(MOD(COLUMN($O66:$AL66),4)=MOD(COLUMN($O66)+2,4)),$O66:$AL66)*
$I66+SUMPRODUCT(--(MOD(COLUMN($AM66:$BJ66),4)=MOD(COLUMN($AM66)+2,4)),$AM66:$BJ66)*$I66</f>
        <v/>
      </c>
      <c r="BR66" s="836" t="n"/>
      <c r="BS66" s="836" t="n"/>
      <c r="BT66" s="836" t="n"/>
      <c r="BU66" s="836" t="n"/>
      <c r="BV66" s="836" t="n"/>
      <c r="BW66" s="836" t="n"/>
      <c r="BX66" s="814" t="n"/>
      <c r="BY66" s="836" t="n"/>
      <c r="BZ66" s="836" t="n"/>
      <c r="CA66" s="836" t="n"/>
      <c r="CB66" s="836" t="n"/>
      <c r="CC66" s="836" t="n"/>
      <c r="CD66" s="836" t="n"/>
      <c r="CE66" s="836" t="n"/>
      <c r="CF66" s="836" t="n"/>
      <c r="CG66" s="836" t="n"/>
      <c r="CH66" s="836" t="n"/>
      <c r="CI66" s="836" t="n"/>
      <c r="CJ66" s="836" t="n"/>
      <c r="CK66" s="836" t="n"/>
      <c r="CL66" s="836" t="n"/>
      <c r="CM66" s="836" t="n"/>
      <c r="CN66" s="836" t="n"/>
      <c r="CO66" s="836" t="n"/>
      <c r="CP66" s="836" t="n"/>
      <c r="CQ66" s="836" t="n"/>
      <c r="CR66" s="836" t="n"/>
      <c r="CS66" s="836" t="n"/>
      <c r="CT66" s="836" t="n"/>
      <c r="CU66" s="836" t="n"/>
      <c r="CV66" s="836" t="n"/>
      <c r="CW66" s="836" t="n"/>
      <c r="CX66" s="836" t="n"/>
      <c r="CY66" s="836" t="n"/>
      <c r="CZ66" s="836" t="n"/>
      <c r="DA66" s="836" t="n"/>
      <c r="DB66" s="836" t="n"/>
      <c r="DC66" s="836" t="n"/>
      <c r="DD66" s="836" t="n"/>
      <c r="DE66" s="836" t="n"/>
      <c r="DF66" s="836" t="n"/>
      <c r="DG66" s="836" t="n"/>
      <c r="DH66" s="836" t="n"/>
      <c r="DI66" s="836" t="n"/>
      <c r="DJ66" s="836" t="n"/>
      <c r="DK66" s="836" t="n"/>
      <c r="DL66" s="836" t="n"/>
      <c r="DM66" s="836" t="n"/>
      <c r="DN66" s="836" t="n"/>
      <c r="DO66" s="836" t="n"/>
      <c r="DP66" s="836" t="n"/>
      <c r="DQ66" s="836" t="n"/>
      <c r="DR66" s="836" t="n"/>
      <c r="DS66" s="836" t="n"/>
      <c r="DT66" s="836" t="n"/>
      <c r="DU66" s="836" t="n"/>
      <c r="DV66" s="836" t="n"/>
      <c r="DW66" s="836" t="n"/>
      <c r="DX66" s="836" t="n"/>
      <c r="DY66" s="836" t="n"/>
      <c r="DZ66" s="836" t="n"/>
      <c r="EA66" s="836" t="n"/>
      <c r="EB66" s="814" t="n"/>
      <c r="EC66" s="836" t="n"/>
      <c r="ED66" s="836" t="n"/>
      <c r="EE66" s="836" t="n"/>
      <c r="EF66" s="836" t="n"/>
      <c r="EG66" s="836" t="n"/>
      <c r="EH66" s="836" t="n"/>
      <c r="EI66" s="836" t="n"/>
      <c r="EJ66" s="836" t="n"/>
      <c r="EK66" s="836" t="n"/>
      <c r="EL66" s="836" t="n"/>
      <c r="EM66" s="836" t="n"/>
      <c r="EN66" s="836" t="n"/>
      <c r="EO66" s="836" t="n"/>
      <c r="EP66" s="836" t="n"/>
      <c r="EQ66" s="836" t="n"/>
      <c r="ER66" s="836" t="n"/>
      <c r="ES66" s="836" t="n"/>
      <c r="ET66" s="836" t="n"/>
      <c r="EU66" s="836" t="n"/>
      <c r="EV66" s="836" t="n"/>
      <c r="EW66" s="836" t="n"/>
      <c r="EX66" s="836" t="n"/>
      <c r="EY66" s="836" t="n"/>
      <c r="EZ66" s="836" t="n"/>
      <c r="FA66" s="836" t="n"/>
      <c r="FB66" s="836" t="n"/>
      <c r="FC66" s="836" t="n"/>
      <c r="FD66" s="836" t="n"/>
      <c r="FE66" s="836" t="n"/>
      <c r="FF66" s="836" t="n"/>
      <c r="FG66" s="836" t="n"/>
      <c r="FH66" s="836" t="n"/>
      <c r="FI66" s="836" t="n"/>
      <c r="FJ66" s="836" t="n"/>
      <c r="FK66" s="836" t="n"/>
      <c r="FL66" s="836" t="n"/>
      <c r="FM66" s="836" t="n"/>
      <c r="FN66" s="836" t="n"/>
      <c r="FO66" s="836" t="n"/>
      <c r="FP66" s="836" t="n"/>
      <c r="FQ66" s="836" t="n"/>
      <c r="FR66" s="836" t="n"/>
      <c r="FS66" s="836" t="n"/>
      <c r="FT66" s="68" t="n"/>
      <c r="FU66" s="68" t="n"/>
      <c r="FV66" s="68" t="n"/>
      <c r="FW66" s="68" t="n"/>
      <c r="FX66" s="68" t="n"/>
      <c r="FY66" s="68" t="n"/>
      <c r="FZ66" s="68" t="n"/>
      <c r="GA66" s="68" t="n"/>
      <c r="GB66" s="51" t="n"/>
      <c r="GC66" s="68" t="n"/>
      <c r="GD66" s="68" t="n"/>
      <c r="GE66" s="68" t="n"/>
      <c r="GF66" s="68" t="n"/>
      <c r="GG66" s="68" t="n"/>
      <c r="GH66" s="68" t="n"/>
      <c r="GI66" s="68" t="n"/>
      <c r="GJ66" s="68" t="n"/>
      <c r="GK66" s="68" t="n"/>
      <c r="GL66" s="68" t="n"/>
      <c r="GM66" s="68" t="n"/>
      <c r="GN66" s="68" t="n"/>
      <c r="GO66" s="68" t="n"/>
      <c r="GP66" s="68" t="n"/>
      <c r="GQ66" s="68" t="n"/>
      <c r="GR66" s="68" t="n"/>
      <c r="GS66" s="68" t="n"/>
      <c r="GT66" s="68" t="n"/>
      <c r="GU66" s="68" t="n"/>
      <c r="GV66" s="68" t="n"/>
      <c r="GW66" s="68" t="n"/>
      <c r="GX66" s="68" t="n"/>
      <c r="GY66" s="68" t="n"/>
      <c r="GZ66" s="68" t="n"/>
      <c r="HA66" s="68" t="n"/>
      <c r="HB66" s="68" t="n"/>
      <c r="HC66" s="68" t="n"/>
      <c r="HD66" s="68" t="n"/>
      <c r="HE66" s="68" t="n"/>
      <c r="HF66" s="68" t="n"/>
      <c r="HG66" s="68" t="n"/>
      <c r="HH66" s="68" t="n"/>
      <c r="HI66" s="68" t="n"/>
      <c r="HJ66" s="68" t="n"/>
      <c r="HK66" s="68" t="n"/>
      <c r="HL66" s="68" t="n"/>
      <c r="HM66" s="68" t="n"/>
      <c r="HN66" s="68" t="n"/>
      <c r="HO66" s="68" t="n"/>
      <c r="HP66" s="68" t="n"/>
      <c r="HQ66" s="68" t="n"/>
      <c r="HR66" s="68" t="n"/>
      <c r="HS66" s="68" t="n"/>
      <c r="HT66" s="68" t="n"/>
      <c r="HU66" s="68" t="n"/>
      <c r="HV66" s="68" t="n"/>
      <c r="HW66" s="68" t="n"/>
      <c r="HX66" s="68" t="n"/>
      <c r="HY66" s="68" t="n"/>
      <c r="HZ66" s="68" t="n"/>
    </row>
    <row r="67" outlineLevel="2" customFormat="1" s="63">
      <c r="A67" s="64" t="inlineStr">
        <is>
          <t>BPW (нет в системе)</t>
        </is>
      </c>
      <c r="B67" s="65" t="n"/>
      <c r="C67" s="65" t="n"/>
      <c r="D67" s="65" t="n"/>
      <c r="E67" s="508" t="n"/>
      <c r="F67" s="65" t="n"/>
      <c r="G67" s="65" t="n"/>
      <c r="H67" s="66" t="inlineStr">
        <is>
          <t>CNY, без НДС:</t>
        </is>
      </c>
      <c r="I67" s="836" t="n"/>
      <c r="J67" s="836" t="n"/>
      <c r="K67" s="836" t="n"/>
      <c r="L67" s="836" t="n"/>
      <c r="M67" s="836" t="n"/>
      <c r="N67" s="837">
        <f>IF(BP67&gt;0,1,IF(BN67&gt;0,2,))</f>
        <v/>
      </c>
      <c r="O67" s="814">
        <f>IFERROR(SUMPRODUCT(($A67=$A$6:$A$64)*$I$6:$I$64*O$6:O$64),"")</f>
        <v/>
      </c>
      <c r="P67" s="836">
        <f>IFERROR(SUMPRODUCT(($A67=$A$6:$A$64)*$I$6:$I$64*P$6:P$64),"")</f>
        <v/>
      </c>
      <c r="Q67" s="836">
        <f>IFERROR(SUMPRODUCT(($A67=$A$6:$A$64)*$I$6:$I$64*Q$6:Q$64),"")</f>
        <v/>
      </c>
      <c r="R67" s="836">
        <f>IFERROR(SUMPRODUCT(($A67=$A$6:$A$64)*$I$6:$I$64*R$6:R$64),"")</f>
        <v/>
      </c>
      <c r="S67" s="836">
        <f>IFERROR(SUMPRODUCT(($A67=$A$6:$A$64)*$I$6:$I$64*S$6:S$64),"")</f>
        <v/>
      </c>
      <c r="T67" s="836">
        <f>IFERROR(SUMPRODUCT(($A67=$A$6:$A$64)*$I$6:$I$64*T$6:T$64),"")</f>
        <v/>
      </c>
      <c r="U67" s="836">
        <f>IFERROR(SUMPRODUCT(($A67=$A$6:$A$64)*$I$6:$I$64*U$6:U$64),"")</f>
        <v/>
      </c>
      <c r="V67" s="836">
        <f>IFERROR(SUMPRODUCT(($A67=$A$6:$A$64)*$I$6:$I$64*V$6:V$64),"")</f>
        <v/>
      </c>
      <c r="W67" s="836">
        <f>IFERROR(SUMPRODUCT(($A67=$A$6:$A$64)*$I$6:$I$64*W$6:W$64),"")</f>
        <v/>
      </c>
      <c r="X67" s="836">
        <f>IFERROR(SUMPRODUCT(($A67=$A$6:$A$64)*$I$6:$I$64*X$6:X$64),"")</f>
        <v/>
      </c>
      <c r="Y67" s="836">
        <f>IFERROR(SUMPRODUCT(($A67=$A$6:$A$64)*$I$6:$I$64*Y$6:Y$64),"")</f>
        <v/>
      </c>
      <c r="Z67" s="836">
        <f>IFERROR(SUMPRODUCT(($A67=$A$6:$A$64)*$I$6:$I$64*Z$6:Z$64),"")</f>
        <v/>
      </c>
      <c r="AA67" s="836">
        <f>IFERROR(SUMPRODUCT(($A67=$A$6:$A$64)*$I$6:$I$64*AA$6:AA$64),"")</f>
        <v/>
      </c>
      <c r="AB67" s="836">
        <f>IFERROR(SUMPRODUCT(($A67=$A$6:$A$64)*$I$6:$I$64*AB$6:AB$64),"")</f>
        <v/>
      </c>
      <c r="AC67" s="836">
        <f>IFERROR(SUMPRODUCT(($A67=$A$6:$A$64)*$I$6:$I$64*AC$6:AC$64),"")</f>
        <v/>
      </c>
      <c r="AD67" s="836">
        <f>IFERROR(SUMPRODUCT(($A67=$A$6:$A$64)*$I$6:$I$64*AD$6:AD$64),"")</f>
        <v/>
      </c>
      <c r="AE67" s="836">
        <f>IFERROR(SUMPRODUCT(($A67=$A$6:$A$64)*$I$6:$I$64*AE$6:AE$64),"")</f>
        <v/>
      </c>
      <c r="AF67" s="836">
        <f>IFERROR(SUMPRODUCT(($A67=$A$6:$A$64)*$I$6:$I$64*AF$6:AF$64),"")</f>
        <v/>
      </c>
      <c r="AG67" s="836">
        <f>IFERROR(SUMPRODUCT(($A67=$A$6:$A$64)*$I$6:$I$64*AG$6:AG$64),"")</f>
        <v/>
      </c>
      <c r="AH67" s="836">
        <f>IFERROR(SUMPRODUCT(($A67=$A$6:$A$64)*$I$6:$I$64*AH$6:AH$64),"")</f>
        <v/>
      </c>
      <c r="AI67" s="836">
        <f>IFERROR(SUMPRODUCT(($A67=$A$6:$A$64)*$I$6:$I$64*AI$6:AI$64),"")</f>
        <v/>
      </c>
      <c r="AJ67" s="836">
        <f>IFERROR(SUMPRODUCT(($A67=$A$6:$A$64)*$I$6:$I$64*AJ$6:AJ$64),"")</f>
        <v/>
      </c>
      <c r="AK67" s="836">
        <f>IFERROR(SUMPRODUCT(($A67=$A$6:$A$64)*$I$6:$I$64*AK$6:AK$64),"")</f>
        <v/>
      </c>
      <c r="AL67" s="836">
        <f>IFERROR(SUMPRODUCT(($A67=$A$6:$A$64)*$I$6:$I$64*AL$6:AL$64),"")</f>
        <v/>
      </c>
      <c r="AM67" s="836">
        <f>IFERROR(SUMPRODUCT(($A67=$A$6:$A$64)*$I$6:$I$64*AM$6:AM$64),"")</f>
        <v/>
      </c>
      <c r="AN67" s="836">
        <f>IFERROR(SUMPRODUCT(($A67=$A$6:$A$64)*$I$6:$I$64*AN$6:AN$64),"")</f>
        <v/>
      </c>
      <c r="AO67" s="836">
        <f>IFERROR(SUMPRODUCT(($A67=$A$6:$A$64)*$I$6:$I$64*AO$6:AO$64),"")</f>
        <v/>
      </c>
      <c r="AP67" s="836">
        <f>IFERROR(SUMPRODUCT(($A67=$A$6:$A$64)*$I$6:$I$64*AP$6:AP$64),"")</f>
        <v/>
      </c>
      <c r="AQ67" s="836">
        <f>IFERROR(SUMPRODUCT(($A67=$A$6:$A$64)*$I$6:$I$64*AQ$6:AQ$64),"")</f>
        <v/>
      </c>
      <c r="AR67" s="836">
        <f>IFERROR(SUMPRODUCT(($A67=$A$6:$A$64)*$I$6:$I$64*AR$6:AR$64),"")</f>
        <v/>
      </c>
      <c r="AS67" s="836">
        <f>IFERROR(SUMPRODUCT(($A67=$A$6:$A$64)*$I$6:$I$64*AS$6:AS$64),"")</f>
        <v/>
      </c>
      <c r="AT67" s="836">
        <f>IFERROR(SUMPRODUCT(($A67=$A$6:$A$64)*$I$6:$I$64*AT$6:AT$64),"")</f>
        <v/>
      </c>
      <c r="AU67" s="836">
        <f>IFERROR(SUMPRODUCT(($A67=$A$6:$A$64)*$I$6:$I$64*AU$6:AU$64),"")</f>
        <v/>
      </c>
      <c r="AV67" s="836">
        <f>IFERROR(SUMPRODUCT(($A67=$A$6:$A$64)*$I$6:$I$64*AV$6:AV$64),"")</f>
        <v/>
      </c>
      <c r="AW67" s="836">
        <f>IFERROR(SUMPRODUCT(($A67=$A$6:$A$64)*$I$6:$I$64*AW$6:AW$64),"")</f>
        <v/>
      </c>
      <c r="AX67" s="836">
        <f>IFERROR(SUMPRODUCT(($A67=$A$6:$A$64)*$I$6:$I$64*AX$6:AX$64),"")</f>
        <v/>
      </c>
      <c r="AY67" s="836">
        <f>IFERROR(SUMPRODUCT(($A67=$A$6:$A$64)*$I$6:$I$64*AY$6:AY$64),"")</f>
        <v/>
      </c>
      <c r="AZ67" s="836">
        <f>IFERROR(SUMPRODUCT(($A67=$A$6:$A$64)*$I$6:$I$64*AZ$6:AZ$64),"")</f>
        <v/>
      </c>
      <c r="BA67" s="836">
        <f>IFERROR(SUMPRODUCT(($A67=$A$6:$A$64)*$I$6:$I$64*BA$6:BA$64),"")</f>
        <v/>
      </c>
      <c r="BB67" s="836">
        <f>IFERROR(SUMPRODUCT(($A67=$A$6:$A$64)*$I$6:$I$64*BB$6:BB$64),"")</f>
        <v/>
      </c>
      <c r="BC67" s="836">
        <f>IFERROR(SUMPRODUCT(($A67=$A$6:$A$64)*$I$6:$I$64*BC$6:BC$64),"")</f>
        <v/>
      </c>
      <c r="BD67" s="836">
        <f>IFERROR(SUMPRODUCT(($A67=$A$6:$A$64)*$I$6:$I$64*BD$6:BD$64),"")</f>
        <v/>
      </c>
      <c r="BE67" s="836">
        <f>IFERROR(SUMPRODUCT(($A67=$A$6:$A$64)*$I$6:$I$64*BE$6:BE$64),"")</f>
        <v/>
      </c>
      <c r="BF67" s="836">
        <f>IFERROR(SUMPRODUCT(($A67=$A$6:$A$64)*$I$6:$I$64*BF$6:BF$64),"")</f>
        <v/>
      </c>
      <c r="BG67" s="836">
        <f>IFERROR(SUMPRODUCT(($A67=$A$6:$A$64)*$I$6:$I$64*BG$6:BG$64),"")</f>
        <v/>
      </c>
      <c r="BH67" s="836">
        <f>IFERROR(SUMPRODUCT(($A67=$A$6:$A$64)*$I$6:$I$64*BH$6:BH$64),"")</f>
        <v/>
      </c>
      <c r="BI67" s="836">
        <f>IFERROR(SUMPRODUCT(($A67=$A$6:$A$64)*$I$6:$I$64*BI$6:BI$64),"")</f>
        <v/>
      </c>
      <c r="BJ67" s="836">
        <f>IFERROR(SUMPRODUCT(($A67=$A$6:$A$64)*$I$6:$I$64*BJ$6:BJ$64),"")</f>
        <v/>
      </c>
      <c r="BK67" s="836" t="n"/>
      <c r="BL67" s="836">
        <f>SUMPRODUCT(--(MOD(COLUMN($O67:$AL67),4)=MOD(COLUMN($O67)+0,4)),$O67:$AL67)
+SUMPRODUCT(--(MOD(COLUMN($AM67:$BJ67),4)=MOD(COLUMN($AM67)+0,4)),$AM67:$BJ67)</f>
        <v/>
      </c>
      <c r="BM67" s="838">
        <f>SUMPRODUCT(--(MOD(COLUMN($O67:$AL67),4)=MOD(COLUMN($O67)+0,4)),$O67:$AL67)*
$I67+SUMPRODUCT(--(MOD(COLUMN($AM67:$BJ67),4)=MOD(COLUMN($AM67)+0,4)),$AM67:$BJ67)*$I67</f>
        <v/>
      </c>
      <c r="BN67" s="836">
        <f>SUMPRODUCT(--(MOD(COLUMN($O67:$AL67),4)=MOD(COLUMN($O67)+1,4)),$O67:$AL67)
+SUMPRODUCT(--(MOD(COLUMN($AM67:$BJ67),4)=MOD(COLUMN($AM67)+1,4)),$AM67:$BJ67)</f>
        <v/>
      </c>
      <c r="BO67" s="836">
        <f>SUMPRODUCT(--(MOD(COLUMN($O67:$AL67),4)=MOD(COLUMN($O67)+1,4)),$O67:$AL67)*
$I67+SUMPRODUCT(--(MOD(COLUMN($AM67:$BJ67),4)=MOD(COLUMN($AM67)+1,4)),$AM67:$BJ67)*$I67</f>
        <v/>
      </c>
      <c r="BP67" s="836">
        <f>SUMPRODUCT(--(MOD(COLUMN($O67:$AL67),4)=MOD(COLUMN($O67)+2,4)),$O67:$AL67)
+SUMPRODUCT(--(MOD(COLUMN($AM67:$BJ67),4)=MOD(COLUMN($AM67)+2,4)),$AM67:$BJ67)</f>
        <v/>
      </c>
      <c r="BQ67" s="836">
        <f>SUMPRODUCT(--(MOD(COLUMN($O67:$AL67),4)=MOD(COLUMN($O67)+2,4)),$O67:$AL67)*
$I67+SUMPRODUCT(--(MOD(COLUMN($AM67:$BJ67),4)=MOD(COLUMN($AM67)+2,4)),$AM67:$BJ67)*$I67</f>
        <v/>
      </c>
      <c r="BR67" s="836" t="n"/>
      <c r="BS67" s="836" t="n"/>
      <c r="BT67" s="836" t="n"/>
      <c r="BU67" s="836" t="n"/>
      <c r="BV67" s="836" t="n"/>
      <c r="BW67" s="836" t="n"/>
      <c r="BX67" s="814" t="n"/>
      <c r="BY67" s="836" t="n"/>
      <c r="BZ67" s="836" t="n"/>
      <c r="CA67" s="836" t="n"/>
      <c r="CB67" s="836" t="n"/>
      <c r="CC67" s="836" t="n"/>
      <c r="CD67" s="836" t="n"/>
      <c r="CE67" s="836" t="n"/>
      <c r="CF67" s="836" t="n"/>
      <c r="CG67" s="836" t="n"/>
      <c r="CH67" s="836" t="n"/>
      <c r="CI67" s="836" t="n"/>
      <c r="CJ67" s="836" t="n"/>
      <c r="CK67" s="836" t="n"/>
      <c r="CL67" s="836" t="n"/>
      <c r="CM67" s="836" t="n"/>
      <c r="CN67" s="836" t="n"/>
      <c r="CO67" s="836" t="n"/>
      <c r="CP67" s="836" t="n"/>
      <c r="CQ67" s="836" t="n"/>
      <c r="CR67" s="836" t="n"/>
      <c r="CS67" s="836" t="n"/>
      <c r="CT67" s="836" t="n"/>
      <c r="CU67" s="836" t="n"/>
      <c r="CV67" s="836" t="n"/>
      <c r="CW67" s="836" t="n"/>
      <c r="CX67" s="836" t="n"/>
      <c r="CY67" s="836" t="n"/>
      <c r="CZ67" s="836" t="n"/>
      <c r="DA67" s="836" t="n"/>
      <c r="DB67" s="836" t="n"/>
      <c r="DC67" s="836" t="n"/>
      <c r="DD67" s="836" t="n"/>
      <c r="DE67" s="836" t="n"/>
      <c r="DF67" s="836" t="n"/>
      <c r="DG67" s="836" t="n"/>
      <c r="DH67" s="836" t="n"/>
      <c r="DI67" s="836" t="n"/>
      <c r="DJ67" s="836" t="n"/>
      <c r="DK67" s="836" t="n"/>
      <c r="DL67" s="836" t="n"/>
      <c r="DM67" s="836" t="n"/>
      <c r="DN67" s="836" t="n"/>
      <c r="DO67" s="836" t="n"/>
      <c r="DP67" s="836" t="n"/>
      <c r="DQ67" s="836" t="n"/>
      <c r="DR67" s="836" t="n"/>
      <c r="DS67" s="836" t="n"/>
      <c r="DT67" s="836" t="n"/>
      <c r="DU67" s="836" t="n"/>
      <c r="DV67" s="836" t="n"/>
      <c r="DW67" s="836" t="n"/>
      <c r="DX67" s="836" t="n"/>
      <c r="DY67" s="836" t="n"/>
      <c r="DZ67" s="836" t="n"/>
      <c r="EA67" s="836" t="n"/>
      <c r="EB67" s="814" t="n"/>
      <c r="EC67" s="836" t="n"/>
      <c r="ED67" s="836" t="n"/>
      <c r="EE67" s="836" t="n"/>
      <c r="EF67" s="836" t="n"/>
      <c r="EG67" s="836" t="n"/>
      <c r="EH67" s="836" t="n"/>
      <c r="EI67" s="836" t="n"/>
      <c r="EJ67" s="836" t="n"/>
      <c r="EK67" s="836" t="n"/>
      <c r="EL67" s="836" t="n"/>
      <c r="EM67" s="836" t="n"/>
      <c r="EN67" s="836" t="n"/>
      <c r="EO67" s="836" t="n"/>
      <c r="EP67" s="836" t="n"/>
      <c r="EQ67" s="836" t="n"/>
      <c r="ER67" s="836" t="n"/>
      <c r="ES67" s="836" t="n"/>
      <c r="ET67" s="836" t="n"/>
      <c r="EU67" s="836" t="n"/>
      <c r="EV67" s="836" t="n"/>
      <c r="EW67" s="836" t="n"/>
      <c r="EX67" s="836" t="n"/>
      <c r="EY67" s="836" t="n"/>
      <c r="EZ67" s="836" t="n"/>
      <c r="FA67" s="836" t="n"/>
      <c r="FB67" s="836" t="n"/>
      <c r="FC67" s="836" t="n"/>
      <c r="FD67" s="836" t="n"/>
      <c r="FE67" s="836" t="n"/>
      <c r="FF67" s="836" t="n"/>
      <c r="FG67" s="836" t="n"/>
      <c r="FH67" s="836" t="n"/>
      <c r="FI67" s="836" t="n"/>
      <c r="FJ67" s="836" t="n"/>
      <c r="FK67" s="836" t="n"/>
      <c r="FL67" s="836" t="n"/>
      <c r="FM67" s="836" t="n"/>
      <c r="FN67" s="836" t="n"/>
      <c r="FO67" s="836" t="n"/>
      <c r="FP67" s="836" t="n"/>
      <c r="FQ67" s="836" t="n"/>
      <c r="FR67" s="836" t="n"/>
      <c r="FS67" s="836" t="n"/>
      <c r="FT67" s="68" t="n"/>
      <c r="FU67" s="68" t="n"/>
      <c r="FV67" s="68" t="n"/>
      <c r="FW67" s="68" t="n"/>
      <c r="FX67" s="68" t="n"/>
      <c r="FY67" s="68" t="n"/>
      <c r="FZ67" s="68" t="n"/>
      <c r="GA67" s="68" t="n"/>
      <c r="GB67" s="51" t="n"/>
      <c r="GC67" s="68" t="n"/>
      <c r="GD67" s="68" t="n"/>
      <c r="GE67" s="68" t="n"/>
      <c r="GF67" s="68" t="n"/>
      <c r="GG67" s="68" t="n"/>
      <c r="GH67" s="68" t="n"/>
      <c r="GI67" s="68" t="n"/>
      <c r="GJ67" s="68" t="n"/>
      <c r="GK67" s="68" t="n"/>
      <c r="GL67" s="68" t="n"/>
      <c r="GM67" s="68" t="n"/>
      <c r="GN67" s="68" t="n"/>
      <c r="GO67" s="68" t="n"/>
      <c r="GP67" s="68" t="n"/>
      <c r="GQ67" s="68" t="n"/>
      <c r="GR67" s="68" t="n"/>
      <c r="GS67" s="68" t="n"/>
      <c r="GT67" s="68" t="n"/>
      <c r="GU67" s="68" t="n"/>
      <c r="GV67" s="68" t="n"/>
      <c r="GW67" s="68" t="n"/>
      <c r="GX67" s="68" t="n"/>
      <c r="GY67" s="68" t="n"/>
      <c r="GZ67" s="68" t="n"/>
      <c r="HA67" s="68" t="n"/>
      <c r="HB67" s="68" t="n"/>
      <c r="HC67" s="68" t="n"/>
      <c r="HD67" s="68" t="n"/>
      <c r="HE67" s="68" t="n"/>
      <c r="HF67" s="68" t="n"/>
      <c r="HG67" s="68" t="n"/>
      <c r="HH67" s="68" t="n"/>
      <c r="HI67" s="68" t="n"/>
      <c r="HJ67" s="68" t="n"/>
      <c r="HK67" s="68" t="n"/>
      <c r="HL67" s="68" t="n"/>
      <c r="HM67" s="68" t="n"/>
      <c r="HN67" s="68" t="n"/>
      <c r="HO67" s="68" t="n"/>
      <c r="HP67" s="68" t="n"/>
      <c r="HQ67" s="68" t="n"/>
      <c r="HR67" s="68" t="n"/>
      <c r="HS67" s="68" t="n"/>
      <c r="HT67" s="68" t="n"/>
      <c r="HU67" s="68" t="n"/>
      <c r="HV67" s="68" t="n"/>
      <c r="HW67" s="68" t="n"/>
      <c r="HX67" s="68" t="n"/>
      <c r="HY67" s="68" t="n"/>
      <c r="HZ67" s="68" t="n"/>
    </row>
    <row r="68" outlineLevel="2" customFormat="1" s="63">
      <c r="A68" s="64" t="inlineStr">
        <is>
          <t>HJBridge (нет в системе)</t>
        </is>
      </c>
      <c r="B68" s="65" t="n"/>
      <c r="C68" s="65" t="n"/>
      <c r="D68" s="65" t="n"/>
      <c r="E68" s="508" t="n"/>
      <c r="F68" s="65" t="n"/>
      <c r="G68" s="65" t="n"/>
      <c r="H68" s="66" t="inlineStr">
        <is>
          <t>CNY, без НДС:</t>
        </is>
      </c>
      <c r="I68" s="836" t="n"/>
      <c r="J68" s="836" t="n"/>
      <c r="K68" s="836" t="n"/>
      <c r="L68" s="836" t="n"/>
      <c r="M68" s="836" t="n"/>
      <c r="N68" s="837">
        <f>IF(BP68&gt;0,1,IF(BN68&gt;0,2,))</f>
        <v/>
      </c>
      <c r="O68" s="814">
        <f>IFERROR(SUMPRODUCT(($A68=$A$6:$A$64)*$I$6:$I$64*O$6:O$64),"")</f>
        <v/>
      </c>
      <c r="P68" s="836">
        <f>IFERROR(SUMPRODUCT(($A68=$A$6:$A$64)*$I$6:$I$64*P$6:P$64),"")</f>
        <v/>
      </c>
      <c r="Q68" s="836">
        <f>IFERROR(SUMPRODUCT(($A68=$A$6:$A$64)*$I$6:$I$64*Q$6:Q$64),"")</f>
        <v/>
      </c>
      <c r="R68" s="836">
        <f>IFERROR(SUMPRODUCT(($A68=$A$6:$A$64)*$I$6:$I$64*R$6:R$64),"")</f>
        <v/>
      </c>
      <c r="S68" s="836">
        <f>IFERROR(SUMPRODUCT(($A68=$A$6:$A$64)*$I$6:$I$64*S$6:S$64),"")</f>
        <v/>
      </c>
      <c r="T68" s="836">
        <f>IFERROR(SUMPRODUCT(($A68=$A$6:$A$64)*$I$6:$I$64*T$6:T$64),"")</f>
        <v/>
      </c>
      <c r="U68" s="836">
        <f>IFERROR(SUMPRODUCT(($A68=$A$6:$A$64)*$I$6:$I$64*U$6:U$64),"")</f>
        <v/>
      </c>
      <c r="V68" s="836">
        <f>IFERROR(SUMPRODUCT(($A68=$A$6:$A$64)*$I$6:$I$64*V$6:V$64),"")</f>
        <v/>
      </c>
      <c r="W68" s="836">
        <f>IFERROR(SUMPRODUCT(($A68=$A$6:$A$64)*$I$6:$I$64*W$6:W$64),"")</f>
        <v/>
      </c>
      <c r="X68" s="836">
        <f>IFERROR(SUMPRODUCT(($A68=$A$6:$A$64)*$I$6:$I$64*X$6:X$64),"")</f>
        <v/>
      </c>
      <c r="Y68" s="836">
        <f>IFERROR(SUMPRODUCT(($A68=$A$6:$A$64)*$I$6:$I$64*Y$6:Y$64),"")</f>
        <v/>
      </c>
      <c r="Z68" s="836">
        <f>IFERROR(SUMPRODUCT(($A68=$A$6:$A$64)*$I$6:$I$64*Z$6:Z$64),"")</f>
        <v/>
      </c>
      <c r="AA68" s="836">
        <f>IFERROR(SUMPRODUCT(($A68=$A$6:$A$64)*$I$6:$I$64*AA$6:AA$64),"")</f>
        <v/>
      </c>
      <c r="AB68" s="836">
        <f>IFERROR(SUMPRODUCT(($A68=$A$6:$A$64)*$I$6:$I$64*AB$6:AB$64),"")</f>
        <v/>
      </c>
      <c r="AC68" s="836">
        <f>IFERROR(SUMPRODUCT(($A68=$A$6:$A$64)*$I$6:$I$64*AC$6:AC$64),"")</f>
        <v/>
      </c>
      <c r="AD68" s="836">
        <f>IFERROR(SUMPRODUCT(($A68=$A$6:$A$64)*$I$6:$I$64*AD$6:AD$64),"")</f>
        <v/>
      </c>
      <c r="AE68" s="836">
        <f>IFERROR(SUMPRODUCT(($A68=$A$6:$A$64)*$I$6:$I$64*AE$6:AE$64),"")</f>
        <v/>
      </c>
      <c r="AF68" s="836">
        <f>IFERROR(SUMPRODUCT(($A68=$A$6:$A$64)*$I$6:$I$64*AF$6:AF$64),"")</f>
        <v/>
      </c>
      <c r="AG68" s="836">
        <f>IFERROR(SUMPRODUCT(($A68=$A$6:$A$64)*$I$6:$I$64*AG$6:AG$64),"")</f>
        <v/>
      </c>
      <c r="AH68" s="836">
        <f>IFERROR(SUMPRODUCT(($A68=$A$6:$A$64)*$I$6:$I$64*AH$6:AH$64),"")</f>
        <v/>
      </c>
      <c r="AI68" s="836">
        <f>IFERROR(SUMPRODUCT(($A68=$A$6:$A$64)*$I$6:$I$64*AI$6:AI$64),"")</f>
        <v/>
      </c>
      <c r="AJ68" s="836">
        <f>IFERROR(SUMPRODUCT(($A68=$A$6:$A$64)*$I$6:$I$64*AJ$6:AJ$64),"")</f>
        <v/>
      </c>
      <c r="AK68" s="836">
        <f>IFERROR(SUMPRODUCT(($A68=$A$6:$A$64)*$I$6:$I$64*AK$6:AK$64),"")</f>
        <v/>
      </c>
      <c r="AL68" s="836">
        <f>IFERROR(SUMPRODUCT(($A68=$A$6:$A$64)*$I$6:$I$64*AL$6:AL$64),"")</f>
        <v/>
      </c>
      <c r="AM68" s="836">
        <f>IFERROR(SUMPRODUCT(($A68=$A$6:$A$64)*$I$6:$I$64*AM$6:AM$64),"")</f>
        <v/>
      </c>
      <c r="AN68" s="836">
        <f>IFERROR(SUMPRODUCT(($A68=$A$6:$A$64)*$I$6:$I$64*AN$6:AN$64),"")</f>
        <v/>
      </c>
      <c r="AO68" s="836">
        <f>IFERROR(SUMPRODUCT(($A68=$A$6:$A$64)*$I$6:$I$64*AO$6:AO$64),"")</f>
        <v/>
      </c>
      <c r="AP68" s="836">
        <f>IFERROR(SUMPRODUCT(($A68=$A$6:$A$64)*$I$6:$I$64*AP$6:AP$64),"")</f>
        <v/>
      </c>
      <c r="AQ68" s="836">
        <f>IFERROR(SUMPRODUCT(($A68=$A$6:$A$64)*$I$6:$I$64*AQ$6:AQ$64),"")</f>
        <v/>
      </c>
      <c r="AR68" s="836">
        <f>IFERROR(SUMPRODUCT(($A68=$A$6:$A$64)*$I$6:$I$64*AR$6:AR$64),"")</f>
        <v/>
      </c>
      <c r="AS68" s="836">
        <f>IFERROR(SUMPRODUCT(($A68=$A$6:$A$64)*$I$6:$I$64*AS$6:AS$64),"")</f>
        <v/>
      </c>
      <c r="AT68" s="836">
        <f>IFERROR(SUMPRODUCT(($A68=$A$6:$A$64)*$I$6:$I$64*AT$6:AT$64),"")</f>
        <v/>
      </c>
      <c r="AU68" s="836">
        <f>IFERROR(SUMPRODUCT(($A68=$A$6:$A$64)*$I$6:$I$64*AU$6:AU$64),"")</f>
        <v/>
      </c>
      <c r="AV68" s="836">
        <f>IFERROR(SUMPRODUCT(($A68=$A$6:$A$64)*$I$6:$I$64*AV$6:AV$64),"")</f>
        <v/>
      </c>
      <c r="AW68" s="836">
        <f>IFERROR(SUMPRODUCT(($A68=$A$6:$A$64)*$I$6:$I$64*AW$6:AW$64),"")</f>
        <v/>
      </c>
      <c r="AX68" s="836">
        <f>IFERROR(SUMPRODUCT(($A68=$A$6:$A$64)*$I$6:$I$64*AX$6:AX$64),"")</f>
        <v/>
      </c>
      <c r="AY68" s="836">
        <f>IFERROR(SUMPRODUCT(($A68=$A$6:$A$64)*$I$6:$I$64*AY$6:AY$64),"")</f>
        <v/>
      </c>
      <c r="AZ68" s="836">
        <f>IFERROR(SUMPRODUCT(($A68=$A$6:$A$64)*$I$6:$I$64*AZ$6:AZ$64),"")</f>
        <v/>
      </c>
      <c r="BA68" s="836">
        <f>IFERROR(SUMPRODUCT(($A68=$A$6:$A$64)*$I$6:$I$64*BA$6:BA$64),"")</f>
        <v/>
      </c>
      <c r="BB68" s="836">
        <f>IFERROR(SUMPRODUCT(($A68=$A$6:$A$64)*$I$6:$I$64*BB$6:BB$64),"")</f>
        <v/>
      </c>
      <c r="BC68" s="836">
        <f>IFERROR(SUMPRODUCT(($A68=$A$6:$A$64)*$I$6:$I$64*BC$6:BC$64),"")</f>
        <v/>
      </c>
      <c r="BD68" s="836">
        <f>IFERROR(SUMPRODUCT(($A68=$A$6:$A$64)*$I$6:$I$64*BD$6:BD$64),"")</f>
        <v/>
      </c>
      <c r="BE68" s="836">
        <f>IFERROR(SUMPRODUCT(($A68=$A$6:$A$64)*$I$6:$I$64*BE$6:BE$64),"")</f>
        <v/>
      </c>
      <c r="BF68" s="836">
        <f>IFERROR(SUMPRODUCT(($A68=$A$6:$A$64)*$I$6:$I$64*BF$6:BF$64),"")</f>
        <v/>
      </c>
      <c r="BG68" s="836">
        <f>IFERROR(SUMPRODUCT(($A68=$A$6:$A$64)*$I$6:$I$64*BG$6:BG$64),"")</f>
        <v/>
      </c>
      <c r="BH68" s="836">
        <f>IFERROR(SUMPRODUCT(($A68=$A$6:$A$64)*$I$6:$I$64*BH$6:BH$64),"")</f>
        <v/>
      </c>
      <c r="BI68" s="836">
        <f>IFERROR(SUMPRODUCT(($A68=$A$6:$A$64)*$I$6:$I$64*BI$6:BI$64),"")</f>
        <v/>
      </c>
      <c r="BJ68" s="836">
        <f>IFERROR(SUMPRODUCT(($A68=$A$6:$A$64)*$I$6:$I$64*BJ$6:BJ$64),"")</f>
        <v/>
      </c>
      <c r="BK68" s="836" t="n"/>
      <c r="BL68" s="836">
        <f>SUMPRODUCT(--(MOD(COLUMN($O68:$AL68),4)=MOD(COLUMN($O68)+0,4)),$O68:$AL68)
+SUMPRODUCT(--(MOD(COLUMN($AM68:$BJ68),4)=MOD(COLUMN($AM68)+0,4)),$AM68:$BJ68)</f>
        <v/>
      </c>
      <c r="BM68" s="838">
        <f>SUMPRODUCT(--(MOD(COLUMN($O68:$AL68),4)=MOD(COLUMN($O68)+0,4)),$O68:$AL68)*
$I68+SUMPRODUCT(--(MOD(COLUMN($AM68:$BJ68),4)=MOD(COLUMN($AM68)+0,4)),$AM68:$BJ68)*$I68</f>
        <v/>
      </c>
      <c r="BN68" s="836">
        <f>SUMPRODUCT(--(MOD(COLUMN($O68:$AL68),4)=MOD(COLUMN($O68)+1,4)),$O68:$AL68)
+SUMPRODUCT(--(MOD(COLUMN($AM68:$BJ68),4)=MOD(COLUMN($AM68)+1,4)),$AM68:$BJ68)</f>
        <v/>
      </c>
      <c r="BO68" s="836">
        <f>SUMPRODUCT(--(MOD(COLUMN($O68:$AL68),4)=MOD(COLUMN($O68)+1,4)),$O68:$AL68)*
$I68+SUMPRODUCT(--(MOD(COLUMN($AM68:$BJ68),4)=MOD(COLUMN($AM68)+1,4)),$AM68:$BJ68)*$I68</f>
        <v/>
      </c>
      <c r="BP68" s="836">
        <f>SUMPRODUCT(--(MOD(COLUMN($O68:$AL68),4)=MOD(COLUMN($O68)+2,4)),$O68:$AL68)
+SUMPRODUCT(--(MOD(COLUMN($AM68:$BJ68),4)=MOD(COLUMN($AM68)+2,4)),$AM68:$BJ68)</f>
        <v/>
      </c>
      <c r="BQ68" s="836">
        <f>SUMPRODUCT(--(MOD(COLUMN($O68:$AL68),4)=MOD(COLUMN($O68)+2,4)),$O68:$AL68)*
$I68+SUMPRODUCT(--(MOD(COLUMN($AM68:$BJ68),4)=MOD(COLUMN($AM68)+2,4)),$AM68:$BJ68)*$I68</f>
        <v/>
      </c>
      <c r="BR68" s="836" t="n"/>
      <c r="BS68" s="836" t="n"/>
      <c r="BT68" s="836" t="n"/>
      <c r="BU68" s="836" t="n"/>
      <c r="BV68" s="836" t="n"/>
      <c r="BW68" s="836" t="n"/>
      <c r="BX68" s="814" t="n"/>
      <c r="BY68" s="836" t="n"/>
      <c r="BZ68" s="836" t="n"/>
      <c r="CA68" s="836" t="n"/>
      <c r="CB68" s="836" t="n"/>
      <c r="CC68" s="836" t="n"/>
      <c r="CD68" s="836" t="n"/>
      <c r="CE68" s="836" t="n"/>
      <c r="CF68" s="836" t="n"/>
      <c r="CG68" s="836" t="n"/>
      <c r="CH68" s="836" t="n"/>
      <c r="CI68" s="836" t="n"/>
      <c r="CJ68" s="836" t="n"/>
      <c r="CK68" s="836" t="n"/>
      <c r="CL68" s="836" t="n"/>
      <c r="CM68" s="836" t="n"/>
      <c r="CN68" s="836" t="n"/>
      <c r="CO68" s="836" t="n"/>
      <c r="CP68" s="836" t="n"/>
      <c r="CQ68" s="836" t="n"/>
      <c r="CR68" s="836" t="n"/>
      <c r="CS68" s="836" t="n"/>
      <c r="CT68" s="836" t="n"/>
      <c r="CU68" s="836" t="n"/>
      <c r="CV68" s="836" t="n"/>
      <c r="CW68" s="836" t="n"/>
      <c r="CX68" s="836" t="n"/>
      <c r="CY68" s="836" t="n"/>
      <c r="CZ68" s="836" t="n"/>
      <c r="DA68" s="836" t="n"/>
      <c r="DB68" s="836" t="n"/>
      <c r="DC68" s="836" t="n"/>
      <c r="DD68" s="836" t="n"/>
      <c r="DE68" s="836" t="n"/>
      <c r="DF68" s="836" t="n"/>
      <c r="DG68" s="836" t="n"/>
      <c r="DH68" s="836" t="n"/>
      <c r="DI68" s="836" t="n"/>
      <c r="DJ68" s="836" t="n"/>
      <c r="DK68" s="836" t="n"/>
      <c r="DL68" s="836" t="n"/>
      <c r="DM68" s="836" t="n"/>
      <c r="DN68" s="836" t="n"/>
      <c r="DO68" s="836" t="n"/>
      <c r="DP68" s="836" t="n"/>
      <c r="DQ68" s="836" t="n"/>
      <c r="DR68" s="836" t="n"/>
      <c r="DS68" s="836" t="n"/>
      <c r="DT68" s="836" t="n"/>
      <c r="DU68" s="836" t="n"/>
      <c r="DV68" s="836" t="n"/>
      <c r="DW68" s="836" t="n"/>
      <c r="DX68" s="836" t="n"/>
      <c r="DY68" s="836" t="n"/>
      <c r="DZ68" s="836" t="n"/>
      <c r="EA68" s="836" t="n"/>
      <c r="EB68" s="814" t="n"/>
      <c r="EC68" s="836" t="n"/>
      <c r="ED68" s="836" t="n"/>
      <c r="EE68" s="836" t="n"/>
      <c r="EF68" s="836" t="n"/>
      <c r="EG68" s="836" t="n"/>
      <c r="EH68" s="836" t="n"/>
      <c r="EI68" s="836" t="n"/>
      <c r="EJ68" s="836" t="n"/>
      <c r="EK68" s="836" t="n"/>
      <c r="EL68" s="836" t="n"/>
      <c r="EM68" s="836" t="n"/>
      <c r="EN68" s="836" t="n"/>
      <c r="EO68" s="836" t="n"/>
      <c r="EP68" s="836" t="n"/>
      <c r="EQ68" s="836" t="n"/>
      <c r="ER68" s="836" t="n"/>
      <c r="ES68" s="836" t="n"/>
      <c r="ET68" s="836" t="n"/>
      <c r="EU68" s="836" t="n"/>
      <c r="EV68" s="836" t="n"/>
      <c r="EW68" s="836" t="n"/>
      <c r="EX68" s="836" t="n"/>
      <c r="EY68" s="836" t="n"/>
      <c r="EZ68" s="836" t="n"/>
      <c r="FA68" s="836" t="n"/>
      <c r="FB68" s="836" t="n"/>
      <c r="FC68" s="836" t="n"/>
      <c r="FD68" s="836" t="n"/>
      <c r="FE68" s="836" t="n"/>
      <c r="FF68" s="836" t="n"/>
      <c r="FG68" s="836" t="n"/>
      <c r="FH68" s="836" t="n"/>
      <c r="FI68" s="836" t="n"/>
      <c r="FJ68" s="836" t="n"/>
      <c r="FK68" s="836" t="n"/>
      <c r="FL68" s="836" t="n"/>
      <c r="FM68" s="836" t="n"/>
      <c r="FN68" s="836" t="n"/>
      <c r="FO68" s="836" t="n"/>
      <c r="FP68" s="836" t="n"/>
      <c r="FQ68" s="836" t="n"/>
      <c r="FR68" s="836" t="n"/>
      <c r="FS68" s="836" t="n"/>
      <c r="FT68" s="68" t="n"/>
      <c r="FU68" s="68" t="n"/>
      <c r="FV68" s="68" t="n"/>
      <c r="FW68" s="68" t="n"/>
      <c r="FX68" s="68" t="n"/>
      <c r="FY68" s="68" t="n"/>
      <c r="FZ68" s="68" t="n"/>
      <c r="GA68" s="68" t="n"/>
      <c r="GB68" s="51" t="n"/>
      <c r="GC68" s="68" t="n"/>
      <c r="GD68" s="68" t="n"/>
      <c r="GE68" s="68" t="n"/>
      <c r="GF68" s="68" t="n"/>
      <c r="GG68" s="68" t="n"/>
      <c r="GH68" s="68" t="n"/>
      <c r="GI68" s="68" t="n"/>
      <c r="GJ68" s="68" t="n"/>
      <c r="GK68" s="68" t="n"/>
      <c r="GL68" s="68" t="n"/>
      <c r="GM68" s="68" t="n"/>
      <c r="GN68" s="68" t="n"/>
      <c r="GO68" s="68" t="n"/>
      <c r="GP68" s="68" t="n"/>
      <c r="GQ68" s="68" t="n"/>
      <c r="GR68" s="68" t="n"/>
      <c r="GS68" s="68" t="n"/>
      <c r="GT68" s="68" t="n"/>
      <c r="GU68" s="68" t="n"/>
      <c r="GV68" s="68" t="n"/>
      <c r="GW68" s="68" t="n"/>
      <c r="GX68" s="68" t="n"/>
      <c r="GY68" s="68" t="n"/>
      <c r="GZ68" s="68" t="n"/>
      <c r="HA68" s="68" t="n"/>
      <c r="HB68" s="68" t="n"/>
      <c r="HC68" s="68" t="n"/>
      <c r="HD68" s="68" t="n"/>
      <c r="HE68" s="68" t="n"/>
      <c r="HF68" s="68" t="n"/>
      <c r="HG68" s="68" t="n"/>
      <c r="HH68" s="68" t="n"/>
      <c r="HI68" s="68" t="n"/>
      <c r="HJ68" s="68" t="n"/>
      <c r="HK68" s="68" t="n"/>
      <c r="HL68" s="68" t="n"/>
      <c r="HM68" s="68" t="n"/>
      <c r="HN68" s="68" t="n"/>
      <c r="HO68" s="68" t="n"/>
      <c r="HP68" s="68" t="n"/>
      <c r="HQ68" s="68" t="n"/>
      <c r="HR68" s="68" t="n"/>
      <c r="HS68" s="68" t="n"/>
      <c r="HT68" s="68" t="n"/>
      <c r="HU68" s="68" t="n"/>
      <c r="HV68" s="68" t="n"/>
      <c r="HW68" s="68" t="n"/>
      <c r="HX68" s="68" t="n"/>
      <c r="HY68" s="68" t="n"/>
      <c r="HZ68" s="68" t="n"/>
    </row>
    <row r="69" outlineLevel="2" customFormat="1" s="487">
      <c r="A69" s="483" t="inlineStr">
        <is>
          <t>НПО РОСТАР ООО</t>
        </is>
      </c>
      <c r="B69" s="484" t="n"/>
      <c r="C69" s="484" t="n"/>
      <c r="D69" s="484" t="n"/>
      <c r="E69" s="509" t="n"/>
      <c r="F69" s="484" t="n"/>
      <c r="G69" s="484" t="n"/>
      <c r="H69" s="66" t="inlineStr">
        <is>
          <t>CNY, без НДС:</t>
        </is>
      </c>
      <c r="I69" s="839" t="n"/>
      <c r="J69" s="839" t="n"/>
      <c r="K69" s="839" t="n"/>
      <c r="L69" s="839" t="n"/>
      <c r="M69" s="839" t="n"/>
      <c r="N69" s="837">
        <f>IF(BP69&gt;0,1,IF(BN69&gt;0,2,))</f>
        <v/>
      </c>
      <c r="O69" s="816">
        <f>IFERROR(SUMPRODUCT(($A69=$A$6:$A$64)*$I$6:$I$64*O$6:O$64),"")</f>
        <v/>
      </c>
      <c r="P69" s="839">
        <f>IFERROR(SUMPRODUCT(($A69=$A$6:$A$64)*$I$6:$I$64*P$6:P$64),"")</f>
        <v/>
      </c>
      <c r="Q69" s="839">
        <f>IFERROR(SUMPRODUCT(($A69=$A$6:$A$64)*$I$6:$I$64*Q$6:Q$64),"")</f>
        <v/>
      </c>
      <c r="R69" s="839">
        <f>IFERROR(SUMPRODUCT(($A69=$A$6:$A$64)*$I$6:$I$64*R$6:R$64),"")</f>
        <v/>
      </c>
      <c r="S69" s="839">
        <f>IFERROR(SUMPRODUCT(($A69=$A$6:$A$64)*$I$6:$I$64*S$6:S$64),"")</f>
        <v/>
      </c>
      <c r="T69" s="839">
        <f>IFERROR(SUMPRODUCT(($A69=$A$6:$A$64)*$I$6:$I$64*T$6:T$64),"")</f>
        <v/>
      </c>
      <c r="U69" s="839">
        <f>IFERROR(SUMPRODUCT(($A69=$A$6:$A$64)*$I$6:$I$64*U$6:U$64),"")</f>
        <v/>
      </c>
      <c r="V69" s="839">
        <f>IFERROR(SUMPRODUCT(($A69=$A$6:$A$64)*$I$6:$I$64*V$6:V$64),"")</f>
        <v/>
      </c>
      <c r="W69" s="839">
        <f>IFERROR(SUMPRODUCT(($A69=$A$6:$A$64)*$I$6:$I$64*W$6:W$64),"")</f>
        <v/>
      </c>
      <c r="X69" s="839">
        <f>IFERROR(SUMPRODUCT(($A69=$A$6:$A$64)*$I$6:$I$64*X$6:X$64),"")</f>
        <v/>
      </c>
      <c r="Y69" s="839">
        <f>IFERROR(SUMPRODUCT(($A69=$A$6:$A$64)*$I$6:$I$64*Y$6:Y$64),"")</f>
        <v/>
      </c>
      <c r="Z69" s="839">
        <f>IFERROR(SUMPRODUCT(($A69=$A$6:$A$64)*$I$6:$I$64*Z$6:Z$64),"")</f>
        <v/>
      </c>
      <c r="AA69" s="839">
        <f>IFERROR(SUMPRODUCT(($A69=$A$6:$A$64)*$I$6:$I$64*AA$6:AA$64),"")</f>
        <v/>
      </c>
      <c r="AB69" s="839">
        <f>IFERROR(SUMPRODUCT(($A69=$A$6:$A$64)*$I$6:$I$64*AB$6:AB$64),"")</f>
        <v/>
      </c>
      <c r="AC69" s="839">
        <f>IFERROR(SUMPRODUCT(($A69=$A$6:$A$64)*$I$6:$I$64*AC$6:AC$64),"")</f>
        <v/>
      </c>
      <c r="AD69" s="839">
        <f>IFERROR(SUMPRODUCT(($A69=$A$6:$A$64)*$I$6:$I$64*AD$6:AD$64),"")</f>
        <v/>
      </c>
      <c r="AE69" s="839">
        <f>IFERROR(SUMPRODUCT(($A69=$A$6:$A$64)*$I$6:$I$64*AE$6:AE$64),"")</f>
        <v/>
      </c>
      <c r="AF69" s="839">
        <f>IFERROR(SUMPRODUCT(($A69=$A$6:$A$64)*$I$6:$I$64*AF$6:AF$64),"")</f>
        <v/>
      </c>
      <c r="AG69" s="839">
        <f>IFERROR(SUMPRODUCT(($A69=$A$6:$A$64)*$I$6:$I$64*AG$6:AG$64),"")</f>
        <v/>
      </c>
      <c r="AH69" s="839">
        <f>IFERROR(SUMPRODUCT(($A69=$A$6:$A$64)*$I$6:$I$64*AH$6:AH$64),"")</f>
        <v/>
      </c>
      <c r="AI69" s="839">
        <f>IFERROR(SUMPRODUCT(($A69=$A$6:$A$64)*$I$6:$I$64*AI$6:AI$64),"")</f>
        <v/>
      </c>
      <c r="AJ69" s="839">
        <f>IFERROR(SUMPRODUCT(($A69=$A$6:$A$64)*$I$6:$I$64*AJ$6:AJ$64),"")</f>
        <v/>
      </c>
      <c r="AK69" s="839">
        <f>IFERROR(SUMPRODUCT(($A69=$A$6:$A$64)*$I$6:$I$64*AK$6:AK$64),"")</f>
        <v/>
      </c>
      <c r="AL69" s="839">
        <f>IFERROR(SUMPRODUCT(($A69=$A$6:$A$64)*$I$6:$I$64*AL$6:AL$64),"")</f>
        <v/>
      </c>
      <c r="AM69" s="839">
        <f>IFERROR(SUMPRODUCT(($A69=$A$6:$A$64)*$I$6:$I$64*AM$6:AM$64),"")</f>
        <v/>
      </c>
      <c r="AN69" s="839">
        <f>IFERROR(SUMPRODUCT(($A69=$A$6:$A$64)*$I$6:$I$64*AN$6:AN$64),"")</f>
        <v/>
      </c>
      <c r="AO69" s="839">
        <f>IFERROR(SUMPRODUCT(($A69=$A$6:$A$64)*$I$6:$I$64*AO$6:AO$64),"")</f>
        <v/>
      </c>
      <c r="AP69" s="839">
        <f>IFERROR(SUMPRODUCT(($A69=$A$6:$A$64)*$I$6:$I$64*AP$6:AP$64),"")</f>
        <v/>
      </c>
      <c r="AQ69" s="839">
        <f>IFERROR(SUMPRODUCT(($A69=$A$6:$A$64)*$I$6:$I$64*AQ$6:AQ$64),"")</f>
        <v/>
      </c>
      <c r="AR69" s="839">
        <f>IFERROR(SUMPRODUCT(($A69=$A$6:$A$64)*$I$6:$I$64*AR$6:AR$64),"")</f>
        <v/>
      </c>
      <c r="AS69" s="839">
        <f>IFERROR(SUMPRODUCT(($A69=$A$6:$A$64)*$I$6:$I$64*AS$6:AS$64),"")</f>
        <v/>
      </c>
      <c r="AT69" s="839">
        <f>IFERROR(SUMPRODUCT(($A69=$A$6:$A$64)*$I$6:$I$64*AT$6:AT$64),"")</f>
        <v/>
      </c>
      <c r="AU69" s="839">
        <f>IFERROR(SUMPRODUCT(($A69=$A$6:$A$64)*$I$6:$I$64*AU$6:AU$64),"")</f>
        <v/>
      </c>
      <c r="AV69" s="839">
        <f>IFERROR(SUMPRODUCT(($A69=$A$6:$A$64)*$I$6:$I$64*AV$6:AV$64),"")</f>
        <v/>
      </c>
      <c r="AW69" s="839">
        <f>IFERROR(SUMPRODUCT(($A69=$A$6:$A$64)*$I$6:$I$64*AW$6:AW$64),"")</f>
        <v/>
      </c>
      <c r="AX69" s="839">
        <f>IFERROR(SUMPRODUCT(($A69=$A$6:$A$64)*$I$6:$I$64*AX$6:AX$64),"")</f>
        <v/>
      </c>
      <c r="AY69" s="839">
        <f>IFERROR(SUMPRODUCT(($A69=$A$6:$A$64)*$I$6:$I$64*AY$6:AY$64),"")</f>
        <v/>
      </c>
      <c r="AZ69" s="839">
        <f>IFERROR(SUMPRODUCT(($A69=$A$6:$A$64)*$I$6:$I$64*AZ$6:AZ$64),"")</f>
        <v/>
      </c>
      <c r="BA69" s="839">
        <f>IFERROR(SUMPRODUCT(($A69=$A$6:$A$64)*$I$6:$I$64*BA$6:BA$64),"")</f>
        <v/>
      </c>
      <c r="BB69" s="839">
        <f>IFERROR(SUMPRODUCT(($A69=$A$6:$A$64)*$I$6:$I$64*BB$6:BB$64),"")</f>
        <v/>
      </c>
      <c r="BC69" s="839">
        <f>IFERROR(SUMPRODUCT(($A69=$A$6:$A$64)*$I$6:$I$64*BC$6:BC$64),"")</f>
        <v/>
      </c>
      <c r="BD69" s="839">
        <f>IFERROR(SUMPRODUCT(($A69=$A$6:$A$64)*$I$6:$I$64*BD$6:BD$64),"")</f>
        <v/>
      </c>
      <c r="BE69" s="839">
        <f>IFERROR(SUMPRODUCT(($A69=$A$6:$A$64)*$I$6:$I$64*BE$6:BE$64),"")</f>
        <v/>
      </c>
      <c r="BF69" s="839">
        <f>IFERROR(SUMPRODUCT(($A69=$A$6:$A$64)*$I$6:$I$64*BF$6:BF$64),"")</f>
        <v/>
      </c>
      <c r="BG69" s="839">
        <f>IFERROR(SUMPRODUCT(($A69=$A$6:$A$64)*$I$6:$I$64*BG$6:BG$64),"")</f>
        <v/>
      </c>
      <c r="BH69" s="839">
        <f>IFERROR(SUMPRODUCT(($A69=$A$6:$A$64)*$I$6:$I$64*BH$6:BH$64),"")</f>
        <v/>
      </c>
      <c r="BI69" s="839">
        <f>IFERROR(SUMPRODUCT(($A69=$A$6:$A$64)*$I$6:$I$64*BI$6:BI$64),"")</f>
        <v/>
      </c>
      <c r="BJ69" s="839">
        <f>IFERROR(SUMPRODUCT(($A69=$A$6:$A$64)*$I$6:$I$64*BJ$6:BJ$64),"")</f>
        <v/>
      </c>
      <c r="BK69" s="839" t="n"/>
      <c r="BL69" s="839">
        <f>SUMPRODUCT(--(MOD(COLUMN($O69:$AL69),4)=MOD(COLUMN($O69)+0,4)),$O69:$AL69)
+SUMPRODUCT(--(MOD(COLUMN($AM69:$BJ69),4)=MOD(COLUMN($AM69)+0,4)),$AM69:$BJ69)</f>
        <v/>
      </c>
      <c r="BM69" s="840">
        <f>SUMPRODUCT(--(MOD(COLUMN($O69:$AL69),4)=MOD(COLUMN($O69)+0,4)),$O69:$AL69)*
$I69+SUMPRODUCT(--(MOD(COLUMN($AM69:$BJ69),4)=MOD(COLUMN($AM69)+0,4)),$AM69:$BJ69)*$I69</f>
        <v/>
      </c>
      <c r="BN69" s="839">
        <f>SUMPRODUCT(--(MOD(COLUMN($O69:$AL69),4)=MOD(COLUMN($O69)+1,4)),$O69:$AL69)
+SUMPRODUCT(--(MOD(COLUMN($AM69:$BJ69),4)=MOD(COLUMN($AM69)+1,4)),$AM69:$BJ69)</f>
        <v/>
      </c>
      <c r="BO69" s="839">
        <f>SUMPRODUCT(--(MOD(COLUMN($O69:$AL69),4)=MOD(COLUMN($O69)+1,4)),$O69:$AL69)*
$I69+SUMPRODUCT(--(MOD(COLUMN($AM69:$BJ69),4)=MOD(COLUMN($AM69)+1,4)),$AM69:$BJ69)*$I69</f>
        <v/>
      </c>
      <c r="BP69" s="839">
        <f>SUMPRODUCT(--(MOD(COLUMN($O69:$AL69),4)=MOD(COLUMN($O69)+2,4)),$O69:$AL69)
+SUMPRODUCT(--(MOD(COLUMN($AM69:$BJ69),4)=MOD(COLUMN($AM69)+2,4)),$AM69:$BJ69)</f>
        <v/>
      </c>
      <c r="BQ69" s="839">
        <f>SUMPRODUCT(--(MOD(COLUMN($O69:$AL69),4)=MOD(COLUMN($O69)+2,4)),$O69:$AL69)*
$I69+SUMPRODUCT(--(MOD(COLUMN($AM69:$BJ69),4)=MOD(COLUMN($AM69)+2,4)),$AM69:$BJ69)*$I69</f>
        <v/>
      </c>
      <c r="BR69" s="839" t="n"/>
      <c r="BS69" s="839" t="n"/>
      <c r="BT69" s="839" t="n"/>
      <c r="BU69" s="839" t="n"/>
      <c r="BV69" s="839" t="n"/>
      <c r="BW69" s="839" t="n"/>
      <c r="BX69" s="816" t="n"/>
      <c r="BY69" s="839" t="n"/>
      <c r="BZ69" s="839" t="n"/>
      <c r="CA69" s="839" t="n"/>
      <c r="CB69" s="839" t="n"/>
      <c r="CC69" s="839" t="n"/>
      <c r="CD69" s="839" t="n"/>
      <c r="CE69" s="839" t="n"/>
      <c r="CF69" s="839" t="n"/>
      <c r="CG69" s="839" t="n"/>
      <c r="CH69" s="839" t="n"/>
      <c r="CI69" s="839" t="n"/>
      <c r="CJ69" s="839" t="n"/>
      <c r="CK69" s="839" t="n"/>
      <c r="CL69" s="839" t="n"/>
      <c r="CM69" s="839" t="n"/>
      <c r="CN69" s="839" t="n"/>
      <c r="CO69" s="839" t="n"/>
      <c r="CP69" s="839" t="n"/>
      <c r="CQ69" s="839" t="n"/>
      <c r="CR69" s="839" t="n"/>
      <c r="CS69" s="839" t="n"/>
      <c r="CT69" s="839" t="n"/>
      <c r="CU69" s="839" t="n"/>
      <c r="CV69" s="839" t="n"/>
      <c r="CW69" s="839" t="n"/>
      <c r="CX69" s="839" t="n"/>
      <c r="CY69" s="839" t="n"/>
      <c r="CZ69" s="839" t="n"/>
      <c r="DA69" s="839" t="n"/>
      <c r="DB69" s="839" t="n"/>
      <c r="DC69" s="839" t="n"/>
      <c r="DD69" s="839" t="n"/>
      <c r="DE69" s="839" t="n"/>
      <c r="DF69" s="839" t="n"/>
      <c r="DG69" s="839" t="n"/>
      <c r="DH69" s="839" t="n"/>
      <c r="DI69" s="839" t="n"/>
      <c r="DJ69" s="839" t="n"/>
      <c r="DK69" s="839" t="n"/>
      <c r="DL69" s="839" t="n"/>
      <c r="DM69" s="839" t="n"/>
      <c r="DN69" s="839" t="n"/>
      <c r="DO69" s="839" t="n"/>
      <c r="DP69" s="839" t="n"/>
      <c r="DQ69" s="839" t="n"/>
      <c r="DR69" s="839" t="n"/>
      <c r="DS69" s="839" t="n"/>
      <c r="DT69" s="839" t="n"/>
      <c r="DU69" s="839" t="n"/>
      <c r="DV69" s="839" t="n"/>
      <c r="DW69" s="839" t="n"/>
      <c r="DX69" s="839" t="n"/>
      <c r="DY69" s="839" t="n"/>
      <c r="DZ69" s="839" t="n"/>
      <c r="EA69" s="839" t="n"/>
      <c r="EB69" s="816" t="n"/>
      <c r="EC69" s="839" t="n"/>
      <c r="ED69" s="839" t="n"/>
      <c r="EE69" s="839" t="n"/>
      <c r="EF69" s="839" t="n"/>
      <c r="EG69" s="839" t="n"/>
      <c r="EH69" s="839" t="n"/>
      <c r="EI69" s="839" t="n"/>
      <c r="EJ69" s="839" t="n"/>
      <c r="EK69" s="839" t="n"/>
      <c r="EL69" s="839" t="n"/>
      <c r="EM69" s="839" t="n"/>
      <c r="EN69" s="839" t="n"/>
      <c r="EO69" s="839" t="n"/>
      <c r="EP69" s="839" t="n"/>
      <c r="EQ69" s="839" t="n"/>
      <c r="ER69" s="839" t="n"/>
      <c r="ES69" s="839" t="n"/>
      <c r="ET69" s="839" t="n"/>
      <c r="EU69" s="839" t="n"/>
      <c r="EV69" s="839" t="n"/>
      <c r="EW69" s="839" t="n"/>
      <c r="EX69" s="839" t="n"/>
      <c r="EY69" s="839" t="n"/>
      <c r="EZ69" s="839" t="n"/>
      <c r="FA69" s="839" t="n"/>
      <c r="FB69" s="839" t="n"/>
      <c r="FC69" s="839" t="n"/>
      <c r="FD69" s="839" t="n"/>
      <c r="FE69" s="839" t="n"/>
      <c r="FF69" s="839" t="n"/>
      <c r="FG69" s="839" t="n"/>
      <c r="FH69" s="839" t="n"/>
      <c r="FI69" s="839" t="n"/>
      <c r="FJ69" s="839" t="n"/>
      <c r="FK69" s="839" t="n"/>
      <c r="FL69" s="839" t="n"/>
      <c r="FM69" s="839" t="n"/>
      <c r="FN69" s="839" t="n"/>
      <c r="FO69" s="839" t="n"/>
      <c r="FP69" s="839" t="n"/>
      <c r="FQ69" s="839" t="n"/>
      <c r="FR69" s="839" t="n"/>
      <c r="FS69" s="839" t="n"/>
      <c r="FT69" s="486" t="n"/>
      <c r="FU69" s="486" t="n"/>
      <c r="FV69" s="486" t="n"/>
      <c r="FW69" s="486" t="n"/>
      <c r="FX69" s="486" t="n"/>
      <c r="FY69" s="486" t="n"/>
      <c r="FZ69" s="486" t="n"/>
      <c r="GA69" s="486" t="n"/>
      <c r="GB69" s="335" t="n"/>
      <c r="GC69" s="486" t="n"/>
      <c r="GD69" s="486" t="n"/>
      <c r="GE69" s="486" t="n"/>
      <c r="GF69" s="486" t="n"/>
      <c r="GG69" s="486" t="n"/>
      <c r="GH69" s="486" t="n"/>
      <c r="GI69" s="486" t="n"/>
      <c r="GJ69" s="486" t="n"/>
      <c r="GK69" s="486" t="n"/>
      <c r="GL69" s="486" t="n"/>
      <c r="GM69" s="486" t="n"/>
      <c r="GN69" s="486" t="n"/>
      <c r="GO69" s="486" t="n"/>
      <c r="GP69" s="486" t="n"/>
      <c r="GQ69" s="486" t="n"/>
      <c r="GR69" s="486" t="n"/>
      <c r="GS69" s="486" t="n"/>
      <c r="GT69" s="486" t="n"/>
      <c r="GU69" s="486" t="n"/>
      <c r="GV69" s="486" t="n"/>
      <c r="GW69" s="486" t="n"/>
      <c r="GX69" s="486" t="n"/>
      <c r="GY69" s="486" t="n"/>
      <c r="GZ69" s="486" t="n"/>
      <c r="HA69" s="486" t="n"/>
      <c r="HB69" s="486" t="n"/>
      <c r="HC69" s="486" t="n"/>
      <c r="HD69" s="486" t="n"/>
      <c r="HE69" s="486" t="n"/>
      <c r="HF69" s="486" t="n"/>
      <c r="HG69" s="486" t="n"/>
      <c r="HH69" s="486" t="n"/>
      <c r="HI69" s="486" t="n"/>
      <c r="HJ69" s="486" t="n"/>
      <c r="HK69" s="486" t="n"/>
      <c r="HL69" s="486" t="n"/>
      <c r="HM69" s="486" t="n"/>
      <c r="HN69" s="486" t="n"/>
      <c r="HO69" s="486" t="n"/>
      <c r="HP69" s="486" t="n"/>
      <c r="HQ69" s="486" t="n"/>
      <c r="HR69" s="486" t="n"/>
      <c r="HS69" s="486" t="n"/>
      <c r="HT69" s="486" t="n"/>
      <c r="HU69" s="486" t="n"/>
      <c r="HV69" s="486" t="n"/>
      <c r="HW69" s="486" t="n"/>
      <c r="HX69" s="486" t="n"/>
      <c r="HY69" s="486" t="n"/>
      <c r="HZ69" s="486" t="n"/>
    </row>
    <row r="70" outlineLevel="2" customFormat="1" s="487">
      <c r="A70" s="483" t="inlineStr">
        <is>
          <t>ПЛАНТ ООО</t>
        </is>
      </c>
      <c r="B70" s="484" t="n"/>
      <c r="C70" s="484" t="n"/>
      <c r="D70" s="484" t="n"/>
      <c r="E70" s="509" t="n"/>
      <c r="F70" s="484" t="n"/>
      <c r="G70" s="484" t="n"/>
      <c r="H70" s="66" t="inlineStr">
        <is>
          <t>CNY, без НДС:</t>
        </is>
      </c>
      <c r="I70" s="839" t="n"/>
      <c r="J70" s="839" t="n"/>
      <c r="K70" s="839" t="n"/>
      <c r="L70" s="839" t="n"/>
      <c r="M70" s="839" t="n"/>
      <c r="N70" s="837">
        <f>IF(BP70&gt;0,1,IF(BN70&gt;0,2,))</f>
        <v/>
      </c>
      <c r="O70" s="816">
        <f>IFERROR(SUMPRODUCT(($A70=$A$6:$A$64)*$I$6:$I$64*O$6:O$64),"")</f>
        <v/>
      </c>
      <c r="P70" s="839">
        <f>IFERROR(SUMPRODUCT(($A70=$A$6:$A$64)*$I$6:$I$64*P$6:P$64),"")</f>
        <v/>
      </c>
      <c r="Q70" s="839">
        <f>IFERROR(SUMPRODUCT(($A70=$A$6:$A$64)*$I$6:$I$64*Q$6:Q$64),"")</f>
        <v/>
      </c>
      <c r="R70" s="839">
        <f>IFERROR(SUMPRODUCT(($A70=$A$6:$A$64)*$I$6:$I$64*R$6:R$64),"")</f>
        <v/>
      </c>
      <c r="S70" s="839">
        <f>IFERROR(SUMPRODUCT(($A70=$A$6:$A$64)*$I$6:$I$64*S$6:S$64),"")</f>
        <v/>
      </c>
      <c r="T70" s="839">
        <f>IFERROR(SUMPRODUCT(($A70=$A$6:$A$64)*$I$6:$I$64*T$6:T$64),"")</f>
        <v/>
      </c>
      <c r="U70" s="839">
        <f>IFERROR(SUMPRODUCT(($A70=$A$6:$A$64)*$I$6:$I$64*U$6:U$64),"")</f>
        <v/>
      </c>
      <c r="V70" s="839">
        <f>IFERROR(SUMPRODUCT(($A70=$A$6:$A$64)*$I$6:$I$64*V$6:V$64),"")</f>
        <v/>
      </c>
      <c r="W70" s="839">
        <f>IFERROR(SUMPRODUCT(($A70=$A$6:$A$64)*$I$6:$I$64*W$6:W$64),"")</f>
        <v/>
      </c>
      <c r="X70" s="839">
        <f>IFERROR(SUMPRODUCT(($A70=$A$6:$A$64)*$I$6:$I$64*X$6:X$64),"")</f>
        <v/>
      </c>
      <c r="Y70" s="839">
        <f>IFERROR(SUMPRODUCT(($A70=$A$6:$A$64)*$I$6:$I$64*Y$6:Y$64),"")</f>
        <v/>
      </c>
      <c r="Z70" s="839">
        <f>IFERROR(SUMPRODUCT(($A70=$A$6:$A$64)*$I$6:$I$64*Z$6:Z$64),"")</f>
        <v/>
      </c>
      <c r="AA70" s="839">
        <f>IFERROR(SUMPRODUCT(($A70=$A$6:$A$64)*$I$6:$I$64*AA$6:AA$64),"")</f>
        <v/>
      </c>
      <c r="AB70" s="839">
        <f>IFERROR(SUMPRODUCT(($A70=$A$6:$A$64)*$I$6:$I$64*AB$6:AB$64),"")</f>
        <v/>
      </c>
      <c r="AC70" s="839">
        <f>IFERROR(SUMPRODUCT(($A70=$A$6:$A$64)*$I$6:$I$64*AC$6:AC$64),"")</f>
        <v/>
      </c>
      <c r="AD70" s="839">
        <f>IFERROR(SUMPRODUCT(($A70=$A$6:$A$64)*$I$6:$I$64*AD$6:AD$64),"")</f>
        <v/>
      </c>
      <c r="AE70" s="839">
        <f>IFERROR(SUMPRODUCT(($A70=$A$6:$A$64)*$I$6:$I$64*AE$6:AE$64),"")</f>
        <v/>
      </c>
      <c r="AF70" s="839">
        <f>IFERROR(SUMPRODUCT(($A70=$A$6:$A$64)*$I$6:$I$64*AF$6:AF$64),"")</f>
        <v/>
      </c>
      <c r="AG70" s="839">
        <f>IFERROR(SUMPRODUCT(($A70=$A$6:$A$64)*$I$6:$I$64*AG$6:AG$64),"")</f>
        <v/>
      </c>
      <c r="AH70" s="839">
        <f>IFERROR(SUMPRODUCT(($A70=$A$6:$A$64)*$I$6:$I$64*AH$6:AH$64),"")</f>
        <v/>
      </c>
      <c r="AI70" s="839">
        <f>IFERROR(SUMPRODUCT(($A70=$A$6:$A$64)*$I$6:$I$64*AI$6:AI$64),"")</f>
        <v/>
      </c>
      <c r="AJ70" s="839">
        <f>IFERROR(SUMPRODUCT(($A70=$A$6:$A$64)*$I$6:$I$64*AJ$6:AJ$64),"")</f>
        <v/>
      </c>
      <c r="AK70" s="839">
        <f>IFERROR(SUMPRODUCT(($A70=$A$6:$A$64)*$I$6:$I$64*AK$6:AK$64),"")</f>
        <v/>
      </c>
      <c r="AL70" s="839">
        <f>IFERROR(SUMPRODUCT(($A70=$A$6:$A$64)*$I$6:$I$64*AL$6:AL$64),"")</f>
        <v/>
      </c>
      <c r="AM70" s="839">
        <f>IFERROR(SUMPRODUCT(($A70=$A$6:$A$64)*$I$6:$I$64*AM$6:AM$64),"")</f>
        <v/>
      </c>
      <c r="AN70" s="839">
        <f>IFERROR(SUMPRODUCT(($A70=$A$6:$A$64)*$I$6:$I$64*AN$6:AN$64),"")</f>
        <v/>
      </c>
      <c r="AO70" s="839">
        <f>IFERROR(SUMPRODUCT(($A70=$A$6:$A$64)*$I$6:$I$64*AO$6:AO$64),"")</f>
        <v/>
      </c>
      <c r="AP70" s="839">
        <f>IFERROR(SUMPRODUCT(($A70=$A$6:$A$64)*$I$6:$I$64*AP$6:AP$64),"")</f>
        <v/>
      </c>
      <c r="AQ70" s="839">
        <f>IFERROR(SUMPRODUCT(($A70=$A$6:$A$64)*$I$6:$I$64*AQ$6:AQ$64),"")</f>
        <v/>
      </c>
      <c r="AR70" s="839">
        <f>IFERROR(SUMPRODUCT(($A70=$A$6:$A$64)*$I$6:$I$64*AR$6:AR$64),"")</f>
        <v/>
      </c>
      <c r="AS70" s="839">
        <f>IFERROR(SUMPRODUCT(($A70=$A$6:$A$64)*$I$6:$I$64*AS$6:AS$64),"")</f>
        <v/>
      </c>
      <c r="AT70" s="839">
        <f>IFERROR(SUMPRODUCT(($A70=$A$6:$A$64)*$I$6:$I$64*AT$6:AT$64),"")</f>
        <v/>
      </c>
      <c r="AU70" s="839">
        <f>IFERROR(SUMPRODUCT(($A70=$A$6:$A$64)*$I$6:$I$64*AU$6:AU$64),"")</f>
        <v/>
      </c>
      <c r="AV70" s="839">
        <f>IFERROR(SUMPRODUCT(($A70=$A$6:$A$64)*$I$6:$I$64*AV$6:AV$64),"")</f>
        <v/>
      </c>
      <c r="AW70" s="839">
        <f>IFERROR(SUMPRODUCT(($A70=$A$6:$A$64)*$I$6:$I$64*AW$6:AW$64),"")</f>
        <v/>
      </c>
      <c r="AX70" s="839">
        <f>IFERROR(SUMPRODUCT(($A70=$A$6:$A$64)*$I$6:$I$64*AX$6:AX$64),"")</f>
        <v/>
      </c>
      <c r="AY70" s="839">
        <f>IFERROR(SUMPRODUCT(($A70=$A$6:$A$64)*$I$6:$I$64*AY$6:AY$64),"")</f>
        <v/>
      </c>
      <c r="AZ70" s="839">
        <f>IFERROR(SUMPRODUCT(($A70=$A$6:$A$64)*$I$6:$I$64*AZ$6:AZ$64),"")</f>
        <v/>
      </c>
      <c r="BA70" s="839">
        <f>IFERROR(SUMPRODUCT(($A70=$A$6:$A$64)*$I$6:$I$64*BA$6:BA$64),"")</f>
        <v/>
      </c>
      <c r="BB70" s="839">
        <f>IFERROR(SUMPRODUCT(($A70=$A$6:$A$64)*$I$6:$I$64*BB$6:BB$64),"")</f>
        <v/>
      </c>
      <c r="BC70" s="839">
        <f>IFERROR(SUMPRODUCT(($A70=$A$6:$A$64)*$I$6:$I$64*BC$6:BC$64),"")</f>
        <v/>
      </c>
      <c r="BD70" s="839">
        <f>IFERROR(SUMPRODUCT(($A70=$A$6:$A$64)*$I$6:$I$64*BD$6:BD$64),"")</f>
        <v/>
      </c>
      <c r="BE70" s="839">
        <f>IFERROR(SUMPRODUCT(($A70=$A$6:$A$64)*$I$6:$I$64*BE$6:BE$64),"")</f>
        <v/>
      </c>
      <c r="BF70" s="839">
        <f>IFERROR(SUMPRODUCT(($A70=$A$6:$A$64)*$I$6:$I$64*BF$6:BF$64),"")</f>
        <v/>
      </c>
      <c r="BG70" s="839">
        <f>IFERROR(SUMPRODUCT(($A70=$A$6:$A$64)*$I$6:$I$64*BG$6:BG$64),"")</f>
        <v/>
      </c>
      <c r="BH70" s="839">
        <f>IFERROR(SUMPRODUCT(($A70=$A$6:$A$64)*$I$6:$I$64*BH$6:BH$64),"")</f>
        <v/>
      </c>
      <c r="BI70" s="839">
        <f>IFERROR(SUMPRODUCT(($A70=$A$6:$A$64)*$I$6:$I$64*BI$6:BI$64),"")</f>
        <v/>
      </c>
      <c r="BJ70" s="839">
        <f>IFERROR(SUMPRODUCT(($A70=$A$6:$A$64)*$I$6:$I$64*BJ$6:BJ$64),"")</f>
        <v/>
      </c>
      <c r="BK70" s="839" t="n"/>
      <c r="BL70" s="839">
        <f>SUMPRODUCT(--(MOD(COLUMN($O70:$AL70),4)=MOD(COLUMN($O70)+0,4)),$O70:$AL70)
+SUMPRODUCT(--(MOD(COLUMN($AM70:$BJ70),4)=MOD(COLUMN($AM70)+0,4)),$AM70:$BJ70)</f>
        <v/>
      </c>
      <c r="BM70" s="840">
        <f>SUMPRODUCT(--(MOD(COLUMN($O70:$AL70),4)=MOD(COLUMN($O70)+0,4)),$O70:$AL70)*$I70
+SUMPRODUCT(--(MOD(COLUMN($AM70:$BJ70),4)=MOD(COLUMN($AM70)+0,4)),$AM70:$BJ70)*$I70</f>
        <v/>
      </c>
      <c r="BN70" s="839">
        <f>SUMPRODUCT(--(MOD(COLUMN($O70:$AL70),4)=MOD(COLUMN($O70)+1,4)),$O70:$AL70)
+SUMPRODUCT(--(MOD(COLUMN($AM70:$BJ70),4)=MOD(COLUMN($AM70)+1,4)),$AM70:$BJ70)</f>
        <v/>
      </c>
      <c r="BO70" s="839">
        <f>SUMPRODUCT(--(MOD(COLUMN($O70:$AL70),4)=MOD(COLUMN($O70)+1,4)),$O70:$AL70)*$I70
+SUMPRODUCT(--(MOD(COLUMN($AM70:$BJ70),4)=MOD(COLUMN($AM70)+1,4)),$AM70:$BJ70)*$I70</f>
        <v/>
      </c>
      <c r="BP70" s="839">
        <f>SUMPRODUCT(--(MOD(COLUMN($O70:$AL70),4)=MOD(COLUMN($O70)+2,4)),$O70:$AL70)
+SUMPRODUCT(--(MOD(COLUMN($AM70:$BJ70),4)=MOD(COLUMN($AM70)+2,4)),$AM70:$BJ70)</f>
        <v/>
      </c>
      <c r="BQ70" s="839">
        <f>SUMPRODUCT(--(MOD(COLUMN($O70:$AL70),4)=MOD(COLUMN($O70)+2,4)),$O70:$AL70)*$I70
+SUMPRODUCT(--(MOD(COLUMN($AM70:$BJ70),4)=MOD(COLUMN($AM70)+2,4)),$AM70:$BJ70)*$I70</f>
        <v/>
      </c>
      <c r="BR70" s="839" t="n"/>
      <c r="BS70" s="839" t="n"/>
      <c r="BT70" s="839" t="n"/>
      <c r="BU70" s="839" t="n"/>
      <c r="BV70" s="839" t="n"/>
      <c r="BW70" s="839" t="n"/>
      <c r="BX70" s="816" t="n"/>
      <c r="BY70" s="839" t="n"/>
      <c r="BZ70" s="839" t="n"/>
      <c r="CA70" s="839" t="n"/>
      <c r="CB70" s="839" t="n"/>
      <c r="CC70" s="839" t="n"/>
      <c r="CD70" s="839" t="n"/>
      <c r="CE70" s="839" t="n"/>
      <c r="CF70" s="839" t="n"/>
      <c r="CG70" s="839" t="n"/>
      <c r="CH70" s="839" t="n"/>
      <c r="CI70" s="839" t="n"/>
      <c r="CJ70" s="839" t="n"/>
      <c r="CK70" s="839" t="n"/>
      <c r="CL70" s="839" t="n"/>
      <c r="CM70" s="839" t="n"/>
      <c r="CN70" s="839" t="n"/>
      <c r="CO70" s="839" t="n"/>
      <c r="CP70" s="839" t="n"/>
      <c r="CQ70" s="839" t="n"/>
      <c r="CR70" s="839" t="n"/>
      <c r="CS70" s="839" t="n"/>
      <c r="CT70" s="839" t="n"/>
      <c r="CU70" s="839" t="n"/>
      <c r="CV70" s="839" t="n"/>
      <c r="CW70" s="839" t="n"/>
      <c r="CX70" s="839" t="n"/>
      <c r="CY70" s="839" t="n"/>
      <c r="CZ70" s="839" t="n"/>
      <c r="DA70" s="839" t="n"/>
      <c r="DB70" s="839" t="n"/>
      <c r="DC70" s="839" t="n"/>
      <c r="DD70" s="839" t="n"/>
      <c r="DE70" s="839" t="n"/>
      <c r="DF70" s="839" t="n"/>
      <c r="DG70" s="839" t="n"/>
      <c r="DH70" s="839" t="n"/>
      <c r="DI70" s="839" t="n"/>
      <c r="DJ70" s="839" t="n"/>
      <c r="DK70" s="839" t="n"/>
      <c r="DL70" s="839" t="n"/>
      <c r="DM70" s="839" t="n"/>
      <c r="DN70" s="839" t="n"/>
      <c r="DO70" s="839" t="n"/>
      <c r="DP70" s="839" t="n"/>
      <c r="DQ70" s="839" t="n"/>
      <c r="DR70" s="839" t="n"/>
      <c r="DS70" s="839" t="n"/>
      <c r="DT70" s="839" t="n"/>
      <c r="DU70" s="839" t="n"/>
      <c r="DV70" s="839" t="n"/>
      <c r="DW70" s="839" t="n"/>
      <c r="DX70" s="839" t="n"/>
      <c r="DY70" s="839" t="n"/>
      <c r="DZ70" s="839" t="n"/>
      <c r="EA70" s="839" t="n"/>
      <c r="EB70" s="816" t="n"/>
      <c r="EC70" s="839" t="n"/>
      <c r="ED70" s="839" t="n"/>
      <c r="EE70" s="839" t="n"/>
      <c r="EF70" s="839" t="n"/>
      <c r="EG70" s="839" t="n"/>
      <c r="EH70" s="839" t="n"/>
      <c r="EI70" s="839" t="n"/>
      <c r="EJ70" s="839" t="n"/>
      <c r="EK70" s="839" t="n"/>
      <c r="EL70" s="839" t="n"/>
      <c r="EM70" s="839" t="n"/>
      <c r="EN70" s="839" t="n"/>
      <c r="EO70" s="839" t="n"/>
      <c r="EP70" s="839" t="n"/>
      <c r="EQ70" s="839" t="n"/>
      <c r="ER70" s="839" t="n"/>
      <c r="ES70" s="839" t="n"/>
      <c r="ET70" s="839" t="n"/>
      <c r="EU70" s="839" t="n"/>
      <c r="EV70" s="839" t="n"/>
      <c r="EW70" s="839" t="n"/>
      <c r="EX70" s="839" t="n"/>
      <c r="EY70" s="839" t="n"/>
      <c r="EZ70" s="839" t="n"/>
      <c r="FA70" s="839" t="n"/>
      <c r="FB70" s="839" t="n"/>
      <c r="FC70" s="839" t="n"/>
      <c r="FD70" s="839" t="n"/>
      <c r="FE70" s="839" t="n"/>
      <c r="FF70" s="839" t="n"/>
      <c r="FG70" s="839" t="n"/>
      <c r="FH70" s="839" t="n"/>
      <c r="FI70" s="839" t="n"/>
      <c r="FJ70" s="839" t="n"/>
      <c r="FK70" s="839" t="n"/>
      <c r="FL70" s="839" t="n"/>
      <c r="FM70" s="839" t="n"/>
      <c r="FN70" s="839" t="n"/>
      <c r="FO70" s="839" t="n"/>
      <c r="FP70" s="839" t="n"/>
      <c r="FQ70" s="839" t="n"/>
      <c r="FR70" s="839" t="n"/>
      <c r="FS70" s="839" t="n"/>
      <c r="FT70" s="486" t="n"/>
      <c r="FU70" s="486" t="n"/>
      <c r="FV70" s="486" t="n"/>
      <c r="FW70" s="486" t="n"/>
      <c r="FX70" s="486" t="n"/>
      <c r="FY70" s="486" t="n"/>
      <c r="FZ70" s="486" t="n"/>
      <c r="GA70" s="486" t="n"/>
      <c r="GB70" s="335" t="n"/>
      <c r="GC70" s="486" t="n"/>
      <c r="GD70" s="486" t="n"/>
      <c r="GE70" s="486" t="n"/>
      <c r="GF70" s="486" t="n"/>
      <c r="GG70" s="486" t="n"/>
      <c r="GH70" s="486" t="n"/>
      <c r="GI70" s="486" t="n"/>
      <c r="GJ70" s="486" t="n"/>
      <c r="GK70" s="486" t="n"/>
      <c r="GL70" s="486" t="n"/>
      <c r="GM70" s="486" t="n"/>
      <c r="GN70" s="486" t="n"/>
      <c r="GO70" s="486" t="n"/>
      <c r="GP70" s="486" t="n"/>
      <c r="GQ70" s="486" t="n"/>
      <c r="GR70" s="486" t="n"/>
      <c r="GS70" s="486" t="n"/>
      <c r="GT70" s="486" t="n"/>
      <c r="GU70" s="486" t="n"/>
      <c r="GV70" s="486" t="n"/>
      <c r="GW70" s="486" t="n"/>
      <c r="GX70" s="486" t="n"/>
      <c r="GY70" s="486" t="n"/>
      <c r="GZ70" s="486" t="n"/>
      <c r="HA70" s="486" t="n"/>
      <c r="HB70" s="486" t="n"/>
      <c r="HC70" s="486" t="n"/>
      <c r="HD70" s="486" t="n"/>
      <c r="HE70" s="486" t="n"/>
      <c r="HF70" s="486" t="n"/>
      <c r="HG70" s="486" t="n"/>
      <c r="HH70" s="486" t="n"/>
      <c r="HI70" s="486" t="n"/>
      <c r="HJ70" s="486" t="n"/>
      <c r="HK70" s="486" t="n"/>
      <c r="HL70" s="486" t="n"/>
      <c r="HM70" s="486" t="n"/>
      <c r="HN70" s="486" t="n"/>
      <c r="HO70" s="486" t="n"/>
      <c r="HP70" s="486" t="n"/>
      <c r="HQ70" s="486" t="n"/>
      <c r="HR70" s="486" t="n"/>
      <c r="HS70" s="486" t="n"/>
      <c r="HT70" s="486" t="n"/>
      <c r="HU70" s="486" t="n"/>
      <c r="HV70" s="486" t="n"/>
      <c r="HW70" s="486" t="n"/>
      <c r="HX70" s="486" t="n"/>
      <c r="HY70" s="486" t="n"/>
      <c r="HZ70" s="486" t="n"/>
    </row>
    <row r="71" outlineLevel="2" customFormat="1" s="63">
      <c r="A71" s="64" t="inlineStr">
        <is>
          <t>АВГ АВТОКОМПОНЕНТЫ ООО</t>
        </is>
      </c>
      <c r="B71" s="65" t="n"/>
      <c r="C71" s="65" t="n"/>
      <c r="D71" s="65" t="n"/>
      <c r="E71" s="508" t="n"/>
      <c r="F71" s="65" t="n"/>
      <c r="G71" s="65" t="n"/>
      <c r="H71" s="66" t="inlineStr">
        <is>
          <t>CNY, без НДС:</t>
        </is>
      </c>
      <c r="I71" s="836" t="n"/>
      <c r="J71" s="836" t="n"/>
      <c r="K71" s="836" t="n"/>
      <c r="L71" s="836" t="n"/>
      <c r="M71" s="836" t="n"/>
      <c r="N71" s="837">
        <f>IF(BP71&gt;0,1,IF(BN71&gt;0,2,))</f>
        <v/>
      </c>
      <c r="O71" s="814">
        <f>IFERROR(SUMPRODUCT(($A71=$A$6:$A$64)*$I$6:$I$64*O$6:O$64),"")</f>
        <v/>
      </c>
      <c r="P71" s="836">
        <f>IFERROR(SUMPRODUCT(($A71=$A$6:$A$64)*$I$6:$I$64*P$6:P$64),"")</f>
        <v/>
      </c>
      <c r="Q71" s="836">
        <f>IFERROR(SUMPRODUCT(($A71=$A$6:$A$64)*$I$6:$I$64*Q$6:Q$64),"")</f>
        <v/>
      </c>
      <c r="R71" s="836">
        <f>IFERROR(SUMPRODUCT(($A71=$A$6:$A$64)*$I$6:$I$64*R$6:R$64),"")</f>
        <v/>
      </c>
      <c r="S71" s="836">
        <f>IFERROR(SUMPRODUCT(($A71=$A$6:$A$64)*$I$6:$I$64*S$6:S$64),"")</f>
        <v/>
      </c>
      <c r="T71" s="836">
        <f>IFERROR(SUMPRODUCT(($A71=$A$6:$A$64)*$I$6:$I$64*T$6:T$64),"")</f>
        <v/>
      </c>
      <c r="U71" s="836">
        <f>IFERROR(SUMPRODUCT(($A71=$A$6:$A$64)*$I$6:$I$64*U$6:U$64),"")</f>
        <v/>
      </c>
      <c r="V71" s="836">
        <f>IFERROR(SUMPRODUCT(($A71=$A$6:$A$64)*$I$6:$I$64*V$6:V$64),"")</f>
        <v/>
      </c>
      <c r="W71" s="836">
        <f>IFERROR(SUMPRODUCT(($A71=$A$6:$A$64)*$I$6:$I$64*W$6:W$64),"")</f>
        <v/>
      </c>
      <c r="X71" s="836">
        <f>IFERROR(SUMPRODUCT(($A71=$A$6:$A$64)*$I$6:$I$64*X$6:X$64),"")</f>
        <v/>
      </c>
      <c r="Y71" s="836">
        <f>IFERROR(SUMPRODUCT(($A71=$A$6:$A$64)*$I$6:$I$64*Y$6:Y$64),"")</f>
        <v/>
      </c>
      <c r="Z71" s="836">
        <f>IFERROR(SUMPRODUCT(($A71=$A$6:$A$64)*$I$6:$I$64*Z$6:Z$64),"")</f>
        <v/>
      </c>
      <c r="AA71" s="836">
        <f>IFERROR(SUMPRODUCT(($A71=$A$6:$A$64)*$I$6:$I$64*AA$6:AA$64),"")</f>
        <v/>
      </c>
      <c r="AB71" s="836">
        <f>IFERROR(SUMPRODUCT(($A71=$A$6:$A$64)*$I$6:$I$64*AB$6:AB$64),"")</f>
        <v/>
      </c>
      <c r="AC71" s="836">
        <f>IFERROR(SUMPRODUCT(($A71=$A$6:$A$64)*$I$6:$I$64*AC$6:AC$64),"")</f>
        <v/>
      </c>
      <c r="AD71" s="836">
        <f>IFERROR(SUMPRODUCT(($A71=$A$6:$A$64)*$I$6:$I$64*AD$6:AD$64),"")</f>
        <v/>
      </c>
      <c r="AE71" s="836">
        <f>IFERROR(SUMPRODUCT(($A71=$A$6:$A$64)*$I$6:$I$64*AE$6:AE$64),"")</f>
        <v/>
      </c>
      <c r="AF71" s="836">
        <f>IFERROR(SUMPRODUCT(($A71=$A$6:$A$64)*$I$6:$I$64*AF$6:AF$64),"")</f>
        <v/>
      </c>
      <c r="AG71" s="836">
        <f>IFERROR(SUMPRODUCT(($A71=$A$6:$A$64)*$I$6:$I$64*AG$6:AG$64),"")</f>
        <v/>
      </c>
      <c r="AH71" s="836">
        <f>IFERROR(SUMPRODUCT(($A71=$A$6:$A$64)*$I$6:$I$64*AH$6:AH$64),"")</f>
        <v/>
      </c>
      <c r="AI71" s="836">
        <f>IFERROR(SUMPRODUCT(($A71=$A$6:$A$64)*$I$6:$I$64*AI$6:AI$64),"")</f>
        <v/>
      </c>
      <c r="AJ71" s="836">
        <f>IFERROR(SUMPRODUCT(($A71=$A$6:$A$64)*$I$6:$I$64*AJ$6:AJ$64),"")</f>
        <v/>
      </c>
      <c r="AK71" s="836">
        <f>IFERROR(SUMPRODUCT(($A71=$A$6:$A$64)*$I$6:$I$64*AK$6:AK$64),"")</f>
        <v/>
      </c>
      <c r="AL71" s="836">
        <f>IFERROR(SUMPRODUCT(($A71=$A$6:$A$64)*$I$6:$I$64*AL$6:AL$64),"")</f>
        <v/>
      </c>
      <c r="AM71" s="836">
        <f>IFERROR(SUMPRODUCT(($A71=$A$6:$A$64)*$I$6:$I$64*AM$6:AM$64),"")</f>
        <v/>
      </c>
      <c r="AN71" s="836">
        <f>IFERROR(SUMPRODUCT(($A71=$A$6:$A$64)*$I$6:$I$64*AN$6:AN$64),"")</f>
        <v/>
      </c>
      <c r="AO71" s="836">
        <f>IFERROR(SUMPRODUCT(($A71=$A$6:$A$64)*$I$6:$I$64*AO$6:AO$64),"")</f>
        <v/>
      </c>
      <c r="AP71" s="836">
        <f>IFERROR(SUMPRODUCT(($A71=$A$6:$A$64)*$I$6:$I$64*AP$6:AP$64),"")</f>
        <v/>
      </c>
      <c r="AQ71" s="836">
        <f>IFERROR(SUMPRODUCT(($A71=$A$6:$A$64)*$I$6:$I$64*AQ$6:AQ$64),"")</f>
        <v/>
      </c>
      <c r="AR71" s="836">
        <f>IFERROR(SUMPRODUCT(($A71=$A$6:$A$64)*$I$6:$I$64*AR$6:AR$64),"")</f>
        <v/>
      </c>
      <c r="AS71" s="836">
        <f>IFERROR(SUMPRODUCT(($A71=$A$6:$A$64)*$I$6:$I$64*AS$6:AS$64),"")</f>
        <v/>
      </c>
      <c r="AT71" s="836">
        <f>IFERROR(SUMPRODUCT(($A71=$A$6:$A$64)*$I$6:$I$64*AT$6:AT$64),"")</f>
        <v/>
      </c>
      <c r="AU71" s="836">
        <f>IFERROR(SUMPRODUCT(($A71=$A$6:$A$64)*$I$6:$I$64*AU$6:AU$64),"")</f>
        <v/>
      </c>
      <c r="AV71" s="836">
        <f>IFERROR(SUMPRODUCT(($A71=$A$6:$A$64)*$I$6:$I$64*AV$6:AV$64),"")</f>
        <v/>
      </c>
      <c r="AW71" s="836">
        <f>IFERROR(SUMPRODUCT(($A71=$A$6:$A$64)*$I$6:$I$64*AW$6:AW$64),"")</f>
        <v/>
      </c>
      <c r="AX71" s="836">
        <f>IFERROR(SUMPRODUCT(($A71=$A$6:$A$64)*$I$6:$I$64*AX$6:AX$64),"")</f>
        <v/>
      </c>
      <c r="AY71" s="836">
        <f>IFERROR(SUMPRODUCT(($A71=$A$6:$A$64)*$I$6:$I$64*AY$6:AY$64),"")</f>
        <v/>
      </c>
      <c r="AZ71" s="836">
        <f>IFERROR(SUMPRODUCT(($A71=$A$6:$A$64)*$I$6:$I$64*AZ$6:AZ$64),"")</f>
        <v/>
      </c>
      <c r="BA71" s="836">
        <f>IFERROR(SUMPRODUCT(($A71=$A$6:$A$64)*$I$6:$I$64*BA$6:BA$64),"")</f>
        <v/>
      </c>
      <c r="BB71" s="836">
        <f>IFERROR(SUMPRODUCT(($A71=$A$6:$A$64)*$I$6:$I$64*BB$6:BB$64),"")</f>
        <v/>
      </c>
      <c r="BC71" s="836">
        <f>IFERROR(SUMPRODUCT(($A71=$A$6:$A$64)*$I$6:$I$64*BC$6:BC$64),"")</f>
        <v/>
      </c>
      <c r="BD71" s="836">
        <f>IFERROR(SUMPRODUCT(($A71=$A$6:$A$64)*$I$6:$I$64*BD$6:BD$64),"")</f>
        <v/>
      </c>
      <c r="BE71" s="836">
        <f>IFERROR(SUMPRODUCT(($A71=$A$6:$A$64)*$I$6:$I$64*BE$6:BE$64),"")</f>
        <v/>
      </c>
      <c r="BF71" s="836">
        <f>IFERROR(SUMPRODUCT(($A71=$A$6:$A$64)*$I$6:$I$64*BF$6:BF$64),"")</f>
        <v/>
      </c>
      <c r="BG71" s="836">
        <f>IFERROR(SUMPRODUCT(($A71=$A$6:$A$64)*$I$6:$I$64*BG$6:BG$64),"")</f>
        <v/>
      </c>
      <c r="BH71" s="836">
        <f>IFERROR(SUMPRODUCT(($A71=$A$6:$A$64)*$I$6:$I$64*BH$6:BH$64),"")</f>
        <v/>
      </c>
      <c r="BI71" s="836">
        <f>IFERROR(SUMPRODUCT(($A71=$A$6:$A$64)*$I$6:$I$64*BI$6:BI$64),"")</f>
        <v/>
      </c>
      <c r="BJ71" s="836">
        <f>IFERROR(SUMPRODUCT(($A71=$A$6:$A$64)*$I$6:$I$64*BJ$6:BJ$64),"")</f>
        <v/>
      </c>
      <c r="BK71" s="836" t="n"/>
      <c r="BL71" s="836">
        <f>SUMPRODUCT(--(MOD(COLUMN($O71:$AL71),4)=MOD(COLUMN($O71)+0,4)),$O71:$AL71)
+SUMPRODUCT(--(MOD(COLUMN($AM71:$BJ71),4)=MOD(COLUMN($AM71)+0,4)),$AM71:$BJ71)</f>
        <v/>
      </c>
      <c r="BM71" s="838">
        <f>SUMPRODUCT(--(MOD(COLUMN($O71:$AL71),4)=MOD(COLUMN($O71)+0,4)),$O71:$AL71)*
$I71+SUMPRODUCT(--(MOD(COLUMN($AM71:$BJ71),4)=MOD(COLUMN($AM71)+0,4)),$AM71:$BJ71)*$I71</f>
        <v/>
      </c>
      <c r="BN71" s="836">
        <f>SUMPRODUCT(--(MOD(COLUMN($O71:$AL71),4)=MOD(COLUMN($O71)+1,4)),$O71:$AL71)
+SUMPRODUCT(--(MOD(COLUMN($AM71:$BJ71),4)=MOD(COLUMN($AM71)+1,4)),$AM71:$BJ71)</f>
        <v/>
      </c>
      <c r="BO71" s="836">
        <f>SUMPRODUCT(--(MOD(COLUMN($O71:$AL71),4)=MOD(COLUMN($O71)+1,4)),$O71:$AL71)*
$I71+SUMPRODUCT(--(MOD(COLUMN($AM71:$BJ71),4)=MOD(COLUMN($AM71)+1,4)),$AM71:$BJ71)*$I71</f>
        <v/>
      </c>
      <c r="BP71" s="836">
        <f>SUMPRODUCT(--(MOD(COLUMN($O71:$AL71),4)=MOD(COLUMN($O71)+2,4)),$O71:$AL71)
+SUMPRODUCT(--(MOD(COLUMN($AM71:$BJ71),4)=MOD(COLUMN($AM71)+2,4)),$AM71:$BJ71)</f>
        <v/>
      </c>
      <c r="BQ71" s="836">
        <f>SUMPRODUCT(--(MOD(COLUMN($O71:$AL71),4)=MOD(COLUMN($O71)+2,4)),$O71:$AL71)*
$I71+SUMPRODUCT(--(MOD(COLUMN($AM71:$BJ71),4)=MOD(COLUMN($AM71)+2,4)),$AM71:$BJ71)*$I71</f>
        <v/>
      </c>
      <c r="BR71" s="836" t="n"/>
      <c r="BS71" s="836" t="n"/>
      <c r="BT71" s="836" t="n"/>
      <c r="BU71" s="836" t="n"/>
      <c r="BV71" s="836" t="n"/>
      <c r="BW71" s="836" t="n"/>
      <c r="BX71" s="814" t="n"/>
      <c r="BY71" s="836" t="n"/>
      <c r="BZ71" s="836" t="n"/>
      <c r="CA71" s="836" t="n"/>
      <c r="CB71" s="836" t="n"/>
      <c r="CC71" s="836" t="n"/>
      <c r="CD71" s="836" t="n"/>
      <c r="CE71" s="836" t="n"/>
      <c r="CF71" s="836" t="n"/>
      <c r="CG71" s="836" t="n"/>
      <c r="CH71" s="836" t="n"/>
      <c r="CI71" s="836" t="n"/>
      <c r="CJ71" s="836" t="n"/>
      <c r="CK71" s="836" t="n"/>
      <c r="CL71" s="836" t="n"/>
      <c r="CM71" s="836" t="n"/>
      <c r="CN71" s="836" t="n"/>
      <c r="CO71" s="836" t="n"/>
      <c r="CP71" s="836" t="n"/>
      <c r="CQ71" s="836" t="n"/>
      <c r="CR71" s="836" t="n"/>
      <c r="CS71" s="836" t="n"/>
      <c r="CT71" s="836" t="n"/>
      <c r="CU71" s="836" t="n"/>
      <c r="CV71" s="836" t="n"/>
      <c r="CW71" s="836" t="n"/>
      <c r="CX71" s="836" t="n"/>
      <c r="CY71" s="836" t="n"/>
      <c r="CZ71" s="836" t="n"/>
      <c r="DA71" s="836" t="n"/>
      <c r="DB71" s="836" t="n"/>
      <c r="DC71" s="836" t="n"/>
      <c r="DD71" s="836" t="n"/>
      <c r="DE71" s="836" t="n"/>
      <c r="DF71" s="836" t="n"/>
      <c r="DG71" s="836" t="n"/>
      <c r="DH71" s="836" t="n"/>
      <c r="DI71" s="836" t="n"/>
      <c r="DJ71" s="836" t="n"/>
      <c r="DK71" s="836" t="n"/>
      <c r="DL71" s="836" t="n"/>
      <c r="DM71" s="836" t="n"/>
      <c r="DN71" s="836" t="n"/>
      <c r="DO71" s="836" t="n"/>
      <c r="DP71" s="836" t="n"/>
      <c r="DQ71" s="836" t="n"/>
      <c r="DR71" s="836" t="n"/>
      <c r="DS71" s="836" t="n"/>
      <c r="DT71" s="836" t="n"/>
      <c r="DU71" s="836" t="n"/>
      <c r="DV71" s="836" t="n"/>
      <c r="DW71" s="836" t="n"/>
      <c r="DX71" s="836" t="n"/>
      <c r="DY71" s="836" t="n"/>
      <c r="DZ71" s="836" t="n"/>
      <c r="EA71" s="836" t="n"/>
      <c r="EB71" s="814" t="n"/>
      <c r="EC71" s="836" t="n"/>
      <c r="ED71" s="836" t="n"/>
      <c r="EE71" s="836" t="n"/>
      <c r="EF71" s="836" t="n"/>
      <c r="EG71" s="836" t="n"/>
      <c r="EH71" s="836" t="n"/>
      <c r="EI71" s="836" t="n"/>
      <c r="EJ71" s="836" t="n"/>
      <c r="EK71" s="836" t="n"/>
      <c r="EL71" s="836" t="n"/>
      <c r="EM71" s="836" t="n"/>
      <c r="EN71" s="836" t="n"/>
      <c r="EO71" s="836" t="n"/>
      <c r="EP71" s="836" t="n"/>
      <c r="EQ71" s="836" t="n"/>
      <c r="ER71" s="836" t="n"/>
      <c r="ES71" s="836" t="n"/>
      <c r="ET71" s="836" t="n"/>
      <c r="EU71" s="836" t="n"/>
      <c r="EV71" s="836" t="n"/>
      <c r="EW71" s="836" t="n"/>
      <c r="EX71" s="836" t="n"/>
      <c r="EY71" s="836" t="n"/>
      <c r="EZ71" s="836" t="n"/>
      <c r="FA71" s="836" t="n"/>
      <c r="FB71" s="836" t="n"/>
      <c r="FC71" s="836" t="n"/>
      <c r="FD71" s="836" t="n"/>
      <c r="FE71" s="836" t="n"/>
      <c r="FF71" s="836" t="n"/>
      <c r="FG71" s="836" t="n"/>
      <c r="FH71" s="836" t="n"/>
      <c r="FI71" s="836" t="n"/>
      <c r="FJ71" s="836" t="n"/>
      <c r="FK71" s="836" t="n"/>
      <c r="FL71" s="836" t="n"/>
      <c r="FM71" s="836" t="n"/>
      <c r="FN71" s="836" t="n"/>
      <c r="FO71" s="836" t="n"/>
      <c r="FP71" s="836" t="n"/>
      <c r="FQ71" s="836" t="n"/>
      <c r="FR71" s="836" t="n"/>
      <c r="FS71" s="836" t="n"/>
      <c r="FT71" s="68" t="n"/>
      <c r="FU71" s="68" t="n"/>
      <c r="FV71" s="68" t="n"/>
      <c r="FW71" s="68" t="n"/>
      <c r="FX71" s="68" t="n"/>
      <c r="FY71" s="68" t="n"/>
      <c r="FZ71" s="68" t="n"/>
      <c r="GA71" s="68" t="n"/>
      <c r="GB71" s="51" t="n"/>
      <c r="GC71" s="68" t="n"/>
      <c r="GD71" s="68" t="n"/>
      <c r="GE71" s="68" t="n"/>
      <c r="GF71" s="68" t="n"/>
      <c r="GG71" s="68" t="n"/>
      <c r="GH71" s="68" t="n"/>
      <c r="GI71" s="68" t="n"/>
      <c r="GJ71" s="68" t="n"/>
      <c r="GK71" s="68" t="n"/>
      <c r="GL71" s="68" t="n"/>
      <c r="GM71" s="68" t="n"/>
      <c r="GN71" s="68" t="n"/>
      <c r="GO71" s="68" t="n"/>
      <c r="GP71" s="68" t="n"/>
      <c r="GQ71" s="68" t="n"/>
      <c r="GR71" s="68" t="n"/>
      <c r="GS71" s="68" t="n"/>
      <c r="GT71" s="68" t="n"/>
      <c r="GU71" s="68" t="n"/>
      <c r="GV71" s="68" t="n"/>
      <c r="GW71" s="68" t="n"/>
      <c r="GX71" s="68" t="n"/>
      <c r="GY71" s="68" t="n"/>
      <c r="GZ71" s="68" t="n"/>
      <c r="HA71" s="68" t="n"/>
      <c r="HB71" s="68" t="n"/>
      <c r="HC71" s="68" t="n"/>
      <c r="HD71" s="68" t="n"/>
      <c r="HE71" s="68" t="n"/>
      <c r="HF71" s="68" t="n"/>
      <c r="HG71" s="68" t="n"/>
      <c r="HH71" s="68" t="n"/>
      <c r="HI71" s="68" t="n"/>
      <c r="HJ71" s="68" t="n"/>
      <c r="HK71" s="68" t="n"/>
      <c r="HL71" s="68" t="n"/>
      <c r="HM71" s="68" t="n"/>
      <c r="HN71" s="68" t="n"/>
      <c r="HO71" s="68" t="n"/>
      <c r="HP71" s="68" t="n"/>
      <c r="HQ71" s="68" t="n"/>
      <c r="HR71" s="68" t="n"/>
      <c r="HS71" s="68" t="n"/>
      <c r="HT71" s="68" t="n"/>
      <c r="HU71" s="68" t="n"/>
      <c r="HV71" s="68" t="n"/>
      <c r="HW71" s="68" t="n"/>
      <c r="HX71" s="68" t="n"/>
      <c r="HY71" s="68" t="n"/>
      <c r="HZ71" s="68" t="n"/>
    </row>
    <row r="72" outlineLevel="1" customFormat="1" s="69">
      <c r="A72" s="70" t="inlineStr">
        <is>
          <t>ВСЕ</t>
        </is>
      </c>
      <c r="E72" s="70" t="n"/>
      <c r="H72" s="71" t="inlineStr">
        <is>
          <t>CNY, без НДС:</t>
        </is>
      </c>
      <c r="I72" s="841" t="n"/>
      <c r="J72" s="841" t="n"/>
      <c r="K72" s="841" t="n"/>
      <c r="L72" s="841" t="n"/>
      <c r="M72" s="841" t="n"/>
      <c r="N72" s="842">
        <f>IF(BP72&gt;0,1,IF(BN72&gt;0,2,))</f>
        <v/>
      </c>
      <c r="O72" s="841">
        <f>IFERROR(SUMPRODUCT($I$6:$I$64,O$6:O$64),"")</f>
        <v/>
      </c>
      <c r="P72" s="841">
        <f>IFERROR(SUMPRODUCT($I$6:$I$64,P$6:P$64),"")</f>
        <v/>
      </c>
      <c r="Q72" s="841">
        <f>IFERROR(SUMPRODUCT($I$6:$I$64,Q$6:Q$64),"")</f>
        <v/>
      </c>
      <c r="R72" s="841">
        <f>IFERROR(SUMPRODUCT($I$6:$I$64,R$6:R$64),"")</f>
        <v/>
      </c>
      <c r="S72" s="841">
        <f>IFERROR(SUMPRODUCT($I$6:$I$64,S$6:S$64),"")</f>
        <v/>
      </c>
      <c r="T72" s="841">
        <f>IFERROR(SUMPRODUCT($I$6:$I$64,T$6:T$64),"")</f>
        <v/>
      </c>
      <c r="U72" s="841">
        <f>IFERROR(SUMPRODUCT($I$6:$I$64,U$6:U$64),"")</f>
        <v/>
      </c>
      <c r="V72" s="841">
        <f>IFERROR(SUMPRODUCT($I$6:$I$64,V$6:V$64),"")</f>
        <v/>
      </c>
      <c r="W72" s="841">
        <f>IFERROR(SUMPRODUCT($I$6:$I$64,W$6:W$64),"")</f>
        <v/>
      </c>
      <c r="X72" s="841">
        <f>IFERROR(SUMPRODUCT($I$6:$I$64,X$6:X$64),"")</f>
        <v/>
      </c>
      <c r="Y72" s="841">
        <f>IFERROR(SUMPRODUCT($I$6:$I$64,Y$6:Y$64),"")</f>
        <v/>
      </c>
      <c r="Z72" s="841">
        <f>IFERROR(SUMPRODUCT($I$6:$I$64,Z$6:Z$64),"")</f>
        <v/>
      </c>
      <c r="AA72" s="841">
        <f>IFERROR(SUMPRODUCT($I$6:$I$64,AA$6:AA$64),"")</f>
        <v/>
      </c>
      <c r="AB72" s="841">
        <f>IFERROR(SUMPRODUCT($I$6:$I$64,AB$6:AB$64),"")</f>
        <v/>
      </c>
      <c r="AC72" s="841">
        <f>IFERROR(SUMPRODUCT($I$6:$I$64,AC$6:AC$64),"")</f>
        <v/>
      </c>
      <c r="AD72" s="841">
        <f>IFERROR(SUMPRODUCT($I$6:$I$64,AD$6:AD$64),"")</f>
        <v/>
      </c>
      <c r="AE72" s="841">
        <f>IFERROR(SUMPRODUCT($I$6:$I$64,AE$6:AE$64),"")</f>
        <v/>
      </c>
      <c r="AF72" s="841">
        <f>IFERROR(SUMPRODUCT($I$6:$I$64,AF$6:AF$64),"")</f>
        <v/>
      </c>
      <c r="AG72" s="841">
        <f>IFERROR(SUMPRODUCT($I$6:$I$64,AG$6:AG$64),"")</f>
        <v/>
      </c>
      <c r="AH72" s="841">
        <f>IFERROR(SUMPRODUCT($I$6:$I$64,AH$6:AH$64),"")</f>
        <v/>
      </c>
      <c r="AI72" s="841">
        <f>IFERROR(SUMPRODUCT($I$6:$I$64,AI$6:AI$64),"")</f>
        <v/>
      </c>
      <c r="AJ72" s="841">
        <f>IFERROR(SUMPRODUCT($I$6:$I$64,AJ$6:AJ$64),"")</f>
        <v/>
      </c>
      <c r="AK72" s="841">
        <f>IFERROR(SUMPRODUCT($I$6:$I$64,AK$6:AK$64),"")</f>
        <v/>
      </c>
      <c r="AL72" s="841">
        <f>IFERROR(SUMPRODUCT($I$6:$I$64,AL$6:AL$64),"")</f>
        <v/>
      </c>
      <c r="AM72" s="841">
        <f>IFERROR(SUMPRODUCT($I$6:$I$64,AM$6:AM$64),"")</f>
        <v/>
      </c>
      <c r="AN72" s="841">
        <f>IFERROR(SUMPRODUCT($I$6:$I$64,AN$6:AN$64),"")</f>
        <v/>
      </c>
      <c r="AO72" s="841">
        <f>IFERROR(SUMPRODUCT($I$6:$I$64,AO$6:AO$64),"")</f>
        <v/>
      </c>
      <c r="AP72" s="841">
        <f>IFERROR(SUMPRODUCT($I$6:$I$64,AP$6:AP$64),"")</f>
        <v/>
      </c>
      <c r="AQ72" s="841">
        <f>IFERROR(SUMPRODUCT($I$6:$I$64,AQ$6:AQ$64),"")</f>
        <v/>
      </c>
      <c r="AR72" s="841">
        <f>IFERROR(SUMPRODUCT($I$6:$I$64,AR$6:AR$64),"")</f>
        <v/>
      </c>
      <c r="AS72" s="841">
        <f>IFERROR(SUMPRODUCT($I$6:$I$64,AS$6:AS$64),"")</f>
        <v/>
      </c>
      <c r="AT72" s="841">
        <f>IFERROR(SUMPRODUCT($I$6:$I$64,AT$6:AT$64),"")</f>
        <v/>
      </c>
      <c r="AU72" s="841">
        <f>IFERROR(SUMPRODUCT($I$6:$I$64,AU$6:AU$64),"")</f>
        <v/>
      </c>
      <c r="AV72" s="841">
        <f>IFERROR(SUMPRODUCT($I$6:$I$64,AV$6:AV$64),"")</f>
        <v/>
      </c>
      <c r="AW72" s="841">
        <f>IFERROR(SUMPRODUCT($I$6:$I$64,AW$6:AW$64),"")</f>
        <v/>
      </c>
      <c r="AX72" s="841">
        <f>IFERROR(SUMPRODUCT($I$6:$I$64,AX$6:AX$64),"")</f>
        <v/>
      </c>
      <c r="AY72" s="841">
        <f>IFERROR(SUMPRODUCT($I$6:$I$64,AY$6:AY$64),"")</f>
        <v/>
      </c>
      <c r="AZ72" s="841">
        <f>IFERROR(SUMPRODUCT($I$6:$I$64,AZ$6:AZ$64),"")</f>
        <v/>
      </c>
      <c r="BA72" s="841">
        <f>IFERROR(SUMPRODUCT($I$6:$I$64,BA$6:BA$64),"")</f>
        <v/>
      </c>
      <c r="BB72" s="841">
        <f>IFERROR(SUMPRODUCT($I$6:$I$64,BB$6:BB$64),"")</f>
        <v/>
      </c>
      <c r="BC72" s="841">
        <f>IFERROR(SUMPRODUCT($I$6:$I$64,BC$6:BC$64),"")</f>
        <v/>
      </c>
      <c r="BD72" s="841">
        <f>IFERROR(SUMPRODUCT($I$6:$I$64,BD$6:BD$64),"")</f>
        <v/>
      </c>
      <c r="BE72" s="841">
        <f>IFERROR(SUMPRODUCT($I$6:$I$64,BE$6:BE$64),"")</f>
        <v/>
      </c>
      <c r="BF72" s="841">
        <f>IFERROR(SUMPRODUCT($I$6:$I$64,BF$6:BF$64),"")</f>
        <v/>
      </c>
      <c r="BG72" s="841">
        <f>IFERROR(SUMPRODUCT($I$6:$I$64,BG$6:BG$64),"")</f>
        <v/>
      </c>
      <c r="BH72" s="841">
        <f>IFERROR(SUMPRODUCT($I$6:$I$64,BH$6:BH$64),"")</f>
        <v/>
      </c>
      <c r="BI72" s="841">
        <f>IFERROR(SUMPRODUCT($I$6:$I$64,BI$6:BI$64),"")</f>
        <v/>
      </c>
      <c r="BJ72" s="841">
        <f>IFERROR(SUMPRODUCT($I$6:$I$64,BJ$6:BJ$64),"")</f>
        <v/>
      </c>
      <c r="BK72" s="841" t="n"/>
      <c r="BL72" s="841">
        <f>SUMPRODUCT(--(MOD(COLUMN($O72:$AL72),4)=MOD(COLUMN($O72)+0,4)),$O72:$AL72)
+SUMPRODUCT(--(MOD(COLUMN($AM72:$BJ72),4)=MOD(COLUMN($AM72)+0,4)),$AM72:$BJ72)</f>
        <v/>
      </c>
      <c r="BM72" s="843">
        <f>SUMPRODUCT(--(MOD(COLUMN($O72:$AL72),4)=MOD(COLUMN($O72)+0,4)),$O72:$AL72)*
$I72+SUMPRODUCT(--(MOD(COLUMN($AM72:$BJ72),4)=MOD(COLUMN($AM72)+0,4)),$AM72:$BJ72)*$I72</f>
        <v/>
      </c>
      <c r="BN72" s="841">
        <f>SUMPRODUCT(--(MOD(COLUMN($O72:$AL72),4)=MOD(COLUMN($O72)+1,4)),$O72:$AL72)
+SUMPRODUCT(--(MOD(COLUMN($AM72:$BJ72),4)=MOD(COLUMN($AM72)+1,4)),$AM72:$BJ72)</f>
        <v/>
      </c>
      <c r="BO72" s="841">
        <f>SUMPRODUCT(--(MOD(COLUMN($O72:$AL72),4)=MOD(COLUMN($O72)+1,4)),$O72:$AL72)*
$I72+SUMPRODUCT(--(MOD(COLUMN($AM72:$BJ72),4)=MOD(COLUMN($AM72)+1,4)),$AM72:$BJ72)*$I72</f>
        <v/>
      </c>
      <c r="BP72" s="841">
        <f>SUMPRODUCT(--(MOD(COLUMN($O72:$AL72),4)=MOD(COLUMN($O72)+2,4)),$O72:$AL72)
+SUMPRODUCT(--(MOD(COLUMN($AM72:$BJ72),4)=MOD(COLUMN($AM72)+2,4)),$AM72:$BJ72)</f>
        <v/>
      </c>
      <c r="BQ72" s="841">
        <f>SUMPRODUCT(--(MOD(COLUMN($O72:$AL72),4)=MOD(COLUMN($O72)+2,4)),$O72:$AL72)*
$I72+SUMPRODUCT(--(MOD(COLUMN($AM72:$BJ72),4)=MOD(COLUMN($AM72)+2,4)),$AM72:$BJ72)*$I72</f>
        <v/>
      </c>
      <c r="BR72" s="841" t="n"/>
      <c r="BS72" s="841" t="n"/>
      <c r="BT72" s="841" t="n"/>
      <c r="BU72" s="841" t="n"/>
      <c r="BV72" s="841" t="n"/>
      <c r="BW72" s="841" t="n"/>
      <c r="BX72" s="844" t="n"/>
      <c r="BY72" s="845" t="n"/>
      <c r="BZ72" s="845" t="n"/>
      <c r="CA72" s="846" t="n"/>
      <c r="CB72" s="841" t="n"/>
      <c r="CC72" s="841" t="n"/>
      <c r="CD72" s="841" t="n"/>
      <c r="CE72" s="841" t="n"/>
      <c r="CF72" s="841" t="n"/>
      <c r="CG72" s="841" t="n"/>
      <c r="CH72" s="841" t="n"/>
      <c r="CI72" s="841" t="n"/>
      <c r="CJ72" s="841" t="n"/>
      <c r="CK72" s="841" t="n"/>
      <c r="CL72" s="841" t="n"/>
      <c r="CM72" s="841" t="n"/>
      <c r="CN72" s="841" t="n"/>
      <c r="CO72" s="841" t="n"/>
      <c r="CP72" s="841" t="n"/>
      <c r="CQ72" s="841" t="n"/>
      <c r="CR72" s="841" t="n"/>
      <c r="CS72" s="841" t="n"/>
      <c r="CT72" s="841" t="n"/>
      <c r="CU72" s="841" t="n"/>
      <c r="CV72" s="841" t="n"/>
      <c r="CW72" s="841" t="n"/>
      <c r="CX72" s="841" t="n"/>
      <c r="CY72" s="841" t="n"/>
      <c r="CZ72" s="841" t="n"/>
      <c r="DA72" s="841" t="n"/>
      <c r="DB72" s="841" t="n"/>
      <c r="DC72" s="841" t="n"/>
      <c r="DD72" s="841" t="n"/>
      <c r="DE72" s="841" t="n"/>
      <c r="DF72" s="841" t="n"/>
      <c r="DG72" s="841" t="n"/>
      <c r="DH72" s="841" t="n"/>
      <c r="DI72" s="841" t="n"/>
      <c r="DJ72" s="841" t="n"/>
      <c r="DK72" s="841" t="n"/>
      <c r="DL72" s="841" t="n"/>
      <c r="DM72" s="841" t="n"/>
      <c r="DN72" s="841" t="n"/>
      <c r="DO72" s="841" t="n"/>
      <c r="DP72" s="841" t="n"/>
      <c r="DQ72" s="841" t="n"/>
      <c r="DR72" s="841" t="n"/>
      <c r="DS72" s="841" t="n"/>
      <c r="DT72" s="841" t="n"/>
      <c r="DU72" s="841" t="n"/>
      <c r="DV72" s="841" t="n"/>
      <c r="DW72" s="841" t="n"/>
      <c r="DX72" s="841" t="n"/>
      <c r="DY72" s="841" t="n"/>
      <c r="DZ72" s="841" t="n"/>
      <c r="EA72" s="841" t="n"/>
      <c r="EB72" s="846" t="n"/>
      <c r="EC72" s="841" t="n"/>
      <c r="ED72" s="841" t="n"/>
      <c r="EE72" s="841" t="n"/>
      <c r="EF72" s="841" t="n"/>
      <c r="EG72" s="841" t="n"/>
      <c r="EH72" s="841" t="n"/>
      <c r="EI72" s="841" t="n"/>
      <c r="EJ72" s="841" t="n"/>
      <c r="EK72" s="841" t="n"/>
      <c r="EL72" s="841" t="n"/>
      <c r="EM72" s="841" t="n"/>
      <c r="EN72" s="841" t="n"/>
      <c r="EO72" s="841" t="n"/>
      <c r="EP72" s="841" t="n"/>
      <c r="EQ72" s="841" t="n"/>
      <c r="ER72" s="841" t="n"/>
      <c r="ES72" s="841" t="n"/>
      <c r="ET72" s="841" t="n"/>
      <c r="EU72" s="841" t="n"/>
      <c r="EV72" s="841" t="n"/>
      <c r="EW72" s="841" t="n"/>
      <c r="EX72" s="841" t="n"/>
      <c r="EY72" s="841" t="n"/>
      <c r="EZ72" s="841" t="n"/>
      <c r="FA72" s="841" t="n"/>
      <c r="FB72" s="841" t="n"/>
      <c r="FC72" s="841" t="n"/>
      <c r="FD72" s="841" t="n"/>
      <c r="FE72" s="841" t="n"/>
      <c r="FF72" s="841" t="n"/>
      <c r="FG72" s="841" t="n"/>
      <c r="FH72" s="841" t="n"/>
      <c r="FI72" s="841" t="n"/>
      <c r="FJ72" s="841" t="n"/>
      <c r="FK72" s="841" t="n"/>
      <c r="FL72" s="841" t="n"/>
      <c r="FM72" s="841" t="n"/>
      <c r="FN72" s="841" t="n"/>
      <c r="FO72" s="841" t="n"/>
      <c r="FP72" s="841" t="n"/>
      <c r="FQ72" s="841" t="n"/>
      <c r="FR72" s="841" t="n"/>
      <c r="FS72" s="841" t="n"/>
      <c r="FT72" s="71" t="n"/>
      <c r="FU72" s="71" t="n"/>
      <c r="FV72" s="71" t="n"/>
      <c r="FW72" s="71" t="n"/>
      <c r="FX72" s="71" t="n"/>
      <c r="FY72" s="71" t="n"/>
      <c r="FZ72" s="71" t="n"/>
      <c r="GA72" s="71" t="n"/>
      <c r="GB72" s="76" t="n"/>
      <c r="GC72" s="71" t="n"/>
      <c r="GD72" s="71" t="n"/>
      <c r="GE72" s="71" t="n"/>
      <c r="GF72" s="71" t="n"/>
      <c r="GG72" s="71" t="n"/>
      <c r="GH72" s="71" t="n"/>
      <c r="GI72" s="71" t="n"/>
      <c r="GJ72" s="71" t="n"/>
      <c r="GK72" s="71" t="n"/>
      <c r="GL72" s="71" t="n"/>
      <c r="GM72" s="71" t="n"/>
      <c r="GN72" s="71" t="n"/>
      <c r="GO72" s="71" t="n"/>
      <c r="GP72" s="71" t="n"/>
      <c r="GQ72" s="71" t="n"/>
      <c r="GR72" s="71" t="n"/>
      <c r="GS72" s="71" t="n"/>
      <c r="GT72" s="71" t="n"/>
      <c r="GU72" s="71" t="n"/>
      <c r="GV72" s="71" t="n"/>
      <c r="GW72" s="71" t="n"/>
      <c r="GX72" s="71" t="n"/>
      <c r="GY72" s="71" t="n"/>
      <c r="GZ72" s="71" t="n"/>
      <c r="HA72" s="71" t="n"/>
      <c r="HB72" s="71" t="n"/>
      <c r="HC72" s="71" t="n"/>
      <c r="HD72" s="71" t="n"/>
      <c r="HE72" s="71" t="n"/>
      <c r="HF72" s="71" t="n"/>
      <c r="HG72" s="71" t="n"/>
      <c r="HH72" s="71" t="n"/>
      <c r="HI72" s="71" t="n"/>
      <c r="HJ72" s="71" t="n"/>
      <c r="HK72" s="71" t="n"/>
      <c r="HL72" s="71" t="n"/>
      <c r="HM72" s="71" t="n"/>
      <c r="HN72" s="71" t="n"/>
      <c r="HO72" s="71" t="n"/>
      <c r="HP72" s="71" t="n"/>
      <c r="HQ72" s="71" t="n"/>
      <c r="HR72" s="71" t="n"/>
      <c r="HS72" s="71" t="n"/>
      <c r="HT72" s="71" t="n"/>
      <c r="HU72" s="71" t="n"/>
      <c r="HV72" s="71" t="n"/>
      <c r="HW72" s="71" t="n"/>
      <c r="HX72" s="71" t="n"/>
      <c r="HY72" s="71" t="n"/>
      <c r="HZ72" s="71" t="n"/>
    </row>
    <row r="73" outlineLevel="2" customFormat="1" s="77">
      <c r="A73" s="78" t="inlineStr">
        <is>
          <t>АВТОКОМПОНЕНТ НАО</t>
        </is>
      </c>
      <c r="B73" s="79" t="n"/>
      <c r="C73" s="79" t="n"/>
      <c r="D73" s="79" t="n"/>
      <c r="E73" s="510" t="n"/>
      <c r="F73" s="79" t="n"/>
      <c r="G73" s="79" t="n"/>
      <c r="H73" s="80" t="inlineStr">
        <is>
          <t>шт.:</t>
        </is>
      </c>
      <c r="I73" s="847" t="n"/>
      <c r="J73" s="847" t="n"/>
      <c r="K73" s="847" t="n"/>
      <c r="L73" s="847" t="n"/>
      <c r="M73" s="847" t="n"/>
      <c r="N73" s="848">
        <f>IF(BP73&gt;0,1,IF(BN73&gt;0,2,))</f>
        <v/>
      </c>
      <c r="O73" s="849">
        <f>IFERROR(SUMPRODUCT(($A73=$A$6:$A$64)*($G$6:$G$64&gt;0)*O$6:O$64),"")</f>
        <v/>
      </c>
      <c r="P73" s="849">
        <f>IFERROR(SUMPRODUCT(($A73=$A$6:$A$64)*($G$6:$G$64&gt;0)*P$6:P$64),"")</f>
        <v/>
      </c>
      <c r="Q73" s="849">
        <f>IFERROR(SUMPRODUCT(($A73=$A$6:$A$64)*($G$6:$G$64&gt;0)*Q$6:Q$64),"")</f>
        <v/>
      </c>
      <c r="R73" s="849">
        <f>IFERROR(SUMPRODUCT(($A73=$A$6:$A$64)*($G$6:$G$64&gt;0)*R$6:R$64),"")</f>
        <v/>
      </c>
      <c r="S73" s="849">
        <f>IFERROR(SUMPRODUCT(($A73=$A$6:$A$64)*($G$6:$G$64&gt;0)*S$6:S$64),"")</f>
        <v/>
      </c>
      <c r="T73" s="849">
        <f>IFERROR(SUMPRODUCT(($A73=$A$6:$A$64)*($G$6:$G$64&gt;0)*T$6:T$64),"")</f>
        <v/>
      </c>
      <c r="U73" s="849">
        <f>IFERROR(SUMPRODUCT(($A73=$A$6:$A$64)*($G$6:$G$64&gt;0)*U$6:U$64),"")</f>
        <v/>
      </c>
      <c r="V73" s="849">
        <f>IFERROR(SUMPRODUCT(($A73=$A$6:$A$64)*($G$6:$G$64&gt;0)*V$6:V$64),"")</f>
        <v/>
      </c>
      <c r="W73" s="849">
        <f>IFERROR(SUMPRODUCT(($A73=$A$6:$A$64)*($G$6:$G$64&gt;0)*W$6:W$64),"")</f>
        <v/>
      </c>
      <c r="X73" s="849">
        <f>IFERROR(SUMPRODUCT(($A73=$A$6:$A$64)*($G$6:$G$64&gt;0)*X$6:X$64),"")</f>
        <v/>
      </c>
      <c r="Y73" s="849">
        <f>IFERROR(SUMPRODUCT(($A73=$A$6:$A$64)*($G$6:$G$64&gt;0)*Y$6:Y$64),"")</f>
        <v/>
      </c>
      <c r="Z73" s="849">
        <f>IFERROR(SUMPRODUCT(($A73=$A$6:$A$64)*($G$6:$G$64&gt;0)*Z$6:Z$64),"")</f>
        <v/>
      </c>
      <c r="AA73" s="849">
        <f>IFERROR(SUMPRODUCT(($A73=$A$6:$A$64)*($G$6:$G$64&gt;0)*AA$6:AA$64),"")</f>
        <v/>
      </c>
      <c r="AB73" s="849">
        <f>IFERROR(SUMPRODUCT(($A73=$A$6:$A$64)*($G$6:$G$64&gt;0)*AB$6:AB$64),"")</f>
        <v/>
      </c>
      <c r="AC73" s="849">
        <f>IFERROR(SUMPRODUCT(($A73=$A$6:$A$64)*($G$6:$G$64&gt;0)*AC$6:AC$64),"")</f>
        <v/>
      </c>
      <c r="AD73" s="849">
        <f>IFERROR(SUMPRODUCT(($A73=$A$6:$A$64)*($G$6:$G$64&gt;0)*AD$6:AD$64),"")</f>
        <v/>
      </c>
      <c r="AE73" s="849">
        <f>IFERROR(SUMPRODUCT(($A73=$A$6:$A$64)*($G$6:$G$64&gt;0)*AE$6:AE$64),"")</f>
        <v/>
      </c>
      <c r="AF73" s="849">
        <f>IFERROR(SUMPRODUCT(($A73=$A$6:$A$64)*($G$6:$G$64&gt;0)*AF$6:AF$64),"")</f>
        <v/>
      </c>
      <c r="AG73" s="849">
        <f>IFERROR(SUMPRODUCT(($A73=$A$6:$A$64)*($G$6:$G$64&gt;0)*AG$6:AG$64),"")</f>
        <v/>
      </c>
      <c r="AH73" s="849">
        <f>IFERROR(SUMPRODUCT(($A73=$A$6:$A$64)*($G$6:$G$64&gt;0)*AH$6:AH$64),"")</f>
        <v/>
      </c>
      <c r="AI73" s="849">
        <f>IFERROR(SUMPRODUCT(($A73=$A$6:$A$64)*($G$6:$G$64&gt;0)*AI$6:AI$64),"")</f>
        <v/>
      </c>
      <c r="AJ73" s="849">
        <f>IFERROR(SUMPRODUCT(($A73=$A$6:$A$64)*($G$6:$G$64&gt;0)*AJ$6:AJ$64),"")</f>
        <v/>
      </c>
      <c r="AK73" s="849">
        <f>IFERROR(SUMPRODUCT(($A73=$A$6:$A$64)*($G$6:$G$64&gt;0)*AK$6:AK$64),"")</f>
        <v/>
      </c>
      <c r="AL73" s="849">
        <f>IFERROR(SUMPRODUCT(($A73=$A$6:$A$64)*($G$6:$G$64&gt;0)*AL$6:AL$64),"")</f>
        <v/>
      </c>
      <c r="AM73" s="849">
        <f>IFERROR(SUMPRODUCT(($A73=$A$6:$A$64)*($G$6:$G$64&gt;0)*AM$6:AM$64),"")</f>
        <v/>
      </c>
      <c r="AN73" s="849">
        <f>IFERROR(SUMPRODUCT(($A73=$A$6:$A$64)*($G$6:$G$64&gt;0)*AN$6:AN$64),"")</f>
        <v/>
      </c>
      <c r="AO73" s="849">
        <f>IFERROR(SUMPRODUCT(($A73=$A$6:$A$64)*($G$6:$G$64&gt;0)*AO$6:AO$64),"")</f>
        <v/>
      </c>
      <c r="AP73" s="849">
        <f>IFERROR(SUMPRODUCT(($A73=$A$6:$A$64)*($G$6:$G$64&gt;0)*AP$6:AP$64),"")</f>
        <v/>
      </c>
      <c r="AQ73" s="849">
        <f>IFERROR(SUMPRODUCT(($A73=$A$6:$A$64)*($G$6:$G$64&gt;0)*AQ$6:AQ$64),"")</f>
        <v/>
      </c>
      <c r="AR73" s="849">
        <f>IFERROR(SUMPRODUCT(($A73=$A$6:$A$64)*($G$6:$G$64&gt;0)*AR$6:AR$64),"")</f>
        <v/>
      </c>
      <c r="AS73" s="849">
        <f>IFERROR(SUMPRODUCT(($A73=$A$6:$A$64)*($G$6:$G$64&gt;0)*AS$6:AS$64),"")</f>
        <v/>
      </c>
      <c r="AT73" s="849">
        <f>IFERROR(SUMPRODUCT(($A73=$A$6:$A$64)*($G$6:$G$64&gt;0)*AT$6:AT$64),"")</f>
        <v/>
      </c>
      <c r="AU73" s="849">
        <f>IFERROR(SUMPRODUCT(($A73=$A$6:$A$64)*($G$6:$G$64&gt;0)*AU$6:AU$64),"")</f>
        <v/>
      </c>
      <c r="AV73" s="849">
        <f>IFERROR(SUMPRODUCT(($A73=$A$6:$A$64)*($G$6:$G$64&gt;0)*AV$6:AV$64),"")</f>
        <v/>
      </c>
      <c r="AW73" s="849">
        <f>IFERROR(SUMPRODUCT(($A73=$A$6:$A$64)*($G$6:$G$64&gt;0)*AW$6:AW$64),"")</f>
        <v/>
      </c>
      <c r="AX73" s="849">
        <f>IFERROR(SUMPRODUCT(($A73=$A$6:$A$64)*($G$6:$G$64&gt;0)*AX$6:AX$64),"")</f>
        <v/>
      </c>
      <c r="AY73" s="849">
        <f>IFERROR(SUMPRODUCT(($A73=$A$6:$A$64)*($G$6:$G$64&gt;0)*AY$6:AY$64),"")</f>
        <v/>
      </c>
      <c r="AZ73" s="849">
        <f>IFERROR(SUMPRODUCT(($A73=$A$6:$A$64)*($G$6:$G$64&gt;0)*AZ$6:AZ$64),"")</f>
        <v/>
      </c>
      <c r="BA73" s="849">
        <f>IFERROR(SUMPRODUCT(($A73=$A$6:$A$64)*($G$6:$G$64&gt;0)*BA$6:BA$64),"")</f>
        <v/>
      </c>
      <c r="BB73" s="849">
        <f>IFERROR(SUMPRODUCT(($A73=$A$6:$A$64)*($G$6:$G$64&gt;0)*BB$6:BB$64),"")</f>
        <v/>
      </c>
      <c r="BC73" s="849">
        <f>IFERROR(SUMPRODUCT(($A73=$A$6:$A$64)*($G$6:$G$64&gt;0)*BC$6:BC$64),"")</f>
        <v/>
      </c>
      <c r="BD73" s="849">
        <f>IFERROR(SUMPRODUCT(($A73=$A$6:$A$64)*($G$6:$G$64&gt;0)*BD$6:BD$64),"")</f>
        <v/>
      </c>
      <c r="BE73" s="849">
        <f>IFERROR(SUMPRODUCT(($A73=$A$6:$A$64)*($G$6:$G$64&gt;0)*BE$6:BE$64),"")</f>
        <v/>
      </c>
      <c r="BF73" s="849">
        <f>IFERROR(SUMPRODUCT(($A73=$A$6:$A$64)*($G$6:$G$64&gt;0)*BF$6:BF$64),"")</f>
        <v/>
      </c>
      <c r="BG73" s="849">
        <f>IFERROR(SUMPRODUCT(($A73=$A$6:$A$64)*($G$6:$G$64&gt;0)*BG$6:BG$64),"")</f>
        <v/>
      </c>
      <c r="BH73" s="849">
        <f>IFERROR(SUMPRODUCT(($A73=$A$6:$A$64)*($G$6:$G$64&gt;0)*BH$6:BH$64),"")</f>
        <v/>
      </c>
      <c r="BI73" s="849">
        <f>IFERROR(SUMPRODUCT(($A73=$A$6:$A$64)*($G$6:$G$64&gt;0)*BI$6:BI$64),"")</f>
        <v/>
      </c>
      <c r="BJ73" s="849">
        <f>IFERROR(SUMPRODUCT(($A73=$A$6:$A$64)*($G$6:$G$64&gt;0)*BJ$6:BJ$64),"")</f>
        <v/>
      </c>
      <c r="BK73" s="849" t="n"/>
      <c r="BL73" s="849">
        <f>SUMPRODUCT(--(MOD(COLUMN($O73:$AL73),4)=MOD(COLUMN($O73)+0,4)),$O73:$AL73)
+SUMPRODUCT(--(MOD(COLUMN($AM73:$BJ73),4)=MOD(COLUMN($AM73)+0,4)),$AM73:$BJ73)</f>
        <v/>
      </c>
      <c r="BM73" s="850">
        <f>SUMPRODUCT(--(MOD(COLUMN($O73:$AL73),4)=MOD(COLUMN($O73)+0,4)),$O73:$AL73)*
$I73+SUMPRODUCT(--(MOD(COLUMN($AM73:$BJ73),4)=MOD(COLUMN($AM73)+0,4)),$AM73:$BJ73)*$I73</f>
        <v/>
      </c>
      <c r="BN73" s="849">
        <f>SUMPRODUCT(--(MOD(COLUMN($O73:$AL73),4)=MOD(COLUMN($O73)+1,4)),$O73:$AL73)
+SUMPRODUCT(--(MOD(COLUMN($AM73:$BJ73),4)=MOD(COLUMN($AM73)+1,4)),$AM73:$BJ73)</f>
        <v/>
      </c>
      <c r="BO73" s="849">
        <f>SUMPRODUCT(--(MOD(COLUMN($O73:$AL73),4)=MOD(COLUMN($O73)+1,4)),$O73:$AL73)*
$I73+SUMPRODUCT(--(MOD(COLUMN($AM73:$BJ73),4)=MOD(COLUMN($AM73)+1,4)),$AM73:$BJ73)*$I73</f>
        <v/>
      </c>
      <c r="BP73" s="849">
        <f>SUMPRODUCT(--(MOD(COLUMN($O73:$AL73),4)=MOD(COLUMN($O73)+2,4)),$O73:$AL73)
+SUMPRODUCT(--(MOD(COLUMN($AM73:$BJ73),4)=MOD(COLUMN($AM73)+2,4)),$AM73:$BJ73)</f>
        <v/>
      </c>
      <c r="BQ73" s="849">
        <f>SUMPRODUCT(--(MOD(COLUMN($O73:$AL73),4)=MOD(COLUMN($O73)+2,4)),$O73:$AL73)*
$I73+SUMPRODUCT(--(MOD(COLUMN($AM73:$BJ73),4)=MOD(COLUMN($AM73)+2,4)),$AM73:$BJ73)*$I73</f>
        <v/>
      </c>
      <c r="BR73" s="849" t="n"/>
      <c r="BS73" s="849" t="n"/>
      <c r="BT73" s="849" t="n"/>
      <c r="BU73" s="849" t="n"/>
      <c r="BV73" s="849" t="n"/>
      <c r="BW73" s="849" t="n"/>
      <c r="BX73" s="851" t="n"/>
      <c r="BY73" s="852" t="n"/>
      <c r="BZ73" s="852" t="n"/>
      <c r="CA73" s="853" t="n"/>
      <c r="CB73" s="849" t="n"/>
      <c r="CC73" s="849" t="n"/>
      <c r="CD73" s="849" t="n"/>
      <c r="CE73" s="849" t="n"/>
      <c r="CF73" s="849" t="n"/>
      <c r="CG73" s="849" t="n"/>
      <c r="CH73" s="849" t="n"/>
      <c r="CI73" s="849" t="n"/>
      <c r="CJ73" s="849" t="n"/>
      <c r="CK73" s="849" t="n"/>
      <c r="CL73" s="849" t="n"/>
      <c r="CM73" s="849" t="n"/>
      <c r="CN73" s="849" t="n"/>
      <c r="CO73" s="849" t="n"/>
      <c r="CP73" s="849" t="n"/>
      <c r="CQ73" s="849" t="n"/>
      <c r="CR73" s="849" t="n"/>
      <c r="CS73" s="849" t="n"/>
      <c r="CT73" s="849" t="n"/>
      <c r="CU73" s="849" t="n"/>
      <c r="CV73" s="849" t="n"/>
      <c r="CW73" s="849" t="n"/>
      <c r="CX73" s="849" t="n"/>
      <c r="CY73" s="849" t="n"/>
      <c r="CZ73" s="849" t="n"/>
      <c r="DA73" s="849" t="n"/>
      <c r="DB73" s="849" t="n"/>
      <c r="DC73" s="849" t="n"/>
      <c r="DD73" s="849" t="n"/>
      <c r="DE73" s="849" t="n"/>
      <c r="DF73" s="849" t="n"/>
      <c r="DG73" s="849" t="n"/>
      <c r="DH73" s="849" t="n"/>
      <c r="DI73" s="849" t="n"/>
      <c r="DJ73" s="849" t="n"/>
      <c r="DK73" s="849" t="n"/>
      <c r="DL73" s="849" t="n"/>
      <c r="DM73" s="849" t="n"/>
      <c r="DN73" s="849" t="n"/>
      <c r="DO73" s="849" t="n"/>
      <c r="DP73" s="849" t="n"/>
      <c r="DQ73" s="849" t="n"/>
      <c r="DR73" s="849" t="n"/>
      <c r="DS73" s="849" t="n"/>
      <c r="DT73" s="849" t="n"/>
      <c r="DU73" s="849" t="n"/>
      <c r="DV73" s="849" t="n"/>
      <c r="DW73" s="849" t="n"/>
      <c r="DX73" s="849" t="n"/>
      <c r="DY73" s="849" t="n"/>
      <c r="DZ73" s="849" t="n"/>
      <c r="EA73" s="849" t="n"/>
      <c r="EB73" s="853" t="n"/>
      <c r="EC73" s="849" t="n"/>
      <c r="ED73" s="849" t="n"/>
      <c r="EE73" s="849" t="n"/>
      <c r="EF73" s="849" t="n"/>
      <c r="EG73" s="849" t="n"/>
      <c r="EH73" s="849" t="n"/>
      <c r="EI73" s="849" t="n"/>
      <c r="EJ73" s="849" t="n"/>
      <c r="EK73" s="849" t="n"/>
      <c r="EL73" s="849" t="n"/>
      <c r="EM73" s="849" t="n"/>
      <c r="EN73" s="849" t="n"/>
      <c r="EO73" s="849" t="n"/>
      <c r="EP73" s="849" t="n"/>
      <c r="EQ73" s="849" t="n"/>
      <c r="ER73" s="849" t="n"/>
      <c r="ES73" s="849" t="n"/>
      <c r="ET73" s="849" t="n"/>
      <c r="EU73" s="849" t="n"/>
      <c r="EV73" s="849" t="n"/>
      <c r="EW73" s="849" t="n"/>
      <c r="EX73" s="849" t="n"/>
      <c r="EY73" s="849" t="n"/>
      <c r="EZ73" s="849" t="n"/>
      <c r="FA73" s="849" t="n"/>
      <c r="FB73" s="849" t="n"/>
      <c r="FC73" s="849" t="n"/>
      <c r="FD73" s="849" t="n"/>
      <c r="FE73" s="849" t="n"/>
      <c r="FF73" s="849" t="n"/>
      <c r="FG73" s="849" t="n"/>
      <c r="FH73" s="849" t="n"/>
      <c r="FI73" s="849" t="n"/>
      <c r="FJ73" s="849" t="n"/>
      <c r="FK73" s="849" t="n"/>
      <c r="FL73" s="849" t="n"/>
      <c r="FM73" s="849" t="n"/>
      <c r="FN73" s="849" t="n"/>
      <c r="FO73" s="849" t="n"/>
      <c r="FP73" s="849" t="n"/>
      <c r="FQ73" s="849" t="n"/>
      <c r="FR73" s="849" t="n"/>
      <c r="FS73" s="849" t="n"/>
      <c r="FT73" s="86" t="n"/>
      <c r="FU73" s="86" t="n"/>
      <c r="FV73" s="86" t="n"/>
      <c r="FW73" s="86" t="n"/>
      <c r="FX73" s="86" t="n"/>
      <c r="FY73" s="86" t="n"/>
      <c r="FZ73" s="86" t="n"/>
      <c r="GA73" s="86" t="n"/>
      <c r="GB73" s="87" t="n"/>
      <c r="GC73" s="86" t="n"/>
      <c r="GD73" s="86" t="n"/>
      <c r="GE73" s="86" t="n"/>
      <c r="GF73" s="86" t="n"/>
      <c r="GG73" s="86" t="n"/>
      <c r="GH73" s="86" t="n"/>
      <c r="GI73" s="86" t="n"/>
      <c r="GJ73" s="86" t="n"/>
      <c r="GK73" s="86" t="n"/>
      <c r="GL73" s="86" t="n"/>
      <c r="GM73" s="86" t="n"/>
      <c r="GN73" s="86" t="n"/>
      <c r="GO73" s="86" t="n"/>
      <c r="GP73" s="86" t="n"/>
      <c r="GQ73" s="86" t="n"/>
      <c r="GR73" s="86" t="n"/>
      <c r="GS73" s="86" t="n"/>
      <c r="GT73" s="86" t="n"/>
      <c r="GU73" s="86" t="n"/>
      <c r="GV73" s="86" t="n"/>
      <c r="GW73" s="86" t="n"/>
      <c r="GX73" s="86" t="n"/>
      <c r="GY73" s="86" t="n"/>
      <c r="GZ73" s="86" t="n"/>
      <c r="HA73" s="86" t="n"/>
      <c r="HB73" s="86" t="n"/>
      <c r="HC73" s="86" t="n"/>
      <c r="HD73" s="86" t="n"/>
      <c r="HE73" s="86" t="n"/>
      <c r="HF73" s="86" t="n"/>
      <c r="HG73" s="86" t="n"/>
      <c r="HH73" s="86" t="n"/>
      <c r="HI73" s="86" t="n"/>
      <c r="HJ73" s="86" t="n"/>
      <c r="HK73" s="86" t="n"/>
      <c r="HL73" s="86" t="n"/>
      <c r="HM73" s="86" t="n"/>
      <c r="HN73" s="86" t="n"/>
      <c r="HO73" s="86" t="n"/>
      <c r="HP73" s="86" t="n"/>
      <c r="HQ73" s="86" t="n"/>
      <c r="HR73" s="86" t="n"/>
      <c r="HS73" s="86" t="n"/>
      <c r="HT73" s="86" t="n"/>
      <c r="HU73" s="86" t="n"/>
      <c r="HV73" s="86" t="n"/>
      <c r="HW73" s="86" t="n"/>
      <c r="HX73" s="86" t="n"/>
      <c r="HY73" s="86" t="n"/>
      <c r="HZ73" s="86" t="n"/>
    </row>
    <row r="74" outlineLevel="2" customFormat="1" s="77">
      <c r="A74" s="78" t="inlineStr">
        <is>
          <t>BPW (нет в системе)</t>
        </is>
      </c>
      <c r="B74" s="79" t="n"/>
      <c r="C74" s="79" t="n"/>
      <c r="D74" s="79" t="n"/>
      <c r="E74" s="510" t="n"/>
      <c r="F74" s="79" t="n"/>
      <c r="G74" s="79" t="n"/>
      <c r="H74" s="80" t="inlineStr">
        <is>
          <t>шт.:</t>
        </is>
      </c>
      <c r="I74" s="847" t="n"/>
      <c r="J74" s="847" t="n"/>
      <c r="K74" s="847" t="n"/>
      <c r="L74" s="847" t="n"/>
      <c r="M74" s="847" t="n"/>
      <c r="N74" s="848">
        <f>IF(BP74&gt;0,1,IF(BN74&gt;0,2,))</f>
        <v/>
      </c>
      <c r="O74" s="849">
        <f>IFERROR(SUMPRODUCT(($A74=$A$6:$A$64)*($G$6:$G$64&gt;0)*O$6:O$64),"")</f>
        <v/>
      </c>
      <c r="P74" s="849">
        <f>IFERROR(SUMPRODUCT(($A74=$A$6:$A$64)*($G$6:$G$64&gt;0)*P$6:P$64),"")</f>
        <v/>
      </c>
      <c r="Q74" s="849">
        <f>IFERROR(SUMPRODUCT(($A74=$A$6:$A$64)*($G$6:$G$64&gt;0)*Q$6:Q$64),"")</f>
        <v/>
      </c>
      <c r="R74" s="849">
        <f>IFERROR(SUMPRODUCT(($A74=$A$6:$A$64)*($G$6:$G$64&gt;0)*R$6:R$64),"")</f>
        <v/>
      </c>
      <c r="S74" s="849">
        <f>IFERROR(SUMPRODUCT(($A74=$A$6:$A$64)*($G$6:$G$64&gt;0)*S$6:S$64),"")</f>
        <v/>
      </c>
      <c r="T74" s="849">
        <f>IFERROR(SUMPRODUCT(($A74=$A$6:$A$64)*($G$6:$G$64&gt;0)*T$6:T$64),"")</f>
        <v/>
      </c>
      <c r="U74" s="849">
        <f>IFERROR(SUMPRODUCT(($A74=$A$6:$A$64)*($G$6:$G$64&gt;0)*U$6:U$64),"")</f>
        <v/>
      </c>
      <c r="V74" s="849">
        <f>IFERROR(SUMPRODUCT(($A74=$A$6:$A$64)*($G$6:$G$64&gt;0)*V$6:V$64),"")</f>
        <v/>
      </c>
      <c r="W74" s="849">
        <f>IFERROR(SUMPRODUCT(($A74=$A$6:$A$64)*($G$6:$G$64&gt;0)*W$6:W$64),"")</f>
        <v/>
      </c>
      <c r="X74" s="849">
        <f>IFERROR(SUMPRODUCT(($A74=$A$6:$A$64)*($G$6:$G$64&gt;0)*X$6:X$64),"")</f>
        <v/>
      </c>
      <c r="Y74" s="849">
        <f>IFERROR(SUMPRODUCT(($A74=$A$6:$A$64)*($G$6:$G$64&gt;0)*Y$6:Y$64),"")</f>
        <v/>
      </c>
      <c r="Z74" s="849">
        <f>IFERROR(SUMPRODUCT(($A74=$A$6:$A$64)*($G$6:$G$64&gt;0)*Z$6:Z$64),"")</f>
        <v/>
      </c>
      <c r="AA74" s="849">
        <f>IFERROR(SUMPRODUCT(($A74=$A$6:$A$64)*($G$6:$G$64&gt;0)*AA$6:AA$64),"")</f>
        <v/>
      </c>
      <c r="AB74" s="849">
        <f>IFERROR(SUMPRODUCT(($A74=$A$6:$A$64)*($G$6:$G$64&gt;0)*AB$6:AB$64),"")</f>
        <v/>
      </c>
      <c r="AC74" s="849">
        <f>IFERROR(SUMPRODUCT(($A74=$A$6:$A$64)*($G$6:$G$64&gt;0)*AC$6:AC$64),"")</f>
        <v/>
      </c>
      <c r="AD74" s="849">
        <f>IFERROR(SUMPRODUCT(($A74=$A$6:$A$64)*($G$6:$G$64&gt;0)*AD$6:AD$64),"")</f>
        <v/>
      </c>
      <c r="AE74" s="849">
        <f>IFERROR(SUMPRODUCT(($A74=$A$6:$A$64)*($G$6:$G$64&gt;0)*AE$6:AE$64),"")</f>
        <v/>
      </c>
      <c r="AF74" s="849">
        <f>IFERROR(SUMPRODUCT(($A74=$A$6:$A$64)*($G$6:$G$64&gt;0)*AF$6:AF$64),"")</f>
        <v/>
      </c>
      <c r="AG74" s="849">
        <f>IFERROR(SUMPRODUCT(($A74=$A$6:$A$64)*($G$6:$G$64&gt;0)*AG$6:AG$64),"")</f>
        <v/>
      </c>
      <c r="AH74" s="849">
        <f>IFERROR(SUMPRODUCT(($A74=$A$6:$A$64)*($G$6:$G$64&gt;0)*AH$6:AH$64),"")</f>
        <v/>
      </c>
      <c r="AI74" s="849">
        <f>IFERROR(SUMPRODUCT(($A74=$A$6:$A$64)*($G$6:$G$64&gt;0)*AI$6:AI$64),"")</f>
        <v/>
      </c>
      <c r="AJ74" s="849">
        <f>IFERROR(SUMPRODUCT(($A74=$A$6:$A$64)*($G$6:$G$64&gt;0)*AJ$6:AJ$64),"")</f>
        <v/>
      </c>
      <c r="AK74" s="849">
        <f>IFERROR(SUMPRODUCT(($A74=$A$6:$A$64)*($G$6:$G$64&gt;0)*AK$6:AK$64),"")</f>
        <v/>
      </c>
      <c r="AL74" s="849">
        <f>IFERROR(SUMPRODUCT(($A74=$A$6:$A$64)*($G$6:$G$64&gt;0)*AL$6:AL$64),"")</f>
        <v/>
      </c>
      <c r="AM74" s="849">
        <f>IFERROR(SUMPRODUCT(($A74=$A$6:$A$64)*($G$6:$G$64&gt;0)*AM$6:AM$64),"")</f>
        <v/>
      </c>
      <c r="AN74" s="849">
        <f>IFERROR(SUMPRODUCT(($A74=$A$6:$A$64)*($G$6:$G$64&gt;0)*AN$6:AN$64),"")</f>
        <v/>
      </c>
      <c r="AO74" s="849">
        <f>IFERROR(SUMPRODUCT(($A74=$A$6:$A$64)*($G$6:$G$64&gt;0)*AO$6:AO$64),"")</f>
        <v/>
      </c>
      <c r="AP74" s="849">
        <f>IFERROR(SUMPRODUCT(($A74=$A$6:$A$64)*($G$6:$G$64&gt;0)*AP$6:AP$64),"")</f>
        <v/>
      </c>
      <c r="AQ74" s="849">
        <f>IFERROR(SUMPRODUCT(($A74=$A$6:$A$64)*($G$6:$G$64&gt;0)*AQ$6:AQ$64),"")</f>
        <v/>
      </c>
      <c r="AR74" s="849">
        <f>IFERROR(SUMPRODUCT(($A74=$A$6:$A$64)*($G$6:$G$64&gt;0)*AR$6:AR$64),"")</f>
        <v/>
      </c>
      <c r="AS74" s="849">
        <f>IFERROR(SUMPRODUCT(($A74=$A$6:$A$64)*($G$6:$G$64&gt;0)*AS$6:AS$64),"")</f>
        <v/>
      </c>
      <c r="AT74" s="849">
        <f>IFERROR(SUMPRODUCT(($A74=$A$6:$A$64)*($G$6:$G$64&gt;0)*AT$6:AT$64),"")</f>
        <v/>
      </c>
      <c r="AU74" s="849">
        <f>IFERROR(SUMPRODUCT(($A74=$A$6:$A$64)*($G$6:$G$64&gt;0)*AU$6:AU$64),"")</f>
        <v/>
      </c>
      <c r="AV74" s="849">
        <f>IFERROR(SUMPRODUCT(($A74=$A$6:$A$64)*($G$6:$G$64&gt;0)*AV$6:AV$64),"")</f>
        <v/>
      </c>
      <c r="AW74" s="849">
        <f>IFERROR(SUMPRODUCT(($A74=$A$6:$A$64)*($G$6:$G$64&gt;0)*AW$6:AW$64),"")</f>
        <v/>
      </c>
      <c r="AX74" s="849">
        <f>IFERROR(SUMPRODUCT(($A74=$A$6:$A$64)*($G$6:$G$64&gt;0)*AX$6:AX$64),"")</f>
        <v/>
      </c>
      <c r="AY74" s="849">
        <f>IFERROR(SUMPRODUCT(($A74=$A$6:$A$64)*($G$6:$G$64&gt;0)*AY$6:AY$64),"")</f>
        <v/>
      </c>
      <c r="AZ74" s="849">
        <f>IFERROR(SUMPRODUCT(($A74=$A$6:$A$64)*($G$6:$G$64&gt;0)*AZ$6:AZ$64),"")</f>
        <v/>
      </c>
      <c r="BA74" s="849">
        <f>IFERROR(SUMPRODUCT(($A74=$A$6:$A$64)*($G$6:$G$64&gt;0)*BA$6:BA$64),"")</f>
        <v/>
      </c>
      <c r="BB74" s="849">
        <f>IFERROR(SUMPRODUCT(($A74=$A$6:$A$64)*($G$6:$G$64&gt;0)*BB$6:BB$64),"")</f>
        <v/>
      </c>
      <c r="BC74" s="849">
        <f>IFERROR(SUMPRODUCT(($A74=$A$6:$A$64)*($G$6:$G$64&gt;0)*BC$6:BC$64),"")</f>
        <v/>
      </c>
      <c r="BD74" s="849">
        <f>IFERROR(SUMPRODUCT(($A74=$A$6:$A$64)*($G$6:$G$64&gt;0)*BD$6:BD$64),"")</f>
        <v/>
      </c>
      <c r="BE74" s="849">
        <f>IFERROR(SUMPRODUCT(($A74=$A$6:$A$64)*($G$6:$G$64&gt;0)*BE$6:BE$64),"")</f>
        <v/>
      </c>
      <c r="BF74" s="849">
        <f>IFERROR(SUMPRODUCT(($A74=$A$6:$A$64)*($G$6:$G$64&gt;0)*BF$6:BF$64),"")</f>
        <v/>
      </c>
      <c r="BG74" s="849">
        <f>IFERROR(SUMPRODUCT(($A74=$A$6:$A$64)*($G$6:$G$64&gt;0)*BG$6:BG$64),"")</f>
        <v/>
      </c>
      <c r="BH74" s="849">
        <f>IFERROR(SUMPRODUCT(($A74=$A$6:$A$64)*($G$6:$G$64&gt;0)*BH$6:BH$64),"")</f>
        <v/>
      </c>
      <c r="BI74" s="849">
        <f>IFERROR(SUMPRODUCT(($A74=$A$6:$A$64)*($G$6:$G$64&gt;0)*BI$6:BI$64),"")</f>
        <v/>
      </c>
      <c r="BJ74" s="849">
        <f>IFERROR(SUMPRODUCT(($A74=$A$6:$A$64)*($G$6:$G$64&gt;0)*BJ$6:BJ$64),"")</f>
        <v/>
      </c>
      <c r="BK74" s="849" t="n"/>
      <c r="BL74" s="849">
        <f>SUMPRODUCT(--(MOD(COLUMN($O74:$AL74),4)=MOD(COLUMN($O74)+0,4)),$O74:$AL74)
+SUMPRODUCT(--(MOD(COLUMN($AM74:$BJ74),4)=MOD(COLUMN($AM74)+0,4)),$AM74:$BJ74)</f>
        <v/>
      </c>
      <c r="BM74" s="850">
        <f>SUMPRODUCT(--(MOD(COLUMN($O74:$AL74),4)=MOD(COLUMN($O74)+0,4)),$O74:$AL74)*
$I74+SUMPRODUCT(--(MOD(COLUMN($AM74:$BJ74),4)=MOD(COLUMN($AM74)+0,4)),$AM74:$BJ74)*$I74</f>
        <v/>
      </c>
      <c r="BN74" s="849">
        <f>SUMPRODUCT(--(MOD(COLUMN($O74:$AL74),4)=MOD(COLUMN($O74)+1,4)),$O74:$AL74)
+SUMPRODUCT(--(MOD(COLUMN($AM74:$BJ74),4)=MOD(COLUMN($AM74)+1,4)),$AM74:$BJ74)</f>
        <v/>
      </c>
      <c r="BO74" s="849">
        <f>SUMPRODUCT(--(MOD(COLUMN($O74:$AL74),4)=MOD(COLUMN($O74)+1,4)),$O74:$AL74)*
$I74+SUMPRODUCT(--(MOD(COLUMN($AM74:$BJ74),4)=MOD(COLUMN($AM74)+1,4)),$AM74:$BJ74)*$I74</f>
        <v/>
      </c>
      <c r="BP74" s="849">
        <f>SUMPRODUCT(--(MOD(COLUMN($O74:$AL74),4)=MOD(COLUMN($O74)+2,4)),$O74:$AL74)
+SUMPRODUCT(--(MOD(COLUMN($AM74:$BJ74),4)=MOD(COLUMN($AM74)+2,4)),$AM74:$BJ74)</f>
        <v/>
      </c>
      <c r="BQ74" s="849">
        <f>SUMPRODUCT(--(MOD(COLUMN($O74:$AL74),4)=MOD(COLUMN($O74)+2,4)),$O74:$AL74)*
$I74+SUMPRODUCT(--(MOD(COLUMN($AM74:$BJ74),4)=MOD(COLUMN($AM74)+2,4)),$AM74:$BJ74)*$I74</f>
        <v/>
      </c>
      <c r="BR74" s="849" t="n"/>
      <c r="BS74" s="849" t="n"/>
      <c r="BT74" s="849" t="n"/>
      <c r="BU74" s="849" t="n"/>
      <c r="BV74" s="849" t="n"/>
      <c r="BW74" s="849" t="n"/>
      <c r="BX74" s="851" t="n"/>
      <c r="BY74" s="852" t="n"/>
      <c r="BZ74" s="852" t="n"/>
      <c r="CA74" s="853" t="n"/>
      <c r="CB74" s="849" t="n"/>
      <c r="CC74" s="849" t="n"/>
      <c r="CD74" s="849" t="n"/>
      <c r="CE74" s="849" t="n"/>
      <c r="CF74" s="849" t="n"/>
      <c r="CG74" s="849" t="n"/>
      <c r="CH74" s="849" t="n"/>
      <c r="CI74" s="849" t="n"/>
      <c r="CJ74" s="849" t="n"/>
      <c r="CK74" s="849" t="n"/>
      <c r="CL74" s="849" t="n"/>
      <c r="CM74" s="849" t="n"/>
      <c r="CN74" s="849" t="n"/>
      <c r="CO74" s="849" t="n"/>
      <c r="CP74" s="849" t="n"/>
      <c r="CQ74" s="849" t="n"/>
      <c r="CR74" s="849" t="n"/>
      <c r="CS74" s="849" t="n"/>
      <c r="CT74" s="849" t="n"/>
      <c r="CU74" s="849" t="n"/>
      <c r="CV74" s="849" t="n"/>
      <c r="CW74" s="849" t="n"/>
      <c r="CX74" s="849" t="n"/>
      <c r="CY74" s="849" t="n"/>
      <c r="CZ74" s="849" t="n"/>
      <c r="DA74" s="849" t="n"/>
      <c r="DB74" s="849" t="n"/>
      <c r="DC74" s="849" t="n"/>
      <c r="DD74" s="849" t="n"/>
      <c r="DE74" s="849" t="n"/>
      <c r="DF74" s="849" t="n"/>
      <c r="DG74" s="849" t="n"/>
      <c r="DH74" s="849" t="n"/>
      <c r="DI74" s="849" t="n"/>
      <c r="DJ74" s="849" t="n"/>
      <c r="DK74" s="849" t="n"/>
      <c r="DL74" s="849" t="n"/>
      <c r="DM74" s="849" t="n"/>
      <c r="DN74" s="849" t="n"/>
      <c r="DO74" s="849" t="n"/>
      <c r="DP74" s="849" t="n"/>
      <c r="DQ74" s="849" t="n"/>
      <c r="DR74" s="849" t="n"/>
      <c r="DS74" s="849" t="n"/>
      <c r="DT74" s="849" t="n"/>
      <c r="DU74" s="849" t="n"/>
      <c r="DV74" s="849" t="n"/>
      <c r="DW74" s="849" t="n"/>
      <c r="DX74" s="849" t="n"/>
      <c r="DY74" s="849" t="n"/>
      <c r="DZ74" s="849" t="n"/>
      <c r="EA74" s="849" t="n"/>
      <c r="EB74" s="853" t="n"/>
      <c r="EC74" s="849" t="n"/>
      <c r="ED74" s="849" t="n"/>
      <c r="EE74" s="849" t="n"/>
      <c r="EF74" s="849" t="n"/>
      <c r="EG74" s="849" t="n"/>
      <c r="EH74" s="849" t="n"/>
      <c r="EI74" s="849" t="n"/>
      <c r="EJ74" s="849" t="n"/>
      <c r="EK74" s="849" t="n"/>
      <c r="EL74" s="849" t="n"/>
      <c r="EM74" s="849" t="n"/>
      <c r="EN74" s="849" t="n"/>
      <c r="EO74" s="849" t="n"/>
      <c r="EP74" s="849" t="n"/>
      <c r="EQ74" s="849" t="n"/>
      <c r="ER74" s="849" t="n"/>
      <c r="ES74" s="849" t="n"/>
      <c r="ET74" s="849" t="n"/>
      <c r="EU74" s="849" t="n"/>
      <c r="EV74" s="849" t="n"/>
      <c r="EW74" s="849" t="n"/>
      <c r="EX74" s="849" t="n"/>
      <c r="EY74" s="849" t="n"/>
      <c r="EZ74" s="849" t="n"/>
      <c r="FA74" s="849" t="n"/>
      <c r="FB74" s="849" t="n"/>
      <c r="FC74" s="849" t="n"/>
      <c r="FD74" s="849" t="n"/>
      <c r="FE74" s="849" t="n"/>
      <c r="FF74" s="849" t="n"/>
      <c r="FG74" s="849" t="n"/>
      <c r="FH74" s="849" t="n"/>
      <c r="FI74" s="849" t="n"/>
      <c r="FJ74" s="849" t="n"/>
      <c r="FK74" s="849" t="n"/>
      <c r="FL74" s="849" t="n"/>
      <c r="FM74" s="849" t="n"/>
      <c r="FN74" s="849" t="n"/>
      <c r="FO74" s="849" t="n"/>
      <c r="FP74" s="849" t="n"/>
      <c r="FQ74" s="849" t="n"/>
      <c r="FR74" s="849" t="n"/>
      <c r="FS74" s="849" t="n"/>
      <c r="FT74" s="86" t="n"/>
      <c r="FU74" s="86" t="n"/>
      <c r="FV74" s="86" t="n"/>
      <c r="FW74" s="86" t="n"/>
      <c r="FX74" s="86" t="n"/>
      <c r="FY74" s="86" t="n"/>
      <c r="FZ74" s="86" t="n"/>
      <c r="GA74" s="86" t="n"/>
      <c r="GB74" s="87" t="n"/>
      <c r="GC74" s="86" t="n"/>
      <c r="GD74" s="86" t="n"/>
      <c r="GE74" s="86" t="n"/>
      <c r="GF74" s="86" t="n"/>
      <c r="GG74" s="86" t="n"/>
      <c r="GH74" s="86" t="n"/>
      <c r="GI74" s="86" t="n"/>
      <c r="GJ74" s="86" t="n"/>
      <c r="GK74" s="86" t="n"/>
      <c r="GL74" s="86" t="n"/>
      <c r="GM74" s="86" t="n"/>
      <c r="GN74" s="86" t="n"/>
      <c r="GO74" s="86" t="n"/>
      <c r="GP74" s="86" t="n"/>
      <c r="GQ74" s="86" t="n"/>
      <c r="GR74" s="86" t="n"/>
      <c r="GS74" s="86" t="n"/>
      <c r="GT74" s="86" t="n"/>
      <c r="GU74" s="86" t="n"/>
      <c r="GV74" s="86" t="n"/>
      <c r="GW74" s="86" t="n"/>
      <c r="GX74" s="86" t="n"/>
      <c r="GY74" s="86" t="n"/>
      <c r="GZ74" s="86" t="n"/>
      <c r="HA74" s="86" t="n"/>
      <c r="HB74" s="86" t="n"/>
      <c r="HC74" s="86" t="n"/>
      <c r="HD74" s="86" t="n"/>
      <c r="HE74" s="86" t="n"/>
      <c r="HF74" s="86" t="n"/>
      <c r="HG74" s="86" t="n"/>
      <c r="HH74" s="86" t="n"/>
      <c r="HI74" s="86" t="n"/>
      <c r="HJ74" s="86" t="n"/>
      <c r="HK74" s="86" t="n"/>
      <c r="HL74" s="86" t="n"/>
      <c r="HM74" s="86" t="n"/>
      <c r="HN74" s="86" t="n"/>
      <c r="HO74" s="86" t="n"/>
      <c r="HP74" s="86" t="n"/>
      <c r="HQ74" s="86" t="n"/>
      <c r="HR74" s="86" t="n"/>
      <c r="HS74" s="86" t="n"/>
      <c r="HT74" s="86" t="n"/>
      <c r="HU74" s="86" t="n"/>
      <c r="HV74" s="86" t="n"/>
      <c r="HW74" s="86" t="n"/>
      <c r="HX74" s="86" t="n"/>
      <c r="HY74" s="86" t="n"/>
      <c r="HZ74" s="86" t="n"/>
    </row>
    <row r="75" outlineLevel="2" customFormat="1" s="77">
      <c r="A75" s="78" t="inlineStr">
        <is>
          <t>HJBridge (нет в системе)</t>
        </is>
      </c>
      <c r="B75" s="79" t="n"/>
      <c r="C75" s="79" t="n"/>
      <c r="D75" s="79" t="n"/>
      <c r="E75" s="510" t="n"/>
      <c r="F75" s="79" t="n"/>
      <c r="G75" s="79" t="n"/>
      <c r="H75" s="80" t="inlineStr">
        <is>
          <t>шт.:</t>
        </is>
      </c>
      <c r="I75" s="847" t="n"/>
      <c r="J75" s="847" t="n"/>
      <c r="K75" s="847" t="n"/>
      <c r="L75" s="847" t="n"/>
      <c r="M75" s="847" t="n"/>
      <c r="N75" s="848">
        <f>IF(BP75&gt;0,1,IF(BN75&gt;0,2,))</f>
        <v/>
      </c>
      <c r="O75" s="849">
        <f>IFERROR(SUMPRODUCT(($A75=$A$6:$A$64)*($G$6:$G$64&gt;0)*O$6:O$64),"")</f>
        <v/>
      </c>
      <c r="P75" s="849">
        <f>IFERROR(SUMPRODUCT(($A75=$A$6:$A$64)*($G$6:$G$64&gt;0)*P$6:P$64),"")</f>
        <v/>
      </c>
      <c r="Q75" s="849">
        <f>IFERROR(SUMPRODUCT(($A75=$A$6:$A$64)*($G$6:$G$64&gt;0)*Q$6:Q$64),"")</f>
        <v/>
      </c>
      <c r="R75" s="849">
        <f>IFERROR(SUMPRODUCT(($A75=$A$6:$A$64)*($G$6:$G$64&gt;0)*R$6:R$64),"")</f>
        <v/>
      </c>
      <c r="S75" s="849">
        <f>IFERROR(SUMPRODUCT(($A75=$A$6:$A$64)*($G$6:$G$64&gt;0)*S$6:S$64),"")</f>
        <v/>
      </c>
      <c r="T75" s="849">
        <f>IFERROR(SUMPRODUCT(($A75=$A$6:$A$64)*($G$6:$G$64&gt;0)*T$6:T$64),"")</f>
        <v/>
      </c>
      <c r="U75" s="849">
        <f>IFERROR(SUMPRODUCT(($A75=$A$6:$A$64)*($G$6:$G$64&gt;0)*U$6:U$64),"")</f>
        <v/>
      </c>
      <c r="V75" s="849">
        <f>IFERROR(SUMPRODUCT(($A75=$A$6:$A$64)*($G$6:$G$64&gt;0)*V$6:V$64),"")</f>
        <v/>
      </c>
      <c r="W75" s="849">
        <f>IFERROR(SUMPRODUCT(($A75=$A$6:$A$64)*($G$6:$G$64&gt;0)*W$6:W$64),"")</f>
        <v/>
      </c>
      <c r="X75" s="849">
        <f>IFERROR(SUMPRODUCT(($A75=$A$6:$A$64)*($G$6:$G$64&gt;0)*X$6:X$64),"")</f>
        <v/>
      </c>
      <c r="Y75" s="849">
        <f>IFERROR(SUMPRODUCT(($A75=$A$6:$A$64)*($G$6:$G$64&gt;0)*Y$6:Y$64),"")</f>
        <v/>
      </c>
      <c r="Z75" s="849">
        <f>IFERROR(SUMPRODUCT(($A75=$A$6:$A$64)*($G$6:$G$64&gt;0)*Z$6:Z$64),"")</f>
        <v/>
      </c>
      <c r="AA75" s="849">
        <f>IFERROR(SUMPRODUCT(($A75=$A$6:$A$64)*($G$6:$G$64&gt;0)*AA$6:AA$64),"")</f>
        <v/>
      </c>
      <c r="AB75" s="849">
        <f>IFERROR(SUMPRODUCT(($A75=$A$6:$A$64)*($G$6:$G$64&gt;0)*AB$6:AB$64),"")</f>
        <v/>
      </c>
      <c r="AC75" s="849">
        <f>IFERROR(SUMPRODUCT(($A75=$A$6:$A$64)*($G$6:$G$64&gt;0)*AC$6:AC$64),"")</f>
        <v/>
      </c>
      <c r="AD75" s="849">
        <f>IFERROR(SUMPRODUCT(($A75=$A$6:$A$64)*($G$6:$G$64&gt;0)*AD$6:AD$64),"")</f>
        <v/>
      </c>
      <c r="AE75" s="849">
        <f>IFERROR(SUMPRODUCT(($A75=$A$6:$A$64)*($G$6:$G$64&gt;0)*AE$6:AE$64),"")</f>
        <v/>
      </c>
      <c r="AF75" s="849">
        <f>IFERROR(SUMPRODUCT(($A75=$A$6:$A$64)*($G$6:$G$64&gt;0)*AF$6:AF$64),"")</f>
        <v/>
      </c>
      <c r="AG75" s="849">
        <f>IFERROR(SUMPRODUCT(($A75=$A$6:$A$64)*($G$6:$G$64&gt;0)*AG$6:AG$64),"")</f>
        <v/>
      </c>
      <c r="AH75" s="849">
        <f>IFERROR(SUMPRODUCT(($A75=$A$6:$A$64)*($G$6:$G$64&gt;0)*AH$6:AH$64),"")</f>
        <v/>
      </c>
      <c r="AI75" s="849">
        <f>IFERROR(SUMPRODUCT(($A75=$A$6:$A$64)*($G$6:$G$64&gt;0)*AI$6:AI$64),"")</f>
        <v/>
      </c>
      <c r="AJ75" s="849">
        <f>IFERROR(SUMPRODUCT(($A75=$A$6:$A$64)*($G$6:$G$64&gt;0)*AJ$6:AJ$64),"")</f>
        <v/>
      </c>
      <c r="AK75" s="849">
        <f>IFERROR(SUMPRODUCT(($A75=$A$6:$A$64)*($G$6:$G$64&gt;0)*AK$6:AK$64),"")</f>
        <v/>
      </c>
      <c r="AL75" s="849">
        <f>IFERROR(SUMPRODUCT(($A75=$A$6:$A$64)*($G$6:$G$64&gt;0)*AL$6:AL$64),"")</f>
        <v/>
      </c>
      <c r="AM75" s="849">
        <f>IFERROR(SUMPRODUCT(($A75=$A$6:$A$64)*($G$6:$G$64&gt;0)*AM$6:AM$64),"")</f>
        <v/>
      </c>
      <c r="AN75" s="849">
        <f>IFERROR(SUMPRODUCT(($A75=$A$6:$A$64)*($G$6:$G$64&gt;0)*AN$6:AN$64),"")</f>
        <v/>
      </c>
      <c r="AO75" s="849">
        <f>IFERROR(SUMPRODUCT(($A75=$A$6:$A$64)*($G$6:$G$64&gt;0)*AO$6:AO$64),"")</f>
        <v/>
      </c>
      <c r="AP75" s="849">
        <f>IFERROR(SUMPRODUCT(($A75=$A$6:$A$64)*($G$6:$G$64&gt;0)*AP$6:AP$64),"")</f>
        <v/>
      </c>
      <c r="AQ75" s="849">
        <f>IFERROR(SUMPRODUCT(($A75=$A$6:$A$64)*($G$6:$G$64&gt;0)*AQ$6:AQ$64),"")</f>
        <v/>
      </c>
      <c r="AR75" s="849">
        <f>IFERROR(SUMPRODUCT(($A75=$A$6:$A$64)*($G$6:$G$64&gt;0)*AR$6:AR$64),"")</f>
        <v/>
      </c>
      <c r="AS75" s="849">
        <f>IFERROR(SUMPRODUCT(($A75=$A$6:$A$64)*($G$6:$G$64&gt;0)*AS$6:AS$64),"")</f>
        <v/>
      </c>
      <c r="AT75" s="849">
        <f>IFERROR(SUMPRODUCT(($A75=$A$6:$A$64)*($G$6:$G$64&gt;0)*AT$6:AT$64),"")</f>
        <v/>
      </c>
      <c r="AU75" s="849">
        <f>IFERROR(SUMPRODUCT(($A75=$A$6:$A$64)*($G$6:$G$64&gt;0)*AU$6:AU$64),"")</f>
        <v/>
      </c>
      <c r="AV75" s="849">
        <f>IFERROR(SUMPRODUCT(($A75=$A$6:$A$64)*($G$6:$G$64&gt;0)*AV$6:AV$64),"")</f>
        <v/>
      </c>
      <c r="AW75" s="849">
        <f>IFERROR(SUMPRODUCT(($A75=$A$6:$A$64)*($G$6:$G$64&gt;0)*AW$6:AW$64),"")</f>
        <v/>
      </c>
      <c r="AX75" s="849">
        <f>IFERROR(SUMPRODUCT(($A75=$A$6:$A$64)*($G$6:$G$64&gt;0)*AX$6:AX$64),"")</f>
        <v/>
      </c>
      <c r="AY75" s="849">
        <f>IFERROR(SUMPRODUCT(($A75=$A$6:$A$64)*($G$6:$G$64&gt;0)*AY$6:AY$64),"")</f>
        <v/>
      </c>
      <c r="AZ75" s="849">
        <f>IFERROR(SUMPRODUCT(($A75=$A$6:$A$64)*($G$6:$G$64&gt;0)*AZ$6:AZ$64),"")</f>
        <v/>
      </c>
      <c r="BA75" s="849">
        <f>IFERROR(SUMPRODUCT(($A75=$A$6:$A$64)*($G$6:$G$64&gt;0)*BA$6:BA$64),"")</f>
        <v/>
      </c>
      <c r="BB75" s="849">
        <f>IFERROR(SUMPRODUCT(($A75=$A$6:$A$64)*($G$6:$G$64&gt;0)*BB$6:BB$64),"")</f>
        <v/>
      </c>
      <c r="BC75" s="849">
        <f>IFERROR(SUMPRODUCT(($A75=$A$6:$A$64)*($G$6:$G$64&gt;0)*BC$6:BC$64),"")</f>
        <v/>
      </c>
      <c r="BD75" s="849">
        <f>IFERROR(SUMPRODUCT(($A75=$A$6:$A$64)*($G$6:$G$64&gt;0)*BD$6:BD$64),"")</f>
        <v/>
      </c>
      <c r="BE75" s="849">
        <f>IFERROR(SUMPRODUCT(($A75=$A$6:$A$64)*($G$6:$G$64&gt;0)*BE$6:BE$64),"")</f>
        <v/>
      </c>
      <c r="BF75" s="849">
        <f>IFERROR(SUMPRODUCT(($A75=$A$6:$A$64)*($G$6:$G$64&gt;0)*BF$6:BF$64),"")</f>
        <v/>
      </c>
      <c r="BG75" s="849">
        <f>IFERROR(SUMPRODUCT(($A75=$A$6:$A$64)*($G$6:$G$64&gt;0)*BG$6:BG$64),"")</f>
        <v/>
      </c>
      <c r="BH75" s="849">
        <f>IFERROR(SUMPRODUCT(($A75=$A$6:$A$64)*($G$6:$G$64&gt;0)*BH$6:BH$64),"")</f>
        <v/>
      </c>
      <c r="BI75" s="849">
        <f>IFERROR(SUMPRODUCT(($A75=$A$6:$A$64)*($G$6:$G$64&gt;0)*BI$6:BI$64),"")</f>
        <v/>
      </c>
      <c r="BJ75" s="849">
        <f>IFERROR(SUMPRODUCT(($A75=$A$6:$A$64)*($G$6:$G$64&gt;0)*BJ$6:BJ$64),"")</f>
        <v/>
      </c>
      <c r="BK75" s="849" t="n"/>
      <c r="BL75" s="849">
        <f>SUMPRODUCT(--(MOD(COLUMN($O75:$AL75),4)=MOD(COLUMN($O75)+0,4)),$O75:$AL75)
+SUMPRODUCT(--(MOD(COLUMN($AM75:$BJ75),4)=MOD(COLUMN($AM75)+0,4)),$AM75:$BJ75)</f>
        <v/>
      </c>
      <c r="BM75" s="850">
        <f>SUMPRODUCT(--(MOD(COLUMN($O75:$AL75),4)=MOD(COLUMN($O75)+0,4)),$O75:$AL75)*
$I75+SUMPRODUCT(--(MOD(COLUMN($AM75:$BJ75),4)=MOD(COLUMN($AM75)+0,4)),$AM75:$BJ75)*$I75</f>
        <v/>
      </c>
      <c r="BN75" s="849">
        <f>SUMPRODUCT(--(MOD(COLUMN($O75:$AL75),4)=MOD(COLUMN($O75)+1,4)),$O75:$AL75)
+SUMPRODUCT(--(MOD(COLUMN($AM75:$BJ75),4)=MOD(COLUMN($AM75)+1,4)),$AM75:$BJ75)</f>
        <v/>
      </c>
      <c r="BO75" s="849">
        <f>SUMPRODUCT(--(MOD(COLUMN($O75:$AL75),4)=MOD(COLUMN($O75)+1,4)),$O75:$AL75)*
$I75+SUMPRODUCT(--(MOD(COLUMN($AM75:$BJ75),4)=MOD(COLUMN($AM75)+1,4)),$AM75:$BJ75)*$I75</f>
        <v/>
      </c>
      <c r="BP75" s="849">
        <f>SUMPRODUCT(--(MOD(COLUMN($O75:$AL75),4)=MOD(COLUMN($O75)+2,4)),$O75:$AL75)
+SUMPRODUCT(--(MOD(COLUMN($AM75:$BJ75),4)=MOD(COLUMN($AM75)+2,4)),$AM75:$BJ75)</f>
        <v/>
      </c>
      <c r="BQ75" s="849">
        <f>SUMPRODUCT(--(MOD(COLUMN($O75:$AL75),4)=MOD(COLUMN($O75)+2,4)),$O75:$AL75)*
$I75+SUMPRODUCT(--(MOD(COLUMN($AM75:$BJ75),4)=MOD(COLUMN($AM75)+2,4)),$AM75:$BJ75)*$I75</f>
        <v/>
      </c>
      <c r="BR75" s="849" t="n"/>
      <c r="BS75" s="849" t="n"/>
      <c r="BT75" s="849" t="n"/>
      <c r="BU75" s="849" t="n"/>
      <c r="BV75" s="849" t="n"/>
      <c r="BW75" s="849" t="n"/>
      <c r="BX75" s="851" t="n"/>
      <c r="BY75" s="852" t="n"/>
      <c r="BZ75" s="852" t="n"/>
      <c r="CA75" s="853" t="n"/>
      <c r="CB75" s="849" t="n"/>
      <c r="CC75" s="849" t="n"/>
      <c r="CD75" s="849" t="n"/>
      <c r="CE75" s="849" t="n"/>
      <c r="CF75" s="849" t="n"/>
      <c r="CG75" s="849" t="n"/>
      <c r="CH75" s="849" t="n"/>
      <c r="CI75" s="849" t="n"/>
      <c r="CJ75" s="849" t="n"/>
      <c r="CK75" s="849" t="n"/>
      <c r="CL75" s="849" t="n"/>
      <c r="CM75" s="849" t="n"/>
      <c r="CN75" s="849" t="n"/>
      <c r="CO75" s="849" t="n"/>
      <c r="CP75" s="849" t="n"/>
      <c r="CQ75" s="849" t="n"/>
      <c r="CR75" s="849" t="n"/>
      <c r="CS75" s="849" t="n"/>
      <c r="CT75" s="849" t="n"/>
      <c r="CU75" s="849" t="n"/>
      <c r="CV75" s="849" t="n"/>
      <c r="CW75" s="849" t="n"/>
      <c r="CX75" s="849" t="n"/>
      <c r="CY75" s="849" t="n"/>
      <c r="CZ75" s="849" t="n"/>
      <c r="DA75" s="849" t="n"/>
      <c r="DB75" s="849" t="n"/>
      <c r="DC75" s="849" t="n"/>
      <c r="DD75" s="849" t="n"/>
      <c r="DE75" s="849" t="n"/>
      <c r="DF75" s="849" t="n"/>
      <c r="DG75" s="849" t="n"/>
      <c r="DH75" s="849" t="n"/>
      <c r="DI75" s="849" t="n"/>
      <c r="DJ75" s="849" t="n"/>
      <c r="DK75" s="849" t="n"/>
      <c r="DL75" s="849" t="n"/>
      <c r="DM75" s="849" t="n"/>
      <c r="DN75" s="849" t="n"/>
      <c r="DO75" s="849" t="n"/>
      <c r="DP75" s="849" t="n"/>
      <c r="DQ75" s="849" t="n"/>
      <c r="DR75" s="849" t="n"/>
      <c r="DS75" s="849" t="n"/>
      <c r="DT75" s="849" t="n"/>
      <c r="DU75" s="849" t="n"/>
      <c r="DV75" s="849" t="n"/>
      <c r="DW75" s="849" t="n"/>
      <c r="DX75" s="849" t="n"/>
      <c r="DY75" s="849" t="n"/>
      <c r="DZ75" s="849" t="n"/>
      <c r="EA75" s="849" t="n"/>
      <c r="EB75" s="853" t="n"/>
      <c r="EC75" s="849" t="n"/>
      <c r="ED75" s="849" t="n"/>
      <c r="EE75" s="849" t="n"/>
      <c r="EF75" s="849" t="n"/>
      <c r="EG75" s="849" t="n"/>
      <c r="EH75" s="849" t="n"/>
      <c r="EI75" s="849" t="n"/>
      <c r="EJ75" s="849" t="n"/>
      <c r="EK75" s="849" t="n"/>
      <c r="EL75" s="849" t="n"/>
      <c r="EM75" s="849" t="n"/>
      <c r="EN75" s="849" t="n"/>
      <c r="EO75" s="849" t="n"/>
      <c r="EP75" s="849" t="n"/>
      <c r="EQ75" s="849" t="n"/>
      <c r="ER75" s="849" t="n"/>
      <c r="ES75" s="849" t="n"/>
      <c r="ET75" s="849" t="n"/>
      <c r="EU75" s="849" t="n"/>
      <c r="EV75" s="849" t="n"/>
      <c r="EW75" s="849" t="n"/>
      <c r="EX75" s="849" t="n"/>
      <c r="EY75" s="849" t="n"/>
      <c r="EZ75" s="849" t="n"/>
      <c r="FA75" s="849" t="n"/>
      <c r="FB75" s="849" t="n"/>
      <c r="FC75" s="849" t="n"/>
      <c r="FD75" s="849" t="n"/>
      <c r="FE75" s="849" t="n"/>
      <c r="FF75" s="849" t="n"/>
      <c r="FG75" s="849" t="n"/>
      <c r="FH75" s="849" t="n"/>
      <c r="FI75" s="849" t="n"/>
      <c r="FJ75" s="849" t="n"/>
      <c r="FK75" s="849" t="n"/>
      <c r="FL75" s="849" t="n"/>
      <c r="FM75" s="849" t="n"/>
      <c r="FN75" s="849" t="n"/>
      <c r="FO75" s="849" t="n"/>
      <c r="FP75" s="849" t="n"/>
      <c r="FQ75" s="849" t="n"/>
      <c r="FR75" s="849" t="n"/>
      <c r="FS75" s="849" t="n"/>
      <c r="FT75" s="86" t="n"/>
      <c r="FU75" s="86" t="n"/>
      <c r="FV75" s="86" t="n"/>
      <c r="FW75" s="86" t="n"/>
      <c r="FX75" s="86" t="n"/>
      <c r="FY75" s="86" t="n"/>
      <c r="FZ75" s="86" t="n"/>
      <c r="GA75" s="86" t="n"/>
      <c r="GB75" s="87" t="n"/>
      <c r="GC75" s="86" t="n"/>
      <c r="GD75" s="86" t="n"/>
      <c r="GE75" s="86" t="n"/>
      <c r="GF75" s="86" t="n"/>
      <c r="GG75" s="86" t="n"/>
      <c r="GH75" s="86" t="n"/>
      <c r="GI75" s="86" t="n"/>
      <c r="GJ75" s="86" t="n"/>
      <c r="GK75" s="86" t="n"/>
      <c r="GL75" s="86" t="n"/>
      <c r="GM75" s="86" t="n"/>
      <c r="GN75" s="86" t="n"/>
      <c r="GO75" s="86" t="n"/>
      <c r="GP75" s="86" t="n"/>
      <c r="GQ75" s="86" t="n"/>
      <c r="GR75" s="86" t="n"/>
      <c r="GS75" s="86" t="n"/>
      <c r="GT75" s="86" t="n"/>
      <c r="GU75" s="86" t="n"/>
      <c r="GV75" s="86" t="n"/>
      <c r="GW75" s="86" t="n"/>
      <c r="GX75" s="86" t="n"/>
      <c r="GY75" s="86" t="n"/>
      <c r="GZ75" s="86" t="n"/>
      <c r="HA75" s="86" t="n"/>
      <c r="HB75" s="86" t="n"/>
      <c r="HC75" s="86" t="n"/>
      <c r="HD75" s="86" t="n"/>
      <c r="HE75" s="86" t="n"/>
      <c r="HF75" s="86" t="n"/>
      <c r="HG75" s="86" t="n"/>
      <c r="HH75" s="86" t="n"/>
      <c r="HI75" s="86" t="n"/>
      <c r="HJ75" s="86" t="n"/>
      <c r="HK75" s="86" t="n"/>
      <c r="HL75" s="86" t="n"/>
      <c r="HM75" s="86" t="n"/>
      <c r="HN75" s="86" t="n"/>
      <c r="HO75" s="86" t="n"/>
      <c r="HP75" s="86" t="n"/>
      <c r="HQ75" s="86" t="n"/>
      <c r="HR75" s="86" t="n"/>
      <c r="HS75" s="86" t="n"/>
      <c r="HT75" s="86" t="n"/>
      <c r="HU75" s="86" t="n"/>
      <c r="HV75" s="86" t="n"/>
      <c r="HW75" s="86" t="n"/>
      <c r="HX75" s="86" t="n"/>
      <c r="HY75" s="86" t="n"/>
      <c r="HZ75" s="86" t="n"/>
    </row>
    <row r="76" outlineLevel="2" customFormat="1" s="482">
      <c r="A76" s="473" t="inlineStr">
        <is>
          <t>НПО РОСТАР ООО</t>
        </is>
      </c>
      <c r="B76" s="474" t="n"/>
      <c r="C76" s="474" t="n"/>
      <c r="D76" s="474" t="n"/>
      <c r="E76" s="511" t="n"/>
      <c r="F76" s="474" t="n"/>
      <c r="G76" s="474" t="n"/>
      <c r="H76" s="475" t="inlineStr">
        <is>
          <t>шт.:</t>
        </is>
      </c>
      <c r="I76" s="854" t="n"/>
      <c r="J76" s="854" t="n"/>
      <c r="K76" s="854" t="n"/>
      <c r="L76" s="854" t="n"/>
      <c r="M76" s="854" t="n"/>
      <c r="N76" s="848">
        <f>IF(BP76&gt;0,1,IF(BN76&gt;0,2,))</f>
        <v/>
      </c>
      <c r="O76" s="855">
        <f>IFERROR(SUMPRODUCT(($A76=$A$6:$A$64)*($G$6:$G$64&gt;0)*O$6:O$64),"")</f>
        <v/>
      </c>
      <c r="P76" s="855">
        <f>IFERROR(SUMPRODUCT(($A76=$A$6:$A$64)*($G$6:$G$64&gt;0)*P$6:P$64),"")</f>
        <v/>
      </c>
      <c r="Q76" s="855">
        <f>IFERROR(SUMPRODUCT(($A76=$A$6:$A$64)*($G$6:$G$64&gt;0)*Q$6:Q$64),"")</f>
        <v/>
      </c>
      <c r="R76" s="855">
        <f>IFERROR(SUMPRODUCT(($A76=$A$6:$A$64)*($G$6:$G$64&gt;0)*R$6:R$64),"")</f>
        <v/>
      </c>
      <c r="S76" s="855">
        <f>IFERROR(SUMPRODUCT(($A76=$A$6:$A$64)*($G$6:$G$64&gt;0)*S$6:S$64),"")</f>
        <v/>
      </c>
      <c r="T76" s="855">
        <f>IFERROR(SUMPRODUCT(($A76=$A$6:$A$64)*($G$6:$G$64&gt;0)*T$6:T$64),"")</f>
        <v/>
      </c>
      <c r="U76" s="855">
        <f>IFERROR(SUMPRODUCT(($A76=$A$6:$A$64)*($G$6:$G$64&gt;0)*U$6:U$64),"")</f>
        <v/>
      </c>
      <c r="V76" s="855">
        <f>IFERROR(SUMPRODUCT(($A76=$A$6:$A$64)*($G$6:$G$64&gt;0)*V$6:V$64),"")</f>
        <v/>
      </c>
      <c r="W76" s="855">
        <f>IFERROR(SUMPRODUCT(($A76=$A$6:$A$64)*($G$6:$G$64&gt;0)*W$6:W$64),"")</f>
        <v/>
      </c>
      <c r="X76" s="855">
        <f>IFERROR(SUMPRODUCT(($A76=$A$6:$A$64)*($G$6:$G$64&gt;0)*X$6:X$64),"")</f>
        <v/>
      </c>
      <c r="Y76" s="855">
        <f>IFERROR(SUMPRODUCT(($A76=$A$6:$A$64)*($G$6:$G$64&gt;0)*Y$6:Y$64),"")</f>
        <v/>
      </c>
      <c r="Z76" s="855">
        <f>IFERROR(SUMPRODUCT(($A76=$A$6:$A$64)*($G$6:$G$64&gt;0)*Z$6:Z$64),"")</f>
        <v/>
      </c>
      <c r="AA76" s="855">
        <f>IFERROR(SUMPRODUCT(($A76=$A$6:$A$64)*($G$6:$G$64&gt;0)*AA$6:AA$64),"")</f>
        <v/>
      </c>
      <c r="AB76" s="855">
        <f>IFERROR(SUMPRODUCT(($A76=$A$6:$A$64)*($G$6:$G$64&gt;0)*AB$6:AB$64),"")</f>
        <v/>
      </c>
      <c r="AC76" s="855">
        <f>IFERROR(SUMPRODUCT(($A76=$A$6:$A$64)*($G$6:$G$64&gt;0)*AC$6:AC$64),"")</f>
        <v/>
      </c>
      <c r="AD76" s="855">
        <f>IFERROR(SUMPRODUCT(($A76=$A$6:$A$64)*($G$6:$G$64&gt;0)*AD$6:AD$64),"")</f>
        <v/>
      </c>
      <c r="AE76" s="855">
        <f>IFERROR(SUMPRODUCT(($A76=$A$6:$A$64)*($G$6:$G$64&gt;0)*AE$6:AE$64),"")</f>
        <v/>
      </c>
      <c r="AF76" s="855">
        <f>IFERROR(SUMPRODUCT(($A76=$A$6:$A$64)*($G$6:$G$64&gt;0)*AF$6:AF$64),"")</f>
        <v/>
      </c>
      <c r="AG76" s="855">
        <f>IFERROR(SUMPRODUCT(($A76=$A$6:$A$64)*($G$6:$G$64&gt;0)*AG$6:AG$64),"")</f>
        <v/>
      </c>
      <c r="AH76" s="855">
        <f>IFERROR(SUMPRODUCT(($A76=$A$6:$A$64)*($G$6:$G$64&gt;0)*AH$6:AH$64),"")</f>
        <v/>
      </c>
      <c r="AI76" s="855">
        <f>IFERROR(SUMPRODUCT(($A76=$A$6:$A$64)*($G$6:$G$64&gt;0)*AI$6:AI$64),"")</f>
        <v/>
      </c>
      <c r="AJ76" s="855">
        <f>IFERROR(SUMPRODUCT(($A76=$A$6:$A$64)*($G$6:$G$64&gt;0)*AJ$6:AJ$64),"")</f>
        <v/>
      </c>
      <c r="AK76" s="855">
        <f>IFERROR(SUMPRODUCT(($A76=$A$6:$A$64)*($G$6:$G$64&gt;0)*AK$6:AK$64),"")</f>
        <v/>
      </c>
      <c r="AL76" s="855">
        <f>IFERROR(SUMPRODUCT(($A76=$A$6:$A$64)*($G$6:$G$64&gt;0)*AL$6:AL$64),"")</f>
        <v/>
      </c>
      <c r="AM76" s="855">
        <f>IFERROR(SUMPRODUCT(($A76=$A$6:$A$64)*($G$6:$G$64&gt;0)*AM$6:AM$64),"")</f>
        <v/>
      </c>
      <c r="AN76" s="855">
        <f>IFERROR(SUMPRODUCT(($A76=$A$6:$A$64)*($G$6:$G$64&gt;0)*AN$6:AN$64),"")</f>
        <v/>
      </c>
      <c r="AO76" s="855">
        <f>IFERROR(SUMPRODUCT(($A76=$A$6:$A$64)*($G$6:$G$64&gt;0)*AO$6:AO$64),"")</f>
        <v/>
      </c>
      <c r="AP76" s="855">
        <f>IFERROR(SUMPRODUCT(($A76=$A$6:$A$64)*($G$6:$G$64&gt;0)*AP$6:AP$64),"")</f>
        <v/>
      </c>
      <c r="AQ76" s="855">
        <f>IFERROR(SUMPRODUCT(($A76=$A$6:$A$64)*($G$6:$G$64&gt;0)*AQ$6:AQ$64),"")</f>
        <v/>
      </c>
      <c r="AR76" s="855">
        <f>IFERROR(SUMPRODUCT(($A76=$A$6:$A$64)*($G$6:$G$64&gt;0)*AR$6:AR$64),"")</f>
        <v/>
      </c>
      <c r="AS76" s="855">
        <f>IFERROR(SUMPRODUCT(($A76=$A$6:$A$64)*($G$6:$G$64&gt;0)*AS$6:AS$64),"")</f>
        <v/>
      </c>
      <c r="AT76" s="855">
        <f>IFERROR(SUMPRODUCT(($A76=$A$6:$A$64)*($G$6:$G$64&gt;0)*AT$6:AT$64),"")</f>
        <v/>
      </c>
      <c r="AU76" s="855">
        <f>IFERROR(SUMPRODUCT(($A76=$A$6:$A$64)*($G$6:$G$64&gt;0)*AU$6:AU$64),"")</f>
        <v/>
      </c>
      <c r="AV76" s="855">
        <f>IFERROR(SUMPRODUCT(($A76=$A$6:$A$64)*($G$6:$G$64&gt;0)*AV$6:AV$64),"")</f>
        <v/>
      </c>
      <c r="AW76" s="855">
        <f>IFERROR(SUMPRODUCT(($A76=$A$6:$A$64)*($G$6:$G$64&gt;0)*AW$6:AW$64),"")</f>
        <v/>
      </c>
      <c r="AX76" s="855">
        <f>IFERROR(SUMPRODUCT(($A76=$A$6:$A$64)*($G$6:$G$64&gt;0)*AX$6:AX$64),"")</f>
        <v/>
      </c>
      <c r="AY76" s="855">
        <f>IFERROR(SUMPRODUCT(($A76=$A$6:$A$64)*($G$6:$G$64&gt;0)*AY$6:AY$64),"")</f>
        <v/>
      </c>
      <c r="AZ76" s="855">
        <f>IFERROR(SUMPRODUCT(($A76=$A$6:$A$64)*($G$6:$G$64&gt;0)*AZ$6:AZ$64),"")</f>
        <v/>
      </c>
      <c r="BA76" s="855">
        <f>IFERROR(SUMPRODUCT(($A76=$A$6:$A$64)*($G$6:$G$64&gt;0)*BA$6:BA$64),"")</f>
        <v/>
      </c>
      <c r="BB76" s="855">
        <f>IFERROR(SUMPRODUCT(($A76=$A$6:$A$64)*($G$6:$G$64&gt;0)*BB$6:BB$64),"")</f>
        <v/>
      </c>
      <c r="BC76" s="855">
        <f>IFERROR(SUMPRODUCT(($A76=$A$6:$A$64)*($G$6:$G$64&gt;0)*BC$6:BC$64),"")</f>
        <v/>
      </c>
      <c r="BD76" s="855">
        <f>IFERROR(SUMPRODUCT(($A76=$A$6:$A$64)*($G$6:$G$64&gt;0)*BD$6:BD$64),"")</f>
        <v/>
      </c>
      <c r="BE76" s="855">
        <f>IFERROR(SUMPRODUCT(($A76=$A$6:$A$64)*($G$6:$G$64&gt;0)*BE$6:BE$64),"")</f>
        <v/>
      </c>
      <c r="BF76" s="855">
        <f>IFERROR(SUMPRODUCT(($A76=$A$6:$A$64)*($G$6:$G$64&gt;0)*BF$6:BF$64),"")</f>
        <v/>
      </c>
      <c r="BG76" s="855">
        <f>IFERROR(SUMPRODUCT(($A76=$A$6:$A$64)*($G$6:$G$64&gt;0)*BG$6:BG$64),"")</f>
        <v/>
      </c>
      <c r="BH76" s="855">
        <f>IFERROR(SUMPRODUCT(($A76=$A$6:$A$64)*($G$6:$G$64&gt;0)*BH$6:BH$64),"")</f>
        <v/>
      </c>
      <c r="BI76" s="855">
        <f>IFERROR(SUMPRODUCT(($A76=$A$6:$A$64)*($G$6:$G$64&gt;0)*BI$6:BI$64),"")</f>
        <v/>
      </c>
      <c r="BJ76" s="855">
        <f>IFERROR(SUMPRODUCT(($A76=$A$6:$A$64)*($G$6:$G$64&gt;0)*BJ$6:BJ$64),"")</f>
        <v/>
      </c>
      <c r="BK76" s="855" t="n"/>
      <c r="BL76" s="855">
        <f>SUMPRODUCT(--(MOD(COLUMN($O76:$AL76),4)=MOD(COLUMN($O76)+0,4)),$O76:$AL76)
+SUMPRODUCT(--(MOD(COLUMN($AM76:$BJ76),4)=MOD(COLUMN($AM76)+0,4)),$AM76:$BJ76)</f>
        <v/>
      </c>
      <c r="BM76" s="856">
        <f>SUMPRODUCT(--(MOD(COLUMN($O76:$AL76),4)=MOD(COLUMN($O76)+0,4)),$O76:$AL76)*
$I76+SUMPRODUCT(--(MOD(COLUMN($AM76:$BJ76),4)=MOD(COLUMN($AM76)+0,4)),$AM76:$BJ76)*$I76</f>
        <v/>
      </c>
      <c r="BN76" s="855">
        <f>SUMPRODUCT(--(MOD(COLUMN($O76:$AL76),4)=MOD(COLUMN($O76)+1,4)),$O76:$AL76)
+SUMPRODUCT(--(MOD(COLUMN($AM76:$BJ76),4)=MOD(COLUMN($AM76)+1,4)),$AM76:$BJ76)</f>
        <v/>
      </c>
      <c r="BO76" s="855">
        <f>SUMPRODUCT(--(MOD(COLUMN($O76:$AL76),4)=MOD(COLUMN($O76)+1,4)),$O76:$AL76)*
$I76+SUMPRODUCT(--(MOD(COLUMN($AM76:$BJ76),4)=MOD(COLUMN($AM76)+1,4)),$AM76:$BJ76)*$I76</f>
        <v/>
      </c>
      <c r="BP76" s="855">
        <f>SUMPRODUCT(--(MOD(COLUMN($O76:$AL76),4)=MOD(COLUMN($O76)+2,4)),$O76:$AL76)
+SUMPRODUCT(--(MOD(COLUMN($AM76:$BJ76),4)=MOD(COLUMN($AM76)+2,4)),$AM76:$BJ76)</f>
        <v/>
      </c>
      <c r="BQ76" s="855">
        <f>SUMPRODUCT(--(MOD(COLUMN($O76:$AL76),4)=MOD(COLUMN($O76)+2,4)),$O76:$AL76)*
$I76+SUMPRODUCT(--(MOD(COLUMN($AM76:$BJ76),4)=MOD(COLUMN($AM76)+2,4)),$AM76:$BJ76)*$I76</f>
        <v/>
      </c>
      <c r="BR76" s="855" t="n"/>
      <c r="BS76" s="855" t="n"/>
      <c r="BT76" s="855" t="n"/>
      <c r="BU76" s="855" t="n"/>
      <c r="BV76" s="855" t="n"/>
      <c r="BW76" s="855" t="n"/>
      <c r="BX76" s="857" t="n"/>
      <c r="BY76" s="858" t="n"/>
      <c r="BZ76" s="858" t="n"/>
      <c r="CA76" s="859" t="n"/>
      <c r="CB76" s="855" t="n"/>
      <c r="CC76" s="855" t="n"/>
      <c r="CD76" s="855" t="n"/>
      <c r="CE76" s="855" t="n"/>
      <c r="CF76" s="855" t="n"/>
      <c r="CG76" s="855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5" t="n"/>
      <c r="CR76" s="855" t="n"/>
      <c r="CS76" s="855" t="n"/>
      <c r="CT76" s="855" t="n"/>
      <c r="CU76" s="855" t="n"/>
      <c r="CV76" s="855" t="n"/>
      <c r="CW76" s="855" t="n"/>
      <c r="CX76" s="855" t="n"/>
      <c r="CY76" s="855" t="n"/>
      <c r="CZ76" s="855" t="n"/>
      <c r="DA76" s="855" t="n"/>
      <c r="DB76" s="855" t="n"/>
      <c r="DC76" s="855" t="n"/>
      <c r="DD76" s="855" t="n"/>
      <c r="DE76" s="855" t="n"/>
      <c r="DF76" s="855" t="n"/>
      <c r="DG76" s="855" t="n"/>
      <c r="DH76" s="855" t="n"/>
      <c r="DI76" s="855" t="n"/>
      <c r="DJ76" s="855" t="n"/>
      <c r="DK76" s="855" t="n"/>
      <c r="DL76" s="855" t="n"/>
      <c r="DM76" s="855" t="n"/>
      <c r="DN76" s="855" t="n"/>
      <c r="DO76" s="855" t="n"/>
      <c r="DP76" s="855" t="n"/>
      <c r="DQ76" s="855" t="n"/>
      <c r="DR76" s="855" t="n"/>
      <c r="DS76" s="855" t="n"/>
      <c r="DT76" s="855" t="n"/>
      <c r="DU76" s="855" t="n"/>
      <c r="DV76" s="855" t="n"/>
      <c r="DW76" s="855" t="n"/>
      <c r="DX76" s="855" t="n"/>
      <c r="DY76" s="855" t="n"/>
      <c r="DZ76" s="855" t="n"/>
      <c r="EA76" s="855" t="n"/>
      <c r="EB76" s="859" t="n"/>
      <c r="EC76" s="855" t="n"/>
      <c r="ED76" s="855" t="n"/>
      <c r="EE76" s="855" t="n"/>
      <c r="EF76" s="855" t="n"/>
      <c r="EG76" s="855" t="n"/>
      <c r="EH76" s="855" t="n"/>
      <c r="EI76" s="855" t="n"/>
      <c r="EJ76" s="855" t="n"/>
      <c r="EK76" s="855" t="n"/>
      <c r="EL76" s="855" t="n"/>
      <c r="EM76" s="855" t="n"/>
      <c r="EN76" s="855" t="n"/>
      <c r="EO76" s="855" t="n"/>
      <c r="EP76" s="855" t="n"/>
      <c r="EQ76" s="855" t="n"/>
      <c r="ER76" s="855" t="n"/>
      <c r="ES76" s="855" t="n"/>
      <c r="ET76" s="855" t="n"/>
      <c r="EU76" s="855" t="n"/>
      <c r="EV76" s="855" t="n"/>
      <c r="EW76" s="855" t="n"/>
      <c r="EX76" s="855" t="n"/>
      <c r="EY76" s="855" t="n"/>
      <c r="EZ76" s="855" t="n"/>
      <c r="FA76" s="855" t="n"/>
      <c r="FB76" s="855" t="n"/>
      <c r="FC76" s="855" t="n"/>
      <c r="FD76" s="855" t="n"/>
      <c r="FE76" s="855" t="n"/>
      <c r="FF76" s="855" t="n"/>
      <c r="FG76" s="855" t="n"/>
      <c r="FH76" s="855" t="n"/>
      <c r="FI76" s="855" t="n"/>
      <c r="FJ76" s="855" t="n"/>
      <c r="FK76" s="855" t="n"/>
      <c r="FL76" s="855" t="n"/>
      <c r="FM76" s="855" t="n"/>
      <c r="FN76" s="855" t="n"/>
      <c r="FO76" s="855" t="n"/>
      <c r="FP76" s="855" t="n"/>
      <c r="FQ76" s="855" t="n"/>
      <c r="FR76" s="855" t="n"/>
      <c r="FS76" s="855" t="n"/>
      <c r="FT76" s="480" t="n"/>
      <c r="FU76" s="480" t="n"/>
      <c r="FV76" s="480" t="n"/>
      <c r="FW76" s="480" t="n"/>
      <c r="FX76" s="480" t="n"/>
      <c r="FY76" s="480" t="n"/>
      <c r="FZ76" s="480" t="n"/>
      <c r="GA76" s="480" t="n"/>
      <c r="GB76" s="481" t="n"/>
      <c r="GC76" s="480" t="n"/>
      <c r="GD76" s="480" t="n"/>
      <c r="GE76" s="480" t="n"/>
      <c r="GF76" s="480" t="n"/>
      <c r="GG76" s="480" t="n"/>
      <c r="GH76" s="480" t="n"/>
      <c r="GI76" s="480" t="n"/>
      <c r="GJ76" s="480" t="n"/>
      <c r="GK76" s="480" t="n"/>
      <c r="GL76" s="480" t="n"/>
      <c r="GM76" s="480" t="n"/>
      <c r="GN76" s="480" t="n"/>
      <c r="GO76" s="480" t="n"/>
      <c r="GP76" s="480" t="n"/>
      <c r="GQ76" s="480" t="n"/>
      <c r="GR76" s="480" t="n"/>
      <c r="GS76" s="480" t="n"/>
      <c r="GT76" s="480" t="n"/>
      <c r="GU76" s="480" t="n"/>
      <c r="GV76" s="480" t="n"/>
      <c r="GW76" s="480" t="n"/>
      <c r="GX76" s="480" t="n"/>
      <c r="GY76" s="480" t="n"/>
      <c r="GZ76" s="480" t="n"/>
      <c r="HA76" s="480" t="n"/>
      <c r="HB76" s="480" t="n"/>
      <c r="HC76" s="480" t="n"/>
      <c r="HD76" s="480" t="n"/>
      <c r="HE76" s="480" t="n"/>
      <c r="HF76" s="480" t="n"/>
      <c r="HG76" s="480" t="n"/>
      <c r="HH76" s="480" t="n"/>
      <c r="HI76" s="480" t="n"/>
      <c r="HJ76" s="480" t="n"/>
      <c r="HK76" s="480" t="n"/>
      <c r="HL76" s="480" t="n"/>
      <c r="HM76" s="480" t="n"/>
      <c r="HN76" s="480" t="n"/>
      <c r="HO76" s="480" t="n"/>
      <c r="HP76" s="480" t="n"/>
      <c r="HQ76" s="480" t="n"/>
      <c r="HR76" s="480" t="n"/>
      <c r="HS76" s="480" t="n"/>
      <c r="HT76" s="480" t="n"/>
      <c r="HU76" s="480" t="n"/>
      <c r="HV76" s="480" t="n"/>
      <c r="HW76" s="480" t="n"/>
      <c r="HX76" s="480" t="n"/>
      <c r="HY76" s="480" t="n"/>
      <c r="HZ76" s="480" t="n"/>
    </row>
    <row r="77" outlineLevel="2" customFormat="1" s="482">
      <c r="A77" s="473" t="inlineStr">
        <is>
          <t>ПЛАНТ ООО</t>
        </is>
      </c>
      <c r="B77" s="474" t="n"/>
      <c r="C77" s="474" t="n"/>
      <c r="D77" s="474" t="n"/>
      <c r="E77" s="511" t="n"/>
      <c r="F77" s="474" t="n"/>
      <c r="G77" s="474" t="n"/>
      <c r="H77" s="475" t="inlineStr">
        <is>
          <t>шт.:</t>
        </is>
      </c>
      <c r="I77" s="854" t="n"/>
      <c r="J77" s="854" t="n"/>
      <c r="K77" s="854" t="n"/>
      <c r="L77" s="854" t="n"/>
      <c r="M77" s="854" t="n"/>
      <c r="N77" s="848">
        <f>IF(BP77&gt;0,1,IF(BN77&gt;0,2,))</f>
        <v/>
      </c>
      <c r="O77" s="855">
        <f>IFERROR(SUMPRODUCT(($A77=$A$6:$A$64)*($G$6:$G$64&gt;0)*O$6:O$64),"")</f>
        <v/>
      </c>
      <c r="P77" s="855">
        <f>IFERROR(SUMPRODUCT(($A77=$A$6:$A$64)*($G$6:$G$64&gt;0)*P$6:P$64),"")</f>
        <v/>
      </c>
      <c r="Q77" s="855">
        <f>IFERROR(SUMPRODUCT(($A77=$A$6:$A$64)*($G$6:$G$64&gt;0)*Q$6:Q$64),"")</f>
        <v/>
      </c>
      <c r="R77" s="855">
        <f>IFERROR(SUMPRODUCT(($A77=$A$6:$A$64)*($G$6:$G$64&gt;0)*R$6:R$64),"")</f>
        <v/>
      </c>
      <c r="S77" s="855">
        <f>IFERROR(SUMPRODUCT(($A77=$A$6:$A$64)*($G$6:$G$64&gt;0)*S$6:S$64),"")</f>
        <v/>
      </c>
      <c r="T77" s="855">
        <f>IFERROR(SUMPRODUCT(($A77=$A$6:$A$64)*($G$6:$G$64&gt;0)*T$6:T$64),"")</f>
        <v/>
      </c>
      <c r="U77" s="855">
        <f>IFERROR(SUMPRODUCT(($A77=$A$6:$A$64)*($G$6:$G$64&gt;0)*U$6:U$64),"")</f>
        <v/>
      </c>
      <c r="V77" s="855">
        <f>IFERROR(SUMPRODUCT(($A77=$A$6:$A$64)*($G$6:$G$64&gt;0)*V$6:V$64),"")</f>
        <v/>
      </c>
      <c r="W77" s="855">
        <f>IFERROR(SUMPRODUCT(($A77=$A$6:$A$64)*($G$6:$G$64&gt;0)*W$6:W$64),"")</f>
        <v/>
      </c>
      <c r="X77" s="855">
        <f>IFERROR(SUMPRODUCT(($A77=$A$6:$A$64)*($G$6:$G$64&gt;0)*X$6:X$64),"")</f>
        <v/>
      </c>
      <c r="Y77" s="855">
        <f>IFERROR(SUMPRODUCT(($A77=$A$6:$A$64)*($G$6:$G$64&gt;0)*Y$6:Y$64),"")</f>
        <v/>
      </c>
      <c r="Z77" s="855">
        <f>IFERROR(SUMPRODUCT(($A77=$A$6:$A$64)*($G$6:$G$64&gt;0)*Z$6:Z$64),"")</f>
        <v/>
      </c>
      <c r="AA77" s="855">
        <f>IFERROR(SUMPRODUCT(($A77=$A$6:$A$64)*($G$6:$G$64&gt;0)*AA$6:AA$64),"")</f>
        <v/>
      </c>
      <c r="AB77" s="855">
        <f>IFERROR(SUMPRODUCT(($A77=$A$6:$A$64)*($G$6:$G$64&gt;0)*AB$6:AB$64),"")</f>
        <v/>
      </c>
      <c r="AC77" s="855">
        <f>IFERROR(SUMPRODUCT(($A77=$A$6:$A$64)*($G$6:$G$64&gt;0)*AC$6:AC$64),"")</f>
        <v/>
      </c>
      <c r="AD77" s="855">
        <f>IFERROR(SUMPRODUCT(($A77=$A$6:$A$64)*($G$6:$G$64&gt;0)*AD$6:AD$64),"")</f>
        <v/>
      </c>
      <c r="AE77" s="855">
        <f>IFERROR(SUMPRODUCT(($A77=$A$6:$A$64)*($G$6:$G$64&gt;0)*AE$6:AE$64),"")</f>
        <v/>
      </c>
      <c r="AF77" s="855">
        <f>IFERROR(SUMPRODUCT(($A77=$A$6:$A$64)*($G$6:$G$64&gt;0)*AF$6:AF$64),"")</f>
        <v/>
      </c>
      <c r="AG77" s="855">
        <f>IFERROR(SUMPRODUCT(($A77=$A$6:$A$64)*($G$6:$G$64&gt;0)*AG$6:AG$64),"")</f>
        <v/>
      </c>
      <c r="AH77" s="855">
        <f>IFERROR(SUMPRODUCT(($A77=$A$6:$A$64)*($G$6:$G$64&gt;0)*AH$6:AH$64),"")</f>
        <v/>
      </c>
      <c r="AI77" s="855">
        <f>IFERROR(SUMPRODUCT(($A77=$A$6:$A$64)*($G$6:$G$64&gt;0)*AI$6:AI$64),"")</f>
        <v/>
      </c>
      <c r="AJ77" s="855">
        <f>IFERROR(SUMPRODUCT(($A77=$A$6:$A$64)*($G$6:$G$64&gt;0)*AJ$6:AJ$64),"")</f>
        <v/>
      </c>
      <c r="AK77" s="855">
        <f>IFERROR(SUMPRODUCT(($A77=$A$6:$A$64)*($G$6:$G$64&gt;0)*AK$6:AK$64),"")</f>
        <v/>
      </c>
      <c r="AL77" s="855">
        <f>IFERROR(SUMPRODUCT(($A77=$A$6:$A$64)*($G$6:$G$64&gt;0)*AL$6:AL$64),"")</f>
        <v/>
      </c>
      <c r="AM77" s="855">
        <f>IFERROR(SUMPRODUCT(($A77=$A$6:$A$64)*($G$6:$G$64&gt;0)*AM$6:AM$64),"")</f>
        <v/>
      </c>
      <c r="AN77" s="855">
        <f>IFERROR(SUMPRODUCT(($A77=$A$6:$A$64)*($G$6:$G$64&gt;0)*AN$6:AN$64),"")</f>
        <v/>
      </c>
      <c r="AO77" s="855">
        <f>IFERROR(SUMPRODUCT(($A77=$A$6:$A$64)*($G$6:$G$64&gt;0)*AO$6:AO$64),"")</f>
        <v/>
      </c>
      <c r="AP77" s="855">
        <f>IFERROR(SUMPRODUCT(($A77=$A$6:$A$64)*($G$6:$G$64&gt;0)*AP$6:AP$64),"")</f>
        <v/>
      </c>
      <c r="AQ77" s="855">
        <f>IFERROR(SUMPRODUCT(($A77=$A$6:$A$64)*($G$6:$G$64&gt;0)*AQ$6:AQ$64),"")</f>
        <v/>
      </c>
      <c r="AR77" s="855">
        <f>IFERROR(SUMPRODUCT(($A77=$A$6:$A$64)*($G$6:$G$64&gt;0)*AR$6:AR$64),"")</f>
        <v/>
      </c>
      <c r="AS77" s="855">
        <f>IFERROR(SUMPRODUCT(($A77=$A$6:$A$64)*($G$6:$G$64&gt;0)*AS$6:AS$64),"")</f>
        <v/>
      </c>
      <c r="AT77" s="855">
        <f>IFERROR(SUMPRODUCT(($A77=$A$6:$A$64)*($G$6:$G$64&gt;0)*AT$6:AT$64),"")</f>
        <v/>
      </c>
      <c r="AU77" s="855">
        <f>IFERROR(SUMPRODUCT(($A77=$A$6:$A$64)*($G$6:$G$64&gt;0)*AU$6:AU$64),"")</f>
        <v/>
      </c>
      <c r="AV77" s="855">
        <f>IFERROR(SUMPRODUCT(($A77=$A$6:$A$64)*($G$6:$G$64&gt;0)*AV$6:AV$64),"")</f>
        <v/>
      </c>
      <c r="AW77" s="855">
        <f>IFERROR(SUMPRODUCT(($A77=$A$6:$A$64)*($G$6:$G$64&gt;0)*AW$6:AW$64),"")</f>
        <v/>
      </c>
      <c r="AX77" s="855">
        <f>IFERROR(SUMPRODUCT(($A77=$A$6:$A$64)*($G$6:$G$64&gt;0)*AX$6:AX$64),"")</f>
        <v/>
      </c>
      <c r="AY77" s="855">
        <f>IFERROR(SUMPRODUCT(($A77=$A$6:$A$64)*($G$6:$G$64&gt;0)*AY$6:AY$64),"")</f>
        <v/>
      </c>
      <c r="AZ77" s="855">
        <f>IFERROR(SUMPRODUCT(($A77=$A$6:$A$64)*($G$6:$G$64&gt;0)*AZ$6:AZ$64),"")</f>
        <v/>
      </c>
      <c r="BA77" s="855">
        <f>IFERROR(SUMPRODUCT(($A77=$A$6:$A$64)*($G$6:$G$64&gt;0)*BA$6:BA$64),"")</f>
        <v/>
      </c>
      <c r="BB77" s="855">
        <f>IFERROR(SUMPRODUCT(($A77=$A$6:$A$64)*($G$6:$G$64&gt;0)*BB$6:BB$64),"")</f>
        <v/>
      </c>
      <c r="BC77" s="855">
        <f>IFERROR(SUMPRODUCT(($A77=$A$6:$A$64)*($G$6:$G$64&gt;0)*BC$6:BC$64),"")</f>
        <v/>
      </c>
      <c r="BD77" s="855">
        <f>IFERROR(SUMPRODUCT(($A77=$A$6:$A$64)*($G$6:$G$64&gt;0)*BD$6:BD$64),"")</f>
        <v/>
      </c>
      <c r="BE77" s="855">
        <f>IFERROR(SUMPRODUCT(($A77=$A$6:$A$64)*($G$6:$G$64&gt;0)*BE$6:BE$64),"")</f>
        <v/>
      </c>
      <c r="BF77" s="855">
        <f>IFERROR(SUMPRODUCT(($A77=$A$6:$A$64)*($G$6:$G$64&gt;0)*BF$6:BF$64),"")</f>
        <v/>
      </c>
      <c r="BG77" s="855">
        <f>IFERROR(SUMPRODUCT(($A77=$A$6:$A$64)*($G$6:$G$64&gt;0)*BG$6:BG$64),"")</f>
        <v/>
      </c>
      <c r="BH77" s="855">
        <f>IFERROR(SUMPRODUCT(($A77=$A$6:$A$64)*($G$6:$G$64&gt;0)*BH$6:BH$64),"")</f>
        <v/>
      </c>
      <c r="BI77" s="855">
        <f>IFERROR(SUMPRODUCT(($A77=$A$6:$A$64)*($G$6:$G$64&gt;0)*BI$6:BI$64),"")</f>
        <v/>
      </c>
      <c r="BJ77" s="855">
        <f>IFERROR(SUMPRODUCT(($A77=$A$6:$A$64)*($G$6:$G$64&gt;0)*BJ$6:BJ$64),"")</f>
        <v/>
      </c>
      <c r="BK77" s="855" t="n"/>
      <c r="BL77" s="855">
        <f>SUMPRODUCT(--(MOD(COLUMN($O77:$AL77),4)=MOD(COLUMN($O77)+0,4)),$O77:$AL77)
+SUMPRODUCT(--(MOD(COLUMN($AM77:$BJ77),4)=MOD(COLUMN($AM77)+0,4)),$AM77:$BJ77)</f>
        <v/>
      </c>
      <c r="BM77" s="856">
        <f>SUMPRODUCT(--(MOD(COLUMN($O77:$AL77),4)=MOD(COLUMN($O77)+0,4)),$O77:$AL77)*
$I77+SUMPRODUCT(--(MOD(COLUMN($AM77:$BJ77),4)=MOD(COLUMN($AM77)+0,4)),$AM77:$BJ77)*$I77</f>
        <v/>
      </c>
      <c r="BN77" s="855">
        <f>SUMPRODUCT(--(MOD(COLUMN($O77:$AL77),4)=MOD(COLUMN($O77)+1,4)),$O77:$AL77)
+SUMPRODUCT(--(MOD(COLUMN($AM77:$BJ77),4)=MOD(COLUMN($AM77)+1,4)),$AM77:$BJ77)</f>
        <v/>
      </c>
      <c r="BO77" s="855">
        <f>SUMPRODUCT(--(MOD(COLUMN($O77:$AL77),4)=MOD(COLUMN($O77)+1,4)),$O77:$AL77)*
$I77+SUMPRODUCT(--(MOD(COLUMN($AM77:$BJ77),4)=MOD(COLUMN($AM77)+1,4)),$AM77:$BJ77)*$I77</f>
        <v/>
      </c>
      <c r="BP77" s="855">
        <f>SUMPRODUCT(--(MOD(COLUMN($O77:$AL77),4)=MOD(COLUMN($O77)+2,4)),$O77:$AL77)
+SUMPRODUCT(--(MOD(COLUMN($AM77:$BJ77),4)=MOD(COLUMN($AM77)+2,4)),$AM77:$BJ77)</f>
        <v/>
      </c>
      <c r="BQ77" s="855">
        <f>SUMPRODUCT(--(MOD(COLUMN($O77:$AL77),4)=MOD(COLUMN($O77)+2,4)),$O77:$AL77)*
$I77+SUMPRODUCT(--(MOD(COLUMN($AM77:$BJ77),4)=MOD(COLUMN($AM77)+2,4)),$AM77:$BJ77)*$I77</f>
        <v/>
      </c>
      <c r="BR77" s="855" t="n"/>
      <c r="BS77" s="855" t="n"/>
      <c r="BT77" s="855" t="n"/>
      <c r="BU77" s="855" t="n"/>
      <c r="BV77" s="855" t="n"/>
      <c r="BW77" s="855" t="n"/>
      <c r="BX77" s="857" t="n"/>
      <c r="BY77" s="858" t="n"/>
      <c r="BZ77" s="858" t="n"/>
      <c r="CA77" s="859" t="n"/>
      <c r="CB77" s="855" t="n"/>
      <c r="CC77" s="855" t="n"/>
      <c r="CD77" s="855" t="n"/>
      <c r="CE77" s="855" t="n"/>
      <c r="CF77" s="855" t="n"/>
      <c r="CG77" s="855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5" t="n"/>
      <c r="CR77" s="855" t="n"/>
      <c r="CS77" s="855" t="n"/>
      <c r="CT77" s="855" t="n"/>
      <c r="CU77" s="855" t="n"/>
      <c r="CV77" s="855" t="n"/>
      <c r="CW77" s="855" t="n"/>
      <c r="CX77" s="855" t="n"/>
      <c r="CY77" s="855" t="n"/>
      <c r="CZ77" s="855" t="n"/>
      <c r="DA77" s="855" t="n"/>
      <c r="DB77" s="855" t="n"/>
      <c r="DC77" s="855" t="n"/>
      <c r="DD77" s="855" t="n"/>
      <c r="DE77" s="855" t="n"/>
      <c r="DF77" s="855" t="n"/>
      <c r="DG77" s="855" t="n"/>
      <c r="DH77" s="855" t="n"/>
      <c r="DI77" s="855" t="n"/>
      <c r="DJ77" s="855" t="n"/>
      <c r="DK77" s="855" t="n"/>
      <c r="DL77" s="855" t="n"/>
      <c r="DM77" s="855" t="n"/>
      <c r="DN77" s="855" t="n"/>
      <c r="DO77" s="855" t="n"/>
      <c r="DP77" s="855" t="n"/>
      <c r="DQ77" s="855" t="n"/>
      <c r="DR77" s="855" t="n"/>
      <c r="DS77" s="855" t="n"/>
      <c r="DT77" s="855" t="n"/>
      <c r="DU77" s="855" t="n"/>
      <c r="DV77" s="855" t="n"/>
      <c r="DW77" s="855" t="n"/>
      <c r="DX77" s="855" t="n"/>
      <c r="DY77" s="855" t="n"/>
      <c r="DZ77" s="855" t="n"/>
      <c r="EA77" s="855" t="n"/>
      <c r="EB77" s="859" t="n"/>
      <c r="EC77" s="855" t="n"/>
      <c r="ED77" s="855" t="n"/>
      <c r="EE77" s="855" t="n"/>
      <c r="EF77" s="855" t="n"/>
      <c r="EG77" s="855" t="n"/>
      <c r="EH77" s="855" t="n"/>
      <c r="EI77" s="855" t="n"/>
      <c r="EJ77" s="855" t="n"/>
      <c r="EK77" s="855" t="n"/>
      <c r="EL77" s="855" t="n"/>
      <c r="EM77" s="855" t="n"/>
      <c r="EN77" s="855" t="n"/>
      <c r="EO77" s="855" t="n"/>
      <c r="EP77" s="855" t="n"/>
      <c r="EQ77" s="855" t="n"/>
      <c r="ER77" s="855" t="n"/>
      <c r="ES77" s="855" t="n"/>
      <c r="ET77" s="855" t="n"/>
      <c r="EU77" s="855" t="n"/>
      <c r="EV77" s="855" t="n"/>
      <c r="EW77" s="855" t="n"/>
      <c r="EX77" s="855" t="n"/>
      <c r="EY77" s="855" t="n"/>
      <c r="EZ77" s="855" t="n"/>
      <c r="FA77" s="855" t="n"/>
      <c r="FB77" s="855" t="n"/>
      <c r="FC77" s="855" t="n"/>
      <c r="FD77" s="855" t="n"/>
      <c r="FE77" s="855" t="n"/>
      <c r="FF77" s="855" t="n"/>
      <c r="FG77" s="855" t="n"/>
      <c r="FH77" s="855" t="n"/>
      <c r="FI77" s="855" t="n"/>
      <c r="FJ77" s="855" t="n"/>
      <c r="FK77" s="855" t="n"/>
      <c r="FL77" s="855" t="n"/>
      <c r="FM77" s="855" t="n"/>
      <c r="FN77" s="855" t="n"/>
      <c r="FO77" s="855" t="n"/>
      <c r="FP77" s="855" t="n"/>
      <c r="FQ77" s="855" t="n"/>
      <c r="FR77" s="855" t="n"/>
      <c r="FS77" s="855" t="n"/>
      <c r="FT77" s="480" t="n"/>
      <c r="FU77" s="480" t="n"/>
      <c r="FV77" s="480" t="n"/>
      <c r="FW77" s="480" t="n"/>
      <c r="FX77" s="480" t="n"/>
      <c r="FY77" s="480" t="n"/>
      <c r="FZ77" s="480" t="n"/>
      <c r="GA77" s="480" t="n"/>
      <c r="GB77" s="481" t="n"/>
      <c r="GC77" s="480" t="n"/>
      <c r="GD77" s="480" t="n"/>
      <c r="GE77" s="480" t="n"/>
      <c r="GF77" s="480" t="n"/>
      <c r="GG77" s="480" t="n"/>
      <c r="GH77" s="480" t="n"/>
      <c r="GI77" s="480" t="n"/>
      <c r="GJ77" s="480" t="n"/>
      <c r="GK77" s="480" t="n"/>
      <c r="GL77" s="480" t="n"/>
      <c r="GM77" s="480" t="n"/>
      <c r="GN77" s="480" t="n"/>
      <c r="GO77" s="480" t="n"/>
      <c r="GP77" s="480" t="n"/>
      <c r="GQ77" s="480" t="n"/>
      <c r="GR77" s="480" t="n"/>
      <c r="GS77" s="480" t="n"/>
      <c r="GT77" s="480" t="n"/>
      <c r="GU77" s="480" t="n"/>
      <c r="GV77" s="480" t="n"/>
      <c r="GW77" s="480" t="n"/>
      <c r="GX77" s="480" t="n"/>
      <c r="GY77" s="480" t="n"/>
      <c r="GZ77" s="480" t="n"/>
      <c r="HA77" s="480" t="n"/>
      <c r="HB77" s="480" t="n"/>
      <c r="HC77" s="480" t="n"/>
      <c r="HD77" s="480" t="n"/>
      <c r="HE77" s="480" t="n"/>
      <c r="HF77" s="480" t="n"/>
      <c r="HG77" s="480" t="n"/>
      <c r="HH77" s="480" t="n"/>
      <c r="HI77" s="480" t="n"/>
      <c r="HJ77" s="480" t="n"/>
      <c r="HK77" s="480" t="n"/>
      <c r="HL77" s="480" t="n"/>
      <c r="HM77" s="480" t="n"/>
      <c r="HN77" s="480" t="n"/>
      <c r="HO77" s="480" t="n"/>
      <c r="HP77" s="480" t="n"/>
      <c r="HQ77" s="480" t="n"/>
      <c r="HR77" s="480" t="n"/>
      <c r="HS77" s="480" t="n"/>
      <c r="HT77" s="480" t="n"/>
      <c r="HU77" s="480" t="n"/>
      <c r="HV77" s="480" t="n"/>
      <c r="HW77" s="480" t="n"/>
      <c r="HX77" s="480" t="n"/>
      <c r="HY77" s="480" t="n"/>
      <c r="HZ77" s="480" t="n"/>
    </row>
    <row r="78" outlineLevel="2" customFormat="1" s="77">
      <c r="A78" s="78" t="inlineStr">
        <is>
          <t>АВГ АВТОКОМПОНЕНТЫ ООО</t>
        </is>
      </c>
      <c r="B78" s="79" t="n"/>
      <c r="C78" s="79" t="n"/>
      <c r="D78" s="79" t="n"/>
      <c r="E78" s="510" t="n"/>
      <c r="F78" s="79" t="n"/>
      <c r="G78" s="79" t="n"/>
      <c r="H78" s="80" t="inlineStr">
        <is>
          <t>шт.:</t>
        </is>
      </c>
      <c r="I78" s="847" t="n"/>
      <c r="J78" s="847" t="n"/>
      <c r="K78" s="847" t="n"/>
      <c r="L78" s="847" t="n"/>
      <c r="M78" s="847" t="n"/>
      <c r="N78" s="848">
        <f>IF(BP78&gt;0,1,IF(BN78&gt;0,2,))</f>
        <v/>
      </c>
      <c r="O78" s="849">
        <f>IFERROR(SUMPRODUCT(($A78=$A$6:$A$64)*($G$6:$G$64&gt;0)*O$6:O$64),"")</f>
        <v/>
      </c>
      <c r="P78" s="849">
        <f>IFERROR(SUMPRODUCT(($A78=$A$6:$A$64)*($G$6:$G$64&gt;0)*P$6:P$64),"")</f>
        <v/>
      </c>
      <c r="Q78" s="849">
        <f>IFERROR(SUMPRODUCT(($A78=$A$6:$A$64)*($G$6:$G$64&gt;0)*Q$6:Q$64),"")</f>
        <v/>
      </c>
      <c r="R78" s="849">
        <f>IFERROR(SUMPRODUCT(($A78=$A$6:$A$64)*($G$6:$G$64&gt;0)*R$6:R$64),"")</f>
        <v/>
      </c>
      <c r="S78" s="849">
        <f>IFERROR(SUMPRODUCT(($A78=$A$6:$A$64)*($G$6:$G$64&gt;0)*S$6:S$64),"")</f>
        <v/>
      </c>
      <c r="T78" s="849">
        <f>IFERROR(SUMPRODUCT(($A78=$A$6:$A$64)*($G$6:$G$64&gt;0)*T$6:T$64),"")</f>
        <v/>
      </c>
      <c r="U78" s="849">
        <f>IFERROR(SUMPRODUCT(($A78=$A$6:$A$64)*($G$6:$G$64&gt;0)*U$6:U$64),"")</f>
        <v/>
      </c>
      <c r="V78" s="849">
        <f>IFERROR(SUMPRODUCT(($A78=$A$6:$A$64)*($G$6:$G$64&gt;0)*V$6:V$64),"")</f>
        <v/>
      </c>
      <c r="W78" s="849">
        <f>IFERROR(SUMPRODUCT(($A78=$A$6:$A$64)*($G$6:$G$64&gt;0)*W$6:W$64),"")</f>
        <v/>
      </c>
      <c r="X78" s="849">
        <f>IFERROR(SUMPRODUCT(($A78=$A$6:$A$64)*($G$6:$G$64&gt;0)*X$6:X$64),"")</f>
        <v/>
      </c>
      <c r="Y78" s="849">
        <f>IFERROR(SUMPRODUCT(($A78=$A$6:$A$64)*($G$6:$G$64&gt;0)*Y$6:Y$64),"")</f>
        <v/>
      </c>
      <c r="Z78" s="849">
        <f>IFERROR(SUMPRODUCT(($A78=$A$6:$A$64)*($G$6:$G$64&gt;0)*Z$6:Z$64),"")</f>
        <v/>
      </c>
      <c r="AA78" s="849">
        <f>IFERROR(SUMPRODUCT(($A78=$A$6:$A$64)*($G$6:$G$64&gt;0)*AA$6:AA$64),"")</f>
        <v/>
      </c>
      <c r="AB78" s="849">
        <f>IFERROR(SUMPRODUCT(($A78=$A$6:$A$64)*($G$6:$G$64&gt;0)*AB$6:AB$64),"")</f>
        <v/>
      </c>
      <c r="AC78" s="849">
        <f>IFERROR(SUMPRODUCT(($A78=$A$6:$A$64)*($G$6:$G$64&gt;0)*AC$6:AC$64),"")</f>
        <v/>
      </c>
      <c r="AD78" s="849">
        <f>IFERROR(SUMPRODUCT(($A78=$A$6:$A$64)*($G$6:$G$64&gt;0)*AD$6:AD$64),"")</f>
        <v/>
      </c>
      <c r="AE78" s="849">
        <f>IFERROR(SUMPRODUCT(($A78=$A$6:$A$64)*($G$6:$G$64&gt;0)*AE$6:AE$64),"")</f>
        <v/>
      </c>
      <c r="AF78" s="849">
        <f>IFERROR(SUMPRODUCT(($A78=$A$6:$A$64)*($G$6:$G$64&gt;0)*AF$6:AF$64),"")</f>
        <v/>
      </c>
      <c r="AG78" s="849">
        <f>IFERROR(SUMPRODUCT(($A78=$A$6:$A$64)*($G$6:$G$64&gt;0)*AG$6:AG$64),"")</f>
        <v/>
      </c>
      <c r="AH78" s="849">
        <f>IFERROR(SUMPRODUCT(($A78=$A$6:$A$64)*($G$6:$G$64&gt;0)*AH$6:AH$64),"")</f>
        <v/>
      </c>
      <c r="AI78" s="849">
        <f>IFERROR(SUMPRODUCT(($A78=$A$6:$A$64)*($G$6:$G$64&gt;0)*AI$6:AI$64),"")</f>
        <v/>
      </c>
      <c r="AJ78" s="849">
        <f>IFERROR(SUMPRODUCT(($A78=$A$6:$A$64)*($G$6:$G$64&gt;0)*AJ$6:AJ$64),"")</f>
        <v/>
      </c>
      <c r="AK78" s="849">
        <f>IFERROR(SUMPRODUCT(($A78=$A$6:$A$64)*($G$6:$G$64&gt;0)*AK$6:AK$64),"")</f>
        <v/>
      </c>
      <c r="AL78" s="849">
        <f>IFERROR(SUMPRODUCT(($A78=$A$6:$A$64)*($G$6:$G$64&gt;0)*AL$6:AL$64),"")</f>
        <v/>
      </c>
      <c r="AM78" s="849">
        <f>IFERROR(SUMPRODUCT(($A78=$A$6:$A$64)*($G$6:$G$64&gt;0)*AM$6:AM$64),"")</f>
        <v/>
      </c>
      <c r="AN78" s="849">
        <f>IFERROR(SUMPRODUCT(($A78=$A$6:$A$64)*($G$6:$G$64&gt;0)*AN$6:AN$64),"")</f>
        <v/>
      </c>
      <c r="AO78" s="849">
        <f>IFERROR(SUMPRODUCT(($A78=$A$6:$A$64)*($G$6:$G$64&gt;0)*AO$6:AO$64),"")</f>
        <v/>
      </c>
      <c r="AP78" s="849">
        <f>IFERROR(SUMPRODUCT(($A78=$A$6:$A$64)*($G$6:$G$64&gt;0)*AP$6:AP$64),"")</f>
        <v/>
      </c>
      <c r="AQ78" s="849">
        <f>IFERROR(SUMPRODUCT(($A78=$A$6:$A$64)*($G$6:$G$64&gt;0)*AQ$6:AQ$64),"")</f>
        <v/>
      </c>
      <c r="AR78" s="849">
        <f>IFERROR(SUMPRODUCT(($A78=$A$6:$A$64)*($G$6:$G$64&gt;0)*AR$6:AR$64),"")</f>
        <v/>
      </c>
      <c r="AS78" s="849">
        <f>IFERROR(SUMPRODUCT(($A78=$A$6:$A$64)*($G$6:$G$64&gt;0)*AS$6:AS$64),"")</f>
        <v/>
      </c>
      <c r="AT78" s="849">
        <f>IFERROR(SUMPRODUCT(($A78=$A$6:$A$64)*($G$6:$G$64&gt;0)*AT$6:AT$64),"")</f>
        <v/>
      </c>
      <c r="AU78" s="849">
        <f>IFERROR(SUMPRODUCT(($A78=$A$6:$A$64)*($G$6:$G$64&gt;0)*AU$6:AU$64),"")</f>
        <v/>
      </c>
      <c r="AV78" s="849">
        <f>IFERROR(SUMPRODUCT(($A78=$A$6:$A$64)*($G$6:$G$64&gt;0)*AV$6:AV$64),"")</f>
        <v/>
      </c>
      <c r="AW78" s="849">
        <f>IFERROR(SUMPRODUCT(($A78=$A$6:$A$64)*($G$6:$G$64&gt;0)*AW$6:AW$64),"")</f>
        <v/>
      </c>
      <c r="AX78" s="849">
        <f>IFERROR(SUMPRODUCT(($A78=$A$6:$A$64)*($G$6:$G$64&gt;0)*AX$6:AX$64),"")</f>
        <v/>
      </c>
      <c r="AY78" s="849">
        <f>IFERROR(SUMPRODUCT(($A78=$A$6:$A$64)*($G$6:$G$64&gt;0)*AY$6:AY$64),"")</f>
        <v/>
      </c>
      <c r="AZ78" s="849">
        <f>IFERROR(SUMPRODUCT(($A78=$A$6:$A$64)*($G$6:$G$64&gt;0)*AZ$6:AZ$64),"")</f>
        <v/>
      </c>
      <c r="BA78" s="849">
        <f>IFERROR(SUMPRODUCT(($A78=$A$6:$A$64)*($G$6:$G$64&gt;0)*BA$6:BA$64),"")</f>
        <v/>
      </c>
      <c r="BB78" s="849">
        <f>IFERROR(SUMPRODUCT(($A78=$A$6:$A$64)*($G$6:$G$64&gt;0)*BB$6:BB$64),"")</f>
        <v/>
      </c>
      <c r="BC78" s="849">
        <f>IFERROR(SUMPRODUCT(($A78=$A$6:$A$64)*($G$6:$G$64&gt;0)*BC$6:BC$64),"")</f>
        <v/>
      </c>
      <c r="BD78" s="849">
        <f>IFERROR(SUMPRODUCT(($A78=$A$6:$A$64)*($G$6:$G$64&gt;0)*BD$6:BD$64),"")</f>
        <v/>
      </c>
      <c r="BE78" s="849">
        <f>IFERROR(SUMPRODUCT(($A78=$A$6:$A$64)*($G$6:$G$64&gt;0)*BE$6:BE$64),"")</f>
        <v/>
      </c>
      <c r="BF78" s="849">
        <f>IFERROR(SUMPRODUCT(($A78=$A$6:$A$64)*($G$6:$G$64&gt;0)*BF$6:BF$64),"")</f>
        <v/>
      </c>
      <c r="BG78" s="849">
        <f>IFERROR(SUMPRODUCT(($A78=$A$6:$A$64)*($G$6:$G$64&gt;0)*BG$6:BG$64),"")</f>
        <v/>
      </c>
      <c r="BH78" s="849">
        <f>IFERROR(SUMPRODUCT(($A78=$A$6:$A$64)*($G$6:$G$64&gt;0)*BH$6:BH$64),"")</f>
        <v/>
      </c>
      <c r="BI78" s="849">
        <f>IFERROR(SUMPRODUCT(($A78=$A$6:$A$64)*($G$6:$G$64&gt;0)*BI$6:BI$64),"")</f>
        <v/>
      </c>
      <c r="BJ78" s="849">
        <f>IFERROR(SUMPRODUCT(($A78=$A$6:$A$64)*($G$6:$G$64&gt;0)*BJ$6:BJ$64),"")</f>
        <v/>
      </c>
      <c r="BK78" s="849" t="n"/>
      <c r="BL78" s="849">
        <f>SUMPRODUCT(--(MOD(COLUMN($O78:$AL78),4)=MOD(COLUMN($O78)+0,4)),$O78:$AL78)
+SUMPRODUCT(--(MOD(COLUMN($AM78:$BJ78),4)=MOD(COLUMN($AM78)+0,4)),$AM78:$BJ78)</f>
        <v/>
      </c>
      <c r="BM78" s="850">
        <f>SUMPRODUCT(--(MOD(COLUMN($O78:$AL78),4)=MOD(COLUMN($O78)+0,4)),$O78:$AL78)*
$I78+SUMPRODUCT(--(MOD(COLUMN($AM78:$BJ78),4)=MOD(COLUMN($AM78)+0,4)),$AM78:$BJ78)*$I78</f>
        <v/>
      </c>
      <c r="BN78" s="849">
        <f>SUMPRODUCT(--(MOD(COLUMN($O78:$AL78),4)=MOD(COLUMN($O78)+1,4)),$O78:$AL78)
+SUMPRODUCT(--(MOD(COLUMN($AM78:$BJ78),4)=MOD(COLUMN($AM78)+1,4)),$AM78:$BJ78)</f>
        <v/>
      </c>
      <c r="BO78" s="849">
        <f>SUMPRODUCT(--(MOD(COLUMN($O78:$AL78),4)=MOD(COLUMN($O78)+1,4)),$O78:$AL78)*
$I78+SUMPRODUCT(--(MOD(COLUMN($AM78:$BJ78),4)=MOD(COLUMN($AM78)+1,4)),$AM78:$BJ78)*$I78</f>
        <v/>
      </c>
      <c r="BP78" s="849">
        <f>SUMPRODUCT(--(MOD(COLUMN($O78:$AL78),4)=MOD(COLUMN($O78)+2,4)),$O78:$AL78)
+SUMPRODUCT(--(MOD(COLUMN($AM78:$BJ78),4)=MOD(COLUMN($AM78)+2,4)),$AM78:$BJ78)</f>
        <v/>
      </c>
      <c r="BQ78" s="849">
        <f>SUMPRODUCT(--(MOD(COLUMN($O78:$AL78),4)=MOD(COLUMN($O78)+2,4)),$O78:$AL78)*
$I78+SUMPRODUCT(--(MOD(COLUMN($AM78:$BJ78),4)=MOD(COLUMN($AM78)+2,4)),$AM78:$BJ78)*$I78</f>
        <v/>
      </c>
      <c r="BR78" s="849" t="n"/>
      <c r="BS78" s="849" t="n"/>
      <c r="BT78" s="849" t="n"/>
      <c r="BU78" s="849" t="n"/>
      <c r="BV78" s="849" t="n"/>
      <c r="BW78" s="849" t="n"/>
      <c r="BX78" s="851" t="n"/>
      <c r="BY78" s="852" t="n"/>
      <c r="BZ78" s="852" t="n"/>
      <c r="CA78" s="853" t="n"/>
      <c r="CB78" s="849" t="n"/>
      <c r="CC78" s="849" t="n"/>
      <c r="CD78" s="849" t="n"/>
      <c r="CE78" s="849" t="n"/>
      <c r="CF78" s="849" t="n"/>
      <c r="CG78" s="849" t="n"/>
      <c r="CH78" s="849" t="n"/>
      <c r="CI78" s="849" t="n"/>
      <c r="CJ78" s="849" t="n"/>
      <c r="CK78" s="849" t="n"/>
      <c r="CL78" s="849" t="n"/>
      <c r="CM78" s="849" t="n"/>
      <c r="CN78" s="849" t="n"/>
      <c r="CO78" s="849" t="n"/>
      <c r="CP78" s="849" t="n"/>
      <c r="CQ78" s="849" t="n"/>
      <c r="CR78" s="849" t="n"/>
      <c r="CS78" s="849" t="n"/>
      <c r="CT78" s="849" t="n"/>
      <c r="CU78" s="849" t="n"/>
      <c r="CV78" s="849" t="n"/>
      <c r="CW78" s="849" t="n"/>
      <c r="CX78" s="849" t="n"/>
      <c r="CY78" s="849" t="n"/>
      <c r="CZ78" s="849" t="n"/>
      <c r="DA78" s="849" t="n"/>
      <c r="DB78" s="849" t="n"/>
      <c r="DC78" s="849" t="n"/>
      <c r="DD78" s="849" t="n"/>
      <c r="DE78" s="849" t="n"/>
      <c r="DF78" s="849" t="n"/>
      <c r="DG78" s="849" t="n"/>
      <c r="DH78" s="849" t="n"/>
      <c r="DI78" s="849" t="n"/>
      <c r="DJ78" s="849" t="n"/>
      <c r="DK78" s="849" t="n"/>
      <c r="DL78" s="849" t="n"/>
      <c r="DM78" s="849" t="n"/>
      <c r="DN78" s="849" t="n"/>
      <c r="DO78" s="849" t="n"/>
      <c r="DP78" s="849" t="n"/>
      <c r="DQ78" s="849" t="n"/>
      <c r="DR78" s="849" t="n"/>
      <c r="DS78" s="849" t="n"/>
      <c r="DT78" s="849" t="n"/>
      <c r="DU78" s="849" t="n"/>
      <c r="DV78" s="849" t="n"/>
      <c r="DW78" s="849" t="n"/>
      <c r="DX78" s="849" t="n"/>
      <c r="DY78" s="849" t="n"/>
      <c r="DZ78" s="849" t="n"/>
      <c r="EA78" s="849" t="n"/>
      <c r="EB78" s="853" t="n"/>
      <c r="EC78" s="849" t="n"/>
      <c r="ED78" s="849" t="n"/>
      <c r="EE78" s="849" t="n"/>
      <c r="EF78" s="849" t="n"/>
      <c r="EG78" s="849" t="n"/>
      <c r="EH78" s="849" t="n"/>
      <c r="EI78" s="849" t="n"/>
      <c r="EJ78" s="849" t="n"/>
      <c r="EK78" s="849" t="n"/>
      <c r="EL78" s="849" t="n"/>
      <c r="EM78" s="849" t="n"/>
      <c r="EN78" s="849" t="n"/>
      <c r="EO78" s="849" t="n"/>
      <c r="EP78" s="849" t="n"/>
      <c r="EQ78" s="849" t="n"/>
      <c r="ER78" s="849" t="n"/>
      <c r="ES78" s="849" t="n"/>
      <c r="ET78" s="849" t="n"/>
      <c r="EU78" s="849" t="n"/>
      <c r="EV78" s="849" t="n"/>
      <c r="EW78" s="849" t="n"/>
      <c r="EX78" s="849" t="n"/>
      <c r="EY78" s="849" t="n"/>
      <c r="EZ78" s="849" t="n"/>
      <c r="FA78" s="849" t="n"/>
      <c r="FB78" s="849" t="n"/>
      <c r="FC78" s="849" t="n"/>
      <c r="FD78" s="849" t="n"/>
      <c r="FE78" s="849" t="n"/>
      <c r="FF78" s="849" t="n"/>
      <c r="FG78" s="849" t="n"/>
      <c r="FH78" s="849" t="n"/>
      <c r="FI78" s="849" t="n"/>
      <c r="FJ78" s="849" t="n"/>
      <c r="FK78" s="849" t="n"/>
      <c r="FL78" s="849" t="n"/>
      <c r="FM78" s="849" t="n"/>
      <c r="FN78" s="849" t="n"/>
      <c r="FO78" s="849" t="n"/>
      <c r="FP78" s="849" t="n"/>
      <c r="FQ78" s="849" t="n"/>
      <c r="FR78" s="849" t="n"/>
      <c r="FS78" s="849" t="n"/>
      <c r="FT78" s="86" t="n"/>
      <c r="FU78" s="86" t="n"/>
      <c r="FV78" s="86" t="n"/>
      <c r="FW78" s="86" t="n"/>
      <c r="FX78" s="86" t="n"/>
      <c r="FY78" s="86" t="n"/>
      <c r="FZ78" s="86" t="n"/>
      <c r="GA78" s="86" t="n"/>
      <c r="GB78" s="87" t="n"/>
      <c r="GC78" s="86" t="n"/>
      <c r="GD78" s="86" t="n"/>
      <c r="GE78" s="86" t="n"/>
      <c r="GF78" s="86" t="n"/>
      <c r="GG78" s="86" t="n"/>
      <c r="GH78" s="86" t="n"/>
      <c r="GI78" s="86" t="n"/>
      <c r="GJ78" s="86" t="n"/>
      <c r="GK78" s="86" t="n"/>
      <c r="GL78" s="86" t="n"/>
      <c r="GM78" s="86" t="n"/>
      <c r="GN78" s="86" t="n"/>
      <c r="GO78" s="86" t="n"/>
      <c r="GP78" s="86" t="n"/>
      <c r="GQ78" s="86" t="n"/>
      <c r="GR78" s="86" t="n"/>
      <c r="GS78" s="86" t="n"/>
      <c r="GT78" s="86" t="n"/>
      <c r="GU78" s="86" t="n"/>
      <c r="GV78" s="86" t="n"/>
      <c r="GW78" s="86" t="n"/>
      <c r="GX78" s="86" t="n"/>
      <c r="GY78" s="86" t="n"/>
      <c r="GZ78" s="86" t="n"/>
      <c r="HA78" s="86" t="n"/>
      <c r="HB78" s="86" t="n"/>
      <c r="HC78" s="86" t="n"/>
      <c r="HD78" s="86" t="n"/>
      <c r="HE78" s="86" t="n"/>
      <c r="HF78" s="86" t="n"/>
      <c r="HG78" s="86" t="n"/>
      <c r="HH78" s="86" t="n"/>
      <c r="HI78" s="86" t="n"/>
      <c r="HJ78" s="86" t="n"/>
      <c r="HK78" s="86" t="n"/>
      <c r="HL78" s="86" t="n"/>
      <c r="HM78" s="86" t="n"/>
      <c r="HN78" s="86" t="n"/>
      <c r="HO78" s="86" t="n"/>
      <c r="HP78" s="86" t="n"/>
      <c r="HQ78" s="86" t="n"/>
      <c r="HR78" s="86" t="n"/>
      <c r="HS78" s="86" t="n"/>
      <c r="HT78" s="86" t="n"/>
      <c r="HU78" s="86" t="n"/>
      <c r="HV78" s="86" t="n"/>
      <c r="HW78" s="86" t="n"/>
      <c r="HX78" s="86" t="n"/>
      <c r="HY78" s="86" t="n"/>
      <c r="HZ78" s="86" t="n"/>
    </row>
    <row r="79" outlineLevel="1" customFormat="1" s="88">
      <c r="A79" s="89" t="inlineStr">
        <is>
          <t>ВСЕ</t>
        </is>
      </c>
      <c r="B79" s="90" t="n"/>
      <c r="C79" s="90" t="n"/>
      <c r="D79" s="90" t="n"/>
      <c r="E79" s="512" t="n"/>
      <c r="F79" s="90" t="n"/>
      <c r="G79" s="90" t="n"/>
      <c r="H79" s="91" t="inlineStr">
        <is>
          <t>шт.:</t>
        </is>
      </c>
      <c r="I79" s="860" t="n"/>
      <c r="J79" s="860" t="n"/>
      <c r="K79" s="860" t="n"/>
      <c r="L79" s="860" t="n"/>
      <c r="M79" s="860" t="n"/>
      <c r="N79" s="861">
        <f>IF(BP79&gt;0,1,IF(BN79&gt;0,2,))</f>
        <v/>
      </c>
      <c r="O79" s="862">
        <f>IFERROR(SUMPRODUCT(($G$6:$G$64&gt;0)*O$6:O$64),"")</f>
        <v/>
      </c>
      <c r="P79" s="862">
        <f>IFERROR(SUMPRODUCT(($G$6:$G$64&gt;0)*P$6:P$64),"")</f>
        <v/>
      </c>
      <c r="Q79" s="862">
        <f>IFERROR(SUMPRODUCT(($G$6:$G$64&gt;0)*Q$6:Q$64),"")</f>
        <v/>
      </c>
      <c r="R79" s="862">
        <f>IFERROR(SUMPRODUCT(($G$6:$G$64&gt;0)*R$6:R$64),"")</f>
        <v/>
      </c>
      <c r="S79" s="862">
        <f>IFERROR(SUMPRODUCT(($G$6:$G$64&gt;0)*S$6:S$64),"")</f>
        <v/>
      </c>
      <c r="T79" s="862">
        <f>IFERROR(SUMPRODUCT(($G$6:$G$64&gt;0)*T$6:T$64),"")</f>
        <v/>
      </c>
      <c r="U79" s="862">
        <f>IFERROR(SUMPRODUCT(($G$6:$G$64&gt;0)*U$6:U$64),"")</f>
        <v/>
      </c>
      <c r="V79" s="862">
        <f>IFERROR(SUMPRODUCT(($G$6:$G$64&gt;0)*V$6:V$64),"")</f>
        <v/>
      </c>
      <c r="W79" s="862">
        <f>IFERROR(SUMPRODUCT(($G$6:$G$64&gt;0)*W$6:W$64),"")</f>
        <v/>
      </c>
      <c r="X79" s="862">
        <f>IFERROR(SUMPRODUCT(($G$6:$G$64&gt;0)*X$6:X$64),"")</f>
        <v/>
      </c>
      <c r="Y79" s="862">
        <f>IFERROR(SUMPRODUCT(($G$6:$G$64&gt;0)*Y$6:Y$64),"")</f>
        <v/>
      </c>
      <c r="Z79" s="862">
        <f>IFERROR(SUMPRODUCT(($G$6:$G$64&gt;0)*Z$6:Z$64),"")</f>
        <v/>
      </c>
      <c r="AA79" s="862">
        <f>IFERROR(SUMPRODUCT(($G$6:$G$64&gt;0)*AA$6:AA$64),"")</f>
        <v/>
      </c>
      <c r="AB79" s="862">
        <f>IFERROR(SUMPRODUCT(($G$6:$G$64&gt;0)*AB$6:AB$64),"")</f>
        <v/>
      </c>
      <c r="AC79" s="862">
        <f>IFERROR(SUMPRODUCT(($G$6:$G$64&gt;0)*AC$6:AC$64),"")</f>
        <v/>
      </c>
      <c r="AD79" s="862">
        <f>IFERROR(SUMPRODUCT(($G$6:$G$64&gt;0)*AD$6:AD$64),"")</f>
        <v/>
      </c>
      <c r="AE79" s="862">
        <f>IFERROR(SUMPRODUCT(($G$6:$G$64&gt;0)*AE$6:AE$64),"")</f>
        <v/>
      </c>
      <c r="AF79" s="862">
        <f>IFERROR(SUMPRODUCT(($G$6:$G$64&gt;0)*AF$6:AF$64),"")</f>
        <v/>
      </c>
      <c r="AG79" s="862">
        <f>IFERROR(SUMPRODUCT(($G$6:$G$64&gt;0)*AG$6:AG$64),"")</f>
        <v/>
      </c>
      <c r="AH79" s="862">
        <f>IFERROR(SUMPRODUCT(($G$6:$G$64&gt;0)*AH$6:AH$64),"")</f>
        <v/>
      </c>
      <c r="AI79" s="862">
        <f>IFERROR(SUMPRODUCT(($G$6:$G$64&gt;0)*AI$6:AI$64),"")</f>
        <v/>
      </c>
      <c r="AJ79" s="862">
        <f>IFERROR(SUMPRODUCT(($G$6:$G$64&gt;0)*AJ$6:AJ$64),"")</f>
        <v/>
      </c>
      <c r="AK79" s="862">
        <f>IFERROR(SUMPRODUCT(($G$6:$G$64&gt;0)*AK$6:AK$64),"")</f>
        <v/>
      </c>
      <c r="AL79" s="862">
        <f>IFERROR(SUMPRODUCT(($G$6:$G$64&gt;0)*AL$6:AL$64),"")</f>
        <v/>
      </c>
      <c r="AM79" s="862">
        <f>IFERROR(SUMPRODUCT(($G$6:$G$64&gt;0)*AM$6:AM$64),"")</f>
        <v/>
      </c>
      <c r="AN79" s="862">
        <f>IFERROR(SUMPRODUCT(($G$6:$G$64&gt;0)*AN$6:AN$64),"")</f>
        <v/>
      </c>
      <c r="AO79" s="862">
        <f>IFERROR(SUMPRODUCT(($G$6:$G$64&gt;0)*AO$6:AO$64),"")</f>
        <v/>
      </c>
      <c r="AP79" s="862">
        <f>IFERROR(SUMPRODUCT(($G$6:$G$64&gt;0)*AP$6:AP$64),"")</f>
        <v/>
      </c>
      <c r="AQ79" s="862">
        <f>IFERROR(SUMPRODUCT(($G$6:$G$64&gt;0)*AQ$6:AQ$64),"")</f>
        <v/>
      </c>
      <c r="AR79" s="862">
        <f>IFERROR(SUMPRODUCT(($G$6:$G$64&gt;0)*AR$6:AR$64),"")</f>
        <v/>
      </c>
      <c r="AS79" s="862">
        <f>IFERROR(SUMPRODUCT(($G$6:$G$64&gt;0)*AS$6:AS$64),"")</f>
        <v/>
      </c>
      <c r="AT79" s="862">
        <f>IFERROR(SUMPRODUCT(($G$6:$G$64&gt;0)*AT$6:AT$64),"")</f>
        <v/>
      </c>
      <c r="AU79" s="862">
        <f>IFERROR(SUMPRODUCT(($G$6:$G$64&gt;0)*AU$6:AU$64),"")</f>
        <v/>
      </c>
      <c r="AV79" s="862">
        <f>IFERROR(SUMPRODUCT(($G$6:$G$64&gt;0)*AV$6:AV$64),"")</f>
        <v/>
      </c>
      <c r="AW79" s="862">
        <f>IFERROR(SUMPRODUCT(($G$6:$G$64&gt;0)*AW$6:AW$64),"")</f>
        <v/>
      </c>
      <c r="AX79" s="862">
        <f>IFERROR(SUMPRODUCT(($G$6:$G$64&gt;0)*AX$6:AX$64),"")</f>
        <v/>
      </c>
      <c r="AY79" s="862">
        <f>IFERROR(SUMPRODUCT(($G$6:$G$64&gt;0)*AY$6:AY$64),"")</f>
        <v/>
      </c>
      <c r="AZ79" s="862">
        <f>IFERROR(SUMPRODUCT(($G$6:$G$64&gt;0)*AZ$6:AZ$64),"")</f>
        <v/>
      </c>
      <c r="BA79" s="862">
        <f>IFERROR(SUMPRODUCT(($G$6:$G$64&gt;0)*BA$6:BA$64),"")</f>
        <v/>
      </c>
      <c r="BB79" s="862">
        <f>IFERROR(SUMPRODUCT(($G$6:$G$64&gt;0)*BB$6:BB$64),"")</f>
        <v/>
      </c>
      <c r="BC79" s="862">
        <f>IFERROR(SUMPRODUCT(($G$6:$G$64&gt;0)*BC$6:BC$64),"")</f>
        <v/>
      </c>
      <c r="BD79" s="862">
        <f>IFERROR(SUMPRODUCT(($G$6:$G$64&gt;0)*BD$6:BD$64),"")</f>
        <v/>
      </c>
      <c r="BE79" s="862">
        <f>IFERROR(SUMPRODUCT(($G$6:$G$64&gt;0)*BE$6:BE$64),"")</f>
        <v/>
      </c>
      <c r="BF79" s="862">
        <f>IFERROR(SUMPRODUCT(($G$6:$G$64&gt;0)*BF$6:BF$64),"")</f>
        <v/>
      </c>
      <c r="BG79" s="862">
        <f>IFERROR(SUMPRODUCT(($G$6:$G$64&gt;0)*BG$6:BG$64),"")</f>
        <v/>
      </c>
      <c r="BH79" s="862">
        <f>IFERROR(SUMPRODUCT(($G$6:$G$64&gt;0)*BH$6:BH$64),"")</f>
        <v/>
      </c>
      <c r="BI79" s="862">
        <f>IFERROR(SUMPRODUCT(($G$6:$G$64&gt;0)*BI$6:BI$64),"")</f>
        <v/>
      </c>
      <c r="BJ79" s="862">
        <f>IFERROR(SUMPRODUCT(($G$6:$G$64&gt;0)*BJ$6:BJ$64),"")</f>
        <v/>
      </c>
      <c r="BK79" s="862" t="n"/>
      <c r="BL79" s="862">
        <f>SUMPRODUCT(--(MOD(COLUMN($O79:$AL79),4)=MOD(COLUMN($O79)+0,4)),$O79:$AL79)
+SUMPRODUCT(--(MOD(COLUMN($AM79:$BJ79),4)=MOD(COLUMN($AM79)+0,4)),$AM79:$BJ79)</f>
        <v/>
      </c>
      <c r="BM79" s="863">
        <f>SUMPRODUCT(--(MOD(COLUMN($O79:$AL79),4)=MOD(COLUMN($O79)+0,4)),$O79:$AL79)*
$I79+SUMPRODUCT(--(MOD(COLUMN($AM79:$BJ79),4)=MOD(COLUMN($AM79)+0,4)),$AM79:$BJ79)*$I79</f>
        <v/>
      </c>
      <c r="BN79" s="862">
        <f>SUMPRODUCT(--(MOD(COLUMN($O79:$AL79),4)=MOD(COLUMN($O79)+1,4)),$O79:$AL79)
+SUMPRODUCT(--(MOD(COLUMN($AM79:$BJ79),4)=MOD(COLUMN($AM79)+1,4)),$AM79:$BJ79)</f>
        <v/>
      </c>
      <c r="BO79" s="862">
        <f>SUMPRODUCT(--(MOD(COLUMN($O79:$AL79),4)=MOD(COLUMN($O79)+1,4)),$O79:$AL79)*
$I79+SUMPRODUCT(--(MOD(COLUMN($AM79:$BJ79),4)=MOD(COLUMN($AM79)+1,4)),$AM79:$BJ79)*$I79</f>
        <v/>
      </c>
      <c r="BP79" s="862">
        <f>SUMPRODUCT(--(MOD(COLUMN($O79:$AL79),4)=MOD(COLUMN($O79)+2,4)),$O79:$AL79)
+SUMPRODUCT(--(MOD(COLUMN($AM79:$BJ79),4)=MOD(COLUMN($AM79)+2,4)),$AM79:$BJ79)</f>
        <v/>
      </c>
      <c r="BQ79" s="862">
        <f>SUMPRODUCT(--(MOD(COLUMN($O79:$AL79),4)=MOD(COLUMN($O79)+2,4)),$O79:$AL79)*
$I79+SUMPRODUCT(--(MOD(COLUMN($AM79:$BJ79),4)=MOD(COLUMN($AM79)+2,4)),$AM79:$BJ79)*$I79</f>
        <v/>
      </c>
      <c r="BR79" s="862" t="n"/>
      <c r="BS79" s="862" t="n"/>
      <c r="BT79" s="862" t="n"/>
      <c r="BU79" s="862" t="n"/>
      <c r="BV79" s="862" t="n"/>
      <c r="BW79" s="862" t="n"/>
      <c r="BX79" s="864" t="n"/>
      <c r="BY79" s="865" t="n"/>
      <c r="BZ79" s="865" t="n"/>
      <c r="CA79" s="866" t="n"/>
      <c r="CB79" s="862" t="n"/>
      <c r="CC79" s="862" t="n"/>
      <c r="CD79" s="862" t="n"/>
      <c r="CE79" s="862" t="n"/>
      <c r="CF79" s="862" t="n"/>
      <c r="CG79" s="862" t="n"/>
      <c r="CH79" s="862" t="n"/>
      <c r="CI79" s="862" t="n"/>
      <c r="CJ79" s="862" t="n"/>
      <c r="CK79" s="862" t="n"/>
      <c r="CL79" s="862" t="n"/>
      <c r="CM79" s="862" t="n"/>
      <c r="CN79" s="862" t="n"/>
      <c r="CO79" s="862" t="n"/>
      <c r="CP79" s="862" t="n"/>
      <c r="CQ79" s="862" t="n"/>
      <c r="CR79" s="862" t="n"/>
      <c r="CS79" s="862" t="n"/>
      <c r="CT79" s="862" t="n"/>
      <c r="CU79" s="862" t="n"/>
      <c r="CV79" s="862" t="n"/>
      <c r="CW79" s="862" t="n"/>
      <c r="CX79" s="862" t="n"/>
      <c r="CY79" s="862" t="n"/>
      <c r="CZ79" s="862" t="n"/>
      <c r="DA79" s="862" t="n"/>
      <c r="DB79" s="862" t="n"/>
      <c r="DC79" s="862" t="n"/>
      <c r="DD79" s="862" t="n"/>
      <c r="DE79" s="862" t="n"/>
      <c r="DF79" s="862" t="n"/>
      <c r="DG79" s="862" t="n"/>
      <c r="DH79" s="862" t="n"/>
      <c r="DI79" s="862" t="n"/>
      <c r="DJ79" s="862" t="n"/>
      <c r="DK79" s="862" t="n"/>
      <c r="DL79" s="862" t="n"/>
      <c r="DM79" s="862" t="n"/>
      <c r="DN79" s="862" t="n"/>
      <c r="DO79" s="862" t="n"/>
      <c r="DP79" s="862" t="n"/>
      <c r="DQ79" s="862" t="n"/>
      <c r="DR79" s="862" t="n"/>
      <c r="DS79" s="862" t="n"/>
      <c r="DT79" s="862" t="n"/>
      <c r="DU79" s="862" t="n"/>
      <c r="DV79" s="862" t="n"/>
      <c r="DW79" s="862" t="n"/>
      <c r="DX79" s="862" t="n"/>
      <c r="DY79" s="862" t="n"/>
      <c r="DZ79" s="862" t="n"/>
      <c r="EA79" s="862" t="n"/>
      <c r="EB79" s="866" t="n"/>
      <c r="EC79" s="862" t="n"/>
      <c r="ED79" s="862" t="n"/>
      <c r="EE79" s="862" t="n"/>
      <c r="EF79" s="862" t="n"/>
      <c r="EG79" s="862" t="n"/>
      <c r="EH79" s="862" t="n"/>
      <c r="EI79" s="862" t="n"/>
      <c r="EJ79" s="862" t="n"/>
      <c r="EK79" s="862" t="n"/>
      <c r="EL79" s="862" t="n"/>
      <c r="EM79" s="862" t="n"/>
      <c r="EN79" s="862" t="n"/>
      <c r="EO79" s="862" t="n"/>
      <c r="EP79" s="862" t="n"/>
      <c r="EQ79" s="862" t="n"/>
      <c r="ER79" s="862" t="n"/>
      <c r="ES79" s="862" t="n"/>
      <c r="ET79" s="862" t="n"/>
      <c r="EU79" s="862" t="n"/>
      <c r="EV79" s="862" t="n"/>
      <c r="EW79" s="862" t="n"/>
      <c r="EX79" s="862" t="n"/>
      <c r="EY79" s="862" t="n"/>
      <c r="EZ79" s="862" t="n"/>
      <c r="FA79" s="862" t="n"/>
      <c r="FB79" s="862" t="n"/>
      <c r="FC79" s="862" t="n"/>
      <c r="FD79" s="862" t="n"/>
      <c r="FE79" s="862" t="n"/>
      <c r="FF79" s="862" t="n"/>
      <c r="FG79" s="862" t="n"/>
      <c r="FH79" s="862" t="n"/>
      <c r="FI79" s="862" t="n"/>
      <c r="FJ79" s="862" t="n"/>
      <c r="FK79" s="862" t="n"/>
      <c r="FL79" s="862" t="n"/>
      <c r="FM79" s="862" t="n"/>
      <c r="FN79" s="862" t="n"/>
      <c r="FO79" s="862" t="n"/>
      <c r="FP79" s="862" t="n"/>
      <c r="FQ79" s="862" t="n"/>
      <c r="FR79" s="862" t="n"/>
      <c r="FS79" s="862" t="n"/>
      <c r="FT79" s="97" t="n"/>
      <c r="FU79" s="97" t="n"/>
      <c r="FV79" s="97" t="n"/>
      <c r="FW79" s="97" t="n"/>
      <c r="FX79" s="97" t="n"/>
      <c r="FY79" s="97" t="n"/>
      <c r="FZ79" s="97" t="n"/>
      <c r="GA79" s="97" t="n"/>
      <c r="GB79" s="98" t="n"/>
      <c r="GC79" s="97" t="n"/>
      <c r="GD79" s="97" t="n"/>
      <c r="GE79" s="97" t="n"/>
      <c r="GF79" s="97" t="n"/>
      <c r="GG79" s="97" t="n"/>
      <c r="GH79" s="97" t="n"/>
      <c r="GI79" s="97" t="n"/>
      <c r="GJ79" s="97" t="n"/>
      <c r="GK79" s="97" t="n"/>
      <c r="GL79" s="97" t="n"/>
      <c r="GM79" s="97" t="n"/>
      <c r="GN79" s="97" t="n"/>
      <c r="GO79" s="97" t="n"/>
      <c r="GP79" s="97" t="n"/>
      <c r="GQ79" s="97" t="n"/>
      <c r="GR79" s="97" t="n"/>
      <c r="GS79" s="97" t="n"/>
      <c r="GT79" s="97" t="n"/>
      <c r="GU79" s="97" t="n"/>
      <c r="GV79" s="97" t="n"/>
      <c r="GW79" s="97" t="n"/>
      <c r="GX79" s="97" t="n"/>
      <c r="GY79" s="97" t="n"/>
      <c r="GZ79" s="97" t="n"/>
      <c r="HA79" s="97" t="n"/>
      <c r="HB79" s="97" t="n"/>
      <c r="HC79" s="97" t="n"/>
      <c r="HD79" s="97" t="n"/>
      <c r="HE79" s="97" t="n"/>
      <c r="HF79" s="97" t="n"/>
      <c r="HG79" s="97" t="n"/>
      <c r="HH79" s="97" t="n"/>
      <c r="HI79" s="97" t="n"/>
      <c r="HJ79" s="97" t="n"/>
      <c r="HK79" s="97" t="n"/>
      <c r="HL79" s="97" t="n"/>
      <c r="HM79" s="97" t="n"/>
      <c r="HN79" s="97" t="n"/>
      <c r="HO79" s="97" t="n"/>
      <c r="HP79" s="97" t="n"/>
      <c r="HQ79" s="97" t="n"/>
      <c r="HR79" s="97" t="n"/>
      <c r="HS79" s="97" t="n"/>
      <c r="HT79" s="97" t="n"/>
      <c r="HU79" s="97" t="n"/>
      <c r="HV79" s="97" t="n"/>
      <c r="HW79" s="97" t="n"/>
      <c r="HX79" s="97" t="n"/>
      <c r="HY79" s="97" t="n"/>
      <c r="HZ79" s="97" t="n"/>
    </row>
  </sheetData>
  <autoFilter ref="A5:HZ79"/>
  <mergeCells count="65">
    <mergeCell ref="EK4:EN4"/>
    <mergeCell ref="C4:C5"/>
    <mergeCell ref="AM4:AP4"/>
    <mergeCell ref="E4:E5"/>
    <mergeCell ref="AQ4:AT4"/>
    <mergeCell ref="DP4:DP5"/>
    <mergeCell ref="BT4:BW4"/>
    <mergeCell ref="BC4:BF4"/>
    <mergeCell ref="CB4:CE4"/>
    <mergeCell ref="BK4:BK5"/>
    <mergeCell ref="CN4:CQ4"/>
    <mergeCell ref="FE4:FH4"/>
    <mergeCell ref="CF4:CI4"/>
    <mergeCell ref="BS4:BS5"/>
    <mergeCell ref="FR4:FS4"/>
    <mergeCell ref="EW4:EZ4"/>
    <mergeCell ref="FI4:FL4"/>
    <mergeCell ref="FT4:FT5"/>
    <mergeCell ref="BL4:BQ4"/>
    <mergeCell ref="N3:BR3"/>
    <mergeCell ref="S4:V4"/>
    <mergeCell ref="AE4:AH4"/>
    <mergeCell ref="W4:Z4"/>
    <mergeCell ref="J4:J5"/>
    <mergeCell ref="D4:D5"/>
    <mergeCell ref="DS4:DS5"/>
    <mergeCell ref="L4:L5"/>
    <mergeCell ref="DH4:DK4"/>
    <mergeCell ref="CZ4:DC4"/>
    <mergeCell ref="BS3:DS3"/>
    <mergeCell ref="CR4:CU4"/>
    <mergeCell ref="DD4:DG4"/>
    <mergeCell ref="DL4:DO4"/>
    <mergeCell ref="EC4:EF4"/>
    <mergeCell ref="EO4:ER4"/>
    <mergeCell ref="A4:A5"/>
    <mergeCell ref="G4:G5"/>
    <mergeCell ref="AU4:AX4"/>
    <mergeCell ref="BR4:BR5"/>
    <mergeCell ref="I4:I5"/>
    <mergeCell ref="AY4:BB4"/>
    <mergeCell ref="K4:K5"/>
    <mergeCell ref="DT4:DT5"/>
    <mergeCell ref="BX4:CA4"/>
    <mergeCell ref="BG4:BJ4"/>
    <mergeCell ref="DT3:FT3"/>
    <mergeCell ref="CJ4:CM4"/>
    <mergeCell ref="FA4:FD4"/>
    <mergeCell ref="FM4:FP4"/>
    <mergeCell ref="DU4:DX4"/>
    <mergeCell ref="M4:M5"/>
    <mergeCell ref="B4:B5"/>
    <mergeCell ref="O4:R4"/>
    <mergeCell ref="I3:L3"/>
    <mergeCell ref="F4:F5"/>
    <mergeCell ref="AI4:AL4"/>
    <mergeCell ref="AA4:AD4"/>
    <mergeCell ref="H4:H5"/>
    <mergeCell ref="N4:N5"/>
    <mergeCell ref="DQ4:DR4"/>
    <mergeCell ref="CV4:CY4"/>
    <mergeCell ref="DY4:EB4"/>
    <mergeCell ref="FQ4:FQ5"/>
    <mergeCell ref="EG4:EJ4"/>
    <mergeCell ref="ES4:EV4"/>
  </mergeCells>
  <conditionalFormatting sqref="F6:F64">
    <cfRule type="cellIs" priority="1356" operator="equal" dxfId="1">
      <formula>2</formula>
    </cfRule>
  </conditionalFormatting>
  <conditionalFormatting sqref="G6:G64">
    <cfRule type="expression" priority="1423" dxfId="45">
      <formula>IF($G6&gt;0,IF(SUMPRODUCT((Список_артикулов=$G6)*1)&gt;0,0,1),0)</formula>
    </cfRule>
    <cfRule type="expression" priority="1424" dxfId="48">
      <formula>IF($G6&gt;0,IF(SUMPRODUCT((Список_Сводная_Тормоз_2026=($F6&amp;"_"&amp;$G6))*1)&gt;0,0,1),0)</formula>
    </cfRule>
    <cfRule type="expression" priority="1425" dxfId="60">
      <formula>IF($G6&gt;0,IF(SUMPRODUCT(($A$6:$A$457=$A6)*($F$6:$F$457=$F6)*($G$6:$G$457=$G6)*(#REF!=#REF!))&gt;1,1,0),0)</formula>
    </cfRule>
  </conditionalFormatting>
  <conditionalFormatting sqref="I6:J64">
    <cfRule type="expression" priority="1" dxfId="43">
      <formula>IF($J$1&gt;0,IF(IFERROR(SEARCH("НДС_20",_xlfn.FORMULATEXT(I6),1),0)&gt;0,1,0),0)</formula>
    </cfRule>
    <cfRule type="expression" priority="26" dxfId="42">
      <formula>IF($J$1&gt;0,IF(IFERROR(SEARCH("НДС",_xlfn.FORMULATEXT(I6),1),0)&gt;0,1,0),0)</formula>
    </cfRule>
  </conditionalFormatting>
  <conditionalFormatting sqref="K6:K64">
    <cfRule type="containsText" priority="45" operator="containsText" dxfId="40" text="EUR">
      <formula>NOT(ISERROR(SEARCH("EUR",K6)))</formula>
    </cfRule>
    <cfRule type="containsText" priority="46" operator="containsText" dxfId="39" text="RUB">
      <formula>NOT(ISERROR(SEARCH("RUB",K6)))</formula>
    </cfRule>
  </conditionalFormatting>
  <conditionalFormatting sqref="L6:L64">
    <cfRule type="expression" priority="43" dxfId="13">
      <formula>IF($L6&lt;$I6,1,0)</formula>
    </cfRule>
    <cfRule type="expression" priority="44" dxfId="11">
      <formula>IF($L6="",0,IF($L6&gt;$I6,1,0))</formula>
    </cfRule>
  </conditionalFormatting>
  <conditionalFormatting sqref="N6:N79 O66:BJ79 BL6:BQ79">
    <cfRule type="expression" priority="58" dxfId="25">
      <formula>IF(_xlfn.ISFORMULA(N6),0,1)</formula>
    </cfRule>
  </conditionalFormatting>
  <conditionalFormatting sqref="O6:BJ64">
    <cfRule type="expression" priority="52" dxfId="34">
      <formula>_xlfn.ISFORMULA(O6)</formula>
    </cfRule>
  </conditionalFormatting>
  <dataValidations disablePrompts="1" count="1">
    <dataValidation sqref="J1:J2" showDropDown="0" showInputMessage="1" showErrorMessage="1" allowBlank="1" type="list">
      <formula1>"х"</formula1>
    </dataValidation>
  </dataValidations>
  <hyperlinks>
    <hyperlink xmlns:r="http://schemas.openxmlformats.org/officeDocument/2006/relationships" ref="A1" display="https://cbr.ru/currency_base/dynamics/?UniDbQuery.Posted=True&amp;UniDbQuery.VAL_NM_RQ=R01239" r:id="rId1"/>
    <hyperlink xmlns:r="http://schemas.openxmlformats.org/officeDocument/2006/relationships" ref="A2" display="https://cbr.ru/currency_base/dynamics/?UniDbQuery.Posted=True&amp;UniDbQuery.VAL_NM_RQ=R01375" r:id="rId2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351"/>
  <sheetViews>
    <sheetView tabSelected="1" zoomScale="70" zoomScaleNormal="70" workbookViewId="0">
      <pane xSplit="13" ySplit="5" topLeftCell="AN6" activePane="bottomRight" state="frozen"/>
      <selection pane="topRight" activeCell="P1" sqref="P1"/>
      <selection pane="bottomLeft" activeCell="A6" sqref="A6"/>
      <selection pane="bottomRight" activeCell="H8" sqref="H8"/>
    </sheetView>
  </sheetViews>
  <sheetFormatPr baseColWidth="8" defaultColWidth="12.6640625" defaultRowHeight="14.4" outlineLevelRow="2"/>
  <cols>
    <col width="15.6640625" customWidth="1" style="1" min="1" max="1"/>
    <col hidden="1" outlineLevel="1" width="18.88671875" customWidth="1" style="1" min="2" max="2"/>
    <col hidden="1" outlineLevel="1" width="11.6640625" customWidth="1" style="1" min="3" max="3"/>
    <col hidden="1" outlineLevel="1" width="10.6640625" customWidth="1" style="1" min="4" max="4"/>
    <col collapsed="1" width="5.33203125" bestFit="1" customWidth="1" style="99" min="5" max="5"/>
    <col width="6.6640625" customWidth="1" style="1" min="6" max="6"/>
    <col width="20.6640625" customWidth="1" style="1" min="7" max="7"/>
    <col width="42.6640625" customWidth="1" style="1" min="8" max="8"/>
    <col width="9.6640625" customWidth="1" style="641" min="9" max="9"/>
    <col hidden="1" outlineLevel="1" collapsed="1" width="10.6640625" customWidth="1" style="641" min="10" max="10"/>
    <col hidden="1" outlineLevel="1" width="8.6640625" customWidth="1" style="3" min="11" max="11"/>
    <col hidden="1" outlineLevel="1" width="9.6640625" customWidth="1" style="641" min="12" max="12"/>
    <col collapsed="1" width="3.6640625" customWidth="1" style="867" min="13" max="13"/>
    <col width="3.6640625" customWidth="1" style="101" min="14" max="14"/>
    <col hidden="1" outlineLevel="2" width="9.6640625" customWidth="1" style="1" min="15" max="17"/>
    <col hidden="1" outlineLevel="2" width="19" customWidth="1" style="1" min="18" max="18"/>
    <col hidden="1" outlineLevel="2" collapsed="1" width="9.6640625" customWidth="1" style="1" min="19" max="19"/>
    <col hidden="1" outlineLevel="2" width="9.6640625" customWidth="1" style="1" min="20" max="21"/>
    <col hidden="1" outlineLevel="2" width="19" customWidth="1" style="1" min="22" max="22"/>
    <col hidden="1" outlineLevel="2" collapsed="1" width="9.6640625" customWidth="1" style="1" min="23" max="23"/>
    <col hidden="1" outlineLevel="2" width="9.6640625" customWidth="1" style="1" min="24" max="25"/>
    <col hidden="1" outlineLevel="2" width="19" customWidth="1" style="1" min="26" max="26"/>
    <col hidden="1" outlineLevel="2" collapsed="1" width="9.6640625" customWidth="1" style="1" min="27" max="27"/>
    <col hidden="1" outlineLevel="2" width="9.6640625" customWidth="1" style="1" min="28" max="29"/>
    <col hidden="1" outlineLevel="2" width="19" customWidth="1" style="1" min="30" max="30"/>
    <col outlineLevel="1" collapsed="1" width="9.6640625" customWidth="1" style="1" min="31" max="31"/>
    <col outlineLevel="1" width="9.6640625" customWidth="1" style="1" min="32" max="33"/>
    <col outlineLevel="1" width="19" customWidth="1" style="1" min="34" max="34"/>
    <col outlineLevel="1" width="9.6640625" customWidth="1" style="1" min="35" max="37"/>
    <col outlineLevel="1" width="19" customWidth="1" style="1" min="38" max="38"/>
    <col outlineLevel="2" width="9.6640625" customWidth="1" style="1" min="39" max="41"/>
    <col outlineLevel="2" width="19" customWidth="1" style="1" min="42" max="42"/>
    <col outlineLevel="2" width="9.6640625" customWidth="1" style="1" min="43" max="45"/>
    <col outlineLevel="2" width="19" customWidth="1" style="1" min="46" max="46"/>
    <col outlineLevel="2" width="9.6640625" customWidth="1" style="1" min="47" max="49"/>
    <col outlineLevel="2" width="19" customWidth="1" style="1" min="50" max="50"/>
    <col outlineLevel="2" width="9.6640625" customWidth="1" style="1" min="51" max="53"/>
    <col outlineLevel="2" width="19" customWidth="1" style="1" min="54" max="54"/>
    <col outlineLevel="2" width="9.6640625" customWidth="1" style="1" min="55" max="57"/>
    <col outlineLevel="2" width="19" customWidth="1" style="1" min="58" max="58"/>
    <col outlineLevel="2" width="9.6640625" customWidth="1" style="1" min="59" max="61"/>
    <col outlineLevel="2" width="19" customWidth="1" style="1" min="62" max="62"/>
    <col outlineLevel="1" width="3.6640625" customWidth="1" style="1" min="63" max="63"/>
    <col outlineLevel="2" width="10.6640625" customWidth="1" style="1" min="64" max="69"/>
    <col outlineLevel="1" width="3.6640625" customWidth="1" style="4" min="70" max="70"/>
    <col width="3.6640625" customWidth="1" style="4" min="71" max="71"/>
    <col outlineLevel="1" width="9.6640625" customWidth="1" style="1" min="72" max="74"/>
    <col outlineLevel="1" width="19" customWidth="1" style="1" min="75" max="75"/>
    <col outlineLevel="1" width="9.6640625" customWidth="1" style="1" min="76" max="78"/>
    <col outlineLevel="1" width="19" customWidth="1" style="1" min="79" max="79"/>
    <col outlineLevel="1" width="9.6640625" customWidth="1" style="1" min="80" max="82"/>
    <col outlineLevel="1" width="19" customWidth="1" style="1" min="83" max="83"/>
    <col outlineLevel="1" width="9.6640625" customWidth="1" style="1" min="84" max="86"/>
    <col outlineLevel="1" width="19" customWidth="1" style="1" min="87" max="87"/>
    <col outlineLevel="1" width="9.6640625" customWidth="1" style="1" min="88" max="90"/>
    <col outlineLevel="1" width="19" customWidth="1" style="1" min="91" max="91"/>
    <col outlineLevel="1" width="9.6640625" customWidth="1" style="1" min="92" max="94"/>
    <col outlineLevel="1" width="19" customWidth="1" style="1" min="95" max="95"/>
    <col outlineLevel="1" width="9.6640625" customWidth="1" style="1" min="96" max="98"/>
    <col outlineLevel="1" width="19" customWidth="1" style="1" min="99" max="99"/>
    <col outlineLevel="1" width="9.6640625" customWidth="1" style="1" min="100" max="102"/>
    <col outlineLevel="1" width="19" customWidth="1" style="1" min="103" max="103"/>
    <col outlineLevel="1" width="9.6640625" customWidth="1" style="1" min="104" max="106"/>
    <col outlineLevel="1" width="19" customWidth="1" style="1" min="107" max="107"/>
    <col outlineLevel="1" width="9.6640625" customWidth="1" style="1" min="108" max="110"/>
    <col outlineLevel="1" width="19" customWidth="1" style="1" min="111" max="111"/>
    <col outlineLevel="1" width="9.6640625" customWidth="1" style="1" min="112" max="114"/>
    <col outlineLevel="1" width="19" customWidth="1" style="1" min="115" max="115"/>
    <col outlineLevel="1" width="9.6640625" customWidth="1" style="1" min="116" max="118"/>
    <col outlineLevel="1" width="19" customWidth="1" style="1" min="119" max="119"/>
    <col outlineLevel="1" width="3.6640625" customWidth="1" style="359" min="120" max="120"/>
    <col outlineLevel="2" width="10.6640625" customWidth="1" style="1" min="121" max="122"/>
    <col outlineLevel="1" width="3.6640625" customWidth="1" style="4" min="123" max="123"/>
    <col width="3.6640625" customWidth="1" style="4" min="124" max="124"/>
    <col outlineLevel="1" width="9.6640625" customWidth="1" style="1" min="125" max="127"/>
    <col outlineLevel="1" width="19" customWidth="1" style="1" min="128" max="128"/>
    <col outlineLevel="1" width="9.6640625" customWidth="1" style="1" min="129" max="131"/>
    <col outlineLevel="1" width="19" customWidth="1" style="1" min="132" max="132"/>
    <col outlineLevel="1" width="9.6640625" customWidth="1" style="1" min="133" max="135"/>
    <col outlineLevel="1" width="19" customWidth="1" style="1" min="136" max="136"/>
    <col outlineLevel="1" width="9.6640625" customWidth="1" style="1" min="137" max="139"/>
    <col outlineLevel="1" width="19" customWidth="1" style="1" min="140" max="140"/>
    <col outlineLevel="1" width="9.6640625" customWidth="1" style="1" min="141" max="143"/>
    <col outlineLevel="1" width="19" customWidth="1" style="1" min="144" max="144"/>
    <col outlineLevel="1" width="9.6640625" customWidth="1" style="1" min="145" max="147"/>
    <col outlineLevel="1" width="19" customWidth="1" style="1" min="148" max="148"/>
    <col outlineLevel="1" width="9.6640625" customWidth="1" style="1" min="149" max="151"/>
    <col outlineLevel="1" width="19" customWidth="1" style="1" min="152" max="152"/>
    <col outlineLevel="1" width="9.6640625" customWidth="1" style="1" min="153" max="155"/>
    <col outlineLevel="1" width="19" customWidth="1" style="1" min="156" max="156"/>
    <col outlineLevel="1" width="9.6640625" customWidth="1" style="1" min="157" max="159"/>
    <col outlineLevel="1" width="19" customWidth="1" style="1" min="160" max="160"/>
    <col outlineLevel="1" width="9.6640625" customWidth="1" style="1" min="161" max="163"/>
    <col outlineLevel="1" width="19" customWidth="1" style="1" min="164" max="164"/>
    <col outlineLevel="1" width="9.6640625" customWidth="1" style="1" min="165" max="167"/>
    <col outlineLevel="1" width="19" customWidth="1" style="1" min="168" max="168"/>
    <col outlineLevel="1" width="9.6640625" customWidth="1" style="1" min="169" max="171"/>
    <col outlineLevel="1" width="19" customWidth="1" style="1" min="172" max="172"/>
    <col outlineLevel="1" width="3.6640625" customWidth="1" style="359" min="173" max="173"/>
    <col outlineLevel="2" width="10.6640625" customWidth="1" style="1" min="174" max="175"/>
    <col outlineLevel="1" width="3.6640625" customWidth="1" style="359" min="176" max="176"/>
    <col width="3.6640625" customWidth="1" style="1" min="177" max="177"/>
    <col width="12.6640625" customWidth="1" style="1" min="178" max="16384"/>
  </cols>
  <sheetData>
    <row r="1">
      <c r="A1" s="5" t="n">
        <v>93.48999999999999</v>
      </c>
      <c r="B1" s="6" t="inlineStr">
        <is>
          <t xml:space="preserve"> - курс евро/рубль</t>
        </is>
      </c>
      <c r="E1" s="7" t="inlineStr">
        <is>
          <t>Дата</t>
        </is>
      </c>
      <c r="F1" s="7" t="n"/>
      <c r="G1" s="8" t="n">
        <v>46178</v>
      </c>
      <c r="J1" s="633" t="n"/>
      <c r="K1" s="500" t="inlineStr">
        <is>
          <t>НДС_20 Проверка</t>
        </is>
      </c>
      <c r="M1" s="4" t="n"/>
    </row>
    <row r="2">
      <c r="A2" s="668" t="n">
        <v>11.25</v>
      </c>
      <c r="B2" s="9" t="inlineStr">
        <is>
          <t xml:space="preserve"> - курс юань/рубль</t>
        </is>
      </c>
      <c r="E2" s="2" t="n"/>
      <c r="F2" s="2" t="n"/>
      <c r="G2" s="2" t="n"/>
      <c r="J2" s="644" t="n"/>
      <c r="K2" s="645" t="inlineStr">
        <is>
          <t>НДС Проверка</t>
        </is>
      </c>
      <c r="M2" s="4" t="n"/>
    </row>
    <row r="3" customFormat="1" s="103">
      <c r="A3" s="347" t="n"/>
      <c r="B3" s="348" t="n"/>
      <c r="C3" s="347" t="n"/>
      <c r="D3" s="347" t="n"/>
      <c r="E3" s="349" t="n"/>
      <c r="F3" s="348" t="inlineStr">
        <is>
          <t>Подсветить артикул:</t>
        </is>
      </c>
      <c r="G3" s="422" t="inlineStr">
        <is>
          <t>х</t>
        </is>
      </c>
      <c r="H3" s="347" t="n"/>
      <c r="I3" s="780" t="inlineStr">
        <is>
          <t>2026-I</t>
        </is>
      </c>
      <c r="J3" s="781" t="n"/>
      <c r="K3" s="781" t="n"/>
      <c r="L3" s="782" t="n"/>
      <c r="M3" s="355" t="n"/>
      <c r="N3" s="868" t="n">
        <v>2026</v>
      </c>
      <c r="O3" s="781" t="n"/>
      <c r="P3" s="781" t="n"/>
      <c r="Q3" s="781" t="n"/>
      <c r="R3" s="781" t="n"/>
      <c r="S3" s="781" t="n"/>
      <c r="T3" s="781" t="n"/>
      <c r="U3" s="781" t="n"/>
      <c r="V3" s="781" t="n"/>
      <c r="W3" s="781" t="n"/>
      <c r="X3" s="781" t="n"/>
      <c r="Y3" s="781" t="n"/>
      <c r="Z3" s="781" t="n"/>
      <c r="AA3" s="781" t="n"/>
      <c r="AB3" s="781" t="n"/>
      <c r="AC3" s="781" t="n"/>
      <c r="AD3" s="781" t="n"/>
      <c r="AE3" s="781" t="n"/>
      <c r="AF3" s="781" t="n"/>
      <c r="AG3" s="781" t="n"/>
      <c r="AH3" s="781" t="n"/>
      <c r="AI3" s="781" t="n"/>
      <c r="AJ3" s="781" t="n"/>
      <c r="AK3" s="781" t="n"/>
      <c r="AL3" s="781" t="n"/>
      <c r="AM3" s="781" t="n"/>
      <c r="AN3" s="781" t="n"/>
      <c r="AO3" s="781" t="n"/>
      <c r="AP3" s="781" t="n"/>
      <c r="AQ3" s="781" t="n"/>
      <c r="AR3" s="781" t="n"/>
      <c r="AS3" s="781" t="n"/>
      <c r="AT3" s="781" t="n"/>
      <c r="AU3" s="781" t="n"/>
      <c r="AV3" s="781" t="n"/>
      <c r="AW3" s="781" t="n"/>
      <c r="AX3" s="781" t="n"/>
      <c r="AY3" s="781" t="n"/>
      <c r="AZ3" s="781" t="n"/>
      <c r="BA3" s="781" t="n"/>
      <c r="BB3" s="781" t="n"/>
      <c r="BC3" s="781" t="n"/>
      <c r="BD3" s="781" t="n"/>
      <c r="BE3" s="781" t="n"/>
      <c r="BF3" s="781" t="n"/>
      <c r="BG3" s="781" t="n"/>
      <c r="BH3" s="781" t="n"/>
      <c r="BI3" s="781" t="n"/>
      <c r="BJ3" s="781" t="n"/>
      <c r="BK3" s="781" t="n"/>
      <c r="BL3" s="781" t="n"/>
      <c r="BM3" s="781" t="n"/>
      <c r="BN3" s="781" t="n"/>
      <c r="BO3" s="781" t="n"/>
      <c r="BP3" s="781" t="n"/>
      <c r="BQ3" s="781" t="n"/>
      <c r="BR3" s="782" t="n"/>
      <c r="BS3" s="785" t="inlineStr">
        <is>
          <t>2027 _ НЕ АКТУАЛИЗИРУЕТСЯ</t>
        </is>
      </c>
      <c r="BT3" s="781" t="n"/>
      <c r="BU3" s="781" t="n"/>
      <c r="BV3" s="781" t="n"/>
      <c r="BW3" s="781" t="n"/>
      <c r="BX3" s="781" t="n"/>
      <c r="BY3" s="781" t="n"/>
      <c r="BZ3" s="781" t="n"/>
      <c r="CA3" s="781" t="n"/>
      <c r="CB3" s="781" t="n"/>
      <c r="CC3" s="781" t="n"/>
      <c r="CD3" s="781" t="n"/>
      <c r="CE3" s="781" t="n"/>
      <c r="CF3" s="781" t="n"/>
      <c r="CG3" s="781" t="n"/>
      <c r="CH3" s="781" t="n"/>
      <c r="CI3" s="781" t="n"/>
      <c r="CJ3" s="781" t="n"/>
      <c r="CK3" s="781" t="n"/>
      <c r="CL3" s="781" t="n"/>
      <c r="CM3" s="781" t="n"/>
      <c r="CN3" s="781" t="n"/>
      <c r="CO3" s="781" t="n"/>
      <c r="CP3" s="781" t="n"/>
      <c r="CQ3" s="781" t="n"/>
      <c r="CR3" s="781" t="n"/>
      <c r="CS3" s="781" t="n"/>
      <c r="CT3" s="781" t="n"/>
      <c r="CU3" s="781" t="n"/>
      <c r="CV3" s="781" t="n"/>
      <c r="CW3" s="781" t="n"/>
      <c r="CX3" s="781" t="n"/>
      <c r="CY3" s="781" t="n"/>
      <c r="CZ3" s="781" t="n"/>
      <c r="DA3" s="781" t="n"/>
      <c r="DB3" s="781" t="n"/>
      <c r="DC3" s="781" t="n"/>
      <c r="DD3" s="781" t="n"/>
      <c r="DE3" s="781" t="n"/>
      <c r="DF3" s="781" t="n"/>
      <c r="DG3" s="781" t="n"/>
      <c r="DH3" s="781" t="n"/>
      <c r="DI3" s="781" t="n"/>
      <c r="DJ3" s="781" t="n"/>
      <c r="DK3" s="781" t="n"/>
      <c r="DL3" s="781" t="n"/>
      <c r="DM3" s="781" t="n"/>
      <c r="DN3" s="781" t="n"/>
      <c r="DO3" s="781" t="n"/>
      <c r="DP3" s="781" t="n"/>
      <c r="DQ3" s="781" t="n"/>
      <c r="DR3" s="781" t="n"/>
      <c r="DS3" s="782" t="n"/>
      <c r="DT3" s="755" t="inlineStr">
        <is>
          <t>2028 _ НЕ АКТУАЛИЗИРУЕТСЯ</t>
        </is>
      </c>
      <c r="DU3" s="783" t="n"/>
      <c r="DV3" s="783" t="n"/>
      <c r="DW3" s="783" t="n"/>
      <c r="DX3" s="783" t="n"/>
      <c r="DY3" s="783" t="n"/>
      <c r="DZ3" s="783" t="n"/>
      <c r="EA3" s="783" t="n"/>
      <c r="EB3" s="783" t="n"/>
      <c r="EC3" s="783" t="n"/>
      <c r="ED3" s="783" t="n"/>
      <c r="EE3" s="783" t="n"/>
      <c r="EF3" s="783" t="n"/>
      <c r="EG3" s="783" t="n"/>
      <c r="EH3" s="783" t="n"/>
      <c r="EI3" s="783" t="n"/>
      <c r="EJ3" s="783" t="n"/>
      <c r="EK3" s="783" t="n"/>
      <c r="EL3" s="783" t="n"/>
      <c r="EM3" s="783" t="n"/>
      <c r="EN3" s="783" t="n"/>
      <c r="EO3" s="783" t="n"/>
      <c r="EP3" s="783" t="n"/>
      <c r="EQ3" s="783" t="n"/>
      <c r="ER3" s="783" t="n"/>
      <c r="ES3" s="783" t="n"/>
      <c r="ET3" s="783" t="n"/>
      <c r="EU3" s="783" t="n"/>
      <c r="EV3" s="783" t="n"/>
      <c r="EW3" s="783" t="n"/>
      <c r="EX3" s="783" t="n"/>
      <c r="EY3" s="783" t="n"/>
      <c r="EZ3" s="783" t="n"/>
      <c r="FA3" s="783" t="n"/>
      <c r="FB3" s="783" t="n"/>
      <c r="FC3" s="783" t="n"/>
      <c r="FD3" s="783" t="n"/>
      <c r="FE3" s="783" t="n"/>
      <c r="FF3" s="783" t="n"/>
      <c r="FG3" s="783" t="n"/>
      <c r="FH3" s="783" t="n"/>
      <c r="FI3" s="783" t="n"/>
      <c r="FJ3" s="783" t="n"/>
      <c r="FK3" s="783" t="n"/>
      <c r="FL3" s="783" t="n"/>
      <c r="FM3" s="783" t="n"/>
      <c r="FN3" s="783" t="n"/>
      <c r="FO3" s="783" t="n"/>
      <c r="FP3" s="783" t="n"/>
      <c r="FQ3" s="783" t="n"/>
      <c r="FR3" s="783" t="n"/>
      <c r="FS3" s="783" t="n"/>
      <c r="FT3" s="784" t="n"/>
    </row>
    <row r="4" customFormat="1" s="103">
      <c r="A4" s="746" t="inlineStr">
        <is>
          <t>Клиент</t>
        </is>
      </c>
      <c r="B4" s="748" t="inlineStr">
        <is>
          <t>Условия оплаты</t>
        </is>
      </c>
      <c r="C4" s="748" t="inlineStr">
        <is>
          <t>Поставщик</t>
        </is>
      </c>
      <c r="D4" s="748" t="inlineStr">
        <is>
          <t>Менеджер</t>
        </is>
      </c>
      <c r="E4" s="746" t="inlineStr">
        <is>
          <t>п\п</t>
        </is>
      </c>
      <c r="F4" s="747" t="inlineStr">
        <is>
          <t>2 - WABCO</t>
        </is>
      </c>
      <c r="G4" s="748" t="inlineStr">
        <is>
          <t>Номер изделия/ артикул</t>
        </is>
      </c>
      <c r="H4" s="746" t="inlineStr">
        <is>
          <t>Наименование</t>
        </is>
      </c>
      <c r="I4" s="764" t="inlineStr">
        <is>
          <t xml:space="preserve">Цена для плана, 
CNY, без НДС </t>
        </is>
      </c>
      <c r="J4" s="764" t="inlineStr">
        <is>
          <t>Цена в валюте, без НДС</t>
        </is>
      </c>
      <c r="K4" s="748" t="inlineStr">
        <is>
          <t>Валюта</t>
        </is>
      </c>
      <c r="L4" s="764" t="inlineStr">
        <is>
          <t xml:space="preserve">Цена от курса, 
CNY, без НДС </t>
        </is>
      </c>
      <c r="M4" s="869" t="n"/>
      <c r="N4" s="787" t="inlineStr">
        <is>
          <t>ПР 26</t>
        </is>
      </c>
      <c r="O4" s="780" t="n">
        <v>46023</v>
      </c>
      <c r="P4" s="781" t="n"/>
      <c r="Q4" s="781" t="n"/>
      <c r="R4" s="782" t="n"/>
      <c r="S4" s="780" t="n">
        <v>46054</v>
      </c>
      <c r="T4" s="781" t="n"/>
      <c r="U4" s="781" t="n"/>
      <c r="V4" s="782" t="n"/>
      <c r="W4" s="780" t="n">
        <v>46082</v>
      </c>
      <c r="X4" s="781" t="n"/>
      <c r="Y4" s="781" t="n"/>
      <c r="Z4" s="782" t="n"/>
      <c r="AA4" s="780" t="n">
        <v>46113</v>
      </c>
      <c r="AB4" s="781" t="n"/>
      <c r="AC4" s="781" t="n"/>
      <c r="AD4" s="782" t="n"/>
      <c r="AE4" s="780" t="n">
        <v>46143</v>
      </c>
      <c r="AF4" s="781" t="n"/>
      <c r="AG4" s="781" t="n"/>
      <c r="AH4" s="782" t="n"/>
      <c r="AI4" s="780" t="n">
        <v>46174</v>
      </c>
      <c r="AJ4" s="781" t="n"/>
      <c r="AK4" s="781" t="n"/>
      <c r="AL4" s="782" t="n"/>
      <c r="AM4" s="780" t="n">
        <v>46204</v>
      </c>
      <c r="AN4" s="781" t="n"/>
      <c r="AO4" s="781" t="n"/>
      <c r="AP4" s="782" t="n"/>
      <c r="AQ4" s="780" t="n">
        <v>46235</v>
      </c>
      <c r="AR4" s="781" t="n"/>
      <c r="AS4" s="781" t="n"/>
      <c r="AT4" s="782" t="n"/>
      <c r="AU4" s="780" t="n">
        <v>46266</v>
      </c>
      <c r="AV4" s="781" t="n"/>
      <c r="AW4" s="781" t="n"/>
      <c r="AX4" s="782" t="n"/>
      <c r="AY4" s="780" t="n">
        <v>46296</v>
      </c>
      <c r="AZ4" s="781" t="n"/>
      <c r="BA4" s="781" t="n"/>
      <c r="BB4" s="782" t="n"/>
      <c r="BC4" s="780" t="n">
        <v>46327</v>
      </c>
      <c r="BD4" s="781" t="n"/>
      <c r="BE4" s="781" t="n"/>
      <c r="BF4" s="782" t="n"/>
      <c r="BG4" s="780" t="n">
        <v>46357</v>
      </c>
      <c r="BH4" s="781" t="n"/>
      <c r="BI4" s="781" t="n"/>
      <c r="BJ4" s="782" t="n"/>
      <c r="BK4" s="788" t="n"/>
      <c r="BL4" s="741" t="inlineStr">
        <is>
          <t>ИТОГО, 2026</t>
        </is>
      </c>
      <c r="BM4" s="783" t="n"/>
      <c r="BN4" s="783" t="n"/>
      <c r="BO4" s="783" t="n"/>
      <c r="BP4" s="783" t="n"/>
      <c r="BQ4" s="784" t="n"/>
      <c r="BR4" s="791" t="n"/>
      <c r="BS4" s="787" t="inlineStr">
        <is>
          <t>ПР 27</t>
        </is>
      </c>
      <c r="BT4" s="790" t="n">
        <v>46388</v>
      </c>
      <c r="BU4" s="781" t="n"/>
      <c r="BV4" s="781" t="n"/>
      <c r="BW4" s="782" t="n"/>
      <c r="BX4" s="790" t="n">
        <v>46419</v>
      </c>
      <c r="BY4" s="781" t="n"/>
      <c r="BZ4" s="781" t="n"/>
      <c r="CA4" s="782" t="n"/>
      <c r="CB4" s="790" t="n">
        <v>46447</v>
      </c>
      <c r="CC4" s="781" t="n"/>
      <c r="CD4" s="781" t="n"/>
      <c r="CE4" s="782" t="n"/>
      <c r="CF4" s="790" t="n">
        <v>46478</v>
      </c>
      <c r="CG4" s="781" t="n"/>
      <c r="CH4" s="781" t="n"/>
      <c r="CI4" s="782" t="n"/>
      <c r="CJ4" s="790" t="n">
        <v>46508</v>
      </c>
      <c r="CK4" s="781" t="n"/>
      <c r="CL4" s="781" t="n"/>
      <c r="CM4" s="782" t="n"/>
      <c r="CN4" s="790" t="n">
        <v>46539</v>
      </c>
      <c r="CO4" s="781" t="n"/>
      <c r="CP4" s="781" t="n"/>
      <c r="CQ4" s="782" t="n"/>
      <c r="CR4" s="790" t="n">
        <v>46569</v>
      </c>
      <c r="CS4" s="781" t="n"/>
      <c r="CT4" s="781" t="n"/>
      <c r="CU4" s="782" t="n"/>
      <c r="CV4" s="790" t="n">
        <v>46600</v>
      </c>
      <c r="CW4" s="781" t="n"/>
      <c r="CX4" s="781" t="n"/>
      <c r="CY4" s="782" t="n"/>
      <c r="CZ4" s="790" t="n">
        <v>46631</v>
      </c>
      <c r="DA4" s="781" t="n"/>
      <c r="DB4" s="781" t="n"/>
      <c r="DC4" s="782" t="n"/>
      <c r="DD4" s="790" t="n">
        <v>46661</v>
      </c>
      <c r="DE4" s="781" t="n"/>
      <c r="DF4" s="781" t="n"/>
      <c r="DG4" s="782" t="n"/>
      <c r="DH4" s="790" t="n">
        <v>46692</v>
      </c>
      <c r="DI4" s="781" t="n"/>
      <c r="DJ4" s="781" t="n"/>
      <c r="DK4" s="782" t="n"/>
      <c r="DL4" s="790" t="n">
        <v>46722</v>
      </c>
      <c r="DM4" s="781" t="n"/>
      <c r="DN4" s="781" t="n"/>
      <c r="DO4" s="782" t="n"/>
      <c r="DP4" s="788" t="n"/>
      <c r="DQ4" s="761" t="inlineStr">
        <is>
          <t>ИТОГО, 2027</t>
        </is>
      </c>
      <c r="DR4" s="782" t="n"/>
      <c r="DS4" s="791" t="n"/>
      <c r="DT4" s="787" t="inlineStr">
        <is>
          <t>ПР 28</t>
        </is>
      </c>
      <c r="DU4" s="792" t="n">
        <v>46753</v>
      </c>
      <c r="DV4" s="793" t="n"/>
      <c r="DW4" s="793" t="n"/>
      <c r="DX4" s="794" t="n"/>
      <c r="DY4" s="792" t="n">
        <v>46784</v>
      </c>
      <c r="DZ4" s="793" t="n"/>
      <c r="EA4" s="793" t="n"/>
      <c r="EB4" s="794" t="n"/>
      <c r="EC4" s="792" t="n">
        <v>46813</v>
      </c>
      <c r="ED4" s="793" t="n"/>
      <c r="EE4" s="793" t="n"/>
      <c r="EF4" s="794" t="n"/>
      <c r="EG4" s="792" t="n">
        <v>46844</v>
      </c>
      <c r="EH4" s="793" t="n"/>
      <c r="EI4" s="793" t="n"/>
      <c r="EJ4" s="794" t="n"/>
      <c r="EK4" s="792" t="n">
        <v>46874</v>
      </c>
      <c r="EL4" s="793" t="n"/>
      <c r="EM4" s="793" t="n"/>
      <c r="EN4" s="794" t="n"/>
      <c r="EO4" s="792" t="n">
        <v>46905</v>
      </c>
      <c r="EP4" s="793" t="n"/>
      <c r="EQ4" s="793" t="n"/>
      <c r="ER4" s="794" t="n"/>
      <c r="ES4" s="792" t="n">
        <v>46935</v>
      </c>
      <c r="ET4" s="793" t="n"/>
      <c r="EU4" s="793" t="n"/>
      <c r="EV4" s="794" t="n"/>
      <c r="EW4" s="792" t="n">
        <v>46966</v>
      </c>
      <c r="EX4" s="793" t="n"/>
      <c r="EY4" s="793" t="n"/>
      <c r="EZ4" s="794" t="n"/>
      <c r="FA4" s="792" t="n">
        <v>46997</v>
      </c>
      <c r="FB4" s="793" t="n"/>
      <c r="FC4" s="793" t="n"/>
      <c r="FD4" s="794" t="n"/>
      <c r="FE4" s="792" t="n">
        <v>47027</v>
      </c>
      <c r="FF4" s="793" t="n"/>
      <c r="FG4" s="793" t="n"/>
      <c r="FH4" s="794" t="n"/>
      <c r="FI4" s="792" t="n">
        <v>47058</v>
      </c>
      <c r="FJ4" s="793" t="n"/>
      <c r="FK4" s="793" t="n"/>
      <c r="FL4" s="794" t="n"/>
      <c r="FM4" s="792" t="n">
        <v>47088</v>
      </c>
      <c r="FN4" s="793" t="n"/>
      <c r="FO4" s="793" t="n"/>
      <c r="FP4" s="794" t="n"/>
      <c r="FQ4" s="788" t="n"/>
      <c r="FR4" s="731" t="inlineStr">
        <is>
          <t>ИТОГО, 2028</t>
        </is>
      </c>
      <c r="FS4" s="794" t="n"/>
      <c r="FT4" s="786" t="n"/>
    </row>
    <row r="5" ht="43.2" customFormat="1" customHeight="1" s="103">
      <c r="A5" s="795" t="n"/>
      <c r="B5" s="795" t="n"/>
      <c r="C5" s="795" t="n"/>
      <c r="D5" s="795" t="n"/>
      <c r="E5" s="795" t="n"/>
      <c r="F5" s="795" t="n"/>
      <c r="G5" s="795" t="n"/>
      <c r="H5" s="795" t="n"/>
      <c r="I5" s="795" t="n"/>
      <c r="J5" s="795" t="n"/>
      <c r="K5" s="795" t="n"/>
      <c r="L5" s="795" t="n"/>
      <c r="M5" s="796" t="n"/>
      <c r="N5" s="796" t="n"/>
      <c r="O5" s="104" t="inlineStr">
        <is>
          <t>AOP,
шт</t>
        </is>
      </c>
      <c r="P5" s="105" t="inlineStr">
        <is>
          <t>Прогноз,
шт</t>
        </is>
      </c>
      <c r="Q5" s="106" t="inlineStr">
        <is>
          <t>Факт,
шт</t>
        </is>
      </c>
      <c r="R5" s="107" t="inlineStr">
        <is>
          <t>Коментарий</t>
        </is>
      </c>
      <c r="S5" s="104" t="inlineStr">
        <is>
          <t>AOP,
шт</t>
        </is>
      </c>
      <c r="T5" s="105" t="inlineStr">
        <is>
          <t>Прогноз,
шт</t>
        </is>
      </c>
      <c r="U5" s="106" t="inlineStr">
        <is>
          <t>Факт,
шт</t>
        </is>
      </c>
      <c r="V5" s="107" t="inlineStr">
        <is>
          <t>Коментарий</t>
        </is>
      </c>
      <c r="W5" s="104" t="inlineStr">
        <is>
          <t>AOP,
шт</t>
        </is>
      </c>
      <c r="X5" s="105" t="inlineStr">
        <is>
          <t>Прогноз,
шт</t>
        </is>
      </c>
      <c r="Y5" s="106" t="inlineStr">
        <is>
          <t>Факт,
шт</t>
        </is>
      </c>
      <c r="Z5" s="107" t="inlineStr">
        <is>
          <t>Коментарий</t>
        </is>
      </c>
      <c r="AA5" s="104" t="inlineStr">
        <is>
          <t>AOP,
шт</t>
        </is>
      </c>
      <c r="AB5" s="105" t="inlineStr">
        <is>
          <t>Прогноз,
шт</t>
        </is>
      </c>
      <c r="AC5" s="106" t="inlineStr">
        <is>
          <t>Факт,
шт</t>
        </is>
      </c>
      <c r="AD5" s="107" t="inlineStr">
        <is>
          <t>Коментарий</t>
        </is>
      </c>
      <c r="AE5" s="104" t="inlineStr">
        <is>
          <t>AOP,
шт</t>
        </is>
      </c>
      <c r="AF5" s="105" t="inlineStr">
        <is>
          <t>Прогноз,
шт</t>
        </is>
      </c>
      <c r="AG5" s="106" t="inlineStr">
        <is>
          <t>Факт,
шт</t>
        </is>
      </c>
      <c r="AH5" s="107" t="inlineStr">
        <is>
          <t>Коментарий</t>
        </is>
      </c>
      <c r="AI5" s="104" t="inlineStr">
        <is>
          <t>AOP,
шт</t>
        </is>
      </c>
      <c r="AJ5" s="105" t="inlineStr">
        <is>
          <t>Прогноз,
шт</t>
        </is>
      </c>
      <c r="AK5" s="106" t="inlineStr">
        <is>
          <t>Факт,
шт</t>
        </is>
      </c>
      <c r="AL5" s="107" t="inlineStr">
        <is>
          <t>Коментарий</t>
        </is>
      </c>
      <c r="AM5" s="104" t="inlineStr">
        <is>
          <t>AOP,
шт</t>
        </is>
      </c>
      <c r="AN5" s="105" t="inlineStr">
        <is>
          <t>Прогноз,
шт</t>
        </is>
      </c>
      <c r="AO5" s="106" t="inlineStr">
        <is>
          <t>Факт,
шт</t>
        </is>
      </c>
      <c r="AP5" s="107" t="inlineStr">
        <is>
          <t>Коментарий</t>
        </is>
      </c>
      <c r="AQ5" s="104" t="inlineStr">
        <is>
          <t>AOP,
шт</t>
        </is>
      </c>
      <c r="AR5" s="105" t="inlineStr">
        <is>
          <t>Прогноз,
шт</t>
        </is>
      </c>
      <c r="AS5" s="106" t="inlineStr">
        <is>
          <t>Факт,
шт</t>
        </is>
      </c>
      <c r="AT5" s="107" t="inlineStr">
        <is>
          <t>Коментарий</t>
        </is>
      </c>
      <c r="AU5" s="104" t="inlineStr">
        <is>
          <t>AOP,
шт</t>
        </is>
      </c>
      <c r="AV5" s="105" t="inlineStr">
        <is>
          <t>Прогноз,
шт</t>
        </is>
      </c>
      <c r="AW5" s="106" t="inlineStr">
        <is>
          <t>Факт,
шт</t>
        </is>
      </c>
      <c r="AX5" s="107" t="inlineStr">
        <is>
          <t>Коментарий</t>
        </is>
      </c>
      <c r="AY5" s="104" t="inlineStr">
        <is>
          <t>AOP,
шт</t>
        </is>
      </c>
      <c r="AZ5" s="105" t="inlineStr">
        <is>
          <t>Прогноз,
шт</t>
        </is>
      </c>
      <c r="BA5" s="106" t="inlineStr">
        <is>
          <t>Факт,
шт</t>
        </is>
      </c>
      <c r="BB5" s="107" t="inlineStr">
        <is>
          <t>Коментарий</t>
        </is>
      </c>
      <c r="BC5" s="104" t="inlineStr">
        <is>
          <t>AOP,
шт</t>
        </is>
      </c>
      <c r="BD5" s="105" t="inlineStr">
        <is>
          <t>Прогноз,
шт</t>
        </is>
      </c>
      <c r="BE5" s="106" t="inlineStr">
        <is>
          <t>Факт,
шт</t>
        </is>
      </c>
      <c r="BF5" s="107" t="inlineStr">
        <is>
          <t>Коментарий</t>
        </is>
      </c>
      <c r="BG5" s="104" t="inlineStr">
        <is>
          <t>AOP,
шт</t>
        </is>
      </c>
      <c r="BH5" s="105" t="inlineStr">
        <is>
          <t>Прогноз,
шт</t>
        </is>
      </c>
      <c r="BI5" s="106" t="inlineStr">
        <is>
          <t>Факт,
шт</t>
        </is>
      </c>
      <c r="BJ5" s="107" t="inlineStr">
        <is>
          <t>Коментарий</t>
        </is>
      </c>
      <c r="BK5" s="797" t="n"/>
      <c r="BL5" s="472" t="inlineStr">
        <is>
          <t>AOP,
шт</t>
        </is>
      </c>
      <c r="BM5" s="472" t="inlineStr">
        <is>
          <t>Продажи AOP, CNY</t>
        </is>
      </c>
      <c r="BN5" s="357" t="inlineStr">
        <is>
          <t>Прогноз,
шт</t>
        </is>
      </c>
      <c r="BO5" s="357" t="inlineStr">
        <is>
          <t>Продажи Прогноз, CNY</t>
        </is>
      </c>
      <c r="BP5" s="358" t="inlineStr">
        <is>
          <t>Факт,
шт</t>
        </is>
      </c>
      <c r="BQ5" s="358" t="inlineStr">
        <is>
          <t>Продажи Факт, CNY</t>
        </is>
      </c>
      <c r="BR5" s="796" t="n"/>
      <c r="BS5" s="796" t="n"/>
      <c r="BT5" s="104" t="inlineStr">
        <is>
          <t>AOP,
шт</t>
        </is>
      </c>
      <c r="BU5" s="105" t="inlineStr">
        <is>
          <t>Прогноз,
шт</t>
        </is>
      </c>
      <c r="BV5" s="106" t="inlineStr">
        <is>
          <t>Факт,
шт</t>
        </is>
      </c>
      <c r="BW5" s="107" t="inlineStr">
        <is>
          <t>Коментарий</t>
        </is>
      </c>
      <c r="BX5" s="104" t="inlineStr">
        <is>
          <t>AOP,
шт</t>
        </is>
      </c>
      <c r="BY5" s="105" t="inlineStr">
        <is>
          <t>Прогноз,
шт</t>
        </is>
      </c>
      <c r="BZ5" s="106" t="inlineStr">
        <is>
          <t>Факт,
шт</t>
        </is>
      </c>
      <c r="CA5" s="107" t="inlineStr">
        <is>
          <t>Коментарий</t>
        </is>
      </c>
      <c r="CB5" s="104" t="inlineStr">
        <is>
          <t>AOP,
шт</t>
        </is>
      </c>
      <c r="CC5" s="105" t="inlineStr">
        <is>
          <t>Прогноз,
шт</t>
        </is>
      </c>
      <c r="CD5" s="106" t="inlineStr">
        <is>
          <t>Факт,
шт</t>
        </is>
      </c>
      <c r="CE5" s="107" t="inlineStr">
        <is>
          <t>Коментарий</t>
        </is>
      </c>
      <c r="CF5" s="104" t="inlineStr">
        <is>
          <t>AOP,
шт</t>
        </is>
      </c>
      <c r="CG5" s="105" t="inlineStr">
        <is>
          <t>Прогноз,
шт</t>
        </is>
      </c>
      <c r="CH5" s="106" t="inlineStr">
        <is>
          <t>Факт,
шт</t>
        </is>
      </c>
      <c r="CI5" s="107" t="inlineStr">
        <is>
          <t>Коментарий</t>
        </is>
      </c>
      <c r="CJ5" s="104" t="inlineStr">
        <is>
          <t>AOP,
шт</t>
        </is>
      </c>
      <c r="CK5" s="105" t="inlineStr">
        <is>
          <t>Прогноз,
шт</t>
        </is>
      </c>
      <c r="CL5" s="106" t="inlineStr">
        <is>
          <t>Факт,
шт</t>
        </is>
      </c>
      <c r="CM5" s="107" t="inlineStr">
        <is>
          <t>Коментарий</t>
        </is>
      </c>
      <c r="CN5" s="104" t="inlineStr">
        <is>
          <t>AOP,
шт</t>
        </is>
      </c>
      <c r="CO5" s="105" t="inlineStr">
        <is>
          <t>Прогноз,
шт</t>
        </is>
      </c>
      <c r="CP5" s="106" t="inlineStr">
        <is>
          <t>Факт,
шт</t>
        </is>
      </c>
      <c r="CQ5" s="107" t="inlineStr">
        <is>
          <t>Коментарий</t>
        </is>
      </c>
      <c r="CR5" s="104" t="inlineStr">
        <is>
          <t>AOP,
шт</t>
        </is>
      </c>
      <c r="CS5" s="105" t="inlineStr">
        <is>
          <t>Прогноз,
шт</t>
        </is>
      </c>
      <c r="CT5" s="106" t="inlineStr">
        <is>
          <t>Факт,
шт</t>
        </is>
      </c>
      <c r="CU5" s="107" t="inlineStr">
        <is>
          <t>Коментарий</t>
        </is>
      </c>
      <c r="CV5" s="104" t="inlineStr">
        <is>
          <t>AOP,
шт</t>
        </is>
      </c>
      <c r="CW5" s="105" t="inlineStr">
        <is>
          <t>Прогноз,
шт</t>
        </is>
      </c>
      <c r="CX5" s="106" t="inlineStr">
        <is>
          <t>Факт,
шт</t>
        </is>
      </c>
      <c r="CY5" s="107" t="inlineStr">
        <is>
          <t>Коментарий</t>
        </is>
      </c>
      <c r="CZ5" s="104" t="inlineStr">
        <is>
          <t>AOP,
шт</t>
        </is>
      </c>
      <c r="DA5" s="105" t="inlineStr">
        <is>
          <t>Прогноз,
шт</t>
        </is>
      </c>
      <c r="DB5" s="106" t="inlineStr">
        <is>
          <t>Факт,
шт</t>
        </is>
      </c>
      <c r="DC5" s="107" t="inlineStr">
        <is>
          <t>Коментарий</t>
        </is>
      </c>
      <c r="DD5" s="104" t="inlineStr">
        <is>
          <t>AOP,
шт</t>
        </is>
      </c>
      <c r="DE5" s="105" t="inlineStr">
        <is>
          <t>Прогноз,
шт</t>
        </is>
      </c>
      <c r="DF5" s="106" t="inlineStr">
        <is>
          <t>Факт,
шт</t>
        </is>
      </c>
      <c r="DG5" s="107" t="inlineStr">
        <is>
          <t>Коментарий</t>
        </is>
      </c>
      <c r="DH5" s="104" t="inlineStr">
        <is>
          <t>AOP,
шт</t>
        </is>
      </c>
      <c r="DI5" s="105" t="inlineStr">
        <is>
          <t>Прогноз,
шт</t>
        </is>
      </c>
      <c r="DJ5" s="106" t="inlineStr">
        <is>
          <t>Факт,
шт</t>
        </is>
      </c>
      <c r="DK5" s="107" t="inlineStr">
        <is>
          <t>Коментарий</t>
        </is>
      </c>
      <c r="DL5" s="104" t="inlineStr">
        <is>
          <t>AOP,
шт</t>
        </is>
      </c>
      <c r="DM5" s="105" t="inlineStr">
        <is>
          <t>Прогноз,
шт</t>
        </is>
      </c>
      <c r="DN5" s="106" t="inlineStr">
        <is>
          <t>Факт,
шт</t>
        </is>
      </c>
      <c r="DO5" s="107" t="inlineStr">
        <is>
          <t>Коментарий</t>
        </is>
      </c>
      <c r="DP5" s="797" t="n"/>
      <c r="DQ5" s="104" t="inlineStr">
        <is>
          <t>AOP,
шт</t>
        </is>
      </c>
      <c r="DR5" s="104" t="inlineStr">
        <is>
          <t>Продажи AOP, CNY</t>
        </is>
      </c>
      <c r="DS5" s="796" t="n"/>
      <c r="DT5" s="796" t="n"/>
      <c r="DU5" s="104" t="inlineStr">
        <is>
          <t>AOP,
шт</t>
        </is>
      </c>
      <c r="DV5" s="105" t="inlineStr">
        <is>
          <t>Прогноз,
шт</t>
        </is>
      </c>
      <c r="DW5" s="106" t="inlineStr">
        <is>
          <t>Факт,
шт</t>
        </is>
      </c>
      <c r="DX5" s="107" t="inlineStr">
        <is>
          <t>Коментарий</t>
        </is>
      </c>
      <c r="DY5" s="104" t="inlineStr">
        <is>
          <t>AOP,
шт</t>
        </is>
      </c>
      <c r="DZ5" s="105" t="inlineStr">
        <is>
          <t>Прогноз,
шт</t>
        </is>
      </c>
      <c r="EA5" s="106" t="inlineStr">
        <is>
          <t>Факт,
шт</t>
        </is>
      </c>
      <c r="EB5" s="107" t="inlineStr">
        <is>
          <t>Коментарий</t>
        </is>
      </c>
      <c r="EC5" s="104" t="inlineStr">
        <is>
          <t>AOP,
шт</t>
        </is>
      </c>
      <c r="ED5" s="105" t="inlineStr">
        <is>
          <t>Прогноз,
шт</t>
        </is>
      </c>
      <c r="EE5" s="106" t="inlineStr">
        <is>
          <t>Факт,
шт</t>
        </is>
      </c>
      <c r="EF5" s="107" t="inlineStr">
        <is>
          <t>Коментарий</t>
        </is>
      </c>
      <c r="EG5" s="104" t="inlineStr">
        <is>
          <t>AOP,
шт</t>
        </is>
      </c>
      <c r="EH5" s="105" t="inlineStr">
        <is>
          <t>Прогноз,
шт</t>
        </is>
      </c>
      <c r="EI5" s="106" t="inlineStr">
        <is>
          <t>Факт,
шт</t>
        </is>
      </c>
      <c r="EJ5" s="107" t="inlineStr">
        <is>
          <t>Коментарий</t>
        </is>
      </c>
      <c r="EK5" s="104" t="inlineStr">
        <is>
          <t>AOP,
шт</t>
        </is>
      </c>
      <c r="EL5" s="105" t="inlineStr">
        <is>
          <t>Прогноз,
шт</t>
        </is>
      </c>
      <c r="EM5" s="106" t="inlineStr">
        <is>
          <t>Факт,
шт</t>
        </is>
      </c>
      <c r="EN5" s="107" t="inlineStr">
        <is>
          <t>Коментарий</t>
        </is>
      </c>
      <c r="EO5" s="104" t="inlineStr">
        <is>
          <t>AOP,
шт</t>
        </is>
      </c>
      <c r="EP5" s="105" t="inlineStr">
        <is>
          <t>Прогноз,
шт</t>
        </is>
      </c>
      <c r="EQ5" s="106" t="inlineStr">
        <is>
          <t>Факт,
шт</t>
        </is>
      </c>
      <c r="ER5" s="107" t="inlineStr">
        <is>
          <t>Коментарий</t>
        </is>
      </c>
      <c r="ES5" s="104" t="inlineStr">
        <is>
          <t>AOP,
шт</t>
        </is>
      </c>
      <c r="ET5" s="105" t="inlineStr">
        <is>
          <t>Прогноз,
шт</t>
        </is>
      </c>
      <c r="EU5" s="106" t="inlineStr">
        <is>
          <t>Факт,
шт</t>
        </is>
      </c>
      <c r="EV5" s="107" t="inlineStr">
        <is>
          <t>Коментарий</t>
        </is>
      </c>
      <c r="EW5" s="104" t="inlineStr">
        <is>
          <t>AOP,
шт</t>
        </is>
      </c>
      <c r="EX5" s="105" t="inlineStr">
        <is>
          <t>Прогноз,
шт</t>
        </is>
      </c>
      <c r="EY5" s="106" t="inlineStr">
        <is>
          <t>Факт,
шт</t>
        </is>
      </c>
      <c r="EZ5" s="107" t="inlineStr">
        <is>
          <t>Коментарий</t>
        </is>
      </c>
      <c r="FA5" s="104" t="inlineStr">
        <is>
          <t>AOP,
шт</t>
        </is>
      </c>
      <c r="FB5" s="105" t="inlineStr">
        <is>
          <t>Прогноз,
шт</t>
        </is>
      </c>
      <c r="FC5" s="106" t="inlineStr">
        <is>
          <t>Факт,
шт</t>
        </is>
      </c>
      <c r="FD5" s="107" t="inlineStr">
        <is>
          <t>Коментарий</t>
        </is>
      </c>
      <c r="FE5" s="104" t="inlineStr">
        <is>
          <t>AOP,
шт</t>
        </is>
      </c>
      <c r="FF5" s="105" t="inlineStr">
        <is>
          <t>Прогноз,
шт</t>
        </is>
      </c>
      <c r="FG5" s="106" t="inlineStr">
        <is>
          <t>Факт,
шт</t>
        </is>
      </c>
      <c r="FH5" s="107" t="inlineStr">
        <is>
          <t>Коментарий</t>
        </is>
      </c>
      <c r="FI5" s="104" t="inlineStr">
        <is>
          <t>AOP,
шт</t>
        </is>
      </c>
      <c r="FJ5" s="105" t="inlineStr">
        <is>
          <t>Прогноз,
шт</t>
        </is>
      </c>
      <c r="FK5" s="106" t="inlineStr">
        <is>
          <t>Факт,
шт</t>
        </is>
      </c>
      <c r="FL5" s="107" t="inlineStr">
        <is>
          <t>Коментарий</t>
        </is>
      </c>
      <c r="FM5" s="104" t="inlineStr">
        <is>
          <t>AOP,
шт</t>
        </is>
      </c>
      <c r="FN5" s="105" t="inlineStr">
        <is>
          <t>Прогноз,
шт</t>
        </is>
      </c>
      <c r="FO5" s="106" t="inlineStr">
        <is>
          <t>Факт,
шт</t>
        </is>
      </c>
      <c r="FP5" s="107" t="inlineStr">
        <is>
          <t>Коментарий</t>
        </is>
      </c>
      <c r="FQ5" s="797" t="n"/>
      <c r="FR5" s="104" t="inlineStr">
        <is>
          <t>AOP,
шт</t>
        </is>
      </c>
      <c r="FS5" s="104" t="inlineStr">
        <is>
          <t>Продажи AOP, CNY</t>
        </is>
      </c>
      <c r="FT5" s="796" t="n"/>
    </row>
    <row r="6" outlineLevel="2" customFormat="1" s="14">
      <c r="A6" s="375" t="inlineStr">
        <is>
          <t>УЛЬТРА ГРУПП ООО</t>
        </is>
      </c>
      <c r="B6" s="389" t="inlineStr">
        <is>
          <t>Предоплата 100%</t>
        </is>
      </c>
      <c r="C6" s="432" t="inlineStr">
        <is>
          <t>ВБК Восток</t>
        </is>
      </c>
      <c r="D6" s="575" t="inlineStr">
        <is>
          <t>Прасолов, Соловьёв</t>
        </is>
      </c>
      <c r="E6" s="284">
        <f>IF(ISBLANK(G6),"",IF($A$6:$A$330=$A6,COUNTIF($A$6:A6,$A6),""))</f>
        <v/>
      </c>
      <c r="F6" s="284" t="n">
        <v>1</v>
      </c>
      <c r="G6" s="304" t="n">
        <v>9253761210</v>
      </c>
      <c r="H6" s="602" t="inlineStr">
        <is>
          <t>Энергоаккумулятор тип 24/30</t>
        </is>
      </c>
      <c r="I6" s="623">
        <f>306/НДС</f>
        <v/>
      </c>
      <c r="J6" s="616" t="n"/>
      <c r="K6" s="870" t="n"/>
      <c r="L6" s="616" t="n"/>
      <c r="M6" s="871" t="n"/>
      <c r="N6" s="871">
        <f>IF(BP6&gt;0,1,IF(BN6&gt;0,2,))</f>
        <v/>
      </c>
      <c r="O6" s="322" t="n">
        <v>8</v>
      </c>
      <c r="P6" s="408" t="n"/>
      <c r="Q6" s="307" t="n">
        <v>0</v>
      </c>
      <c r="R6" s="408" t="n"/>
      <c r="S6" s="322" t="n">
        <v>8</v>
      </c>
      <c r="T6" s="408" t="n"/>
      <c r="U6" s="307" t="n">
        <v>0</v>
      </c>
      <c r="V6" s="408" t="n"/>
      <c r="W6" s="322" t="n">
        <v>8</v>
      </c>
      <c r="X6" s="408">
        <f>4*X$11</f>
        <v/>
      </c>
      <c r="Y6" s="307" t="n">
        <v>8</v>
      </c>
      <c r="Z6" s="408" t="n"/>
      <c r="AA6" s="322" t="n">
        <v>12</v>
      </c>
      <c r="AB6" s="408">
        <f>4*AB$11</f>
        <v/>
      </c>
      <c r="AC6" s="307" t="n">
        <v>8</v>
      </c>
      <c r="AD6" s="408" t="n"/>
      <c r="AE6" s="322" t="n">
        <v>12</v>
      </c>
      <c r="AF6" s="408" t="n"/>
      <c r="AG6" s="307" t="n">
        <v>0</v>
      </c>
      <c r="AH6" s="408" t="n"/>
      <c r="AI6" s="322" t="n">
        <v>12</v>
      </c>
      <c r="AJ6" s="408">
        <f>4*AJ$11</f>
        <v/>
      </c>
      <c r="AK6" s="307" t="n">
        <v>0</v>
      </c>
      <c r="AL6" s="408" t="n"/>
      <c r="AM6" s="322" t="n">
        <v>12</v>
      </c>
      <c r="AN6" s="408">
        <f>4*AN$11</f>
        <v/>
      </c>
      <c r="AO6" s="307" t="n">
        <v>0</v>
      </c>
      <c r="AP6" s="408" t="n"/>
      <c r="AQ6" s="322" t="n">
        <v>12</v>
      </c>
      <c r="AR6" s="408">
        <f>4*AR$11</f>
        <v/>
      </c>
      <c r="AS6" s="307" t="n">
        <v>0</v>
      </c>
      <c r="AT6" s="408" t="n"/>
      <c r="AU6" s="322" t="n">
        <v>12</v>
      </c>
      <c r="AV6" s="408">
        <f>4*AV$11</f>
        <v/>
      </c>
      <c r="AW6" s="307" t="n">
        <v>0</v>
      </c>
      <c r="AX6" s="408" t="n"/>
      <c r="AY6" s="322" t="n">
        <v>12</v>
      </c>
      <c r="AZ6" s="408">
        <f>4*AZ$11</f>
        <v/>
      </c>
      <c r="BA6" s="307" t="n">
        <v>0</v>
      </c>
      <c r="BB6" s="408" t="n"/>
      <c r="BC6" s="322" t="n">
        <v>12</v>
      </c>
      <c r="BD6" s="408">
        <f>4*BD$11</f>
        <v/>
      </c>
      <c r="BE6" s="307" t="n">
        <v>0</v>
      </c>
      <c r="BF6" s="408" t="n"/>
      <c r="BG6" s="322" t="n">
        <v>12</v>
      </c>
      <c r="BH6" s="408">
        <f>4*BH$11</f>
        <v/>
      </c>
      <c r="BI6" s="307" t="n">
        <v>0</v>
      </c>
      <c r="BJ6" s="408" t="n"/>
      <c r="BK6" s="340" t="n"/>
      <c r="BL6" s="820">
        <f>SUMPRODUCT(--(MOD(COLUMN($O6:$AL6),4)=MOD(COLUMN($O6)+0,4)),$O6:$AL6)
+SUMPRODUCT(--(MOD(COLUMN($AM6:$BJ6),4)=MOD(COLUMN($AM6)+0,4)),$AM6:$BJ6)</f>
        <v/>
      </c>
      <c r="BM6" s="820">
        <f>SUMPRODUCT(--(MOD(COLUMN($O6:$AL6),4)=MOD(COLUMN($O6)+0,4)),$O6:$AL6)*$I6
+SUMPRODUCT(--(MOD(COLUMN($AM6:$BJ6),4)=MOD(COLUMN($AM6)+0,4)),$AM6:$BJ6)*$I6</f>
        <v/>
      </c>
      <c r="BN6" s="822">
        <f>SUMPRODUCT(--(MOD(COLUMN($O6:$AL6),4)=MOD(COLUMN($O6)+1,4)),$O6:$AL6)
+SUMPRODUCT(--(MOD(COLUMN($AM6:$BJ6),4)=MOD(COLUMN($AM6)+1,4)),$AM6:$BJ6)</f>
        <v/>
      </c>
      <c r="BO6" s="823">
        <f>SUMPRODUCT(--(MOD(COLUMN($O6:$AL6),4)=MOD(COLUMN($O6)+1,4)),$O6:$AL6)*$I6
+SUMPRODUCT(--(MOD(COLUMN($AM6:$BJ6),4)=MOD(COLUMN($AM6)+1,4)),$AM6:$BJ6)*$I6</f>
        <v/>
      </c>
      <c r="BP6" s="824">
        <f>SUMPRODUCT(--(MOD(COLUMN($O6:$AL6),4)=MOD(COLUMN($O6)+2,4)),$O6:$AL6)
+SUMPRODUCT(--(MOD(COLUMN($AM6:$BJ6),4)=MOD(COLUMN($AM6)+2,4)),$AM6:$BJ6)</f>
        <v/>
      </c>
      <c r="BQ6" s="825">
        <f>SUMPRODUCT(--(MOD(COLUMN($O6:$AL6),4)=MOD(COLUMN($O6)+2,4)),$O6:$AL6)*$I6
+SUMPRODUCT(--(MOD(COLUMN($AM6:$BJ6),4)=MOD(COLUMN($AM6)+2,4)),$AM6:$BJ6)*$I6</f>
        <v/>
      </c>
      <c r="BR6" s="819" t="n"/>
      <c r="BS6" s="819" t="n"/>
      <c r="BT6" s="322" t="n"/>
      <c r="BU6" s="408" t="n"/>
      <c r="BV6" s="307" t="n"/>
      <c r="BW6" s="408" t="n"/>
      <c r="BX6" s="322" t="n"/>
      <c r="BY6" s="408" t="n"/>
      <c r="BZ6" s="307" t="n"/>
      <c r="CA6" s="408" t="n"/>
      <c r="CB6" s="322" t="n"/>
      <c r="CC6" s="408" t="n"/>
      <c r="CD6" s="307" t="n"/>
      <c r="CE6" s="408" t="n"/>
      <c r="CF6" s="322" t="n"/>
      <c r="CG6" s="408" t="n"/>
      <c r="CH6" s="307" t="n"/>
      <c r="CI6" s="408" t="n"/>
      <c r="CJ6" s="322" t="n"/>
      <c r="CK6" s="408" t="n"/>
      <c r="CL6" s="307" t="n"/>
      <c r="CM6" s="408" t="n"/>
      <c r="CN6" s="322" t="n"/>
      <c r="CO6" s="408" t="n"/>
      <c r="CP6" s="307" t="n"/>
      <c r="CQ6" s="408" t="n"/>
      <c r="CR6" s="322" t="n"/>
      <c r="CS6" s="408" t="n"/>
      <c r="CT6" s="307" t="n"/>
      <c r="CU6" s="408" t="n"/>
      <c r="CV6" s="322" t="n"/>
      <c r="CW6" s="408" t="n"/>
      <c r="CX6" s="307" t="n"/>
      <c r="CY6" s="408" t="n"/>
      <c r="CZ6" s="322" t="n"/>
      <c r="DA6" s="408" t="n"/>
      <c r="DB6" s="307" t="n"/>
      <c r="DC6" s="408" t="n"/>
      <c r="DD6" s="322" t="n"/>
      <c r="DE6" s="408" t="n"/>
      <c r="DF6" s="307" t="n"/>
      <c r="DG6" s="408" t="n"/>
      <c r="DH6" s="322" t="n"/>
      <c r="DI6" s="408" t="n"/>
      <c r="DJ6" s="307" t="n"/>
      <c r="DK6" s="408" t="n"/>
      <c r="DL6" s="322" t="n"/>
      <c r="DM6" s="408" t="n"/>
      <c r="DN6" s="307" t="n"/>
      <c r="DO6" s="408" t="n"/>
      <c r="DP6" s="340" t="n"/>
      <c r="DQ6" s="820">
        <f>SUMPRODUCT(--(MOD(COLUMN(BT6:CQ6),4)=MOD(COLUMN(BT6),4)),BT6:CQ6)+SUMPRODUCT(--(MOD(COLUMN(CR6:DO6),4)=MOD(COLUMN(CR6),4)),CR6:DO6)</f>
        <v/>
      </c>
      <c r="DR6" s="820">
        <f>SUMPRODUCT(--(MOD(COLUMN(BT6:CQ6),4)=MOD(COLUMN(BT6),4)),BT6:CQ6)*$I6+SUMPRODUCT(--(MOD(COLUMN(CR6:DO6),4)=MOD(COLUMN(CR6),4)),CR6:DO6)*$I6</f>
        <v/>
      </c>
      <c r="DS6" s="819" t="n"/>
      <c r="DT6" s="819" t="n"/>
      <c r="DU6" s="322" t="n"/>
      <c r="DV6" s="408" t="n"/>
      <c r="DW6" s="307" t="n"/>
      <c r="DX6" s="408" t="n"/>
      <c r="DY6" s="322" t="n"/>
      <c r="DZ6" s="408" t="n"/>
      <c r="EA6" s="307" t="n"/>
      <c r="EB6" s="408" t="n"/>
      <c r="EC6" s="322" t="n"/>
      <c r="ED6" s="408" t="n"/>
      <c r="EE6" s="307" t="n"/>
      <c r="EF6" s="408" t="n"/>
      <c r="EG6" s="322" t="n"/>
      <c r="EH6" s="408" t="n"/>
      <c r="EI6" s="307" t="n"/>
      <c r="EJ6" s="408" t="n"/>
      <c r="EK6" s="322" t="n"/>
      <c r="EL6" s="408" t="n"/>
      <c r="EM6" s="307" t="n"/>
      <c r="EN6" s="408" t="n"/>
      <c r="EO6" s="322" t="n"/>
      <c r="EP6" s="408" t="n"/>
      <c r="EQ6" s="307" t="n"/>
      <c r="ER6" s="408" t="n"/>
      <c r="ES6" s="322" t="n"/>
      <c r="ET6" s="408" t="n"/>
      <c r="EU6" s="307" t="n"/>
      <c r="EV6" s="408" t="n"/>
      <c r="EW6" s="322" t="n"/>
      <c r="EX6" s="408" t="n"/>
      <c r="EY6" s="307" t="n"/>
      <c r="EZ6" s="408" t="n"/>
      <c r="FA6" s="322" t="n"/>
      <c r="FB6" s="408" t="n"/>
      <c r="FC6" s="307" t="n"/>
      <c r="FD6" s="408" t="n"/>
      <c r="FE6" s="322" t="n"/>
      <c r="FF6" s="408" t="n"/>
      <c r="FG6" s="307" t="n"/>
      <c r="FH6" s="408" t="n"/>
      <c r="FI6" s="322" t="n"/>
      <c r="FJ6" s="408" t="n"/>
      <c r="FK6" s="307" t="n"/>
      <c r="FL6" s="408" t="n"/>
      <c r="FM6" s="322" t="n"/>
      <c r="FN6" s="408" t="n"/>
      <c r="FO6" s="307" t="n"/>
      <c r="FP6" s="408" t="n"/>
      <c r="FQ6" s="340" t="n"/>
      <c r="FR6" s="820">
        <f>SUMPRODUCT(--(MOD(COLUMN(DU6:ER6),4)=MOD(COLUMN(DU6),4)),DU6:ER6)+SUMPRODUCT(--(MOD(COLUMN(ES6:FP6),4)=MOD(COLUMN(ES6),4)),ES6:FP6)</f>
        <v/>
      </c>
      <c r="FS6" s="820">
        <f>SUMPRODUCT(--(MOD(COLUMN(DU6:ER6),4)=MOD(COLUMN(DU6),4)),DU6:ER6)*$I6+SUMPRODUCT(--(MOD(COLUMN(ES6:FP6),4)=MOD(COLUMN(ES6),4)),ES6:FP6)*$I6</f>
        <v/>
      </c>
      <c r="FT6" s="360" t="n"/>
    </row>
    <row r="7" outlineLevel="2" customFormat="1" s="14">
      <c r="A7" s="413" t="inlineStr">
        <is>
          <t>УЛЬТРА ГРУПП ООО</t>
        </is>
      </c>
      <c r="B7" s="444" t="inlineStr">
        <is>
          <t>Предоплата 100%</t>
        </is>
      </c>
      <c r="C7" s="587" t="inlineStr">
        <is>
          <t>ВБК Восток</t>
        </is>
      </c>
      <c r="D7" s="580" t="inlineStr">
        <is>
          <t>Прасолов, Соловьёв</t>
        </is>
      </c>
      <c r="E7" s="414">
        <f>IF(ISBLANK(G7),"",IF($A$6:$A$330=$A7,COUNTIF($A$6:A7,$A7),""))</f>
        <v/>
      </c>
      <c r="F7" s="284" t="n">
        <v>1</v>
      </c>
      <c r="G7" s="304" t="n">
        <v>9253771100</v>
      </c>
      <c r="H7" s="602" t="inlineStr">
        <is>
          <t>Энергоаккумулятор тип 30/30</t>
        </is>
      </c>
      <c r="I7" s="623">
        <f>310/НДС</f>
        <v/>
      </c>
      <c r="J7" s="616" t="n"/>
      <c r="K7" s="870" t="n"/>
      <c r="L7" s="616" t="n"/>
      <c r="M7" s="871" t="n"/>
      <c r="N7" s="871">
        <f>IF(BP7&gt;0,1,IF(BN7&gt;0,2,))</f>
        <v/>
      </c>
      <c r="O7" s="322" t="n"/>
      <c r="P7" s="408" t="n"/>
      <c r="Q7" s="307" t="n"/>
      <c r="R7" s="408" t="n"/>
      <c r="S7" s="322" t="n"/>
      <c r="T7" s="408" t="n"/>
      <c r="U7" s="307" t="n"/>
      <c r="V7" s="408" t="n"/>
      <c r="W7" s="322" t="n"/>
      <c r="X7" s="408" t="n"/>
      <c r="Y7" s="307" t="n"/>
      <c r="Z7" s="408" t="n"/>
      <c r="AA7" s="322" t="n"/>
      <c r="AB7" s="408" t="n"/>
      <c r="AC7" s="307" t="n"/>
      <c r="AD7" s="408" t="n"/>
      <c r="AE7" s="322" t="n"/>
      <c r="AF7" s="408" t="n"/>
      <c r="AG7" s="307" t="n">
        <v>0</v>
      </c>
      <c r="AH7" s="408" t="n"/>
      <c r="AI7" s="322" t="n"/>
      <c r="AJ7" s="408" t="n"/>
      <c r="AK7" s="307" t="n"/>
      <c r="AL7" s="408" t="n"/>
      <c r="AM7" s="322" t="n"/>
      <c r="AN7" s="408" t="n"/>
      <c r="AO7" s="307" t="n"/>
      <c r="AP7" s="408" t="n"/>
      <c r="AQ7" s="322" t="n"/>
      <c r="AR7" s="408" t="n"/>
      <c r="AS7" s="307" t="n"/>
      <c r="AT7" s="408" t="n"/>
      <c r="AU7" s="322" t="n"/>
      <c r="AV7" s="408" t="n"/>
      <c r="AW7" s="307" t="n"/>
      <c r="AX7" s="408" t="n"/>
      <c r="AY7" s="322" t="n"/>
      <c r="AZ7" s="408" t="n"/>
      <c r="BA7" s="307" t="n"/>
      <c r="BB7" s="408" t="n"/>
      <c r="BC7" s="322" t="n"/>
      <c r="BD7" s="408" t="n"/>
      <c r="BE7" s="307" t="n"/>
      <c r="BF7" s="408" t="n"/>
      <c r="BG7" s="322" t="n"/>
      <c r="BH7" s="408" t="n"/>
      <c r="BI7" s="307" t="n"/>
      <c r="BJ7" s="408" t="n"/>
      <c r="BK7" s="340" t="n"/>
      <c r="BL7" s="820">
        <f>SUMPRODUCT(--(MOD(COLUMN($O7:$AL7),4)=MOD(COLUMN($O7)+0,4)),$O7:$AL7)
+SUMPRODUCT(--(MOD(COLUMN($AM7:$BJ7),4)=MOD(COLUMN($AM7)+0,4)),$AM7:$BJ7)</f>
        <v/>
      </c>
      <c r="BM7" s="820">
        <f>SUMPRODUCT(--(MOD(COLUMN($O7:$AL7),4)=MOD(COLUMN($O7)+0,4)),$O7:$AL7)*
$I7+SUMPRODUCT(--(MOD(COLUMN($AM7:$BJ7),4)=MOD(COLUMN($AM7)+0,4)),$AM7:$BJ7)*$I7</f>
        <v/>
      </c>
      <c r="BN7" s="822">
        <f>SUMPRODUCT(--(MOD(COLUMN($O7:$AL7),4)=MOD(COLUMN($O7)+1,4)),$O7:$AL7)
+SUMPRODUCT(--(MOD(COLUMN($AM7:$BJ7),4)=MOD(COLUMN($AM7)+1,4)),$AM7:$BJ7)</f>
        <v/>
      </c>
      <c r="BO7" s="823">
        <f>SUMPRODUCT(--(MOD(COLUMN($O7:$AL7),4)=MOD(COLUMN($O7)+1,4)),$O7:$AL7)*
$I7+SUMPRODUCT(--(MOD(COLUMN($AM7:$BJ7),4)=MOD(COLUMN($AM7)+1,4)),$AM7:$BJ7)*$I7</f>
        <v/>
      </c>
      <c r="BP7" s="824">
        <f>SUMPRODUCT(--(MOD(COLUMN($O7:$AL7),4)=MOD(COLUMN($O7)+2,4)),$O7:$AL7)
+SUMPRODUCT(--(MOD(COLUMN($AM7:$BJ7),4)=MOD(COLUMN($AM7)+2,4)),$AM7:$BJ7)</f>
        <v/>
      </c>
      <c r="BQ7" s="825">
        <f>SUMPRODUCT(--(MOD(COLUMN($O7:$AL7),4)=MOD(COLUMN($O7)+2,4)),$O7:$AL7)*
$I7+SUMPRODUCT(--(MOD(COLUMN($AM7:$BJ7),4)=MOD(COLUMN($AM7)+2,4)),$AM7:$BJ7)*$I7</f>
        <v/>
      </c>
      <c r="BR7" s="819" t="n"/>
      <c r="BS7" s="819" t="n"/>
      <c r="BT7" s="322" t="n"/>
      <c r="BU7" s="408" t="n"/>
      <c r="BV7" s="307" t="n"/>
      <c r="BW7" s="408" t="n"/>
      <c r="BX7" s="322" t="n"/>
      <c r="BY7" s="408" t="n"/>
      <c r="BZ7" s="307" t="n"/>
      <c r="CA7" s="408" t="n"/>
      <c r="CB7" s="322" t="n"/>
      <c r="CC7" s="408" t="n"/>
      <c r="CD7" s="307" t="n"/>
      <c r="CE7" s="408" t="n"/>
      <c r="CF7" s="322" t="n"/>
      <c r="CG7" s="408" t="n"/>
      <c r="CH7" s="307" t="n"/>
      <c r="CI7" s="408" t="n"/>
      <c r="CJ7" s="322" t="n"/>
      <c r="CK7" s="408" t="n"/>
      <c r="CL7" s="307" t="n"/>
      <c r="CM7" s="408" t="n"/>
      <c r="CN7" s="322" t="n"/>
      <c r="CO7" s="408" t="n"/>
      <c r="CP7" s="307" t="n"/>
      <c r="CQ7" s="408" t="n"/>
      <c r="CR7" s="322" t="n"/>
      <c r="CS7" s="408" t="n"/>
      <c r="CT7" s="307" t="n"/>
      <c r="CU7" s="408" t="n"/>
      <c r="CV7" s="322" t="n"/>
      <c r="CW7" s="408" t="n"/>
      <c r="CX7" s="307" t="n"/>
      <c r="CY7" s="408" t="n"/>
      <c r="CZ7" s="322" t="n"/>
      <c r="DA7" s="408" t="n"/>
      <c r="DB7" s="307" t="n"/>
      <c r="DC7" s="408" t="n"/>
      <c r="DD7" s="322" t="n"/>
      <c r="DE7" s="408" t="n"/>
      <c r="DF7" s="307" t="n"/>
      <c r="DG7" s="408" t="n"/>
      <c r="DH7" s="322" t="n"/>
      <c r="DI7" s="408" t="n"/>
      <c r="DJ7" s="307" t="n"/>
      <c r="DK7" s="408" t="n"/>
      <c r="DL7" s="322" t="n"/>
      <c r="DM7" s="408" t="n"/>
      <c r="DN7" s="307" t="n"/>
      <c r="DO7" s="408" t="n"/>
      <c r="DP7" s="340" t="n"/>
      <c r="DQ7" s="820">
        <f>SUMPRODUCT(--(MOD(COLUMN(BT7:CQ7),4)=MOD(COLUMN(BT7),4)),BT7:CQ7)+SUMPRODUCT(--(MOD(COLUMN(CR7:DO7),4)=MOD(COLUMN(CR7),4)),CR7:DO7)</f>
        <v/>
      </c>
      <c r="DR7" s="820">
        <f>SUMPRODUCT(--(MOD(COLUMN(BT7:CQ7),4)=MOD(COLUMN(BT7),4)),BT7:CQ7)*$I7+SUMPRODUCT(--(MOD(COLUMN(CR7:DO7),4)=MOD(COLUMN(CR7),4)),CR7:DO7)*$I7</f>
        <v/>
      </c>
      <c r="DS7" s="819" t="n"/>
      <c r="DT7" s="819" t="n"/>
      <c r="DU7" s="322" t="n"/>
      <c r="DV7" s="408" t="n"/>
      <c r="DW7" s="307" t="n"/>
      <c r="DX7" s="408" t="n"/>
      <c r="DY7" s="322" t="n"/>
      <c r="DZ7" s="408" t="n"/>
      <c r="EA7" s="307" t="n"/>
      <c r="EB7" s="408" t="n"/>
      <c r="EC7" s="322" t="n"/>
      <c r="ED7" s="408" t="n"/>
      <c r="EE7" s="307" t="n"/>
      <c r="EF7" s="408" t="n"/>
      <c r="EG7" s="322" t="n"/>
      <c r="EH7" s="408" t="n"/>
      <c r="EI7" s="307" t="n"/>
      <c r="EJ7" s="408" t="n"/>
      <c r="EK7" s="322" t="n"/>
      <c r="EL7" s="408" t="n"/>
      <c r="EM7" s="307" t="n"/>
      <c r="EN7" s="408" t="n"/>
      <c r="EO7" s="322" t="n"/>
      <c r="EP7" s="408" t="n"/>
      <c r="EQ7" s="307" t="n"/>
      <c r="ER7" s="408" t="n"/>
      <c r="ES7" s="322" t="n"/>
      <c r="ET7" s="408" t="n"/>
      <c r="EU7" s="307" t="n"/>
      <c r="EV7" s="408" t="n"/>
      <c r="EW7" s="322" t="n"/>
      <c r="EX7" s="408" t="n"/>
      <c r="EY7" s="307" t="n"/>
      <c r="EZ7" s="408" t="n"/>
      <c r="FA7" s="322" t="n"/>
      <c r="FB7" s="408" t="n"/>
      <c r="FC7" s="307" t="n"/>
      <c r="FD7" s="408" t="n"/>
      <c r="FE7" s="322" t="n"/>
      <c r="FF7" s="408" t="n"/>
      <c r="FG7" s="307" t="n"/>
      <c r="FH7" s="408" t="n"/>
      <c r="FI7" s="322" t="n"/>
      <c r="FJ7" s="408" t="n"/>
      <c r="FK7" s="307" t="n"/>
      <c r="FL7" s="408" t="n"/>
      <c r="FM7" s="322" t="n"/>
      <c r="FN7" s="408" t="n"/>
      <c r="FO7" s="307" t="n"/>
      <c r="FP7" s="408" t="n"/>
      <c r="FQ7" s="340" t="n"/>
      <c r="FR7" s="820">
        <f>SUMPRODUCT(--(MOD(COLUMN(DU7:ER7),4)=MOD(COLUMN(DU7),4)),DU7:ER7)+SUMPRODUCT(--(MOD(COLUMN(ES7:FP7),4)=MOD(COLUMN(ES7),4)),ES7:FP7)</f>
        <v/>
      </c>
      <c r="FS7" s="820">
        <f>SUMPRODUCT(--(MOD(COLUMN(DU7:ER7),4)=MOD(COLUMN(DU7),4)),DU7:ER7)*$I7+SUMPRODUCT(--(MOD(COLUMN(ES7:FP7),4)=MOD(COLUMN(ES7),4)),ES7:FP7)*$I7</f>
        <v/>
      </c>
      <c r="FT7" s="360" t="n"/>
    </row>
    <row r="8" outlineLevel="2" customFormat="1" s="14">
      <c r="A8" s="56" t="inlineStr">
        <is>
          <t>УЛЬТРА ГРУПП ООО</t>
        </is>
      </c>
      <c r="B8" s="387" t="inlineStr">
        <is>
          <t>Предоплата 100%</t>
        </is>
      </c>
      <c r="C8" s="541" t="inlineStr">
        <is>
          <t>ВБК РУС</t>
        </is>
      </c>
      <c r="D8" s="565" t="inlineStr">
        <is>
          <t>Прасолов, Соловьёв</t>
        </is>
      </c>
      <c r="E8" s="10">
        <f>IF(ISBLANK(G8),"",IF($A$6:$A$330=$A8,COUNTIF($A$6:A8,$A8),""))</f>
        <v/>
      </c>
      <c r="F8" s="10" t="n">
        <v>1</v>
      </c>
      <c r="G8" s="55" t="n">
        <v>9735000510</v>
      </c>
      <c r="H8" s="54" t="inlineStr">
        <is>
          <t>Клапан быстрого растормаживания энергоакк.</t>
        </is>
      </c>
      <c r="I8" s="617">
        <f>146.4/НДС_20</f>
        <v/>
      </c>
      <c r="J8" s="617" t="n"/>
      <c r="K8" s="872" t="n"/>
      <c r="L8" s="617">
        <f>IF(K8="RUB",J8/ЮАНЬ,IF(K8="EUR",J8*ЕВРО/ЮАНЬ,""))</f>
        <v/>
      </c>
      <c r="M8" s="873" t="n"/>
      <c r="N8" s="871">
        <f>IF(BP8&gt;0,1,IF(BN8&gt;0,2,))</f>
        <v/>
      </c>
      <c r="O8" s="23" t="n">
        <v>2</v>
      </c>
      <c r="P8" s="24" t="n"/>
      <c r="Q8" s="25" t="n">
        <v>0</v>
      </c>
      <c r="R8" s="24" t="n"/>
      <c r="S8" s="23" t="n">
        <v>2</v>
      </c>
      <c r="T8" s="24" t="n"/>
      <c r="U8" s="307" t="n">
        <v>0</v>
      </c>
      <c r="V8" s="24" t="n"/>
      <c r="W8" s="23" t="n">
        <v>2</v>
      </c>
      <c r="X8" s="24" t="n"/>
      <c r="Y8" s="25" t="n">
        <v>0</v>
      </c>
      <c r="Z8" s="24" t="n"/>
      <c r="AA8" s="23" t="n">
        <v>3</v>
      </c>
      <c r="AB8" s="24" t="n"/>
      <c r="AC8" s="25" t="n">
        <v>0</v>
      </c>
      <c r="AD8" s="24" t="n"/>
      <c r="AE8" s="23" t="n">
        <v>3</v>
      </c>
      <c r="AF8" s="24" t="n"/>
      <c r="AG8" s="307" t="n">
        <v>0</v>
      </c>
      <c r="AH8" s="24" t="n"/>
      <c r="AI8" s="23" t="n">
        <v>3</v>
      </c>
      <c r="AJ8" s="24" t="n"/>
      <c r="AK8" s="25" t="n">
        <v>0</v>
      </c>
      <c r="AL8" s="24" t="n"/>
      <c r="AM8" s="23" t="n">
        <v>3</v>
      </c>
      <c r="AN8" s="24" t="n"/>
      <c r="AO8" s="25" t="n">
        <v>0</v>
      </c>
      <c r="AP8" s="24" t="n"/>
      <c r="AQ8" s="23" t="n">
        <v>3</v>
      </c>
      <c r="AR8" s="24" t="n"/>
      <c r="AS8" s="25" t="n">
        <v>0</v>
      </c>
      <c r="AT8" s="24" t="n"/>
      <c r="AU8" s="23" t="n">
        <v>3</v>
      </c>
      <c r="AV8" s="24">
        <f>1*AV$11</f>
        <v/>
      </c>
      <c r="AW8" s="25" t="n">
        <v>0</v>
      </c>
      <c r="AX8" s="24" t="n"/>
      <c r="AY8" s="23" t="n">
        <v>3</v>
      </c>
      <c r="AZ8" s="24">
        <f>1*AZ$11</f>
        <v/>
      </c>
      <c r="BA8" s="25" t="n">
        <v>0</v>
      </c>
      <c r="BB8" s="24" t="n"/>
      <c r="BC8" s="23" t="n">
        <v>3</v>
      </c>
      <c r="BD8" s="24">
        <f>1*BD$11</f>
        <v/>
      </c>
      <c r="BE8" s="25" t="n">
        <v>0</v>
      </c>
      <c r="BF8" s="24" t="n"/>
      <c r="BG8" s="23" t="n">
        <v>3</v>
      </c>
      <c r="BH8" s="24">
        <f>1*BH$11</f>
        <v/>
      </c>
      <c r="BI8" s="25" t="n">
        <v>0</v>
      </c>
      <c r="BJ8" s="24" t="n"/>
      <c r="BK8" s="340" t="n"/>
      <c r="BL8" s="803">
        <f>SUMPRODUCT(--(MOD(COLUMN($O8:$AL8),4)=MOD(COLUMN($O8)+0,4)),$O8:$AL8)
+SUMPRODUCT(--(MOD(COLUMN($AM8:$BJ8),4)=MOD(COLUMN($AM8)+0,4)),$AM8:$BJ8)</f>
        <v/>
      </c>
      <c r="BM8" s="803">
        <f>SUMPRODUCT(--(MOD(COLUMN($O8:$AL8),4)=MOD(COLUMN($O8)+0,4)),$O8:$AL8)*
$I8+SUMPRODUCT(--(MOD(COLUMN($AM8:$BJ8),4)=MOD(COLUMN($AM8)+0,4)),$AM8:$BJ8)*$I8</f>
        <v/>
      </c>
      <c r="BN8" s="805">
        <f>SUMPRODUCT(--(MOD(COLUMN($O8:$AL8),4)=MOD(COLUMN($O8)+1,4)),$O8:$AL8)
+SUMPRODUCT(--(MOD(COLUMN($AM8:$BJ8),4)=MOD(COLUMN($AM8)+1,4)),$AM8:$BJ8)</f>
        <v/>
      </c>
      <c r="BO8" s="806">
        <f>SUMPRODUCT(--(MOD(COLUMN($O8:$AL8),4)=MOD(COLUMN($O8)+1,4)),$O8:$AL8)*
$I8+SUMPRODUCT(--(MOD(COLUMN($AM8:$BJ8),4)=MOD(COLUMN($AM8)+1,4)),$AM8:$BJ8)*$I8</f>
        <v/>
      </c>
      <c r="BP8" s="807">
        <f>SUMPRODUCT(--(MOD(COLUMN($O8:$AL8),4)=MOD(COLUMN($O8)+2,4)),$O8:$AL8)
+SUMPRODUCT(--(MOD(COLUMN($AM8:$BJ8),4)=MOD(COLUMN($AM8)+2,4)),$AM8:$BJ8)</f>
        <v/>
      </c>
      <c r="BQ8" s="808">
        <f>SUMPRODUCT(--(MOD(COLUMN($O8:$AL8),4)=MOD(COLUMN($O8)+2,4)),$O8:$AL8)*
$I8+SUMPRODUCT(--(MOD(COLUMN($AM8:$BJ8),4)=MOD(COLUMN($AM8)+2,4)),$AM8:$BJ8)*$I8</f>
        <v/>
      </c>
      <c r="BR8" s="801" t="n"/>
      <c r="BS8" s="819" t="n"/>
      <c r="BT8" s="23" t="n"/>
      <c r="BU8" s="24" t="n"/>
      <c r="BV8" s="25" t="n"/>
      <c r="BW8" s="24" t="n"/>
      <c r="BX8" s="23" t="n"/>
      <c r="BY8" s="24" t="n"/>
      <c r="BZ8" s="25" t="n"/>
      <c r="CA8" s="24" t="n"/>
      <c r="CB8" s="23" t="n"/>
      <c r="CC8" s="24" t="n"/>
      <c r="CD8" s="25" t="n"/>
      <c r="CE8" s="24" t="n"/>
      <c r="CF8" s="23" t="n"/>
      <c r="CG8" s="24" t="n"/>
      <c r="CH8" s="25" t="n"/>
      <c r="CI8" s="24" t="n"/>
      <c r="CJ8" s="23" t="n"/>
      <c r="CK8" s="24" t="n"/>
      <c r="CL8" s="25" t="n"/>
      <c r="CM8" s="24" t="n"/>
      <c r="CN8" s="23" t="n"/>
      <c r="CO8" s="24" t="n"/>
      <c r="CP8" s="25" t="n"/>
      <c r="CQ8" s="24" t="n"/>
      <c r="CR8" s="23" t="n"/>
      <c r="CS8" s="24" t="n"/>
      <c r="CT8" s="25" t="n"/>
      <c r="CU8" s="24" t="n"/>
      <c r="CV8" s="23" t="n"/>
      <c r="CW8" s="24" t="n"/>
      <c r="CX8" s="25" t="n"/>
      <c r="CY8" s="24" t="n"/>
      <c r="CZ8" s="23" t="n"/>
      <c r="DA8" s="24" t="n"/>
      <c r="DB8" s="25" t="n"/>
      <c r="DC8" s="24" t="n"/>
      <c r="DD8" s="23" t="n"/>
      <c r="DE8" s="24" t="n"/>
      <c r="DF8" s="25" t="n"/>
      <c r="DG8" s="24" t="n"/>
      <c r="DH8" s="23" t="n"/>
      <c r="DI8" s="24" t="n"/>
      <c r="DJ8" s="25" t="n"/>
      <c r="DK8" s="24" t="n"/>
      <c r="DL8" s="23" t="n"/>
      <c r="DM8" s="24" t="n"/>
      <c r="DN8" s="25" t="n"/>
      <c r="DO8" s="24" t="n"/>
      <c r="DP8" s="340" t="n"/>
      <c r="DQ8" s="803">
        <f>SUMPRODUCT(--(MOD(COLUMN(BT8:CQ8),4)=MOD(COLUMN(BT8),4)),BT8:CQ8)+SUMPRODUCT(--(MOD(COLUMN(CR8:DO8),4)=MOD(COLUMN(CR8),4)),CR8:DO8)</f>
        <v/>
      </c>
      <c r="DR8" s="803">
        <f>SUMPRODUCT(--(MOD(COLUMN(BT8:CQ8),4)=MOD(COLUMN(BT8),4)),BT8:CQ8)*$I8+SUMPRODUCT(--(MOD(COLUMN(CR8:DO8),4)=MOD(COLUMN(CR8),4)),CR8:DO8)*$I8</f>
        <v/>
      </c>
      <c r="DS8" s="801" t="n"/>
      <c r="DT8" s="819" t="n"/>
      <c r="DU8" s="23" t="n"/>
      <c r="DV8" s="24" t="n"/>
      <c r="DW8" s="25" t="n"/>
      <c r="DX8" s="24" t="n"/>
      <c r="DY8" s="23" t="n"/>
      <c r="DZ8" s="24" t="n"/>
      <c r="EA8" s="25" t="n"/>
      <c r="EB8" s="24" t="n"/>
      <c r="EC8" s="23" t="n"/>
      <c r="ED8" s="24" t="n"/>
      <c r="EE8" s="25" t="n"/>
      <c r="EF8" s="24" t="n"/>
      <c r="EG8" s="23" t="n"/>
      <c r="EH8" s="24" t="n"/>
      <c r="EI8" s="25" t="n"/>
      <c r="EJ8" s="24" t="n"/>
      <c r="EK8" s="23" t="n"/>
      <c r="EL8" s="24" t="n"/>
      <c r="EM8" s="25" t="n"/>
      <c r="EN8" s="24" t="n"/>
      <c r="EO8" s="23" t="n"/>
      <c r="EP8" s="24" t="n"/>
      <c r="EQ8" s="25" t="n"/>
      <c r="ER8" s="24" t="n"/>
      <c r="ES8" s="23" t="n"/>
      <c r="ET8" s="24" t="n"/>
      <c r="EU8" s="25" t="n"/>
      <c r="EV8" s="24" t="n"/>
      <c r="EW8" s="23" t="n"/>
      <c r="EX8" s="24" t="n"/>
      <c r="EY8" s="25" t="n"/>
      <c r="EZ8" s="24" t="n"/>
      <c r="FA8" s="23" t="n"/>
      <c r="FB8" s="24" t="n"/>
      <c r="FC8" s="25" t="n"/>
      <c r="FD8" s="24" t="n"/>
      <c r="FE8" s="23" t="n"/>
      <c r="FF8" s="24" t="n"/>
      <c r="FG8" s="25" t="n"/>
      <c r="FH8" s="24" t="n"/>
      <c r="FI8" s="23" t="n"/>
      <c r="FJ8" s="24" t="n"/>
      <c r="FK8" s="25" t="n"/>
      <c r="FL8" s="24" t="n"/>
      <c r="FM8" s="23" t="n"/>
      <c r="FN8" s="24" t="n"/>
      <c r="FO8" s="25" t="n"/>
      <c r="FP8" s="24" t="n"/>
      <c r="FQ8" s="340" t="n"/>
      <c r="FR8" s="803">
        <f>SUMPRODUCT(--(MOD(COLUMN(DU8:ER8),4)=MOD(COLUMN(DU8),4)),DU8:ER8)+SUMPRODUCT(--(MOD(COLUMN(ES8:FP8),4)=MOD(COLUMN(ES8),4)),ES8:FP8)</f>
        <v/>
      </c>
      <c r="FS8" s="803">
        <f>SUMPRODUCT(--(MOD(COLUMN(DU8:ER8),4)=MOD(COLUMN(DU8),4)),DU8:ER8)*$I8+SUMPRODUCT(--(MOD(COLUMN(ES8:FP8),4)=MOD(COLUMN(ES8),4)),ES8:FP8)*$I8</f>
        <v/>
      </c>
      <c r="FT8" s="360" t="n"/>
    </row>
    <row r="9" outlineLevel="2" customFormat="1" s="14">
      <c r="A9" s="56" t="inlineStr">
        <is>
          <t>УЛЬТРА ГРУПП ООО</t>
        </is>
      </c>
      <c r="B9" s="387" t="inlineStr">
        <is>
          <t>Предоплата 100%</t>
        </is>
      </c>
      <c r="C9" s="541" t="inlineStr">
        <is>
          <t>ВБК РУС</t>
        </is>
      </c>
      <c r="D9" s="565" t="inlineStr">
        <is>
          <t>Прасолов, Соловьёв</t>
        </is>
      </c>
      <c r="E9" s="10">
        <f>IF(ISBLANK(G9),"",IF($A$6:$A$330=$A9,COUNTIF($A$6:A9,$A9),""))</f>
        <v/>
      </c>
      <c r="F9" s="10" t="n">
        <v>1</v>
      </c>
      <c r="G9" s="55" t="n">
        <v>4750103050</v>
      </c>
      <c r="H9" s="54" t="inlineStr">
        <is>
          <t>Клапан ограничения давления</t>
        </is>
      </c>
      <c r="I9" s="617">
        <f>117.6/НДС_20</f>
        <v/>
      </c>
      <c r="J9" s="617" t="n"/>
      <c r="K9" s="872" t="n"/>
      <c r="L9" s="617">
        <f>IF(K9="RUB",J9/ЮАНЬ,IF(K9="EUR",J9*ЕВРО/ЮАНЬ,""))</f>
        <v/>
      </c>
      <c r="M9" s="873" t="n"/>
      <c r="N9" s="871">
        <f>IF(BP9&gt;0,1,IF(BN9&gt;0,2,))</f>
        <v/>
      </c>
      <c r="O9" s="23" t="n">
        <v>2</v>
      </c>
      <c r="P9" s="24" t="n"/>
      <c r="Q9" s="25" t="n">
        <v>0</v>
      </c>
      <c r="R9" s="24" t="n"/>
      <c r="S9" s="23" t="n">
        <v>2</v>
      </c>
      <c r="T9" s="24" t="n"/>
      <c r="U9" s="307" t="n">
        <v>0</v>
      </c>
      <c r="V9" s="24" t="n"/>
      <c r="W9" s="23" t="n">
        <v>2</v>
      </c>
      <c r="X9" s="24" t="n"/>
      <c r="Y9" s="25" t="n">
        <v>0</v>
      </c>
      <c r="Z9" s="24" t="n"/>
      <c r="AA9" s="23" t="n">
        <v>3</v>
      </c>
      <c r="AB9" s="24" t="n"/>
      <c r="AC9" s="25" t="n">
        <v>0</v>
      </c>
      <c r="AD9" s="24" t="n"/>
      <c r="AE9" s="23" t="n">
        <v>3</v>
      </c>
      <c r="AF9" s="24" t="n"/>
      <c r="AG9" s="307" t="n">
        <v>0</v>
      </c>
      <c r="AH9" s="24" t="n"/>
      <c r="AI9" s="23" t="n">
        <v>3</v>
      </c>
      <c r="AJ9" s="24" t="n"/>
      <c r="AK9" s="25" t="n">
        <v>0</v>
      </c>
      <c r="AL9" s="24" t="n"/>
      <c r="AM9" s="23" t="n">
        <v>3</v>
      </c>
      <c r="AN9" s="24" t="n"/>
      <c r="AO9" s="25" t="n">
        <v>0</v>
      </c>
      <c r="AP9" s="24" t="n"/>
      <c r="AQ9" s="23" t="n">
        <v>3</v>
      </c>
      <c r="AR9" s="24" t="n"/>
      <c r="AS9" s="25" t="n">
        <v>0</v>
      </c>
      <c r="AT9" s="24" t="n"/>
      <c r="AU9" s="23" t="n">
        <v>3</v>
      </c>
      <c r="AV9" s="24">
        <f>1*AV$11</f>
        <v/>
      </c>
      <c r="AW9" s="25" t="n">
        <v>0</v>
      </c>
      <c r="AX9" s="24" t="n"/>
      <c r="AY9" s="23" t="n">
        <v>3</v>
      </c>
      <c r="AZ9" s="24">
        <f>1*AZ$11</f>
        <v/>
      </c>
      <c r="BA9" s="25" t="n">
        <v>0</v>
      </c>
      <c r="BB9" s="24" t="n"/>
      <c r="BC9" s="23" t="n">
        <v>3</v>
      </c>
      <c r="BD9" s="24">
        <f>1*BD$11</f>
        <v/>
      </c>
      <c r="BE9" s="25" t="n">
        <v>0</v>
      </c>
      <c r="BF9" s="24" t="n"/>
      <c r="BG9" s="23" t="n">
        <v>3</v>
      </c>
      <c r="BH9" s="24">
        <f>1*BH$11</f>
        <v/>
      </c>
      <c r="BI9" s="25" t="n">
        <v>0</v>
      </c>
      <c r="BJ9" s="24" t="n"/>
      <c r="BK9" s="340" t="n"/>
      <c r="BL9" s="803">
        <f>SUMPRODUCT(--(MOD(COLUMN($O9:$AL9),4)=MOD(COLUMN($O9)+0,4)),$O9:$AL9)
+SUMPRODUCT(--(MOD(COLUMN($AM9:$BJ9),4)=MOD(COLUMN($AM9)+0,4)),$AM9:$BJ9)</f>
        <v/>
      </c>
      <c r="BM9" s="803">
        <f>SUMPRODUCT(--(MOD(COLUMN($O9:$AL9),4)=MOD(COLUMN($O9)+0,4)),$O9:$AL9)*
$I9+SUMPRODUCT(--(MOD(COLUMN($AM9:$BJ9),4)=MOD(COLUMN($AM9)+0,4)),$AM9:$BJ9)*$I9</f>
        <v/>
      </c>
      <c r="BN9" s="805">
        <f>SUMPRODUCT(--(MOD(COLUMN($O9:$AL9),4)=MOD(COLUMN($O9)+1,4)),$O9:$AL9)
+SUMPRODUCT(--(MOD(COLUMN($AM9:$BJ9),4)=MOD(COLUMN($AM9)+1,4)),$AM9:$BJ9)</f>
        <v/>
      </c>
      <c r="BO9" s="806">
        <f>SUMPRODUCT(--(MOD(COLUMN($O9:$AL9),4)=MOD(COLUMN($O9)+1,4)),$O9:$AL9)*
$I9+SUMPRODUCT(--(MOD(COLUMN($AM9:$BJ9),4)=MOD(COLUMN($AM9)+1,4)),$AM9:$BJ9)*$I9</f>
        <v/>
      </c>
      <c r="BP9" s="807">
        <f>SUMPRODUCT(--(MOD(COLUMN($O9:$AL9),4)=MOD(COLUMN($O9)+2,4)),$O9:$AL9)
+SUMPRODUCT(--(MOD(COLUMN($AM9:$BJ9),4)=MOD(COLUMN($AM9)+2,4)),$AM9:$BJ9)</f>
        <v/>
      </c>
      <c r="BQ9" s="808">
        <f>SUMPRODUCT(--(MOD(COLUMN($O9:$AL9),4)=MOD(COLUMN($O9)+2,4)),$O9:$AL9)*
$I9+SUMPRODUCT(--(MOD(COLUMN($AM9:$BJ9),4)=MOD(COLUMN($AM9)+2,4)),$AM9:$BJ9)*$I9</f>
        <v/>
      </c>
      <c r="BR9" s="801" t="n"/>
      <c r="BS9" s="819" t="n"/>
      <c r="BT9" s="23" t="n"/>
      <c r="BU9" s="24" t="n"/>
      <c r="BV9" s="25" t="n"/>
      <c r="BW9" s="24" t="n"/>
      <c r="BX9" s="23" t="n"/>
      <c r="BY9" s="24" t="n"/>
      <c r="BZ9" s="25" t="n"/>
      <c r="CA9" s="24" t="n"/>
      <c r="CB9" s="23" t="n"/>
      <c r="CC9" s="24" t="n"/>
      <c r="CD9" s="25" t="n"/>
      <c r="CE9" s="24" t="n"/>
      <c r="CF9" s="23" t="n"/>
      <c r="CG9" s="24" t="n"/>
      <c r="CH9" s="25" t="n"/>
      <c r="CI9" s="24" t="n"/>
      <c r="CJ9" s="23" t="n"/>
      <c r="CK9" s="24" t="n"/>
      <c r="CL9" s="25" t="n"/>
      <c r="CM9" s="24" t="n"/>
      <c r="CN9" s="23" t="n"/>
      <c r="CO9" s="24" t="n"/>
      <c r="CP9" s="25" t="n"/>
      <c r="CQ9" s="24" t="n"/>
      <c r="CR9" s="23" t="n"/>
      <c r="CS9" s="24" t="n"/>
      <c r="CT9" s="25" t="n"/>
      <c r="CU9" s="24" t="n"/>
      <c r="CV9" s="23" t="n"/>
      <c r="CW9" s="24" t="n"/>
      <c r="CX9" s="25" t="n"/>
      <c r="CY9" s="24" t="n"/>
      <c r="CZ9" s="23" t="n"/>
      <c r="DA9" s="24" t="n"/>
      <c r="DB9" s="25" t="n"/>
      <c r="DC9" s="24" t="n"/>
      <c r="DD9" s="23" t="n"/>
      <c r="DE9" s="24" t="n"/>
      <c r="DF9" s="25" t="n"/>
      <c r="DG9" s="24" t="n"/>
      <c r="DH9" s="23" t="n"/>
      <c r="DI9" s="24" t="n"/>
      <c r="DJ9" s="25" t="n"/>
      <c r="DK9" s="24" t="n"/>
      <c r="DL9" s="23" t="n"/>
      <c r="DM9" s="24" t="n"/>
      <c r="DN9" s="25" t="n"/>
      <c r="DO9" s="24" t="n"/>
      <c r="DP9" s="340" t="n"/>
      <c r="DQ9" s="803">
        <f>SUMPRODUCT(--(MOD(COLUMN(BT9:CQ9),4)=MOD(COLUMN(BT9),4)),BT9:CQ9)+SUMPRODUCT(--(MOD(COLUMN(CR9:DO9),4)=MOD(COLUMN(CR9),4)),CR9:DO9)</f>
        <v/>
      </c>
      <c r="DR9" s="803">
        <f>SUMPRODUCT(--(MOD(COLUMN(BT9:CQ9),4)=MOD(COLUMN(BT9),4)),BT9:CQ9)*$I9+SUMPRODUCT(--(MOD(COLUMN(CR9:DO9),4)=MOD(COLUMN(CR9),4)),CR9:DO9)*$I9</f>
        <v/>
      </c>
      <c r="DS9" s="801" t="n"/>
      <c r="DT9" s="819" t="n"/>
      <c r="DU9" s="23" t="n"/>
      <c r="DV9" s="24" t="n"/>
      <c r="DW9" s="25" t="n"/>
      <c r="DX9" s="24" t="n"/>
      <c r="DY9" s="23" t="n"/>
      <c r="DZ9" s="24" t="n"/>
      <c r="EA9" s="25" t="n"/>
      <c r="EB9" s="24" t="n"/>
      <c r="EC9" s="23" t="n"/>
      <c r="ED9" s="24" t="n"/>
      <c r="EE9" s="25" t="n"/>
      <c r="EF9" s="24" t="n"/>
      <c r="EG9" s="23" t="n"/>
      <c r="EH9" s="24" t="n"/>
      <c r="EI9" s="25" t="n"/>
      <c r="EJ9" s="24" t="n"/>
      <c r="EK9" s="23" t="n"/>
      <c r="EL9" s="24" t="n"/>
      <c r="EM9" s="25" t="n"/>
      <c r="EN9" s="24" t="n"/>
      <c r="EO9" s="23" t="n"/>
      <c r="EP9" s="24" t="n"/>
      <c r="EQ9" s="25" t="n"/>
      <c r="ER9" s="24" t="n"/>
      <c r="ES9" s="23" t="n"/>
      <c r="ET9" s="24" t="n"/>
      <c r="EU9" s="25" t="n"/>
      <c r="EV9" s="24" t="n"/>
      <c r="EW9" s="23" t="n"/>
      <c r="EX9" s="24" t="n"/>
      <c r="EY9" s="25" t="n"/>
      <c r="EZ9" s="24" t="n"/>
      <c r="FA9" s="23" t="n"/>
      <c r="FB9" s="24" t="n"/>
      <c r="FC9" s="25" t="n"/>
      <c r="FD9" s="24" t="n"/>
      <c r="FE9" s="23" t="n"/>
      <c r="FF9" s="24" t="n"/>
      <c r="FG9" s="25" t="n"/>
      <c r="FH9" s="24" t="n"/>
      <c r="FI9" s="23" t="n"/>
      <c r="FJ9" s="24" t="n"/>
      <c r="FK9" s="25" t="n"/>
      <c r="FL9" s="24" t="n"/>
      <c r="FM9" s="23" t="n"/>
      <c r="FN9" s="24" t="n"/>
      <c r="FO9" s="25" t="n"/>
      <c r="FP9" s="24" t="n"/>
      <c r="FQ9" s="340" t="n"/>
      <c r="FR9" s="803">
        <f>SUMPRODUCT(--(MOD(COLUMN(DU9:ER9),4)=MOD(COLUMN(DU9),4)),DU9:ER9)+SUMPRODUCT(--(MOD(COLUMN(ES9:FP9),4)=MOD(COLUMN(ES9),4)),ES9:FP9)</f>
        <v/>
      </c>
      <c r="FS9" s="803">
        <f>SUMPRODUCT(--(MOD(COLUMN(DU9:ER9),4)=MOD(COLUMN(DU9),4)),DU9:ER9)*$I9+SUMPRODUCT(--(MOD(COLUMN(ES9:FP9),4)=MOD(COLUMN(ES9),4)),ES9:FP9)*$I9</f>
        <v/>
      </c>
      <c r="FT9" s="360" t="n"/>
    </row>
    <row r="10" outlineLevel="2" customFormat="1" s="14">
      <c r="A10" s="413" t="inlineStr">
        <is>
          <t>УЛЬТРА ГРУПП ООО</t>
        </is>
      </c>
      <c r="B10" s="444" t="inlineStr">
        <is>
          <t>Предоплата 100%</t>
        </is>
      </c>
      <c r="C10" s="587" t="inlineStr">
        <is>
          <t>ВБК РУС</t>
        </is>
      </c>
      <c r="D10" s="580" t="inlineStr">
        <is>
          <t>Прасолов, Соловьёв</t>
        </is>
      </c>
      <c r="E10" s="414">
        <f>IF(ISBLANK(G10),"",IF($A$6:$A$330=$A10,COUNTIF($A$6:A10,$A10),""))</f>
        <v/>
      </c>
      <c r="F10" s="284" t="n">
        <v>1</v>
      </c>
      <c r="G10" s="304" t="n">
        <v>4494430400</v>
      </c>
      <c r="H10" s="602" t="inlineStr">
        <is>
          <t>Кабель клапана управления подъемом оси, 4 м</t>
        </is>
      </c>
      <c r="I10" s="616">
        <f>191/НДС_20</f>
        <v/>
      </c>
      <c r="J10" s="616" t="n"/>
      <c r="K10" s="870" t="n"/>
      <c r="L10" s="616" t="n"/>
      <c r="M10" s="871" t="n"/>
      <c r="N10" s="871">
        <f>IF(BP10&gt;0,1,IF(BN10&gt;0,2,))</f>
        <v/>
      </c>
      <c r="O10" s="322" t="n"/>
      <c r="P10" s="408" t="n"/>
      <c r="Q10" s="307" t="n"/>
      <c r="R10" s="408" t="n"/>
      <c r="S10" s="322" t="n"/>
      <c r="T10" s="408" t="n"/>
      <c r="U10" s="307" t="n"/>
      <c r="V10" s="408" t="n"/>
      <c r="W10" s="322" t="n"/>
      <c r="X10" s="408" t="n"/>
      <c r="Y10" s="307" t="n"/>
      <c r="Z10" s="408" t="n"/>
      <c r="AA10" s="322" t="n"/>
      <c r="AB10" s="408" t="n"/>
      <c r="AC10" s="307" t="n"/>
      <c r="AD10" s="408" t="n"/>
      <c r="AE10" s="322" t="n"/>
      <c r="AF10" s="408" t="n"/>
      <c r="AG10" s="307" t="n">
        <v>0</v>
      </c>
      <c r="AH10" s="408" t="n"/>
      <c r="AI10" s="322" t="n"/>
      <c r="AJ10" s="408" t="n"/>
      <c r="AK10" s="307" t="n"/>
      <c r="AL10" s="408" t="n"/>
      <c r="AM10" s="322" t="n"/>
      <c r="AN10" s="408" t="n"/>
      <c r="AO10" s="307" t="n"/>
      <c r="AP10" s="408" t="n"/>
      <c r="AQ10" s="322" t="n"/>
      <c r="AR10" s="408" t="n"/>
      <c r="AS10" s="307" t="n"/>
      <c r="AT10" s="408" t="n"/>
      <c r="AU10" s="322" t="n"/>
      <c r="AV10" s="408" t="n"/>
      <c r="AW10" s="307" t="n"/>
      <c r="AX10" s="408" t="n"/>
      <c r="AY10" s="322" t="n"/>
      <c r="AZ10" s="408" t="n"/>
      <c r="BA10" s="307" t="n"/>
      <c r="BB10" s="408" t="n"/>
      <c r="BC10" s="322" t="n"/>
      <c r="BD10" s="408" t="n"/>
      <c r="BE10" s="307" t="n"/>
      <c r="BF10" s="408" t="n"/>
      <c r="BG10" s="322" t="n"/>
      <c r="BH10" s="408" t="n"/>
      <c r="BI10" s="307" t="n"/>
      <c r="BJ10" s="408" t="n"/>
      <c r="BK10" s="340" t="n"/>
      <c r="BL10" s="820">
        <f>SUMPRODUCT(--(MOD(COLUMN($O10:$AL10),4)=MOD(COLUMN($O10)+0,4)),$O10:$AL10)
+SUMPRODUCT(--(MOD(COLUMN($AM10:$BJ10),4)=MOD(COLUMN($AM10)+0,4)),$AM10:$BJ10)</f>
        <v/>
      </c>
      <c r="BM10" s="820">
        <f>SUMPRODUCT(--(MOD(COLUMN($O10:$AL10),4)=MOD(COLUMN($O10)+0,4)),$O10:$AL10)*
$I10+SUMPRODUCT(--(MOD(COLUMN($AM10:$BJ10),4)=MOD(COLUMN($AM10)+0,4)),$AM10:$BJ10)*$I10</f>
        <v/>
      </c>
      <c r="BN10" s="822">
        <f>SUMPRODUCT(--(MOD(COLUMN($O10:$AL10),4)=MOD(COLUMN($O10)+1,4)),$O10:$AL10)
+SUMPRODUCT(--(MOD(COLUMN($AM10:$BJ10),4)=MOD(COLUMN($AM10)+1,4)),$AM10:$BJ10)</f>
        <v/>
      </c>
      <c r="BO10" s="823">
        <f>SUMPRODUCT(--(MOD(COLUMN($O10:$AL10),4)=MOD(COLUMN($O10)+1,4)),$O10:$AL10)*
$I10+SUMPRODUCT(--(MOD(COLUMN($AM10:$BJ10),4)=MOD(COLUMN($AM10)+1,4)),$AM10:$BJ10)*$I10</f>
        <v/>
      </c>
      <c r="BP10" s="824">
        <f>SUMPRODUCT(--(MOD(COLUMN($O10:$AL10),4)=MOD(COLUMN($O10)+2,4)),$O10:$AL10)
+SUMPRODUCT(--(MOD(COLUMN($AM10:$BJ10),4)=MOD(COLUMN($AM10)+2,4)),$AM10:$BJ10)</f>
        <v/>
      </c>
      <c r="BQ10" s="825">
        <f>SUMPRODUCT(--(MOD(COLUMN($O10:$AL10),4)=MOD(COLUMN($O10)+2,4)),$O10:$AL10)*
$I10+SUMPRODUCT(--(MOD(COLUMN($AM10:$BJ10),4)=MOD(COLUMN($AM10)+2,4)),$AM10:$BJ10)*$I10</f>
        <v/>
      </c>
      <c r="BR10" s="819" t="n"/>
      <c r="BS10" s="819" t="n"/>
      <c r="BT10" s="322" t="n"/>
      <c r="BU10" s="408" t="n"/>
      <c r="BV10" s="307" t="n"/>
      <c r="BW10" s="408" t="n"/>
      <c r="BX10" s="322" t="n"/>
      <c r="BY10" s="408" t="n"/>
      <c r="BZ10" s="307" t="n"/>
      <c r="CA10" s="408" t="n"/>
      <c r="CB10" s="322" t="n"/>
      <c r="CC10" s="408" t="n"/>
      <c r="CD10" s="307" t="n"/>
      <c r="CE10" s="408" t="n"/>
      <c r="CF10" s="322" t="n"/>
      <c r="CG10" s="408" t="n"/>
      <c r="CH10" s="307" t="n"/>
      <c r="CI10" s="408" t="n"/>
      <c r="CJ10" s="322" t="n"/>
      <c r="CK10" s="408" t="n"/>
      <c r="CL10" s="307" t="n"/>
      <c r="CM10" s="408" t="n"/>
      <c r="CN10" s="322" t="n"/>
      <c r="CO10" s="408" t="n"/>
      <c r="CP10" s="307" t="n"/>
      <c r="CQ10" s="408" t="n"/>
      <c r="CR10" s="322" t="n"/>
      <c r="CS10" s="408" t="n"/>
      <c r="CT10" s="307" t="n"/>
      <c r="CU10" s="408" t="n"/>
      <c r="CV10" s="322" t="n"/>
      <c r="CW10" s="408" t="n"/>
      <c r="CX10" s="307" t="n"/>
      <c r="CY10" s="408" t="n"/>
      <c r="CZ10" s="322" t="n"/>
      <c r="DA10" s="408" t="n"/>
      <c r="DB10" s="307" t="n"/>
      <c r="DC10" s="408" t="n"/>
      <c r="DD10" s="322" t="n"/>
      <c r="DE10" s="408" t="n"/>
      <c r="DF10" s="307" t="n"/>
      <c r="DG10" s="408" t="n"/>
      <c r="DH10" s="322" t="n"/>
      <c r="DI10" s="408" t="n"/>
      <c r="DJ10" s="307" t="n"/>
      <c r="DK10" s="408" t="n"/>
      <c r="DL10" s="322" t="n"/>
      <c r="DM10" s="408" t="n"/>
      <c r="DN10" s="307" t="n"/>
      <c r="DO10" s="408" t="n"/>
      <c r="DP10" s="340" t="n"/>
      <c r="DQ10" s="820">
        <f>SUMPRODUCT(--(MOD(COLUMN(BT10:CQ10),4)=MOD(COLUMN(BT10),4)),BT10:CQ10)+SUMPRODUCT(--(MOD(COLUMN(CR10:DO10),4)=MOD(COLUMN(CR10),4)),CR10:DO10)</f>
        <v/>
      </c>
      <c r="DR10" s="820">
        <f>SUMPRODUCT(--(MOD(COLUMN(BT10:CQ10),4)=MOD(COLUMN(BT10),4)),BT10:CQ10)*$I10+SUMPRODUCT(--(MOD(COLUMN(CR10:DO10),4)=MOD(COLUMN(CR10),4)),CR10:DO10)*$I10</f>
        <v/>
      </c>
      <c r="DS10" s="819" t="n"/>
      <c r="DT10" s="819" t="n"/>
      <c r="DU10" s="322" t="n"/>
      <c r="DV10" s="408" t="n"/>
      <c r="DW10" s="307" t="n"/>
      <c r="DX10" s="408" t="n"/>
      <c r="DY10" s="322" t="n"/>
      <c r="DZ10" s="408" t="n"/>
      <c r="EA10" s="307" t="n"/>
      <c r="EB10" s="408" t="n"/>
      <c r="EC10" s="322" t="n"/>
      <c r="ED10" s="408" t="n"/>
      <c r="EE10" s="307" t="n"/>
      <c r="EF10" s="408" t="n"/>
      <c r="EG10" s="322" t="n"/>
      <c r="EH10" s="408" t="n"/>
      <c r="EI10" s="307" t="n"/>
      <c r="EJ10" s="408" t="n"/>
      <c r="EK10" s="322" t="n"/>
      <c r="EL10" s="408" t="n"/>
      <c r="EM10" s="307" t="n"/>
      <c r="EN10" s="408" t="n"/>
      <c r="EO10" s="322" t="n"/>
      <c r="EP10" s="408" t="n"/>
      <c r="EQ10" s="307" t="n"/>
      <c r="ER10" s="408" t="n"/>
      <c r="ES10" s="322" t="n"/>
      <c r="ET10" s="408" t="n"/>
      <c r="EU10" s="307" t="n"/>
      <c r="EV10" s="408" t="n"/>
      <c r="EW10" s="322" t="n"/>
      <c r="EX10" s="408" t="n"/>
      <c r="EY10" s="307" t="n"/>
      <c r="EZ10" s="408" t="n"/>
      <c r="FA10" s="322" t="n"/>
      <c r="FB10" s="408" t="n"/>
      <c r="FC10" s="307" t="n"/>
      <c r="FD10" s="408" t="n"/>
      <c r="FE10" s="322" t="n"/>
      <c r="FF10" s="408" t="n"/>
      <c r="FG10" s="307" t="n"/>
      <c r="FH10" s="408" t="n"/>
      <c r="FI10" s="322" t="n"/>
      <c r="FJ10" s="408" t="n"/>
      <c r="FK10" s="307" t="n"/>
      <c r="FL10" s="408" t="n"/>
      <c r="FM10" s="322" t="n"/>
      <c r="FN10" s="408" t="n"/>
      <c r="FO10" s="307" t="n"/>
      <c r="FP10" s="408" t="n"/>
      <c r="FQ10" s="340" t="n"/>
      <c r="FR10" s="820">
        <f>SUMPRODUCT(--(MOD(COLUMN(DU10:ER10),4)=MOD(COLUMN(DU10),4)),DU10:ER10)+SUMPRODUCT(--(MOD(COLUMN(ES10:FP10),4)=MOD(COLUMN(ES10),4)),ES10:FP10)</f>
        <v/>
      </c>
      <c r="FS10" s="820">
        <f>SUMPRODUCT(--(MOD(COLUMN(DU10:ER10),4)=MOD(COLUMN(DU10),4)),DU10:ER10)*$I10+SUMPRODUCT(--(MOD(COLUMN(ES10:FP10),4)=MOD(COLUMN(ES10),4)),ES10:FP10)*$I10</f>
        <v/>
      </c>
      <c r="FT10" s="360" t="n"/>
    </row>
    <row r="11" outlineLevel="2" customFormat="1" s="574">
      <c r="A11" s="565" t="inlineStr">
        <is>
          <t>УЛЬТРА ГРУПП ООО</t>
        </is>
      </c>
      <c r="B11" s="565" t="inlineStr">
        <is>
          <t>Предоплата 100%</t>
        </is>
      </c>
      <c r="C11" s="541" t="inlineStr">
        <is>
          <t>ВБК РУС</t>
        </is>
      </c>
      <c r="D11" s="565" t="inlineStr">
        <is>
          <t>Прасолов, Соловьёв</t>
        </is>
      </c>
      <c r="E11" s="566">
        <f>IF(ISBLANK(G11),"",IF($A$6:$A$330=$A11,COUNTIF($A$6:A11,$A11),""))</f>
        <v/>
      </c>
      <c r="F11" s="567" t="inlineStr">
        <is>
          <t>S</t>
        </is>
      </c>
      <c r="G11" s="124" t="n">
        <v>4441000440</v>
      </c>
      <c r="H11" s="604" t="inlineStr">
        <is>
          <t>Комплект базовый "TEBS 2S/2M (18 м W)"</t>
        </is>
      </c>
      <c r="I11" s="618">
        <f>9119/НДС</f>
        <v/>
      </c>
      <c r="J11" s="618" t="n"/>
      <c r="K11" s="874" t="n"/>
      <c r="L11" s="618">
        <f>IF(K11="RUB",J11/ЮАНЬ,IF(K11="EUR",J11*ЕВРО/ЮАНЬ,""))</f>
        <v/>
      </c>
      <c r="M11" s="875" t="n"/>
      <c r="N11" s="813">
        <f>IF(BP11&gt;0,1,IF(BN11&gt;0,2,))</f>
        <v/>
      </c>
      <c r="O11" s="569" t="n">
        <v>2</v>
      </c>
      <c r="P11" s="570" t="n"/>
      <c r="Q11" s="571" t="n">
        <v>0</v>
      </c>
      <c r="R11" s="570" t="n"/>
      <c r="S11" s="569" t="n">
        <v>2</v>
      </c>
      <c r="T11" s="570" t="n"/>
      <c r="U11" s="307" t="n">
        <v>0</v>
      </c>
      <c r="V11" s="570" t="n"/>
      <c r="W11" s="569" t="n">
        <v>2</v>
      </c>
      <c r="X11" s="570">
        <f>2</f>
        <v/>
      </c>
      <c r="Y11" s="571" t="n">
        <v>2</v>
      </c>
      <c r="Z11" s="570" t="n"/>
      <c r="AA11" s="569" t="n">
        <v>3</v>
      </c>
      <c r="AB11" s="570">
        <f>2</f>
        <v/>
      </c>
      <c r="AC11" s="571" t="n">
        <v>2</v>
      </c>
      <c r="AD11" s="570" t="n"/>
      <c r="AE11" s="569" t="n">
        <v>3</v>
      </c>
      <c r="AF11" s="570" t="n"/>
      <c r="AG11" s="307" t="n">
        <v>0</v>
      </c>
      <c r="AH11" s="570" t="n"/>
      <c r="AI11" s="569" t="n">
        <v>3</v>
      </c>
      <c r="AJ11" s="570" t="n">
        <v>4</v>
      </c>
      <c r="AK11" s="571" t="n">
        <v>0</v>
      </c>
      <c r="AL11" s="570" t="n"/>
      <c r="AM11" s="569" t="n">
        <v>3</v>
      </c>
      <c r="AN11" s="570" t="n">
        <v>2</v>
      </c>
      <c r="AO11" s="571" t="n">
        <v>0</v>
      </c>
      <c r="AP11" s="570" t="n"/>
      <c r="AQ11" s="569" t="n">
        <v>3</v>
      </c>
      <c r="AR11" s="570" t="n">
        <v>3</v>
      </c>
      <c r="AS11" s="571" t="n">
        <v>0</v>
      </c>
      <c r="AT11" s="570" t="n"/>
      <c r="AU11" s="569" t="n">
        <v>3</v>
      </c>
      <c r="AV11" s="570" t="n">
        <v>3</v>
      </c>
      <c r="AW11" s="571" t="n">
        <v>0</v>
      </c>
      <c r="AX11" s="570" t="n"/>
      <c r="AY11" s="569" t="n">
        <v>3</v>
      </c>
      <c r="AZ11" s="570" t="n">
        <v>3</v>
      </c>
      <c r="BA11" s="571" t="n">
        <v>0</v>
      </c>
      <c r="BB11" s="570" t="n"/>
      <c r="BC11" s="569" t="n">
        <v>3</v>
      </c>
      <c r="BD11" s="570" t="n">
        <v>3</v>
      </c>
      <c r="BE11" s="571" t="n">
        <v>0</v>
      </c>
      <c r="BF11" s="570" t="n"/>
      <c r="BG11" s="569" t="n">
        <v>3</v>
      </c>
      <c r="BH11" s="570" t="n">
        <v>3</v>
      </c>
      <c r="BI11" s="571" t="n">
        <v>0</v>
      </c>
      <c r="BJ11" s="570" t="n"/>
      <c r="BK11" s="572" t="n"/>
      <c r="BL11" s="803">
        <f>SUMPRODUCT(--(MOD(COLUMN($O11:$AL11),4)=MOD(COLUMN($O11)+0,4)),$O11:$AL11)
+SUMPRODUCT(--(MOD(COLUMN($AM11:$BJ11),4)=MOD(COLUMN($AM11)+0,4)),$AM11:$BJ11)</f>
        <v/>
      </c>
      <c r="BM11" s="803">
        <f>SUMPRODUCT(--(MOD(COLUMN($O11:$AL11),4)=MOD(COLUMN($O11)+0,4)),$O11:$AL11)*
$I11+SUMPRODUCT(--(MOD(COLUMN($AM11:$BJ11),4)=MOD(COLUMN($AM11)+0,4)),$AM11:$BJ11)*$I11</f>
        <v/>
      </c>
      <c r="BN11" s="805">
        <f>SUMPRODUCT(--(MOD(COLUMN($O11:$AL11),4)=MOD(COLUMN($O11)+1,4)),$O11:$AL11)
+SUMPRODUCT(--(MOD(COLUMN($AM11:$BJ11),4)=MOD(COLUMN($AM11)+1,4)),$AM11:$BJ11)</f>
        <v/>
      </c>
      <c r="BO11" s="806">
        <f>SUMPRODUCT(--(MOD(COLUMN($O11:$AL11),4)=MOD(COLUMN($O11)+1,4)),$O11:$AL11)*
$I11+SUMPRODUCT(--(MOD(COLUMN($AM11:$BJ11),4)=MOD(COLUMN($AM11)+1,4)),$AM11:$BJ11)*$I11</f>
        <v/>
      </c>
      <c r="BP11" s="807">
        <f>SUMPRODUCT(--(MOD(COLUMN($O11:$AL11),4)=MOD(COLUMN($O11)+2,4)),$O11:$AL11)
+SUMPRODUCT(--(MOD(COLUMN($AM11:$BJ11),4)=MOD(COLUMN($AM11)+2,4)),$AM11:$BJ11)</f>
        <v/>
      </c>
      <c r="BQ11" s="808">
        <f>SUMPRODUCT(--(MOD(COLUMN($O11:$AL11),4)=MOD(COLUMN($O11)+2,4)),$O11:$AL11)*
$I11+SUMPRODUCT(--(MOD(COLUMN($AM11:$BJ11),4)=MOD(COLUMN($AM11)+2,4)),$AM11:$BJ11)*$I11</f>
        <v/>
      </c>
      <c r="BR11" s="801" t="n"/>
      <c r="BS11" s="819" t="n"/>
      <c r="BT11" s="569" t="n"/>
      <c r="BU11" s="570" t="n"/>
      <c r="BV11" s="571" t="n"/>
      <c r="BW11" s="570" t="n"/>
      <c r="BX11" s="569" t="n"/>
      <c r="BY11" s="570" t="n"/>
      <c r="BZ11" s="571" t="n"/>
      <c r="CA11" s="570" t="n"/>
      <c r="CB11" s="569" t="n"/>
      <c r="CC11" s="570" t="n"/>
      <c r="CD11" s="571" t="n"/>
      <c r="CE11" s="570" t="n"/>
      <c r="CF11" s="569" t="n"/>
      <c r="CG11" s="570" t="n"/>
      <c r="CH11" s="571" t="n"/>
      <c r="CI11" s="570" t="n"/>
      <c r="CJ11" s="569" t="n"/>
      <c r="CK11" s="570" t="n"/>
      <c r="CL11" s="571" t="n"/>
      <c r="CM11" s="570" t="n"/>
      <c r="CN11" s="569" t="n"/>
      <c r="CO11" s="570" t="n"/>
      <c r="CP11" s="571" t="n"/>
      <c r="CQ11" s="570" t="n"/>
      <c r="CR11" s="569" t="n"/>
      <c r="CS11" s="570" t="n"/>
      <c r="CT11" s="571" t="n"/>
      <c r="CU11" s="570" t="n"/>
      <c r="CV11" s="569" t="n"/>
      <c r="CW11" s="570" t="n"/>
      <c r="CX11" s="571" t="n"/>
      <c r="CY11" s="570" t="n"/>
      <c r="CZ11" s="569" t="n"/>
      <c r="DA11" s="570" t="n"/>
      <c r="DB11" s="571" t="n"/>
      <c r="DC11" s="570" t="n"/>
      <c r="DD11" s="569" t="n"/>
      <c r="DE11" s="570" t="n"/>
      <c r="DF11" s="571" t="n"/>
      <c r="DG11" s="570" t="n"/>
      <c r="DH11" s="569" t="n"/>
      <c r="DI11" s="570" t="n"/>
      <c r="DJ11" s="571" t="n"/>
      <c r="DK11" s="570" t="n"/>
      <c r="DL11" s="569" t="n"/>
      <c r="DM11" s="570" t="n"/>
      <c r="DN11" s="571" t="n"/>
      <c r="DO11" s="570" t="n"/>
      <c r="DP11" s="572" t="n"/>
      <c r="DQ11" s="803">
        <f>SUMPRODUCT(--(MOD(COLUMN(BT11:CQ11),4)=MOD(COLUMN(BT11),4)),BT11:CQ11)+SUMPRODUCT(--(MOD(COLUMN(CR11:DO11),4)=MOD(COLUMN(CR11),4)),CR11:DO11)</f>
        <v/>
      </c>
      <c r="DR11" s="803">
        <f>SUMPRODUCT(--(MOD(COLUMN(BT11:CQ11),4)=MOD(COLUMN(BT11),4)),BT11:CQ11)*$I11+SUMPRODUCT(--(MOD(COLUMN(CR11:DO11),4)=MOD(COLUMN(CR11),4)),CR11:DO11)*$I11</f>
        <v/>
      </c>
      <c r="DS11" s="801" t="n"/>
      <c r="DT11" s="819" t="n"/>
      <c r="DU11" s="569" t="n"/>
      <c r="DV11" s="570" t="n"/>
      <c r="DW11" s="571" t="n"/>
      <c r="DX11" s="570" t="n"/>
      <c r="DY11" s="569" t="n"/>
      <c r="DZ11" s="570" t="n"/>
      <c r="EA11" s="571" t="n"/>
      <c r="EB11" s="570" t="n"/>
      <c r="EC11" s="569" t="n"/>
      <c r="ED11" s="570" t="n"/>
      <c r="EE11" s="571" t="n"/>
      <c r="EF11" s="570" t="n"/>
      <c r="EG11" s="569" t="n"/>
      <c r="EH11" s="570" t="n"/>
      <c r="EI11" s="571" t="n"/>
      <c r="EJ11" s="570" t="n"/>
      <c r="EK11" s="569" t="n"/>
      <c r="EL11" s="570" t="n"/>
      <c r="EM11" s="571" t="n"/>
      <c r="EN11" s="570" t="n"/>
      <c r="EO11" s="569" t="n"/>
      <c r="EP11" s="570" t="n"/>
      <c r="EQ11" s="571" t="n"/>
      <c r="ER11" s="570" t="n"/>
      <c r="ES11" s="569" t="n"/>
      <c r="ET11" s="570" t="n"/>
      <c r="EU11" s="571" t="n"/>
      <c r="EV11" s="570" t="n"/>
      <c r="EW11" s="569" t="n"/>
      <c r="EX11" s="570" t="n"/>
      <c r="EY11" s="571" t="n"/>
      <c r="EZ11" s="570" t="n"/>
      <c r="FA11" s="569" t="n"/>
      <c r="FB11" s="570" t="n"/>
      <c r="FC11" s="571" t="n"/>
      <c r="FD11" s="570" t="n"/>
      <c r="FE11" s="569" t="n"/>
      <c r="FF11" s="570" t="n"/>
      <c r="FG11" s="571" t="n"/>
      <c r="FH11" s="570" t="n"/>
      <c r="FI11" s="569" t="n"/>
      <c r="FJ11" s="570" t="n"/>
      <c r="FK11" s="571" t="n"/>
      <c r="FL11" s="570" t="n"/>
      <c r="FM11" s="569" t="n"/>
      <c r="FN11" s="570" t="n"/>
      <c r="FO11" s="571" t="n"/>
      <c r="FP11" s="570" t="n"/>
      <c r="FQ11" s="572" t="n"/>
      <c r="FR11" s="803">
        <f>SUMPRODUCT(--(MOD(COLUMN(DU11:ER11),4)=MOD(COLUMN(DU11),4)),DU11:ER11)+SUMPRODUCT(--(MOD(COLUMN(ES11:FP11),4)=MOD(COLUMN(ES11),4)),ES11:FP11)</f>
        <v/>
      </c>
      <c r="FS11" s="803">
        <f>SUMPRODUCT(--(MOD(COLUMN(DU11:ER11),4)=MOD(COLUMN(DU11),4)),DU11:ER11)*$I11+SUMPRODUCT(--(MOD(COLUMN(ES11:FP11),4)=MOD(COLUMN(ES11),4)),ES11:FP11)*$I11</f>
        <v/>
      </c>
      <c r="FT11" s="573" t="n"/>
    </row>
    <row r="12" outlineLevel="2" customFormat="1" s="574">
      <c r="A12" s="575" t="inlineStr">
        <is>
          <t>УЛЬТРА ГРУПП ООО</t>
        </is>
      </c>
      <c r="B12" s="575" t="inlineStr">
        <is>
          <t>Предоплата 100%</t>
        </is>
      </c>
      <c r="C12" s="432" t="inlineStr">
        <is>
          <t>ВБК РУС</t>
        </is>
      </c>
      <c r="D12" s="575" t="inlineStr">
        <is>
          <t>Прасолов, Соловьёв</t>
        </is>
      </c>
      <c r="E12" s="576">
        <f>IF(ISBLANK(G12),"",IF($A$6:$A$330=$A12,COUNTIF($A$6:A12,$A12),""))</f>
        <v/>
      </c>
      <c r="F12" s="577" t="inlineStr">
        <is>
          <t>S</t>
        </is>
      </c>
      <c r="G12" s="319" t="n">
        <v>4441000260</v>
      </c>
      <c r="H12" s="603" t="inlineStr">
        <is>
          <t>Комплект базовый "TEBS 2S/2M (12 м)"</t>
        </is>
      </c>
      <c r="I12" s="618">
        <f>8355/НДС</f>
        <v/>
      </c>
      <c r="J12" s="619" t="n"/>
      <c r="K12" s="876" t="n"/>
      <c r="L12" s="619">
        <f>IF(K12="RUB",J12/ЮАНЬ,IF(K12="EUR",J12*ЕВРО/ЮАНЬ,""))</f>
        <v/>
      </c>
      <c r="M12" s="813" t="n"/>
      <c r="N12" s="813">
        <f>IF(BP12&gt;0,1,IF(BN12&gt;0,2,))</f>
        <v/>
      </c>
      <c r="O12" s="578" t="n"/>
      <c r="P12" s="498" t="n"/>
      <c r="Q12" s="579" t="n"/>
      <c r="R12" s="498" t="n"/>
      <c r="S12" s="578" t="n"/>
      <c r="T12" s="498" t="n"/>
      <c r="U12" s="307" t="n"/>
      <c r="V12" s="498" t="n"/>
      <c r="W12" s="578" t="n"/>
      <c r="X12" s="498" t="n"/>
      <c r="Y12" s="579" t="n"/>
      <c r="Z12" s="498" t="n"/>
      <c r="AA12" s="578" t="n"/>
      <c r="AB12" s="498" t="n"/>
      <c r="AC12" s="579" t="n"/>
      <c r="AD12" s="498" t="n"/>
      <c r="AE12" s="578" t="n"/>
      <c r="AF12" s="498" t="n"/>
      <c r="AG12" s="307" t="n">
        <v>0</v>
      </c>
      <c r="AH12" s="498" t="n"/>
      <c r="AI12" s="578" t="n"/>
      <c r="AJ12" s="498" t="n"/>
      <c r="AK12" s="579" t="n"/>
      <c r="AL12" s="498" t="n"/>
      <c r="AM12" s="578" t="n"/>
      <c r="AN12" s="498" t="n"/>
      <c r="AO12" s="579" t="n"/>
      <c r="AP12" s="498" t="n"/>
      <c r="AQ12" s="578" t="n"/>
      <c r="AR12" s="498" t="n"/>
      <c r="AS12" s="579" t="n"/>
      <c r="AT12" s="498" t="n"/>
      <c r="AU12" s="578" t="n"/>
      <c r="AV12" s="498" t="n"/>
      <c r="AW12" s="579" t="n"/>
      <c r="AX12" s="498" t="n"/>
      <c r="AY12" s="578" t="n"/>
      <c r="AZ12" s="498" t="n"/>
      <c r="BA12" s="579" t="n"/>
      <c r="BB12" s="498" t="n"/>
      <c r="BC12" s="578" t="n"/>
      <c r="BD12" s="498" t="n"/>
      <c r="BE12" s="579" t="n"/>
      <c r="BF12" s="498" t="n"/>
      <c r="BG12" s="578" t="n"/>
      <c r="BH12" s="498" t="n"/>
      <c r="BI12" s="579" t="n"/>
      <c r="BJ12" s="498" t="n"/>
      <c r="BK12" s="572" t="n"/>
      <c r="BL12" s="820">
        <f>SUMPRODUCT(--(MOD(COLUMN($O12:$AL12),4)=MOD(COLUMN($O12)+0,4)),$O12:$AL12)
+SUMPRODUCT(--(MOD(COLUMN($AM12:$BJ12),4)=MOD(COLUMN($AM12)+0,4)),$AM12:$BJ12)</f>
        <v/>
      </c>
      <c r="BM12" s="820">
        <f>SUMPRODUCT(--(MOD(COLUMN($O12:$AL12),4)=MOD(COLUMN($O12)+0,4)),$O12:$AL12)*
$I12+SUMPRODUCT(--(MOD(COLUMN($AM12:$BJ12),4)=MOD(COLUMN($AM12)+0,4)),$AM12:$BJ12)*$I12</f>
        <v/>
      </c>
      <c r="BN12" s="822">
        <f>SUMPRODUCT(--(MOD(COLUMN($O12:$AL12),4)=MOD(COLUMN($O12)+1,4)),$O12:$AL12)
+SUMPRODUCT(--(MOD(COLUMN($AM12:$BJ12),4)=MOD(COLUMN($AM12)+1,4)),$AM12:$BJ12)</f>
        <v/>
      </c>
      <c r="BO12" s="823">
        <f>SUMPRODUCT(--(MOD(COLUMN($O12:$AL12),4)=MOD(COLUMN($O12)+1,4)),$O12:$AL12)*
$I12+SUMPRODUCT(--(MOD(COLUMN($AM12:$BJ12),4)=MOD(COLUMN($AM12)+1,4)),$AM12:$BJ12)*$I12</f>
        <v/>
      </c>
      <c r="BP12" s="824">
        <f>SUMPRODUCT(--(MOD(COLUMN($O12:$AL12),4)=MOD(COLUMN($O12)+2,4)),$O12:$AL12)
+SUMPRODUCT(--(MOD(COLUMN($AM12:$BJ12),4)=MOD(COLUMN($AM12)+2,4)),$AM12:$BJ12)</f>
        <v/>
      </c>
      <c r="BQ12" s="825">
        <f>SUMPRODUCT(--(MOD(COLUMN($O12:$AL12),4)=MOD(COLUMN($O12)+2,4)),$O12:$AL12)*
$I12+SUMPRODUCT(--(MOD(COLUMN($AM12:$BJ12),4)=MOD(COLUMN($AM12)+2,4)),$AM12:$BJ12)*$I12</f>
        <v/>
      </c>
      <c r="BR12" s="819" t="n"/>
      <c r="BS12" s="819" t="n"/>
      <c r="BT12" s="578" t="n"/>
      <c r="BU12" s="498" t="n"/>
      <c r="BV12" s="579" t="n"/>
      <c r="BW12" s="498" t="n"/>
      <c r="BX12" s="578" t="n"/>
      <c r="BY12" s="498" t="n"/>
      <c r="BZ12" s="579" t="n"/>
      <c r="CA12" s="498" t="n"/>
      <c r="CB12" s="578" t="n"/>
      <c r="CC12" s="498" t="n"/>
      <c r="CD12" s="579" t="n"/>
      <c r="CE12" s="498" t="n"/>
      <c r="CF12" s="578" t="n"/>
      <c r="CG12" s="498" t="n"/>
      <c r="CH12" s="579" t="n"/>
      <c r="CI12" s="498" t="n"/>
      <c r="CJ12" s="578" t="n"/>
      <c r="CK12" s="498" t="n"/>
      <c r="CL12" s="579" t="n"/>
      <c r="CM12" s="498" t="n"/>
      <c r="CN12" s="578" t="n"/>
      <c r="CO12" s="498" t="n"/>
      <c r="CP12" s="579" t="n"/>
      <c r="CQ12" s="498" t="n"/>
      <c r="CR12" s="578" t="n"/>
      <c r="CS12" s="498" t="n"/>
      <c r="CT12" s="579" t="n"/>
      <c r="CU12" s="498" t="n"/>
      <c r="CV12" s="578" t="n"/>
      <c r="CW12" s="498" t="n"/>
      <c r="CX12" s="579" t="n"/>
      <c r="CY12" s="498" t="n"/>
      <c r="CZ12" s="578" t="n"/>
      <c r="DA12" s="498" t="n"/>
      <c r="DB12" s="579" t="n"/>
      <c r="DC12" s="498" t="n"/>
      <c r="DD12" s="578" t="n"/>
      <c r="DE12" s="498" t="n"/>
      <c r="DF12" s="579" t="n"/>
      <c r="DG12" s="498" t="n"/>
      <c r="DH12" s="578" t="n"/>
      <c r="DI12" s="498" t="n"/>
      <c r="DJ12" s="579" t="n"/>
      <c r="DK12" s="498" t="n"/>
      <c r="DL12" s="578" t="n"/>
      <c r="DM12" s="498" t="n"/>
      <c r="DN12" s="579" t="n"/>
      <c r="DO12" s="498" t="n"/>
      <c r="DP12" s="572" t="n"/>
      <c r="DQ12" s="820">
        <f>SUMPRODUCT(--(MOD(COLUMN(BT12:CQ12),4)=MOD(COLUMN(BT12),4)),BT12:CQ12)+SUMPRODUCT(--(MOD(COLUMN(CR12:DO12),4)=MOD(COLUMN(CR12),4)),CR12:DO12)</f>
        <v/>
      </c>
      <c r="DR12" s="820">
        <f>SUMPRODUCT(--(MOD(COLUMN(BT12:CQ12),4)=MOD(COLUMN(BT12),4)),BT12:CQ12)*$I12+SUMPRODUCT(--(MOD(COLUMN(CR12:DO12),4)=MOD(COLUMN(CR12),4)),CR12:DO12)*$I12</f>
        <v/>
      </c>
      <c r="DS12" s="819" t="n"/>
      <c r="DT12" s="819" t="n"/>
      <c r="DU12" s="578" t="n"/>
      <c r="DV12" s="498" t="n"/>
      <c r="DW12" s="579" t="n"/>
      <c r="DX12" s="498" t="n"/>
      <c r="DY12" s="578" t="n"/>
      <c r="DZ12" s="498" t="n"/>
      <c r="EA12" s="579" t="n"/>
      <c r="EB12" s="498" t="n"/>
      <c r="EC12" s="578" t="n"/>
      <c r="ED12" s="498" t="n"/>
      <c r="EE12" s="579" t="n"/>
      <c r="EF12" s="498" t="n"/>
      <c r="EG12" s="578" t="n"/>
      <c r="EH12" s="498" t="n"/>
      <c r="EI12" s="579" t="n"/>
      <c r="EJ12" s="498" t="n"/>
      <c r="EK12" s="578" t="n"/>
      <c r="EL12" s="498" t="n"/>
      <c r="EM12" s="579" t="n"/>
      <c r="EN12" s="498" t="n"/>
      <c r="EO12" s="578" t="n"/>
      <c r="EP12" s="498" t="n"/>
      <c r="EQ12" s="579" t="n"/>
      <c r="ER12" s="498" t="n"/>
      <c r="ES12" s="578" t="n"/>
      <c r="ET12" s="498" t="n"/>
      <c r="EU12" s="579" t="n"/>
      <c r="EV12" s="498" t="n"/>
      <c r="EW12" s="578" t="n"/>
      <c r="EX12" s="498" t="n"/>
      <c r="EY12" s="579" t="n"/>
      <c r="EZ12" s="498" t="n"/>
      <c r="FA12" s="578" t="n"/>
      <c r="FB12" s="498" t="n"/>
      <c r="FC12" s="579" t="n"/>
      <c r="FD12" s="498" t="n"/>
      <c r="FE12" s="578" t="n"/>
      <c r="FF12" s="498" t="n"/>
      <c r="FG12" s="579" t="n"/>
      <c r="FH12" s="498" t="n"/>
      <c r="FI12" s="578" t="n"/>
      <c r="FJ12" s="498" t="n"/>
      <c r="FK12" s="579" t="n"/>
      <c r="FL12" s="498" t="n"/>
      <c r="FM12" s="578" t="n"/>
      <c r="FN12" s="498" t="n"/>
      <c r="FO12" s="579" t="n"/>
      <c r="FP12" s="498" t="n"/>
      <c r="FQ12" s="572" t="n"/>
      <c r="FR12" s="820">
        <f>SUMPRODUCT(--(MOD(COLUMN(DU12:ER12),4)=MOD(COLUMN(DU12),4)),DU12:ER12)+SUMPRODUCT(--(MOD(COLUMN(ES12:FP12),4)=MOD(COLUMN(ES12),4)),ES12:FP12)</f>
        <v/>
      </c>
      <c r="FS12" s="820">
        <f>SUMPRODUCT(--(MOD(COLUMN(DU12:ER12),4)=MOD(COLUMN(DU12),4)),DU12:ER12)*$I12+SUMPRODUCT(--(MOD(COLUMN(ES12:FP12),4)=MOD(COLUMN(ES12),4)),ES12:FP12)*$I12</f>
        <v/>
      </c>
      <c r="FT12" s="573" t="n"/>
    </row>
    <row r="13" outlineLevel="2" customFormat="1" s="574">
      <c r="A13" s="575" t="inlineStr">
        <is>
          <t>УЛЬТРА ГРУПП ООО</t>
        </is>
      </c>
      <c r="B13" s="575" t="inlineStr">
        <is>
          <t>Предоплата 100%</t>
        </is>
      </c>
      <c r="C13" s="432" t="inlineStr">
        <is>
          <t>ВБК РУС</t>
        </is>
      </c>
      <c r="D13" s="575" t="inlineStr">
        <is>
          <t>Прасолов, Соловьёв</t>
        </is>
      </c>
      <c r="E13" s="576">
        <f>IF(ISBLANK(G13),"",IF($A$6:$A$330=$A13,COUNTIF($A$6:A13,$A13),""))</f>
        <v/>
      </c>
      <c r="F13" s="577" t="inlineStr">
        <is>
          <t>S</t>
        </is>
      </c>
      <c r="G13" s="319" t="n">
        <v>4441000210</v>
      </c>
      <c r="H13" s="603" t="inlineStr">
        <is>
          <t>Комплект клапана подъёма оси LACV (6 м)</t>
        </is>
      </c>
      <c r="I13" s="618">
        <f>847.9/НДС</f>
        <v/>
      </c>
      <c r="J13" s="619" t="n"/>
      <c r="K13" s="876" t="n"/>
      <c r="L13" s="619">
        <f>IF(K13="RUB",J13/ЮАНЬ,IF(K13="EUR",J13*ЕВРО/ЮАНЬ,""))</f>
        <v/>
      </c>
      <c r="M13" s="813" t="n"/>
      <c r="N13" s="813">
        <f>IF(BP13&gt;0,1,IF(BN13&gt;0,2,))</f>
        <v/>
      </c>
      <c r="O13" s="578" t="n"/>
      <c r="P13" s="498" t="n"/>
      <c r="Q13" s="579" t="n"/>
      <c r="R13" s="498" t="n"/>
      <c r="S13" s="578" t="n"/>
      <c r="T13" s="498" t="n"/>
      <c r="U13" s="307" t="n"/>
      <c r="V13" s="498" t="n"/>
      <c r="W13" s="578" t="n"/>
      <c r="X13" s="498" t="n"/>
      <c r="Y13" s="579" t="n"/>
      <c r="Z13" s="498" t="n"/>
      <c r="AA13" s="578" t="n"/>
      <c r="AB13" s="498" t="n"/>
      <c r="AC13" s="579" t="n"/>
      <c r="AD13" s="498" t="n"/>
      <c r="AE13" s="578" t="n"/>
      <c r="AF13" s="498" t="n"/>
      <c r="AG13" s="307" t="n">
        <v>0</v>
      </c>
      <c r="AH13" s="498" t="n"/>
      <c r="AI13" s="578" t="n"/>
      <c r="AJ13" s="498" t="n"/>
      <c r="AK13" s="579" t="n"/>
      <c r="AL13" s="498" t="n"/>
      <c r="AM13" s="578" t="n"/>
      <c r="AN13" s="498" t="n"/>
      <c r="AO13" s="579" t="n"/>
      <c r="AP13" s="498" t="n"/>
      <c r="AQ13" s="578" t="n"/>
      <c r="AR13" s="498" t="n"/>
      <c r="AS13" s="579" t="n"/>
      <c r="AT13" s="498" t="n"/>
      <c r="AU13" s="578" t="n"/>
      <c r="AV13" s="498" t="n"/>
      <c r="AW13" s="579" t="n"/>
      <c r="AX13" s="498" t="n"/>
      <c r="AY13" s="578" t="n"/>
      <c r="AZ13" s="498" t="n"/>
      <c r="BA13" s="579" t="n"/>
      <c r="BB13" s="498" t="n"/>
      <c r="BC13" s="578" t="n"/>
      <c r="BD13" s="498" t="n"/>
      <c r="BE13" s="579" t="n"/>
      <c r="BF13" s="498" t="n"/>
      <c r="BG13" s="578" t="n"/>
      <c r="BH13" s="498" t="n"/>
      <c r="BI13" s="579" t="n"/>
      <c r="BJ13" s="498" t="n"/>
      <c r="BK13" s="572" t="n"/>
      <c r="BL13" s="820">
        <f>SUMPRODUCT(--(MOD(COLUMN($O13:$AL13),4)=MOD(COLUMN($O13)+0,4)),$O13:$AL13)
+SUMPRODUCT(--(MOD(COLUMN($AM13:$BJ13),4)=MOD(COLUMN($AM13)+0,4)),$AM13:$BJ13)</f>
        <v/>
      </c>
      <c r="BM13" s="820">
        <f>SUMPRODUCT(--(MOD(COLUMN($O13:$AL13),4)=MOD(COLUMN($O13)+0,4)),$O13:$AL13)*
$I13+SUMPRODUCT(--(MOD(COLUMN($AM13:$BJ13),4)=MOD(COLUMN($AM13)+0,4)),$AM13:$BJ13)*$I13</f>
        <v/>
      </c>
      <c r="BN13" s="822">
        <f>SUMPRODUCT(--(MOD(COLUMN($O13:$AL13),4)=MOD(COLUMN($O13)+1,4)),$O13:$AL13)
+SUMPRODUCT(--(MOD(COLUMN($AM13:$BJ13),4)=MOD(COLUMN($AM13)+1,4)),$AM13:$BJ13)</f>
        <v/>
      </c>
      <c r="BO13" s="823">
        <f>SUMPRODUCT(--(MOD(COLUMN($O13:$AL13),4)=MOD(COLUMN($O13)+1,4)),$O13:$AL13)*
$I13+SUMPRODUCT(--(MOD(COLUMN($AM13:$BJ13),4)=MOD(COLUMN($AM13)+1,4)),$AM13:$BJ13)*$I13</f>
        <v/>
      </c>
      <c r="BP13" s="824">
        <f>SUMPRODUCT(--(MOD(COLUMN($O13:$AL13),4)=MOD(COLUMN($O13)+2,4)),$O13:$AL13)
+SUMPRODUCT(--(MOD(COLUMN($AM13:$BJ13),4)=MOD(COLUMN($AM13)+2,4)),$AM13:$BJ13)</f>
        <v/>
      </c>
      <c r="BQ13" s="825">
        <f>SUMPRODUCT(--(MOD(COLUMN($O13:$AL13),4)=MOD(COLUMN($O13)+2,4)),$O13:$AL13)*
$I13+SUMPRODUCT(--(MOD(COLUMN($AM13:$BJ13),4)=MOD(COLUMN($AM13)+2,4)),$AM13:$BJ13)*$I13</f>
        <v/>
      </c>
      <c r="BR13" s="819" t="n"/>
      <c r="BS13" s="819" t="n"/>
      <c r="BT13" s="578" t="n"/>
      <c r="BU13" s="498" t="n"/>
      <c r="BV13" s="579" t="n"/>
      <c r="BW13" s="498" t="n"/>
      <c r="BX13" s="578" t="n"/>
      <c r="BY13" s="498" t="n"/>
      <c r="BZ13" s="579" t="n"/>
      <c r="CA13" s="498" t="n"/>
      <c r="CB13" s="578" t="n"/>
      <c r="CC13" s="498" t="n"/>
      <c r="CD13" s="579" t="n"/>
      <c r="CE13" s="498" t="n"/>
      <c r="CF13" s="578" t="n"/>
      <c r="CG13" s="498" t="n"/>
      <c r="CH13" s="579" t="n"/>
      <c r="CI13" s="498" t="n"/>
      <c r="CJ13" s="578" t="n"/>
      <c r="CK13" s="498" t="n"/>
      <c r="CL13" s="579" t="n"/>
      <c r="CM13" s="498" t="n"/>
      <c r="CN13" s="578" t="n"/>
      <c r="CO13" s="498" t="n"/>
      <c r="CP13" s="579" t="n"/>
      <c r="CQ13" s="498" t="n"/>
      <c r="CR13" s="578" t="n"/>
      <c r="CS13" s="498" t="n"/>
      <c r="CT13" s="579" t="n"/>
      <c r="CU13" s="498" t="n"/>
      <c r="CV13" s="578" t="n"/>
      <c r="CW13" s="498" t="n"/>
      <c r="CX13" s="579" t="n"/>
      <c r="CY13" s="498" t="n"/>
      <c r="CZ13" s="578" t="n"/>
      <c r="DA13" s="498" t="n"/>
      <c r="DB13" s="579" t="n"/>
      <c r="DC13" s="498" t="n"/>
      <c r="DD13" s="578" t="n"/>
      <c r="DE13" s="498" t="n"/>
      <c r="DF13" s="579" t="n"/>
      <c r="DG13" s="498" t="n"/>
      <c r="DH13" s="578" t="n"/>
      <c r="DI13" s="498" t="n"/>
      <c r="DJ13" s="579" t="n"/>
      <c r="DK13" s="498" t="n"/>
      <c r="DL13" s="578" t="n"/>
      <c r="DM13" s="498" t="n"/>
      <c r="DN13" s="579" t="n"/>
      <c r="DO13" s="498" t="n"/>
      <c r="DP13" s="572" t="n"/>
      <c r="DQ13" s="820">
        <f>SUMPRODUCT(--(MOD(COLUMN(BT13:CQ13),4)=MOD(COLUMN(BT13),4)),BT13:CQ13)+SUMPRODUCT(--(MOD(COLUMN(CR13:DO13),4)=MOD(COLUMN(CR13),4)),CR13:DO13)</f>
        <v/>
      </c>
      <c r="DR13" s="820">
        <f>SUMPRODUCT(--(MOD(COLUMN(BT13:CQ13),4)=MOD(COLUMN(BT13),4)),BT13:CQ13)*$I13+SUMPRODUCT(--(MOD(COLUMN(CR13:DO13),4)=MOD(COLUMN(CR13),4)),CR13:DO13)*$I13</f>
        <v/>
      </c>
      <c r="DS13" s="819" t="n"/>
      <c r="DT13" s="819" t="n"/>
      <c r="DU13" s="578" t="n"/>
      <c r="DV13" s="498" t="n"/>
      <c r="DW13" s="579" t="n"/>
      <c r="DX13" s="498" t="n"/>
      <c r="DY13" s="578" t="n"/>
      <c r="DZ13" s="498" t="n"/>
      <c r="EA13" s="579" t="n"/>
      <c r="EB13" s="498" t="n"/>
      <c r="EC13" s="578" t="n"/>
      <c r="ED13" s="498" t="n"/>
      <c r="EE13" s="579" t="n"/>
      <c r="EF13" s="498" t="n"/>
      <c r="EG13" s="578" t="n"/>
      <c r="EH13" s="498" t="n"/>
      <c r="EI13" s="579" t="n"/>
      <c r="EJ13" s="498" t="n"/>
      <c r="EK13" s="578" t="n"/>
      <c r="EL13" s="498" t="n"/>
      <c r="EM13" s="579" t="n"/>
      <c r="EN13" s="498" t="n"/>
      <c r="EO13" s="578" t="n"/>
      <c r="EP13" s="498" t="n"/>
      <c r="EQ13" s="579" t="n"/>
      <c r="ER13" s="498" t="n"/>
      <c r="ES13" s="578" t="n"/>
      <c r="ET13" s="498" t="n"/>
      <c r="EU13" s="579" t="n"/>
      <c r="EV13" s="498" t="n"/>
      <c r="EW13" s="578" t="n"/>
      <c r="EX13" s="498" t="n"/>
      <c r="EY13" s="579" t="n"/>
      <c r="EZ13" s="498" t="n"/>
      <c r="FA13" s="578" t="n"/>
      <c r="FB13" s="498" t="n"/>
      <c r="FC13" s="579" t="n"/>
      <c r="FD13" s="498" t="n"/>
      <c r="FE13" s="578" t="n"/>
      <c r="FF13" s="498" t="n"/>
      <c r="FG13" s="579" t="n"/>
      <c r="FH13" s="498" t="n"/>
      <c r="FI13" s="578" t="n"/>
      <c r="FJ13" s="498" t="n"/>
      <c r="FK13" s="579" t="n"/>
      <c r="FL13" s="498" t="n"/>
      <c r="FM13" s="578" t="n"/>
      <c r="FN13" s="498" t="n"/>
      <c r="FO13" s="579" t="n"/>
      <c r="FP13" s="498" t="n"/>
      <c r="FQ13" s="572" t="n"/>
      <c r="FR13" s="820">
        <f>SUMPRODUCT(--(MOD(COLUMN(DU13:ER13),4)=MOD(COLUMN(DU13),4)),DU13:ER13)+SUMPRODUCT(--(MOD(COLUMN(ES13:FP13),4)=MOD(COLUMN(ES13),4)),ES13:FP13)</f>
        <v/>
      </c>
      <c r="FS13" s="820">
        <f>SUMPRODUCT(--(MOD(COLUMN(DU13:ER13),4)=MOD(COLUMN(DU13),4)),DU13:ER13)*$I13+SUMPRODUCT(--(MOD(COLUMN(ES13:FP13),4)=MOD(COLUMN(ES13),4)),ES13:FP13)*$I13</f>
        <v/>
      </c>
      <c r="FT13" s="573" t="n"/>
    </row>
    <row r="14" outlineLevel="2" customFormat="1" s="14">
      <c r="A14" s="56" t="inlineStr">
        <is>
          <t>УЛЬТРА ГРУПП ООО</t>
        </is>
      </c>
      <c r="B14" s="387" t="inlineStr">
        <is>
          <t>Предоплата 100%</t>
        </is>
      </c>
      <c r="C14" s="541" t="inlineStr">
        <is>
          <t>ВБК РУС</t>
        </is>
      </c>
      <c r="D14" s="565" t="inlineStr">
        <is>
          <t>Прасолов, Соловьёв</t>
        </is>
      </c>
      <c r="E14" s="10">
        <f>IF(ISBLANK(G14),"",IF($A$6:$A$330=$A14,COUNTIF($A$6:A14,$A14),""))</f>
        <v/>
      </c>
      <c r="F14" s="123" t="n">
        <v>1</v>
      </c>
      <c r="G14" s="124" t="n">
        <v>9522010010</v>
      </c>
      <c r="H14" s="604" t="inlineStr">
        <is>
          <t>Головка соединительная (управляющая)</t>
        </is>
      </c>
      <c r="I14" s="618" t="n">
        <v>0</v>
      </c>
      <c r="J14" s="618" t="n"/>
      <c r="K14" s="874" t="n"/>
      <c r="L14" s="618">
        <f>IF(K14="RUB",J14/ЮАНЬ,IF(K14="EUR",J14*ЕВРО/ЮАНЬ,""))</f>
        <v/>
      </c>
      <c r="M14" s="873" t="n"/>
      <c r="N14" s="871">
        <f>IF(BP14&gt;0,1,IF(BN14&gt;0,2,))</f>
        <v/>
      </c>
      <c r="O14" s="23" t="n">
        <v>2</v>
      </c>
      <c r="P14" s="24" t="n"/>
      <c r="Q14" s="25" t="n">
        <v>0</v>
      </c>
      <c r="R14" s="24" t="n"/>
      <c r="S14" s="23" t="n">
        <v>2</v>
      </c>
      <c r="T14" s="24" t="n"/>
      <c r="U14" s="307" t="n">
        <v>0</v>
      </c>
      <c r="V14" s="24" t="n"/>
      <c r="W14" s="23" t="n">
        <v>2</v>
      </c>
      <c r="X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14" s="25" t="n">
        <v>2</v>
      </c>
      <c r="Z14" s="24" t="n"/>
      <c r="AA14" s="23" t="n">
        <v>3</v>
      </c>
      <c r="AB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14" s="25" t="n">
        <v>0</v>
      </c>
      <c r="AD14" s="24" t="n"/>
      <c r="AE14" s="23" t="n">
        <v>3</v>
      </c>
      <c r="AF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14" s="307" t="n">
        <v>0</v>
      </c>
      <c r="AH14" s="24" t="n"/>
      <c r="AI14" s="23" t="n">
        <v>3</v>
      </c>
      <c r="AJ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14" s="25" t="n">
        <v>0</v>
      </c>
      <c r="AL14" s="24" t="n"/>
      <c r="AM14" s="23" t="n">
        <v>3</v>
      </c>
      <c r="AN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14" s="25" t="n">
        <v>0</v>
      </c>
      <c r="AP14" s="24" t="n"/>
      <c r="AQ14" s="23" t="n">
        <v>3</v>
      </c>
      <c r="AR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14" s="25" t="n">
        <v>0</v>
      </c>
      <c r="AT14" s="24" t="n"/>
      <c r="AU14" s="23" t="n">
        <v>3</v>
      </c>
      <c r="AV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14" s="25" t="n">
        <v>0</v>
      </c>
      <c r="AX14" s="24" t="n"/>
      <c r="AY14" s="23" t="n">
        <v>3</v>
      </c>
      <c r="AZ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14" s="25" t="n">
        <v>0</v>
      </c>
      <c r="BB14" s="24" t="n"/>
      <c r="BC14" s="23" t="n">
        <v>3</v>
      </c>
      <c r="BD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14" s="25" t="n">
        <v>0</v>
      </c>
      <c r="BF14" s="24" t="n"/>
      <c r="BG14" s="23" t="n">
        <v>3</v>
      </c>
      <c r="BH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14" s="25" t="n">
        <v>0</v>
      </c>
      <c r="BJ14" s="24" t="n"/>
      <c r="BK14" s="340" t="n"/>
      <c r="BL14" s="803">
        <f>SUMPRODUCT(--(MOD(COLUMN($O14:$AL14),4)=MOD(COLUMN($O14)+0,4)),$O14:$AL14)
+SUMPRODUCT(--(MOD(COLUMN($AM14:$BJ14),4)=MOD(COLUMN($AM14)+0,4)),$AM14:$BJ14)</f>
        <v/>
      </c>
      <c r="BM14" s="803">
        <f>SUMPRODUCT(--(MOD(COLUMN($O14:$AL14),4)=MOD(COLUMN($O14)+0,4)),$O14:$AL14)*
$I14+SUMPRODUCT(--(MOD(COLUMN($AM14:$BJ14),4)=MOD(COLUMN($AM14)+0,4)),$AM14:$BJ14)*$I14</f>
        <v/>
      </c>
      <c r="BN14" s="805">
        <f>SUMPRODUCT(--(MOD(COLUMN($O14:$AL14),4)=MOD(COLUMN($O14)+1,4)),$O14:$AL14)
+SUMPRODUCT(--(MOD(COLUMN($AM14:$BJ14),4)=MOD(COLUMN($AM14)+1,4)),$AM14:$BJ14)</f>
        <v/>
      </c>
      <c r="BO14" s="806">
        <f>SUMPRODUCT(--(MOD(COLUMN($O14:$AL14),4)=MOD(COLUMN($O14)+1,4)),$O14:$AL14)*
$I14+SUMPRODUCT(--(MOD(COLUMN($AM14:$BJ14),4)=MOD(COLUMN($AM14)+1,4)),$AM14:$BJ14)*$I14</f>
        <v/>
      </c>
      <c r="BP14" s="807">
        <f>SUMPRODUCT(--(MOD(COLUMN($O14:$AL14),4)=MOD(COLUMN($O14)+2,4)),$O14:$AL14)
+SUMPRODUCT(--(MOD(COLUMN($AM14:$BJ14),4)=MOD(COLUMN($AM14)+2,4)),$AM14:$BJ14)</f>
        <v/>
      </c>
      <c r="BQ14" s="808">
        <f>SUMPRODUCT(--(MOD(COLUMN($O14:$AL14),4)=MOD(COLUMN($O14)+2,4)),$O14:$AL14)*
$I14+SUMPRODUCT(--(MOD(COLUMN($AM14:$BJ14),4)=MOD(COLUMN($AM14)+2,4)),$AM14:$BJ14)*$I14</f>
        <v/>
      </c>
      <c r="BR14" s="801" t="n"/>
      <c r="BS14" s="819" t="n"/>
      <c r="BT14" s="23" t="n"/>
      <c r="BU14" s="24" t="n"/>
      <c r="BV14" s="25" t="n"/>
      <c r="BW14" s="24" t="n"/>
      <c r="BX14" s="23" t="n"/>
      <c r="BY14" s="24" t="n"/>
      <c r="BZ14" s="25" t="n"/>
      <c r="CA14" s="24" t="n"/>
      <c r="CB14" s="23" t="n"/>
      <c r="CC14" s="24" t="n"/>
      <c r="CD14" s="25" t="n"/>
      <c r="CE14" s="24" t="n"/>
      <c r="CF14" s="23" t="n"/>
      <c r="CG14" s="24" t="n"/>
      <c r="CH14" s="25" t="n"/>
      <c r="CI14" s="24" t="n"/>
      <c r="CJ14" s="23" t="n"/>
      <c r="CK14" s="24" t="n"/>
      <c r="CL14" s="25" t="n"/>
      <c r="CM14" s="24" t="n"/>
      <c r="CN14" s="23" t="n"/>
      <c r="CO14" s="24" t="n"/>
      <c r="CP14" s="25" t="n"/>
      <c r="CQ14" s="24" t="n"/>
      <c r="CR14" s="23" t="n"/>
      <c r="CS14" s="24" t="n"/>
      <c r="CT14" s="25" t="n"/>
      <c r="CU14" s="24" t="n"/>
      <c r="CV14" s="23" t="n"/>
      <c r="CW14" s="24" t="n"/>
      <c r="CX14" s="25" t="n"/>
      <c r="CY14" s="24" t="n"/>
      <c r="CZ14" s="23" t="n"/>
      <c r="DA14" s="24" t="n"/>
      <c r="DB14" s="25" t="n"/>
      <c r="DC14" s="24" t="n"/>
      <c r="DD14" s="23" t="n"/>
      <c r="DE14" s="24" t="n"/>
      <c r="DF14" s="25" t="n"/>
      <c r="DG14" s="24" t="n"/>
      <c r="DH14" s="23" t="n"/>
      <c r="DI14" s="24" t="n"/>
      <c r="DJ14" s="25" t="n"/>
      <c r="DK14" s="24" t="n"/>
      <c r="DL14" s="23" t="n"/>
      <c r="DM14" s="24" t="n"/>
      <c r="DN14" s="25" t="n"/>
      <c r="DO14" s="24" t="n"/>
      <c r="DP14" s="340" t="n"/>
      <c r="DQ14" s="803">
        <f>SUMPRODUCT(--(MOD(COLUMN(BT14:CQ14),4)=MOD(COLUMN(BT14),4)),BT14:CQ14)+SUMPRODUCT(--(MOD(COLUMN(CR14:DO14),4)=MOD(COLUMN(CR14),4)),CR14:DO14)</f>
        <v/>
      </c>
      <c r="DR14" s="803">
        <f>SUMPRODUCT(--(MOD(COLUMN(BT14:CQ14),4)=MOD(COLUMN(BT14),4)),BT14:CQ14)*$I14+SUMPRODUCT(--(MOD(COLUMN(CR14:DO14),4)=MOD(COLUMN(CR14),4)),CR14:DO14)*$I14</f>
        <v/>
      </c>
      <c r="DS14" s="801" t="n"/>
      <c r="DT14" s="819" t="n"/>
      <c r="DU14" s="23" t="n"/>
      <c r="DV14" s="24" t="n"/>
      <c r="DW14" s="25" t="n"/>
      <c r="DX14" s="24" t="n"/>
      <c r="DY14" s="23" t="n"/>
      <c r="DZ14" s="24" t="n"/>
      <c r="EA14" s="25" t="n"/>
      <c r="EB14" s="24" t="n"/>
      <c r="EC14" s="23" t="n"/>
      <c r="ED14" s="24" t="n"/>
      <c r="EE14" s="25" t="n"/>
      <c r="EF14" s="24" t="n"/>
      <c r="EG14" s="23" t="n"/>
      <c r="EH14" s="24" t="n"/>
      <c r="EI14" s="25" t="n"/>
      <c r="EJ14" s="24" t="n"/>
      <c r="EK14" s="23" t="n"/>
      <c r="EL14" s="24" t="n"/>
      <c r="EM14" s="25" t="n"/>
      <c r="EN14" s="24" t="n"/>
      <c r="EO14" s="23" t="n"/>
      <c r="EP14" s="24" t="n"/>
      <c r="EQ14" s="25" t="n"/>
      <c r="ER14" s="24" t="n"/>
      <c r="ES14" s="23" t="n"/>
      <c r="ET14" s="24" t="n"/>
      <c r="EU14" s="25" t="n"/>
      <c r="EV14" s="24" t="n"/>
      <c r="EW14" s="23" t="n"/>
      <c r="EX14" s="24" t="n"/>
      <c r="EY14" s="25" t="n"/>
      <c r="EZ14" s="24" t="n"/>
      <c r="FA14" s="23" t="n"/>
      <c r="FB14" s="24" t="n"/>
      <c r="FC14" s="25" t="n"/>
      <c r="FD14" s="24" t="n"/>
      <c r="FE14" s="23" t="n"/>
      <c r="FF14" s="24" t="n"/>
      <c r="FG14" s="25" t="n"/>
      <c r="FH14" s="24" t="n"/>
      <c r="FI14" s="23" t="n"/>
      <c r="FJ14" s="24" t="n"/>
      <c r="FK14" s="25" t="n"/>
      <c r="FL14" s="24" t="n"/>
      <c r="FM14" s="23" t="n"/>
      <c r="FN14" s="24" t="n"/>
      <c r="FO14" s="25" t="n"/>
      <c r="FP14" s="24" t="n"/>
      <c r="FQ14" s="340" t="n"/>
      <c r="FR14" s="803">
        <f>SUMPRODUCT(--(MOD(COLUMN(DU14:ER14),4)=MOD(COLUMN(DU14),4)),DU14:ER14)+SUMPRODUCT(--(MOD(COLUMN(ES14:FP14),4)=MOD(COLUMN(ES14),4)),ES14:FP14)</f>
        <v/>
      </c>
      <c r="FS14" s="803">
        <f>SUMPRODUCT(--(MOD(COLUMN(DU14:ER14),4)=MOD(COLUMN(DU14),4)),DU14:ER14)*$I14+SUMPRODUCT(--(MOD(COLUMN(ES14:FP14),4)=MOD(COLUMN(ES14),4)),ES14:FP14)*$I14</f>
        <v/>
      </c>
      <c r="FT14" s="360" t="n"/>
    </row>
    <row r="15" outlineLevel="2" customFormat="1" s="14">
      <c r="A15" s="56" t="inlineStr">
        <is>
          <t>УЛЬТРА ГРУПП ООО</t>
        </is>
      </c>
      <c r="B15" s="387" t="inlineStr">
        <is>
          <t>Предоплата 100%</t>
        </is>
      </c>
      <c r="C15" s="541" t="inlineStr">
        <is>
          <t>ВБК РУС</t>
        </is>
      </c>
      <c r="D15" s="565" t="inlineStr">
        <is>
          <t>Прасолов, Соловьёв</t>
        </is>
      </c>
      <c r="E15" s="10">
        <f>IF(ISBLANK(G15),"",IF($A$6:$A$330=$A15,COUNTIF($A$6:A15,$A15),""))</f>
        <v/>
      </c>
      <c r="F15" s="123" t="n">
        <v>1</v>
      </c>
      <c r="G15" s="124" t="n">
        <v>9522010020</v>
      </c>
      <c r="H15" s="604" t="inlineStr">
        <is>
          <t>Головка соединительная (питающая)</t>
        </is>
      </c>
      <c r="I15" s="618" t="n">
        <v>0</v>
      </c>
      <c r="J15" s="618" t="n"/>
      <c r="K15" s="874" t="n"/>
      <c r="L15" s="618">
        <f>IF(K15="RUB",J15/ЮАНЬ,IF(K15="EUR",J15*ЕВРО/ЮАНЬ,""))</f>
        <v/>
      </c>
      <c r="M15" s="873" t="n"/>
      <c r="N15" s="871">
        <f>IF(BP15&gt;0,1,IF(BN15&gt;0,2,))</f>
        <v/>
      </c>
      <c r="O15" s="23" t="n">
        <v>2</v>
      </c>
      <c r="P15" s="24" t="n"/>
      <c r="Q15" s="25" t="n">
        <v>0</v>
      </c>
      <c r="R15" s="24" t="n"/>
      <c r="S15" s="23" t="n">
        <v>2</v>
      </c>
      <c r="T15" s="24" t="n"/>
      <c r="U15" s="307" t="n">
        <v>0</v>
      </c>
      <c r="V15" s="24" t="n"/>
      <c r="W15" s="23" t="n">
        <v>2</v>
      </c>
      <c r="X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15" s="25" t="n">
        <v>2</v>
      </c>
      <c r="Z15" s="24" t="n"/>
      <c r="AA15" s="23" t="n">
        <v>3</v>
      </c>
      <c r="AB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15" s="25" t="n">
        <v>0</v>
      </c>
      <c r="AD15" s="24" t="n"/>
      <c r="AE15" s="23" t="n">
        <v>3</v>
      </c>
      <c r="AF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15" s="307" t="n">
        <v>0</v>
      </c>
      <c r="AH15" s="24" t="n"/>
      <c r="AI15" s="23" t="n">
        <v>3</v>
      </c>
      <c r="AJ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15" s="25" t="n">
        <v>0</v>
      </c>
      <c r="AL15" s="24" t="n"/>
      <c r="AM15" s="23" t="n">
        <v>3</v>
      </c>
      <c r="AN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15" s="25" t="n">
        <v>0</v>
      </c>
      <c r="AP15" s="24" t="n"/>
      <c r="AQ15" s="23" t="n">
        <v>3</v>
      </c>
      <c r="AR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15" s="25" t="n">
        <v>0</v>
      </c>
      <c r="AT15" s="24" t="n"/>
      <c r="AU15" s="23" t="n">
        <v>3</v>
      </c>
      <c r="AV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15" s="25" t="n">
        <v>0</v>
      </c>
      <c r="AX15" s="24" t="n"/>
      <c r="AY15" s="23" t="n">
        <v>3</v>
      </c>
      <c r="AZ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15" s="25" t="n">
        <v>0</v>
      </c>
      <c r="BB15" s="24" t="n"/>
      <c r="BC15" s="23" t="n">
        <v>3</v>
      </c>
      <c r="BD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15" s="25" t="n">
        <v>0</v>
      </c>
      <c r="BF15" s="24" t="n"/>
      <c r="BG15" s="23" t="n">
        <v>3</v>
      </c>
      <c r="BH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15" s="25" t="n">
        <v>0</v>
      </c>
      <c r="BJ15" s="24" t="n"/>
      <c r="BK15" s="340" t="n"/>
      <c r="BL15" s="803">
        <f>SUMPRODUCT(--(MOD(COLUMN($O15:$AL15),4)=MOD(COLUMN($O15)+0,4)),$O15:$AL15)
+SUMPRODUCT(--(MOD(COLUMN($AM15:$BJ15),4)=MOD(COLUMN($AM15)+0,4)),$AM15:$BJ15)</f>
        <v/>
      </c>
      <c r="BM15" s="803">
        <f>SUMPRODUCT(--(MOD(COLUMN($O15:$AL15),4)=MOD(COLUMN($O15)+0,4)),$O15:$AL15)*
$I15+SUMPRODUCT(--(MOD(COLUMN($AM15:$BJ15),4)=MOD(COLUMN($AM15)+0,4)),$AM15:$BJ15)*$I15</f>
        <v/>
      </c>
      <c r="BN15" s="805">
        <f>SUMPRODUCT(--(MOD(COLUMN($O15:$AL15),4)=MOD(COLUMN($O15)+1,4)),$O15:$AL15)
+SUMPRODUCT(--(MOD(COLUMN($AM15:$BJ15),4)=MOD(COLUMN($AM15)+1,4)),$AM15:$BJ15)</f>
        <v/>
      </c>
      <c r="BO15" s="806">
        <f>SUMPRODUCT(--(MOD(COLUMN($O15:$AL15),4)=MOD(COLUMN($O15)+1,4)),$O15:$AL15)*
$I15+SUMPRODUCT(--(MOD(COLUMN($AM15:$BJ15),4)=MOD(COLUMN($AM15)+1,4)),$AM15:$BJ15)*$I15</f>
        <v/>
      </c>
      <c r="BP15" s="807">
        <f>SUMPRODUCT(--(MOD(COLUMN($O15:$AL15),4)=MOD(COLUMN($O15)+2,4)),$O15:$AL15)
+SUMPRODUCT(--(MOD(COLUMN($AM15:$BJ15),4)=MOD(COLUMN($AM15)+2,4)),$AM15:$BJ15)</f>
        <v/>
      </c>
      <c r="BQ15" s="808">
        <f>SUMPRODUCT(--(MOD(COLUMN($O15:$AL15),4)=MOD(COLUMN($O15)+2,4)),$O15:$AL15)*
$I15+SUMPRODUCT(--(MOD(COLUMN($AM15:$BJ15),4)=MOD(COLUMN($AM15)+2,4)),$AM15:$BJ15)*$I15</f>
        <v/>
      </c>
      <c r="BR15" s="801" t="n"/>
      <c r="BS15" s="819" t="n"/>
      <c r="BT15" s="23" t="n"/>
      <c r="BU15" s="24" t="n"/>
      <c r="BV15" s="25" t="n"/>
      <c r="BW15" s="24" t="n"/>
      <c r="BX15" s="23" t="n"/>
      <c r="BY15" s="24" t="n"/>
      <c r="BZ15" s="25" t="n"/>
      <c r="CA15" s="24" t="n"/>
      <c r="CB15" s="23" t="n"/>
      <c r="CC15" s="24" t="n"/>
      <c r="CD15" s="25" t="n"/>
      <c r="CE15" s="24" t="n"/>
      <c r="CF15" s="23" t="n"/>
      <c r="CG15" s="24" t="n"/>
      <c r="CH15" s="25" t="n"/>
      <c r="CI15" s="24" t="n"/>
      <c r="CJ15" s="23" t="n"/>
      <c r="CK15" s="24" t="n"/>
      <c r="CL15" s="25" t="n"/>
      <c r="CM15" s="24" t="n"/>
      <c r="CN15" s="23" t="n"/>
      <c r="CO15" s="24" t="n"/>
      <c r="CP15" s="25" t="n"/>
      <c r="CQ15" s="24" t="n"/>
      <c r="CR15" s="23" t="n"/>
      <c r="CS15" s="24" t="n"/>
      <c r="CT15" s="25" t="n"/>
      <c r="CU15" s="24" t="n"/>
      <c r="CV15" s="23" t="n"/>
      <c r="CW15" s="24" t="n"/>
      <c r="CX15" s="25" t="n"/>
      <c r="CY15" s="24" t="n"/>
      <c r="CZ15" s="23" t="n"/>
      <c r="DA15" s="24" t="n"/>
      <c r="DB15" s="25" t="n"/>
      <c r="DC15" s="24" t="n"/>
      <c r="DD15" s="23" t="n"/>
      <c r="DE15" s="24" t="n"/>
      <c r="DF15" s="25" t="n"/>
      <c r="DG15" s="24" t="n"/>
      <c r="DH15" s="23" t="n"/>
      <c r="DI15" s="24" t="n"/>
      <c r="DJ15" s="25" t="n"/>
      <c r="DK15" s="24" t="n"/>
      <c r="DL15" s="23" t="n"/>
      <c r="DM15" s="24" t="n"/>
      <c r="DN15" s="25" t="n"/>
      <c r="DO15" s="24" t="n"/>
      <c r="DP15" s="340" t="n"/>
      <c r="DQ15" s="803">
        <f>SUMPRODUCT(--(MOD(COLUMN(BT15:CQ15),4)=MOD(COLUMN(BT15),4)),BT15:CQ15)+SUMPRODUCT(--(MOD(COLUMN(CR15:DO15),4)=MOD(COLUMN(CR15),4)),CR15:DO15)</f>
        <v/>
      </c>
      <c r="DR15" s="803">
        <f>SUMPRODUCT(--(MOD(COLUMN(BT15:CQ15),4)=MOD(COLUMN(BT15),4)),BT15:CQ15)*$I15+SUMPRODUCT(--(MOD(COLUMN(CR15:DO15),4)=MOD(COLUMN(CR15),4)),CR15:DO15)*$I15</f>
        <v/>
      </c>
      <c r="DS15" s="801" t="n"/>
      <c r="DT15" s="819" t="n"/>
      <c r="DU15" s="23" t="n"/>
      <c r="DV15" s="24" t="n"/>
      <c r="DW15" s="25" t="n"/>
      <c r="DX15" s="24" t="n"/>
      <c r="DY15" s="23" t="n"/>
      <c r="DZ15" s="24" t="n"/>
      <c r="EA15" s="25" t="n"/>
      <c r="EB15" s="24" t="n"/>
      <c r="EC15" s="23" t="n"/>
      <c r="ED15" s="24" t="n"/>
      <c r="EE15" s="25" t="n"/>
      <c r="EF15" s="24" t="n"/>
      <c r="EG15" s="23" t="n"/>
      <c r="EH15" s="24" t="n"/>
      <c r="EI15" s="25" t="n"/>
      <c r="EJ15" s="24" t="n"/>
      <c r="EK15" s="23" t="n"/>
      <c r="EL15" s="24" t="n"/>
      <c r="EM15" s="25" t="n"/>
      <c r="EN15" s="24" t="n"/>
      <c r="EO15" s="23" t="n"/>
      <c r="EP15" s="24" t="n"/>
      <c r="EQ15" s="25" t="n"/>
      <c r="ER15" s="24" t="n"/>
      <c r="ES15" s="23" t="n"/>
      <c r="ET15" s="24" t="n"/>
      <c r="EU15" s="25" t="n"/>
      <c r="EV15" s="24" t="n"/>
      <c r="EW15" s="23" t="n"/>
      <c r="EX15" s="24" t="n"/>
      <c r="EY15" s="25" t="n"/>
      <c r="EZ15" s="24" t="n"/>
      <c r="FA15" s="23" t="n"/>
      <c r="FB15" s="24" t="n"/>
      <c r="FC15" s="25" t="n"/>
      <c r="FD15" s="24" t="n"/>
      <c r="FE15" s="23" t="n"/>
      <c r="FF15" s="24" t="n"/>
      <c r="FG15" s="25" t="n"/>
      <c r="FH15" s="24" t="n"/>
      <c r="FI15" s="23" t="n"/>
      <c r="FJ15" s="24" t="n"/>
      <c r="FK15" s="25" t="n"/>
      <c r="FL15" s="24" t="n"/>
      <c r="FM15" s="23" t="n"/>
      <c r="FN15" s="24" t="n"/>
      <c r="FO15" s="25" t="n"/>
      <c r="FP15" s="24" t="n"/>
      <c r="FQ15" s="340" t="n"/>
      <c r="FR15" s="803">
        <f>SUMPRODUCT(--(MOD(COLUMN(DU15:ER15),4)=MOD(COLUMN(DU15),4)),DU15:ER15)+SUMPRODUCT(--(MOD(COLUMN(ES15:FP15),4)=MOD(COLUMN(ES15),4)),ES15:FP15)</f>
        <v/>
      </c>
      <c r="FS15" s="803">
        <f>SUMPRODUCT(--(MOD(COLUMN(DU15:ER15),4)=MOD(COLUMN(DU15),4)),DU15:ER15)*$I15+SUMPRODUCT(--(MOD(COLUMN(ES15:FP15),4)=MOD(COLUMN(ES15),4)),ES15:FP15)*$I15</f>
        <v/>
      </c>
      <c r="FT15" s="360" t="n"/>
    </row>
    <row r="16" outlineLevel="2" customFormat="1" s="14">
      <c r="A16" s="56" t="inlineStr">
        <is>
          <t>УЛЬТРА ГРУПП ООО</t>
        </is>
      </c>
      <c r="B16" s="387" t="inlineStr">
        <is>
          <t>Предоплата 100%</t>
        </is>
      </c>
      <c r="C16" s="541" t="inlineStr">
        <is>
          <t>ВБК РУС</t>
        </is>
      </c>
      <c r="D16" s="565" t="inlineStr">
        <is>
          <t>Прасолов, Соловьёв</t>
        </is>
      </c>
      <c r="E16" s="10">
        <f>IF(ISBLANK(G16),"",IF($A$6:$A$330=$A16,COUNTIF($A$6:A16,$A16),""))</f>
        <v/>
      </c>
      <c r="F16" s="123" t="n">
        <v>1</v>
      </c>
      <c r="G16" s="124" t="n">
        <v>9710029000</v>
      </c>
      <c r="H16" s="604" t="inlineStr">
        <is>
          <t>Воздухораспределитель с клапаном растормаживания</t>
        </is>
      </c>
      <c r="I16" s="618" t="n">
        <v>0</v>
      </c>
      <c r="J16" s="618" t="n"/>
      <c r="K16" s="874" t="n"/>
      <c r="L16" s="618">
        <f>IF(K16="RUB",J16/ЮАНЬ,IF(K16="EUR",J16*ЕВРО/ЮАНЬ,""))</f>
        <v/>
      </c>
      <c r="M16" s="873" t="n"/>
      <c r="N16" s="871">
        <f>IF(BP16&gt;0,1,IF(BN16&gt;0,2,))</f>
        <v/>
      </c>
      <c r="O16" s="23" t="n">
        <v>2</v>
      </c>
      <c r="P16" s="24" t="n"/>
      <c r="Q16" s="25" t="n">
        <v>0</v>
      </c>
      <c r="R16" s="24" t="n"/>
      <c r="S16" s="23" t="n">
        <v>2</v>
      </c>
      <c r="T16" s="24" t="n"/>
      <c r="U16" s="307" t="n">
        <v>0</v>
      </c>
      <c r="V16" s="24" t="n"/>
      <c r="W16" s="23" t="n">
        <v>2</v>
      </c>
      <c r="X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16" s="25" t="n">
        <v>2</v>
      </c>
      <c r="Z16" s="24" t="n"/>
      <c r="AA16" s="23" t="n">
        <v>3</v>
      </c>
      <c r="AB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16" s="25" t="n">
        <v>0</v>
      </c>
      <c r="AD16" s="24" t="n"/>
      <c r="AE16" s="23" t="n">
        <v>3</v>
      </c>
      <c r="AF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16" s="307" t="n">
        <v>0</v>
      </c>
      <c r="AH16" s="24" t="n"/>
      <c r="AI16" s="23" t="n">
        <v>3</v>
      </c>
      <c r="AJ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16" s="25" t="n">
        <v>0</v>
      </c>
      <c r="AL16" s="24" t="n"/>
      <c r="AM16" s="23" t="n">
        <v>3</v>
      </c>
      <c r="AN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16" s="25" t="n">
        <v>0</v>
      </c>
      <c r="AP16" s="24" t="n"/>
      <c r="AQ16" s="23" t="n">
        <v>3</v>
      </c>
      <c r="AR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16" s="25" t="n">
        <v>0</v>
      </c>
      <c r="AT16" s="24" t="n"/>
      <c r="AU16" s="23" t="n">
        <v>3</v>
      </c>
      <c r="AV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16" s="25" t="n">
        <v>0</v>
      </c>
      <c r="AX16" s="24" t="n"/>
      <c r="AY16" s="23" t="n">
        <v>3</v>
      </c>
      <c r="AZ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16" s="25" t="n">
        <v>0</v>
      </c>
      <c r="BB16" s="24" t="n"/>
      <c r="BC16" s="23" t="n">
        <v>3</v>
      </c>
      <c r="BD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16" s="25" t="n">
        <v>0</v>
      </c>
      <c r="BF16" s="24" t="n"/>
      <c r="BG16" s="23" t="n">
        <v>3</v>
      </c>
      <c r="BH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16" s="25" t="n">
        <v>0</v>
      </c>
      <c r="BJ16" s="24" t="n"/>
      <c r="BK16" s="340" t="n"/>
      <c r="BL16" s="803">
        <f>SUMPRODUCT(--(MOD(COLUMN($O16:$AL16),4)=MOD(COLUMN($O16)+0,4)),$O16:$AL16)
+SUMPRODUCT(--(MOD(COLUMN($AM16:$BJ16),4)=MOD(COLUMN($AM16)+0,4)),$AM16:$BJ16)</f>
        <v/>
      </c>
      <c r="BM16" s="803">
        <f>SUMPRODUCT(--(MOD(COLUMN($O16:$AL16),4)=MOD(COLUMN($O16)+0,4)),$O16:$AL16)*
$I16+SUMPRODUCT(--(MOD(COLUMN($AM16:$BJ16),4)=MOD(COLUMN($AM16)+0,4)),$AM16:$BJ16)*$I16</f>
        <v/>
      </c>
      <c r="BN16" s="805">
        <f>SUMPRODUCT(--(MOD(COLUMN($O16:$AL16),4)=MOD(COLUMN($O16)+1,4)),$O16:$AL16)
+SUMPRODUCT(--(MOD(COLUMN($AM16:$BJ16),4)=MOD(COLUMN($AM16)+1,4)),$AM16:$BJ16)</f>
        <v/>
      </c>
      <c r="BO16" s="806">
        <f>SUMPRODUCT(--(MOD(COLUMN($O16:$AL16),4)=MOD(COLUMN($O16)+1,4)),$O16:$AL16)*
$I16+SUMPRODUCT(--(MOD(COLUMN($AM16:$BJ16),4)=MOD(COLUMN($AM16)+1,4)),$AM16:$BJ16)*$I16</f>
        <v/>
      </c>
      <c r="BP16" s="807">
        <f>SUMPRODUCT(--(MOD(COLUMN($O16:$AL16),4)=MOD(COLUMN($O16)+2,4)),$O16:$AL16)
+SUMPRODUCT(--(MOD(COLUMN($AM16:$BJ16),4)=MOD(COLUMN($AM16)+2,4)),$AM16:$BJ16)</f>
        <v/>
      </c>
      <c r="BQ16" s="808">
        <f>SUMPRODUCT(--(MOD(COLUMN($O16:$AL16),4)=MOD(COLUMN($O16)+2,4)),$O16:$AL16)*
$I16+SUMPRODUCT(--(MOD(COLUMN($AM16:$BJ16),4)=MOD(COLUMN($AM16)+2,4)),$AM16:$BJ16)*$I16</f>
        <v/>
      </c>
      <c r="BR16" s="801" t="n"/>
      <c r="BS16" s="819" t="n"/>
      <c r="BT16" s="23" t="n"/>
      <c r="BU16" s="24" t="n"/>
      <c r="BV16" s="25" t="n"/>
      <c r="BW16" s="24" t="n"/>
      <c r="BX16" s="23" t="n"/>
      <c r="BY16" s="24" t="n"/>
      <c r="BZ16" s="25" t="n"/>
      <c r="CA16" s="24" t="n"/>
      <c r="CB16" s="23" t="n"/>
      <c r="CC16" s="24" t="n"/>
      <c r="CD16" s="25" t="n"/>
      <c r="CE16" s="24" t="n"/>
      <c r="CF16" s="23" t="n"/>
      <c r="CG16" s="24" t="n"/>
      <c r="CH16" s="25" t="n"/>
      <c r="CI16" s="24" t="n"/>
      <c r="CJ16" s="23" t="n"/>
      <c r="CK16" s="24" t="n"/>
      <c r="CL16" s="25" t="n"/>
      <c r="CM16" s="24" t="n"/>
      <c r="CN16" s="23" t="n"/>
      <c r="CO16" s="24" t="n"/>
      <c r="CP16" s="25" t="n"/>
      <c r="CQ16" s="24" t="n"/>
      <c r="CR16" s="23" t="n"/>
      <c r="CS16" s="24" t="n"/>
      <c r="CT16" s="25" t="n"/>
      <c r="CU16" s="24" t="n"/>
      <c r="CV16" s="23" t="n"/>
      <c r="CW16" s="24" t="n"/>
      <c r="CX16" s="25" t="n"/>
      <c r="CY16" s="24" t="n"/>
      <c r="CZ16" s="23" t="n"/>
      <c r="DA16" s="24" t="n"/>
      <c r="DB16" s="25" t="n"/>
      <c r="DC16" s="24" t="n"/>
      <c r="DD16" s="23" t="n"/>
      <c r="DE16" s="24" t="n"/>
      <c r="DF16" s="25" t="n"/>
      <c r="DG16" s="24" t="n"/>
      <c r="DH16" s="23" t="n"/>
      <c r="DI16" s="24" t="n"/>
      <c r="DJ16" s="25" t="n"/>
      <c r="DK16" s="24" t="n"/>
      <c r="DL16" s="23" t="n"/>
      <c r="DM16" s="24" t="n"/>
      <c r="DN16" s="25" t="n"/>
      <c r="DO16" s="24" t="n"/>
      <c r="DP16" s="340" t="n"/>
      <c r="DQ16" s="803">
        <f>SUMPRODUCT(--(MOD(COLUMN(BT16:CQ16),4)=MOD(COLUMN(BT16),4)),BT16:CQ16)+SUMPRODUCT(--(MOD(COLUMN(CR16:DO16),4)=MOD(COLUMN(CR16),4)),CR16:DO16)</f>
        <v/>
      </c>
      <c r="DR16" s="803">
        <f>SUMPRODUCT(--(MOD(COLUMN(BT16:CQ16),4)=MOD(COLUMN(BT16),4)),BT16:CQ16)*$I16+SUMPRODUCT(--(MOD(COLUMN(CR16:DO16),4)=MOD(COLUMN(CR16),4)),CR16:DO16)*$I16</f>
        <v/>
      </c>
      <c r="DS16" s="801" t="n"/>
      <c r="DT16" s="819" t="n"/>
      <c r="DU16" s="23" t="n"/>
      <c r="DV16" s="24" t="n"/>
      <c r="DW16" s="25" t="n"/>
      <c r="DX16" s="24" t="n"/>
      <c r="DY16" s="23" t="n"/>
      <c r="DZ16" s="24" t="n"/>
      <c r="EA16" s="25" t="n"/>
      <c r="EB16" s="24" t="n"/>
      <c r="EC16" s="23" t="n"/>
      <c r="ED16" s="24" t="n"/>
      <c r="EE16" s="25" t="n"/>
      <c r="EF16" s="24" t="n"/>
      <c r="EG16" s="23" t="n"/>
      <c r="EH16" s="24" t="n"/>
      <c r="EI16" s="25" t="n"/>
      <c r="EJ16" s="24" t="n"/>
      <c r="EK16" s="23" t="n"/>
      <c r="EL16" s="24" t="n"/>
      <c r="EM16" s="25" t="n"/>
      <c r="EN16" s="24" t="n"/>
      <c r="EO16" s="23" t="n"/>
      <c r="EP16" s="24" t="n"/>
      <c r="EQ16" s="25" t="n"/>
      <c r="ER16" s="24" t="n"/>
      <c r="ES16" s="23" t="n"/>
      <c r="ET16" s="24" t="n"/>
      <c r="EU16" s="25" t="n"/>
      <c r="EV16" s="24" t="n"/>
      <c r="EW16" s="23" t="n"/>
      <c r="EX16" s="24" t="n"/>
      <c r="EY16" s="25" t="n"/>
      <c r="EZ16" s="24" t="n"/>
      <c r="FA16" s="23" t="n"/>
      <c r="FB16" s="24" t="n"/>
      <c r="FC16" s="25" t="n"/>
      <c r="FD16" s="24" t="n"/>
      <c r="FE16" s="23" t="n"/>
      <c r="FF16" s="24" t="n"/>
      <c r="FG16" s="25" t="n"/>
      <c r="FH16" s="24" t="n"/>
      <c r="FI16" s="23" t="n"/>
      <c r="FJ16" s="24" t="n"/>
      <c r="FK16" s="25" t="n"/>
      <c r="FL16" s="24" t="n"/>
      <c r="FM16" s="23" t="n"/>
      <c r="FN16" s="24" t="n"/>
      <c r="FO16" s="25" t="n"/>
      <c r="FP16" s="24" t="n"/>
      <c r="FQ16" s="340" t="n"/>
      <c r="FR16" s="803">
        <f>SUMPRODUCT(--(MOD(COLUMN(DU16:ER16),4)=MOD(COLUMN(DU16),4)),DU16:ER16)+SUMPRODUCT(--(MOD(COLUMN(ES16:FP16),4)=MOD(COLUMN(ES16),4)),ES16:FP16)</f>
        <v/>
      </c>
      <c r="FS16" s="803">
        <f>SUMPRODUCT(--(MOD(COLUMN(DU16:ER16),4)=MOD(COLUMN(DU16),4)),DU16:ER16)*$I16+SUMPRODUCT(--(MOD(COLUMN(ES16:FP16),4)=MOD(COLUMN(ES16),4)),ES16:FP16)*$I16</f>
        <v/>
      </c>
      <c r="FT16" s="360" t="n"/>
    </row>
    <row r="17" outlineLevel="2" customFormat="1" s="14">
      <c r="A17" s="56" t="inlineStr">
        <is>
          <t>УЛЬТРА ГРУПП ООО</t>
        </is>
      </c>
      <c r="B17" s="387" t="inlineStr">
        <is>
          <t>Предоплата 100%</t>
        </is>
      </c>
      <c r="C17" s="541" t="inlineStr">
        <is>
          <t>ВБК РУС</t>
        </is>
      </c>
      <c r="D17" s="565" t="inlineStr">
        <is>
          <t>Прасолов, Соловьёв</t>
        </is>
      </c>
      <c r="E17" s="10">
        <f>IF(ISBLANK(G17),"",IF($A$6:$A$330=$A17,COUNTIF($A$6:A17,$A17),""))</f>
        <v/>
      </c>
      <c r="F17" s="123" t="n">
        <v>1</v>
      </c>
      <c r="G17" s="124" t="n">
        <v>4801020640</v>
      </c>
      <c r="H17" s="604" t="inlineStr">
        <is>
          <t>Электропневматический блок клапанов TEBS_4801020640</t>
        </is>
      </c>
      <c r="I17" s="618" t="n">
        <v>0</v>
      </c>
      <c r="J17" s="618" t="n"/>
      <c r="K17" s="874" t="n"/>
      <c r="L17" s="618">
        <f>IF(K17="RUB",J17/ЮАНЬ,IF(K17="EUR",J17*ЕВРО/ЮАНЬ,""))</f>
        <v/>
      </c>
      <c r="M17" s="873" t="n"/>
      <c r="N17" s="871">
        <f>IF(BP17&gt;0,1,IF(BN17&gt;0,2,))</f>
        <v/>
      </c>
      <c r="O17" s="23" t="n">
        <v>2</v>
      </c>
      <c r="P17" s="24" t="n"/>
      <c r="Q17" s="25" t="n">
        <v>0</v>
      </c>
      <c r="R17" s="24" t="n"/>
      <c r="S17" s="23" t="n">
        <v>2</v>
      </c>
      <c r="T17" s="24" t="n"/>
      <c r="U17" s="307" t="n">
        <v>0</v>
      </c>
      <c r="V17" s="24" t="n"/>
      <c r="W17" s="23" t="n">
        <v>2</v>
      </c>
      <c r="X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17" s="25" t="n">
        <v>2</v>
      </c>
      <c r="Z17" s="24" t="n"/>
      <c r="AA17" s="23" t="n">
        <v>3</v>
      </c>
      <c r="AB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17" s="25" t="n">
        <v>0</v>
      </c>
      <c r="AD17" s="24" t="n"/>
      <c r="AE17" s="23" t="n">
        <v>3</v>
      </c>
      <c r="AF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17" s="307" t="n">
        <v>0</v>
      </c>
      <c r="AH17" s="24" t="n"/>
      <c r="AI17" s="23" t="n">
        <v>3</v>
      </c>
      <c r="AJ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17" s="25" t="n">
        <v>0</v>
      </c>
      <c r="AL17" s="24" t="n"/>
      <c r="AM17" s="23" t="n">
        <v>3</v>
      </c>
      <c r="AN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17" s="25" t="n">
        <v>0</v>
      </c>
      <c r="AP17" s="24" t="n"/>
      <c r="AQ17" s="23" t="n">
        <v>3</v>
      </c>
      <c r="AR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17" s="25" t="n">
        <v>0</v>
      </c>
      <c r="AT17" s="24" t="n"/>
      <c r="AU17" s="23" t="n">
        <v>3</v>
      </c>
      <c r="AV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17" s="25" t="n">
        <v>0</v>
      </c>
      <c r="AX17" s="24" t="n"/>
      <c r="AY17" s="23" t="n">
        <v>3</v>
      </c>
      <c r="AZ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17" s="25" t="n">
        <v>0</v>
      </c>
      <c r="BB17" s="24" t="n"/>
      <c r="BC17" s="23" t="n">
        <v>3</v>
      </c>
      <c r="BD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17" s="25" t="n">
        <v>0</v>
      </c>
      <c r="BF17" s="24" t="n"/>
      <c r="BG17" s="23" t="n">
        <v>3</v>
      </c>
      <c r="BH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17" s="25" t="n">
        <v>0</v>
      </c>
      <c r="BJ17" s="24" t="n"/>
      <c r="BK17" s="340" t="n"/>
      <c r="BL17" s="803">
        <f>SUMPRODUCT(--(MOD(COLUMN($O17:$AL17),4)=MOD(COLUMN($O17)+0,4)),$O17:$AL17)
+SUMPRODUCT(--(MOD(COLUMN($AM17:$BJ17),4)=MOD(COLUMN($AM17)+0,4)),$AM17:$BJ17)</f>
        <v/>
      </c>
      <c r="BM17" s="803">
        <f>SUMPRODUCT(--(MOD(COLUMN($O17:$AL17),4)=MOD(COLUMN($O17)+0,4)),$O17:$AL17)*
$I17+SUMPRODUCT(--(MOD(COLUMN($AM17:$BJ17),4)=MOD(COLUMN($AM17)+0,4)),$AM17:$BJ17)*$I17</f>
        <v/>
      </c>
      <c r="BN17" s="805">
        <f>SUMPRODUCT(--(MOD(COLUMN($O17:$AL17),4)=MOD(COLUMN($O17)+1,4)),$O17:$AL17)
+SUMPRODUCT(--(MOD(COLUMN($AM17:$BJ17),4)=MOD(COLUMN($AM17)+1,4)),$AM17:$BJ17)</f>
        <v/>
      </c>
      <c r="BO17" s="806">
        <f>SUMPRODUCT(--(MOD(COLUMN($O17:$AL17),4)=MOD(COLUMN($O17)+1,4)),$O17:$AL17)*
$I17+SUMPRODUCT(--(MOD(COLUMN($AM17:$BJ17),4)=MOD(COLUMN($AM17)+1,4)),$AM17:$BJ17)*$I17</f>
        <v/>
      </c>
      <c r="BP17" s="807">
        <f>SUMPRODUCT(--(MOD(COLUMN($O17:$AL17),4)=MOD(COLUMN($O17)+2,4)),$O17:$AL17)
+SUMPRODUCT(--(MOD(COLUMN($AM17:$BJ17),4)=MOD(COLUMN($AM17)+2,4)),$AM17:$BJ17)</f>
        <v/>
      </c>
      <c r="BQ17" s="808">
        <f>SUMPRODUCT(--(MOD(COLUMN($O17:$AL17),4)=MOD(COLUMN($O17)+2,4)),$O17:$AL17)*
$I17+SUMPRODUCT(--(MOD(COLUMN($AM17:$BJ17),4)=MOD(COLUMN($AM17)+2,4)),$AM17:$BJ17)*$I17</f>
        <v/>
      </c>
      <c r="BR17" s="801" t="n"/>
      <c r="BS17" s="819" t="n"/>
      <c r="BT17" s="23" t="n"/>
      <c r="BU17" s="24" t="n"/>
      <c r="BV17" s="25" t="n"/>
      <c r="BW17" s="24" t="n"/>
      <c r="BX17" s="23" t="n"/>
      <c r="BY17" s="24" t="n"/>
      <c r="BZ17" s="25" t="n"/>
      <c r="CA17" s="24" t="n"/>
      <c r="CB17" s="23" t="n"/>
      <c r="CC17" s="24" t="n"/>
      <c r="CD17" s="25" t="n"/>
      <c r="CE17" s="24" t="n"/>
      <c r="CF17" s="23" t="n"/>
      <c r="CG17" s="24" t="n"/>
      <c r="CH17" s="25" t="n"/>
      <c r="CI17" s="24" t="n"/>
      <c r="CJ17" s="23" t="n"/>
      <c r="CK17" s="24" t="n"/>
      <c r="CL17" s="25" t="n"/>
      <c r="CM17" s="24" t="n"/>
      <c r="CN17" s="23" t="n"/>
      <c r="CO17" s="24" t="n"/>
      <c r="CP17" s="25" t="n"/>
      <c r="CQ17" s="24" t="n"/>
      <c r="CR17" s="23" t="n"/>
      <c r="CS17" s="24" t="n"/>
      <c r="CT17" s="25" t="n"/>
      <c r="CU17" s="24" t="n"/>
      <c r="CV17" s="23" t="n"/>
      <c r="CW17" s="24" t="n"/>
      <c r="CX17" s="25" t="n"/>
      <c r="CY17" s="24" t="n"/>
      <c r="CZ17" s="23" t="n"/>
      <c r="DA17" s="24" t="n"/>
      <c r="DB17" s="25" t="n"/>
      <c r="DC17" s="24" t="n"/>
      <c r="DD17" s="23" t="n"/>
      <c r="DE17" s="24" t="n"/>
      <c r="DF17" s="25" t="n"/>
      <c r="DG17" s="24" t="n"/>
      <c r="DH17" s="23" t="n"/>
      <c r="DI17" s="24" t="n"/>
      <c r="DJ17" s="25" t="n"/>
      <c r="DK17" s="24" t="n"/>
      <c r="DL17" s="23" t="n"/>
      <c r="DM17" s="24" t="n"/>
      <c r="DN17" s="25" t="n"/>
      <c r="DO17" s="24" t="n"/>
      <c r="DP17" s="340" t="n"/>
      <c r="DQ17" s="803">
        <f>SUMPRODUCT(--(MOD(COLUMN(BT17:CQ17),4)=MOD(COLUMN(BT17),4)),BT17:CQ17)+SUMPRODUCT(--(MOD(COLUMN(CR17:DO17),4)=MOD(COLUMN(CR17),4)),CR17:DO17)</f>
        <v/>
      </c>
      <c r="DR17" s="803">
        <f>SUMPRODUCT(--(MOD(COLUMN(BT17:CQ17),4)=MOD(COLUMN(BT17),4)),BT17:CQ17)*$I17+SUMPRODUCT(--(MOD(COLUMN(CR17:DO17),4)=MOD(COLUMN(CR17),4)),CR17:DO17)*$I17</f>
        <v/>
      </c>
      <c r="DS17" s="801" t="n"/>
      <c r="DT17" s="819" t="n"/>
      <c r="DU17" s="23" t="n"/>
      <c r="DV17" s="24" t="n"/>
      <c r="DW17" s="25" t="n"/>
      <c r="DX17" s="24" t="n"/>
      <c r="DY17" s="23" t="n"/>
      <c r="DZ17" s="24" t="n"/>
      <c r="EA17" s="25" t="n"/>
      <c r="EB17" s="24" t="n"/>
      <c r="EC17" s="23" t="n"/>
      <c r="ED17" s="24" t="n"/>
      <c r="EE17" s="25" t="n"/>
      <c r="EF17" s="24" t="n"/>
      <c r="EG17" s="23" t="n"/>
      <c r="EH17" s="24" t="n"/>
      <c r="EI17" s="25" t="n"/>
      <c r="EJ17" s="24" t="n"/>
      <c r="EK17" s="23" t="n"/>
      <c r="EL17" s="24" t="n"/>
      <c r="EM17" s="25" t="n"/>
      <c r="EN17" s="24" t="n"/>
      <c r="EO17" s="23" t="n"/>
      <c r="EP17" s="24" t="n"/>
      <c r="EQ17" s="25" t="n"/>
      <c r="ER17" s="24" t="n"/>
      <c r="ES17" s="23" t="n"/>
      <c r="ET17" s="24" t="n"/>
      <c r="EU17" s="25" t="n"/>
      <c r="EV17" s="24" t="n"/>
      <c r="EW17" s="23" t="n"/>
      <c r="EX17" s="24" t="n"/>
      <c r="EY17" s="25" t="n"/>
      <c r="EZ17" s="24" t="n"/>
      <c r="FA17" s="23" t="n"/>
      <c r="FB17" s="24" t="n"/>
      <c r="FC17" s="25" t="n"/>
      <c r="FD17" s="24" t="n"/>
      <c r="FE17" s="23" t="n"/>
      <c r="FF17" s="24" t="n"/>
      <c r="FG17" s="25" t="n"/>
      <c r="FH17" s="24" t="n"/>
      <c r="FI17" s="23" t="n"/>
      <c r="FJ17" s="24" t="n"/>
      <c r="FK17" s="25" t="n"/>
      <c r="FL17" s="24" t="n"/>
      <c r="FM17" s="23" t="n"/>
      <c r="FN17" s="24" t="n"/>
      <c r="FO17" s="25" t="n"/>
      <c r="FP17" s="24" t="n"/>
      <c r="FQ17" s="340" t="n"/>
      <c r="FR17" s="803">
        <f>SUMPRODUCT(--(MOD(COLUMN(DU17:ER17),4)=MOD(COLUMN(DU17),4)),DU17:ER17)+SUMPRODUCT(--(MOD(COLUMN(ES17:FP17),4)=MOD(COLUMN(ES17),4)),ES17:FP17)</f>
        <v/>
      </c>
      <c r="FS17" s="803">
        <f>SUMPRODUCT(--(MOD(COLUMN(DU17:ER17),4)=MOD(COLUMN(DU17),4)),DU17:ER17)*$I17+SUMPRODUCT(--(MOD(COLUMN(ES17:FP17),4)=MOD(COLUMN(ES17),4)),ES17:FP17)*$I17</f>
        <v/>
      </c>
      <c r="FT17" s="360" t="n"/>
    </row>
    <row r="18" outlineLevel="2" customFormat="1" s="14">
      <c r="A18" s="56" t="inlineStr">
        <is>
          <t>УЛЬТРА ГРУПП ООО</t>
        </is>
      </c>
      <c r="B18" s="387" t="inlineStr">
        <is>
          <t>Предоплата 100%</t>
        </is>
      </c>
      <c r="C18" s="541" t="inlineStr">
        <is>
          <t>ВБК РУС</t>
        </is>
      </c>
      <c r="D18" s="565" t="inlineStr">
        <is>
          <t>Прасолов, Соловьёв</t>
        </is>
      </c>
      <c r="E18" s="10">
        <f>IF(ISBLANK(G18),"",IF($A$6:$A$330=$A18,COUNTIF($A$6:A18,$A18),""))</f>
        <v/>
      </c>
      <c r="F18" s="669" t="n">
        <v>2</v>
      </c>
      <c r="G18" s="124" t="n">
        <v>4460084042</v>
      </c>
      <c r="H18" s="604" t="inlineStr">
        <is>
          <t>Розетка АБС (7 контактов)</t>
        </is>
      </c>
      <c r="I18" s="618" t="n">
        <v>0</v>
      </c>
      <c r="J18" s="618" t="n"/>
      <c r="K18" s="874" t="n"/>
      <c r="L18" s="618">
        <f>IF(K18="RUB",J18/ЮАНЬ,IF(K18="EUR",J18*ЕВРО/ЮАНЬ,""))</f>
        <v/>
      </c>
      <c r="M18" s="873" t="n"/>
      <c r="N18" s="871">
        <f>IF(BP18&gt;0,1,IF(BN18&gt;0,2,))</f>
        <v/>
      </c>
      <c r="O18" s="23" t="n">
        <v>2</v>
      </c>
      <c r="P18" s="24" t="n"/>
      <c r="Q18" s="25" t="n">
        <v>0</v>
      </c>
      <c r="R18" s="24" t="n"/>
      <c r="S18" s="23" t="n">
        <v>2</v>
      </c>
      <c r="T18" s="24" t="n"/>
      <c r="U18" s="307" t="n">
        <v>0</v>
      </c>
      <c r="V18" s="24" t="n"/>
      <c r="W18" s="23" t="n">
        <v>2</v>
      </c>
      <c r="X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18" s="25" t="n">
        <v>2</v>
      </c>
      <c r="Z18" s="24" t="n"/>
      <c r="AA18" s="23" t="n">
        <v>3</v>
      </c>
      <c r="AB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18" s="25" t="n">
        <v>0</v>
      </c>
      <c r="AD18" s="24" t="n"/>
      <c r="AE18" s="23" t="n">
        <v>3</v>
      </c>
      <c r="AF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18" s="307" t="n">
        <v>0</v>
      </c>
      <c r="AH18" s="24" t="n"/>
      <c r="AI18" s="23" t="n">
        <v>3</v>
      </c>
      <c r="AJ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18" s="25" t="n">
        <v>0</v>
      </c>
      <c r="AL18" s="24" t="n"/>
      <c r="AM18" s="23" t="n">
        <v>3</v>
      </c>
      <c r="AN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18" s="25" t="n">
        <v>0</v>
      </c>
      <c r="AP18" s="24" t="n"/>
      <c r="AQ18" s="23" t="n">
        <v>3</v>
      </c>
      <c r="AR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18" s="25" t="n">
        <v>0</v>
      </c>
      <c r="AT18" s="24" t="n"/>
      <c r="AU18" s="23" t="n">
        <v>3</v>
      </c>
      <c r="AV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18" s="25" t="n">
        <v>0</v>
      </c>
      <c r="AX18" s="24" t="n"/>
      <c r="AY18" s="23" t="n">
        <v>3</v>
      </c>
      <c r="AZ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18" s="25" t="n">
        <v>0</v>
      </c>
      <c r="BB18" s="24" t="n"/>
      <c r="BC18" s="23" t="n">
        <v>3</v>
      </c>
      <c r="BD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18" s="25" t="n">
        <v>0</v>
      </c>
      <c r="BF18" s="24" t="n"/>
      <c r="BG18" s="23" t="n">
        <v>3</v>
      </c>
      <c r="BH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18" s="25" t="n">
        <v>0</v>
      </c>
      <c r="BJ18" s="24" t="n"/>
      <c r="BK18" s="340" t="n"/>
      <c r="BL18" s="803">
        <f>SUMPRODUCT(--(MOD(COLUMN($O18:$AL18),4)=MOD(COLUMN($O18)+0,4)),$O18:$AL18)
+SUMPRODUCT(--(MOD(COLUMN($AM18:$BJ18),4)=MOD(COLUMN($AM18)+0,4)),$AM18:$BJ18)</f>
        <v/>
      </c>
      <c r="BM18" s="803">
        <f>SUMPRODUCT(--(MOD(COLUMN($O18:$AL18),4)=MOD(COLUMN($O18)+0,4)),$O18:$AL18)*
$I18+SUMPRODUCT(--(MOD(COLUMN($AM18:$BJ18),4)=MOD(COLUMN($AM18)+0,4)),$AM18:$BJ18)*$I18</f>
        <v/>
      </c>
      <c r="BN18" s="805">
        <f>SUMPRODUCT(--(MOD(COLUMN($O18:$AL18),4)=MOD(COLUMN($O18)+1,4)),$O18:$AL18)
+SUMPRODUCT(--(MOD(COLUMN($AM18:$BJ18),4)=MOD(COLUMN($AM18)+1,4)),$AM18:$BJ18)</f>
        <v/>
      </c>
      <c r="BO18" s="806">
        <f>SUMPRODUCT(--(MOD(COLUMN($O18:$AL18),4)=MOD(COLUMN($O18)+1,4)),$O18:$AL18)*
$I18+SUMPRODUCT(--(MOD(COLUMN($AM18:$BJ18),4)=MOD(COLUMN($AM18)+1,4)),$AM18:$BJ18)*$I18</f>
        <v/>
      </c>
      <c r="BP18" s="807">
        <f>SUMPRODUCT(--(MOD(COLUMN($O18:$AL18),4)=MOD(COLUMN($O18)+2,4)),$O18:$AL18)
+SUMPRODUCT(--(MOD(COLUMN($AM18:$BJ18),4)=MOD(COLUMN($AM18)+2,4)),$AM18:$BJ18)</f>
        <v/>
      </c>
      <c r="BQ18" s="808">
        <f>SUMPRODUCT(--(MOD(COLUMN($O18:$AL18),4)=MOD(COLUMN($O18)+2,4)),$O18:$AL18)*
$I18+SUMPRODUCT(--(MOD(COLUMN($AM18:$BJ18),4)=MOD(COLUMN($AM18)+2,4)),$AM18:$BJ18)*$I18</f>
        <v/>
      </c>
      <c r="BR18" s="801" t="n"/>
      <c r="BS18" s="819" t="n"/>
      <c r="BT18" s="23" t="n"/>
      <c r="BU18" s="24" t="n"/>
      <c r="BV18" s="25" t="n"/>
      <c r="BW18" s="24" t="n"/>
      <c r="BX18" s="23" t="n"/>
      <c r="BY18" s="24" t="n"/>
      <c r="BZ18" s="25" t="n"/>
      <c r="CA18" s="24" t="n"/>
      <c r="CB18" s="23" t="n"/>
      <c r="CC18" s="24" t="n"/>
      <c r="CD18" s="25" t="n"/>
      <c r="CE18" s="24" t="n"/>
      <c r="CF18" s="23" t="n"/>
      <c r="CG18" s="24" t="n"/>
      <c r="CH18" s="25" t="n"/>
      <c r="CI18" s="24" t="n"/>
      <c r="CJ18" s="23" t="n"/>
      <c r="CK18" s="24" t="n"/>
      <c r="CL18" s="25" t="n"/>
      <c r="CM18" s="24" t="n"/>
      <c r="CN18" s="23" t="n"/>
      <c r="CO18" s="24" t="n"/>
      <c r="CP18" s="25" t="n"/>
      <c r="CQ18" s="24" t="n"/>
      <c r="CR18" s="23" t="n"/>
      <c r="CS18" s="24" t="n"/>
      <c r="CT18" s="25" t="n"/>
      <c r="CU18" s="24" t="n"/>
      <c r="CV18" s="23" t="n"/>
      <c r="CW18" s="24" t="n"/>
      <c r="CX18" s="25" t="n"/>
      <c r="CY18" s="24" t="n"/>
      <c r="CZ18" s="23" t="n"/>
      <c r="DA18" s="24" t="n"/>
      <c r="DB18" s="25" t="n"/>
      <c r="DC18" s="24" t="n"/>
      <c r="DD18" s="23" t="n"/>
      <c r="DE18" s="24" t="n"/>
      <c r="DF18" s="25" t="n"/>
      <c r="DG18" s="24" t="n"/>
      <c r="DH18" s="23" t="n"/>
      <c r="DI18" s="24" t="n"/>
      <c r="DJ18" s="25" t="n"/>
      <c r="DK18" s="24" t="n"/>
      <c r="DL18" s="23" t="n"/>
      <c r="DM18" s="24" t="n"/>
      <c r="DN18" s="25" t="n"/>
      <c r="DO18" s="24" t="n"/>
      <c r="DP18" s="340" t="n"/>
      <c r="DQ18" s="803">
        <f>SUMPRODUCT(--(MOD(COLUMN(BT18:CQ18),4)=MOD(COLUMN(BT18),4)),BT18:CQ18)+SUMPRODUCT(--(MOD(COLUMN(CR18:DO18),4)=MOD(COLUMN(CR18),4)),CR18:DO18)</f>
        <v/>
      </c>
      <c r="DR18" s="803">
        <f>SUMPRODUCT(--(MOD(COLUMN(BT18:CQ18),4)=MOD(COLUMN(BT18),4)),BT18:CQ18)*$I18+SUMPRODUCT(--(MOD(COLUMN(CR18:DO18),4)=MOD(COLUMN(CR18),4)),CR18:DO18)*$I18</f>
        <v/>
      </c>
      <c r="DS18" s="801" t="n"/>
      <c r="DT18" s="819" t="n"/>
      <c r="DU18" s="23" t="n"/>
      <c r="DV18" s="24" t="n"/>
      <c r="DW18" s="25" t="n"/>
      <c r="DX18" s="24" t="n"/>
      <c r="DY18" s="23" t="n"/>
      <c r="DZ18" s="24" t="n"/>
      <c r="EA18" s="25" t="n"/>
      <c r="EB18" s="24" t="n"/>
      <c r="EC18" s="23" t="n"/>
      <c r="ED18" s="24" t="n"/>
      <c r="EE18" s="25" t="n"/>
      <c r="EF18" s="24" t="n"/>
      <c r="EG18" s="23" t="n"/>
      <c r="EH18" s="24" t="n"/>
      <c r="EI18" s="25" t="n"/>
      <c r="EJ18" s="24" t="n"/>
      <c r="EK18" s="23" t="n"/>
      <c r="EL18" s="24" t="n"/>
      <c r="EM18" s="25" t="n"/>
      <c r="EN18" s="24" t="n"/>
      <c r="EO18" s="23" t="n"/>
      <c r="EP18" s="24" t="n"/>
      <c r="EQ18" s="25" t="n"/>
      <c r="ER18" s="24" t="n"/>
      <c r="ES18" s="23" t="n"/>
      <c r="ET18" s="24" t="n"/>
      <c r="EU18" s="25" t="n"/>
      <c r="EV18" s="24" t="n"/>
      <c r="EW18" s="23" t="n"/>
      <c r="EX18" s="24" t="n"/>
      <c r="EY18" s="25" t="n"/>
      <c r="EZ18" s="24" t="n"/>
      <c r="FA18" s="23" t="n"/>
      <c r="FB18" s="24" t="n"/>
      <c r="FC18" s="25" t="n"/>
      <c r="FD18" s="24" t="n"/>
      <c r="FE18" s="23" t="n"/>
      <c r="FF18" s="24" t="n"/>
      <c r="FG18" s="25" t="n"/>
      <c r="FH18" s="24" t="n"/>
      <c r="FI18" s="23" t="n"/>
      <c r="FJ18" s="24" t="n"/>
      <c r="FK18" s="25" t="n"/>
      <c r="FL18" s="24" t="n"/>
      <c r="FM18" s="23" t="n"/>
      <c r="FN18" s="24" t="n"/>
      <c r="FO18" s="25" t="n"/>
      <c r="FP18" s="24" t="n"/>
      <c r="FQ18" s="340" t="n"/>
      <c r="FR18" s="803">
        <f>SUMPRODUCT(--(MOD(COLUMN(DU18:ER18),4)=MOD(COLUMN(DU18),4)),DU18:ER18)+SUMPRODUCT(--(MOD(COLUMN(ES18:FP18),4)=MOD(COLUMN(ES18),4)),ES18:FP18)</f>
        <v/>
      </c>
      <c r="FS18" s="803">
        <f>SUMPRODUCT(--(MOD(COLUMN(DU18:ER18),4)=MOD(COLUMN(DU18),4)),DU18:ER18)*$I18+SUMPRODUCT(--(MOD(COLUMN(ES18:FP18),4)=MOD(COLUMN(ES18),4)),ES18:FP18)*$I18</f>
        <v/>
      </c>
      <c r="FT18" s="360" t="n"/>
    </row>
    <row r="19" outlineLevel="2" customFormat="1" s="14">
      <c r="A19" s="56" t="inlineStr">
        <is>
          <t>УЛЬТРА ГРУПП ООО</t>
        </is>
      </c>
      <c r="B19" s="387" t="inlineStr">
        <is>
          <t>Предоплата 100%</t>
        </is>
      </c>
      <c r="C19" s="541" t="inlineStr">
        <is>
          <t>ВБК РУС</t>
        </is>
      </c>
      <c r="D19" s="565" t="inlineStr">
        <is>
          <t>Прасолов, Соловьёв</t>
        </is>
      </c>
      <c r="E19" s="10">
        <f>IF(ISBLANK(G19),"",IF($A$6:$A$330=$A19,COUNTIF($A$6:A19,$A19),""))</f>
        <v/>
      </c>
      <c r="F19" s="669" t="n">
        <v>2</v>
      </c>
      <c r="G19" s="127" t="n">
        <v>4493711800</v>
      </c>
      <c r="H19" s="605" t="inlineStr">
        <is>
          <t>Кабель питания, 18 м</t>
        </is>
      </c>
      <c r="I19" s="618" t="n">
        <v>0</v>
      </c>
      <c r="J19" s="618" t="n"/>
      <c r="K19" s="874" t="n"/>
      <c r="L19" s="618">
        <f>IF(K19="RUB",J19/ЮАНЬ,IF(K19="EUR",J19*ЕВРО/ЮАНЬ,""))</f>
        <v/>
      </c>
      <c r="M19" s="873" t="n"/>
      <c r="N19" s="871">
        <f>IF(BP19&gt;0,1,IF(BN19&gt;0,2,))</f>
        <v/>
      </c>
      <c r="O19" s="23" t="n">
        <v>2</v>
      </c>
      <c r="P19" s="24" t="n"/>
      <c r="Q19" s="25" t="n">
        <v>0</v>
      </c>
      <c r="R19" s="24" t="n"/>
      <c r="S19" s="23" t="n">
        <v>2</v>
      </c>
      <c r="T19" s="24" t="n"/>
      <c r="U19" s="307" t="n">
        <v>0</v>
      </c>
      <c r="V19" s="24" t="n"/>
      <c r="W19" s="23" t="n">
        <v>2</v>
      </c>
      <c r="X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19" s="25" t="n">
        <v>2</v>
      </c>
      <c r="Z19" s="24" t="n"/>
      <c r="AA19" s="23" t="n">
        <v>3</v>
      </c>
      <c r="AB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19" s="25" t="n">
        <v>0</v>
      </c>
      <c r="AD19" s="24" t="n"/>
      <c r="AE19" s="23" t="n">
        <v>3</v>
      </c>
      <c r="AF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19" s="307" t="n">
        <v>0</v>
      </c>
      <c r="AH19" s="24" t="n"/>
      <c r="AI19" s="23" t="n">
        <v>3</v>
      </c>
      <c r="AJ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19" s="25" t="n">
        <v>0</v>
      </c>
      <c r="AL19" s="24" t="n"/>
      <c r="AM19" s="23" t="n">
        <v>3</v>
      </c>
      <c r="AN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19" s="25" t="n">
        <v>0</v>
      </c>
      <c r="AP19" s="24" t="n"/>
      <c r="AQ19" s="23" t="n">
        <v>3</v>
      </c>
      <c r="AR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19" s="25" t="n">
        <v>0</v>
      </c>
      <c r="AT19" s="24" t="n"/>
      <c r="AU19" s="23" t="n">
        <v>3</v>
      </c>
      <c r="AV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19" s="25" t="n">
        <v>0</v>
      </c>
      <c r="AX19" s="24" t="n"/>
      <c r="AY19" s="23" t="n">
        <v>3</v>
      </c>
      <c r="AZ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19" s="25" t="n">
        <v>0</v>
      </c>
      <c r="BB19" s="24" t="n"/>
      <c r="BC19" s="23" t="n">
        <v>3</v>
      </c>
      <c r="BD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19" s="25" t="n">
        <v>0</v>
      </c>
      <c r="BF19" s="24" t="n"/>
      <c r="BG19" s="23" t="n">
        <v>3</v>
      </c>
      <c r="BH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19" s="25" t="n">
        <v>0</v>
      </c>
      <c r="BJ19" s="24" t="n"/>
      <c r="BK19" s="340" t="n"/>
      <c r="BL19" s="803">
        <f>SUMPRODUCT(--(MOD(COLUMN($O19:$AL19),4)=MOD(COLUMN($O19)+0,4)),$O19:$AL19)
+SUMPRODUCT(--(MOD(COLUMN($AM19:$BJ19),4)=MOD(COLUMN($AM19)+0,4)),$AM19:$BJ19)</f>
        <v/>
      </c>
      <c r="BM19" s="803">
        <f>SUMPRODUCT(--(MOD(COLUMN($O19:$AL19),4)=MOD(COLUMN($O19)+0,4)),$O19:$AL19)*
$I19+SUMPRODUCT(--(MOD(COLUMN($AM19:$BJ19),4)=MOD(COLUMN($AM19)+0,4)),$AM19:$BJ19)*$I19</f>
        <v/>
      </c>
      <c r="BN19" s="805">
        <f>SUMPRODUCT(--(MOD(COLUMN($O19:$AL19),4)=MOD(COLUMN($O19)+1,4)),$O19:$AL19)
+SUMPRODUCT(--(MOD(COLUMN($AM19:$BJ19),4)=MOD(COLUMN($AM19)+1,4)),$AM19:$BJ19)</f>
        <v/>
      </c>
      <c r="BO19" s="806">
        <f>SUMPRODUCT(--(MOD(COLUMN($O19:$AL19),4)=MOD(COLUMN($O19)+1,4)),$O19:$AL19)*
$I19+SUMPRODUCT(--(MOD(COLUMN($AM19:$BJ19),4)=MOD(COLUMN($AM19)+1,4)),$AM19:$BJ19)*$I19</f>
        <v/>
      </c>
      <c r="BP19" s="807">
        <f>SUMPRODUCT(--(MOD(COLUMN($O19:$AL19),4)=MOD(COLUMN($O19)+2,4)),$O19:$AL19)
+SUMPRODUCT(--(MOD(COLUMN($AM19:$BJ19),4)=MOD(COLUMN($AM19)+2,4)),$AM19:$BJ19)</f>
        <v/>
      </c>
      <c r="BQ19" s="808">
        <f>SUMPRODUCT(--(MOD(COLUMN($O19:$AL19),4)=MOD(COLUMN($O19)+2,4)),$O19:$AL19)*
$I19+SUMPRODUCT(--(MOD(COLUMN($AM19:$BJ19),4)=MOD(COLUMN($AM19)+2,4)),$AM19:$BJ19)*$I19</f>
        <v/>
      </c>
      <c r="BR19" s="801" t="n"/>
      <c r="BS19" s="819" t="n"/>
      <c r="BT19" s="23" t="n"/>
      <c r="BU19" s="24" t="n"/>
      <c r="BV19" s="25" t="n"/>
      <c r="BW19" s="24" t="n"/>
      <c r="BX19" s="23" t="n"/>
      <c r="BY19" s="24" t="n"/>
      <c r="BZ19" s="25" t="n"/>
      <c r="CA19" s="24" t="n"/>
      <c r="CB19" s="23" t="n"/>
      <c r="CC19" s="24" t="n"/>
      <c r="CD19" s="25" t="n"/>
      <c r="CE19" s="24" t="n"/>
      <c r="CF19" s="23" t="n"/>
      <c r="CG19" s="24" t="n"/>
      <c r="CH19" s="25" t="n"/>
      <c r="CI19" s="24" t="n"/>
      <c r="CJ19" s="23" t="n"/>
      <c r="CK19" s="24" t="n"/>
      <c r="CL19" s="25" t="n"/>
      <c r="CM19" s="24" t="n"/>
      <c r="CN19" s="23" t="n"/>
      <c r="CO19" s="24" t="n"/>
      <c r="CP19" s="25" t="n"/>
      <c r="CQ19" s="24" t="n"/>
      <c r="CR19" s="23" t="n"/>
      <c r="CS19" s="24" t="n"/>
      <c r="CT19" s="25" t="n"/>
      <c r="CU19" s="24" t="n"/>
      <c r="CV19" s="23" t="n"/>
      <c r="CW19" s="24" t="n"/>
      <c r="CX19" s="25" t="n"/>
      <c r="CY19" s="24" t="n"/>
      <c r="CZ19" s="23" t="n"/>
      <c r="DA19" s="24" t="n"/>
      <c r="DB19" s="25" t="n"/>
      <c r="DC19" s="24" t="n"/>
      <c r="DD19" s="23" t="n"/>
      <c r="DE19" s="24" t="n"/>
      <c r="DF19" s="25" t="n"/>
      <c r="DG19" s="24" t="n"/>
      <c r="DH19" s="23" t="n"/>
      <c r="DI19" s="24" t="n"/>
      <c r="DJ19" s="25" t="n"/>
      <c r="DK19" s="24" t="n"/>
      <c r="DL19" s="23" t="n"/>
      <c r="DM19" s="24" t="n"/>
      <c r="DN19" s="25" t="n"/>
      <c r="DO19" s="24" t="n"/>
      <c r="DP19" s="340" t="n"/>
      <c r="DQ19" s="803">
        <f>SUMPRODUCT(--(MOD(COLUMN(BT19:CQ19),4)=MOD(COLUMN(BT19),4)),BT19:CQ19)+SUMPRODUCT(--(MOD(COLUMN(CR19:DO19),4)=MOD(COLUMN(CR19),4)),CR19:DO19)</f>
        <v/>
      </c>
      <c r="DR19" s="803">
        <f>SUMPRODUCT(--(MOD(COLUMN(BT19:CQ19),4)=MOD(COLUMN(BT19),4)),BT19:CQ19)*$I19+SUMPRODUCT(--(MOD(COLUMN(CR19:DO19),4)=MOD(COLUMN(CR19),4)),CR19:DO19)*$I19</f>
        <v/>
      </c>
      <c r="DS19" s="801" t="n"/>
      <c r="DT19" s="819" t="n"/>
      <c r="DU19" s="23" t="n"/>
      <c r="DV19" s="24" t="n"/>
      <c r="DW19" s="25" t="n"/>
      <c r="DX19" s="24" t="n"/>
      <c r="DY19" s="23" t="n"/>
      <c r="DZ19" s="24" t="n"/>
      <c r="EA19" s="25" t="n"/>
      <c r="EB19" s="24" t="n"/>
      <c r="EC19" s="23" t="n"/>
      <c r="ED19" s="24" t="n"/>
      <c r="EE19" s="25" t="n"/>
      <c r="EF19" s="24" t="n"/>
      <c r="EG19" s="23" t="n"/>
      <c r="EH19" s="24" t="n"/>
      <c r="EI19" s="25" t="n"/>
      <c r="EJ19" s="24" t="n"/>
      <c r="EK19" s="23" t="n"/>
      <c r="EL19" s="24" t="n"/>
      <c r="EM19" s="25" t="n"/>
      <c r="EN19" s="24" t="n"/>
      <c r="EO19" s="23" t="n"/>
      <c r="EP19" s="24" t="n"/>
      <c r="EQ19" s="25" t="n"/>
      <c r="ER19" s="24" t="n"/>
      <c r="ES19" s="23" t="n"/>
      <c r="ET19" s="24" t="n"/>
      <c r="EU19" s="25" t="n"/>
      <c r="EV19" s="24" t="n"/>
      <c r="EW19" s="23" t="n"/>
      <c r="EX19" s="24" t="n"/>
      <c r="EY19" s="25" t="n"/>
      <c r="EZ19" s="24" t="n"/>
      <c r="FA19" s="23" t="n"/>
      <c r="FB19" s="24" t="n"/>
      <c r="FC19" s="25" t="n"/>
      <c r="FD19" s="24" t="n"/>
      <c r="FE19" s="23" t="n"/>
      <c r="FF19" s="24" t="n"/>
      <c r="FG19" s="25" t="n"/>
      <c r="FH19" s="24" t="n"/>
      <c r="FI19" s="23" t="n"/>
      <c r="FJ19" s="24" t="n"/>
      <c r="FK19" s="25" t="n"/>
      <c r="FL19" s="24" t="n"/>
      <c r="FM19" s="23" t="n"/>
      <c r="FN19" s="24" t="n"/>
      <c r="FO19" s="25" t="n"/>
      <c r="FP19" s="24" t="n"/>
      <c r="FQ19" s="340" t="n"/>
      <c r="FR19" s="803">
        <f>SUMPRODUCT(--(MOD(COLUMN(DU19:ER19),4)=MOD(COLUMN(DU19),4)),DU19:ER19)+SUMPRODUCT(--(MOD(COLUMN(ES19:FP19),4)=MOD(COLUMN(ES19),4)),ES19:FP19)</f>
        <v/>
      </c>
      <c r="FS19" s="803">
        <f>SUMPRODUCT(--(MOD(COLUMN(DU19:ER19),4)=MOD(COLUMN(DU19),4)),DU19:ER19)*$I19+SUMPRODUCT(--(MOD(COLUMN(ES19:FP19),4)=MOD(COLUMN(ES19),4)),ES19:FP19)*$I19</f>
        <v/>
      </c>
      <c r="FT19" s="360" t="n"/>
    </row>
    <row r="20" outlineLevel="2" customFormat="1" s="14">
      <c r="A20" s="375" t="inlineStr">
        <is>
          <t>УЛЬТРА ГРУПП ООО</t>
        </is>
      </c>
      <c r="B20" s="389" t="inlineStr">
        <is>
          <t>Предоплата 100%</t>
        </is>
      </c>
      <c r="C20" s="432" t="inlineStr">
        <is>
          <t>ВБК РУС</t>
        </is>
      </c>
      <c r="D20" s="575" t="inlineStr">
        <is>
          <t>Прасолов, Соловьёв</t>
        </is>
      </c>
      <c r="E20" s="284">
        <f>IF(ISBLANK(G20),"",IF($A$6:$A$330=$A20,COUNTIF($A$6:A20,$A20),""))</f>
        <v/>
      </c>
      <c r="F20" s="330" t="n">
        <v>1</v>
      </c>
      <c r="G20" s="331" t="n">
        <v>4491731200</v>
      </c>
      <c r="H20" s="606" t="inlineStr">
        <is>
          <t>Кабель питания, 12 м</t>
        </is>
      </c>
      <c r="I20" s="619" t="n">
        <v>0</v>
      </c>
      <c r="J20" s="619" t="n"/>
      <c r="K20" s="876" t="n"/>
      <c r="L20" s="619">
        <f>IF(K20="RUB",J20/ЮАНЬ,IF(K20="EUR",J20*ЕВРО/ЮАНЬ,""))</f>
        <v/>
      </c>
      <c r="M20" s="871" t="n"/>
      <c r="N20" s="871">
        <f>IF(BP20&gt;0,1,IF(BN20&gt;0,2,))</f>
        <v/>
      </c>
      <c r="O20" s="322" t="n">
        <v>0</v>
      </c>
      <c r="P20" s="408" t="n"/>
      <c r="Q20" s="307" t="n"/>
      <c r="R20" s="408" t="n"/>
      <c r="S20" s="322" t="n">
        <v>0</v>
      </c>
      <c r="T20" s="408" t="n"/>
      <c r="U20" s="307" t="n"/>
      <c r="V20" s="408" t="n"/>
      <c r="W20" s="322" t="n">
        <v>0</v>
      </c>
      <c r="X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20" s="307">
        <f>SUMPRODUCT((Комплекты[Пр]=ПНЕВМАТИКА!$F20)*(Комплекты[Обозначение]=ПНЕВМАТИКА!$G20)*Комплекты[Кол-во]*(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/>
      </c>
      <c r="Z20" s="408" t="n"/>
      <c r="AA20" s="322" t="n">
        <v>0</v>
      </c>
      <c r="AB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20" s="307" t="n"/>
      <c r="AD20" s="408" t="n"/>
      <c r="AE20" s="322" t="n">
        <v>0</v>
      </c>
      <c r="AF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20" s="307">
        <f>SUMPRODUCT((Комплекты[Пр]=ПНЕВМАТИКА!$F20)*(Комплекты[Обозначение]=ПНЕВМАТИКА!$G20)*Комплекты[Кол-во]*(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/>
      </c>
      <c r="AH20" s="408" t="n"/>
      <c r="AI20" s="322" t="n">
        <v>0</v>
      </c>
      <c r="AJ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20" s="307" t="n"/>
      <c r="AL20" s="408" t="n"/>
      <c r="AM20" s="322" t="n">
        <v>0</v>
      </c>
      <c r="AN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20" s="307" t="n"/>
      <c r="AP20" s="408" t="n"/>
      <c r="AQ20" s="322" t="n">
        <v>0</v>
      </c>
      <c r="AR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20" s="307" t="n"/>
      <c r="AT20" s="408" t="n"/>
      <c r="AU20" s="322" t="n">
        <v>0</v>
      </c>
      <c r="AV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20" s="307" t="n"/>
      <c r="AX20" s="408" t="n"/>
      <c r="AY20" s="322" t="n">
        <v>0</v>
      </c>
      <c r="AZ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20" s="307" t="n"/>
      <c r="BB20" s="408" t="n"/>
      <c r="BC20" s="322" t="n">
        <v>0</v>
      </c>
      <c r="BD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20" s="307" t="n"/>
      <c r="BF20" s="408" t="n"/>
      <c r="BG20" s="322" t="n">
        <v>0</v>
      </c>
      <c r="BH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20" s="307" t="n"/>
      <c r="BJ20" s="408" t="n"/>
      <c r="BK20" s="340" t="n"/>
      <c r="BL20" s="820">
        <f>SUMPRODUCT(--(MOD(COLUMN($O20:$AL20),4)=MOD(COLUMN($O20)+0,4)),$O20:$AL20)
+SUMPRODUCT(--(MOD(COLUMN($AM20:$BJ20),4)=MOD(COLUMN($AM20)+0,4)),$AM20:$BJ20)</f>
        <v/>
      </c>
      <c r="BM20" s="820">
        <f>SUMPRODUCT(--(MOD(COLUMN($O20:$AL20),4)=MOD(COLUMN($O20)+0,4)),$O20:$AL20)*
$I20+SUMPRODUCT(--(MOD(COLUMN($AM20:$BJ20),4)=MOD(COLUMN($AM20)+0,4)),$AM20:$BJ20)*$I20</f>
        <v/>
      </c>
      <c r="BN20" s="822">
        <f>SUMPRODUCT(--(MOD(COLUMN($O20:$AL20),4)=MOD(COLUMN($O20)+1,4)),$O20:$AL20)
+SUMPRODUCT(--(MOD(COLUMN($AM20:$BJ20),4)=MOD(COLUMN($AM20)+1,4)),$AM20:$BJ20)</f>
        <v/>
      </c>
      <c r="BO20" s="823">
        <f>SUMPRODUCT(--(MOD(COLUMN($O20:$AL20),4)=MOD(COLUMN($O20)+1,4)),$O20:$AL20)*
$I20+SUMPRODUCT(--(MOD(COLUMN($AM20:$BJ20),4)=MOD(COLUMN($AM20)+1,4)),$AM20:$BJ20)*$I20</f>
        <v/>
      </c>
      <c r="BP20" s="824">
        <f>SUMPRODUCT(--(MOD(COLUMN($O20:$AL20),4)=MOD(COLUMN($O20)+2,4)),$O20:$AL20)
+SUMPRODUCT(--(MOD(COLUMN($AM20:$BJ20),4)=MOD(COLUMN($AM20)+2,4)),$AM20:$BJ20)</f>
        <v/>
      </c>
      <c r="BQ20" s="825">
        <f>SUMPRODUCT(--(MOD(COLUMN($O20:$AL20),4)=MOD(COLUMN($O20)+2,4)),$O20:$AL20)*
$I20+SUMPRODUCT(--(MOD(COLUMN($AM20:$BJ20),4)=MOD(COLUMN($AM20)+2,4)),$AM20:$BJ20)*$I20</f>
        <v/>
      </c>
      <c r="BR20" s="819" t="n"/>
      <c r="BS20" s="819" t="n"/>
      <c r="BT20" s="322" t="n"/>
      <c r="BU20" s="408" t="n"/>
      <c r="BV20" s="307" t="n"/>
      <c r="BW20" s="408" t="n"/>
      <c r="BX20" s="322" t="n"/>
      <c r="BY20" s="408" t="n"/>
      <c r="BZ20" s="307" t="n"/>
      <c r="CA20" s="408" t="n"/>
      <c r="CB20" s="322" t="n"/>
      <c r="CC20" s="408" t="n"/>
      <c r="CD20" s="307" t="n"/>
      <c r="CE20" s="408" t="n"/>
      <c r="CF20" s="322" t="n"/>
      <c r="CG20" s="408" t="n"/>
      <c r="CH20" s="307" t="n"/>
      <c r="CI20" s="408" t="n"/>
      <c r="CJ20" s="322" t="n"/>
      <c r="CK20" s="408" t="n"/>
      <c r="CL20" s="307" t="n"/>
      <c r="CM20" s="408" t="n"/>
      <c r="CN20" s="322" t="n"/>
      <c r="CO20" s="408" t="n"/>
      <c r="CP20" s="307" t="n"/>
      <c r="CQ20" s="408" t="n"/>
      <c r="CR20" s="322" t="n"/>
      <c r="CS20" s="408" t="n"/>
      <c r="CT20" s="307" t="n"/>
      <c r="CU20" s="408" t="n"/>
      <c r="CV20" s="322" t="n"/>
      <c r="CW20" s="408" t="n"/>
      <c r="CX20" s="307" t="n"/>
      <c r="CY20" s="408" t="n"/>
      <c r="CZ20" s="322" t="n"/>
      <c r="DA20" s="408" t="n"/>
      <c r="DB20" s="307" t="n"/>
      <c r="DC20" s="408" t="n"/>
      <c r="DD20" s="322" t="n"/>
      <c r="DE20" s="408" t="n"/>
      <c r="DF20" s="307" t="n"/>
      <c r="DG20" s="408" t="n"/>
      <c r="DH20" s="322" t="n"/>
      <c r="DI20" s="408" t="n"/>
      <c r="DJ20" s="307" t="n"/>
      <c r="DK20" s="408" t="n"/>
      <c r="DL20" s="322" t="n"/>
      <c r="DM20" s="408" t="n"/>
      <c r="DN20" s="307" t="n"/>
      <c r="DO20" s="408" t="n"/>
      <c r="DP20" s="340" t="n"/>
      <c r="DQ20" s="820">
        <f>SUMPRODUCT(--(MOD(COLUMN(BT20:CQ20),4)=MOD(COLUMN(BT20),4)),BT20:CQ20)+SUMPRODUCT(--(MOD(COLUMN(CR20:DO20),4)=MOD(COLUMN(CR20),4)),CR20:DO20)</f>
        <v/>
      </c>
      <c r="DR20" s="820">
        <f>SUMPRODUCT(--(MOD(COLUMN(BT20:CQ20),4)=MOD(COLUMN(BT20),4)),BT20:CQ20)*$I20+SUMPRODUCT(--(MOD(COLUMN(CR20:DO20),4)=MOD(COLUMN(CR20),4)),CR20:DO20)*$I20</f>
        <v/>
      </c>
      <c r="DS20" s="819" t="n"/>
      <c r="DT20" s="819" t="n"/>
      <c r="DU20" s="322" t="n"/>
      <c r="DV20" s="408" t="n"/>
      <c r="DW20" s="307" t="n"/>
      <c r="DX20" s="408" t="n"/>
      <c r="DY20" s="322" t="n"/>
      <c r="DZ20" s="408" t="n"/>
      <c r="EA20" s="307" t="n"/>
      <c r="EB20" s="408" t="n"/>
      <c r="EC20" s="322" t="n"/>
      <c r="ED20" s="408" t="n"/>
      <c r="EE20" s="307" t="n"/>
      <c r="EF20" s="408" t="n"/>
      <c r="EG20" s="322" t="n"/>
      <c r="EH20" s="408" t="n"/>
      <c r="EI20" s="307" t="n"/>
      <c r="EJ20" s="408" t="n"/>
      <c r="EK20" s="322" t="n"/>
      <c r="EL20" s="408" t="n"/>
      <c r="EM20" s="307" t="n"/>
      <c r="EN20" s="408" t="n"/>
      <c r="EO20" s="322" t="n"/>
      <c r="EP20" s="408" t="n"/>
      <c r="EQ20" s="307" t="n"/>
      <c r="ER20" s="408" t="n"/>
      <c r="ES20" s="322" t="n"/>
      <c r="ET20" s="408" t="n"/>
      <c r="EU20" s="307" t="n"/>
      <c r="EV20" s="408" t="n"/>
      <c r="EW20" s="322" t="n"/>
      <c r="EX20" s="408" t="n"/>
      <c r="EY20" s="307" t="n"/>
      <c r="EZ20" s="408" t="n"/>
      <c r="FA20" s="322" t="n"/>
      <c r="FB20" s="408" t="n"/>
      <c r="FC20" s="307" t="n"/>
      <c r="FD20" s="408" t="n"/>
      <c r="FE20" s="322" t="n"/>
      <c r="FF20" s="408" t="n"/>
      <c r="FG20" s="307" t="n"/>
      <c r="FH20" s="408" t="n"/>
      <c r="FI20" s="322" t="n"/>
      <c r="FJ20" s="408" t="n"/>
      <c r="FK20" s="307" t="n"/>
      <c r="FL20" s="408" t="n"/>
      <c r="FM20" s="322" t="n"/>
      <c r="FN20" s="408" t="n"/>
      <c r="FO20" s="307" t="n"/>
      <c r="FP20" s="408" t="n"/>
      <c r="FQ20" s="340" t="n"/>
      <c r="FR20" s="820">
        <f>SUMPRODUCT(--(MOD(COLUMN(DU20:ER20),4)=MOD(COLUMN(DU20),4)),DU20:ER20)+SUMPRODUCT(--(MOD(COLUMN(ES20:FP20),4)=MOD(COLUMN(ES20),4)),ES20:FP20)</f>
        <v/>
      </c>
      <c r="FS20" s="820">
        <f>SUMPRODUCT(--(MOD(COLUMN(DU20:ER20),4)=MOD(COLUMN(DU20),4)),DU20:ER20)*$I20+SUMPRODUCT(--(MOD(COLUMN(ES20:FP20),4)=MOD(COLUMN(ES20),4)),ES20:FP20)*$I20</f>
        <v/>
      </c>
      <c r="FT20" s="360" t="n"/>
    </row>
    <row r="21" outlineLevel="2" customFormat="1" s="14">
      <c r="A21" s="56" t="inlineStr">
        <is>
          <t>УЛЬТРА ГРУПП ООО</t>
        </is>
      </c>
      <c r="B21" s="387" t="inlineStr">
        <is>
          <t>Предоплата 100%</t>
        </is>
      </c>
      <c r="C21" s="541" t="inlineStr">
        <is>
          <t>ВБК РУС</t>
        </is>
      </c>
      <c r="D21" s="565" t="inlineStr">
        <is>
          <t>Прасолов, Соловьёв</t>
        </is>
      </c>
      <c r="E21" s="10">
        <f>IF(ISBLANK(G21),"",IF($A$6:$A$330=$A21,COUNTIF($A$6:A21,$A21),""))</f>
        <v/>
      </c>
      <c r="F21" s="123" t="n">
        <v>1</v>
      </c>
      <c r="G21" s="124" t="n">
        <v>4497230500</v>
      </c>
      <c r="H21" s="604" t="inlineStr">
        <is>
          <t>Кабель датчика, 5 м</t>
        </is>
      </c>
      <c r="I21" s="618" t="n">
        <v>0</v>
      </c>
      <c r="J21" s="618" t="n"/>
      <c r="K21" s="874" t="n"/>
      <c r="L21" s="618">
        <f>IF(K21="RUB",J21/ЮАНЬ,IF(K21="EUR",J21*ЕВРО/ЮАНЬ,""))</f>
        <v/>
      </c>
      <c r="M21" s="873" t="n"/>
      <c r="N21" s="871">
        <f>IF(BP21&gt;0,1,IF(BN21&gt;0,2,))</f>
        <v/>
      </c>
      <c r="O21" s="23" t="n">
        <v>4</v>
      </c>
      <c r="P21" s="24" t="n"/>
      <c r="Q21" s="25" t="n">
        <v>0</v>
      </c>
      <c r="R21" s="24" t="n"/>
      <c r="S21" s="23" t="n">
        <v>4</v>
      </c>
      <c r="T21" s="24" t="n"/>
      <c r="U21" s="307" t="n">
        <v>0</v>
      </c>
      <c r="V21" s="24" t="n"/>
      <c r="W21" s="23" t="n">
        <v>4</v>
      </c>
      <c r="X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21" s="25" t="n">
        <v>4</v>
      </c>
      <c r="Z21" s="24" t="n"/>
      <c r="AA21" s="23" t="n">
        <v>6</v>
      </c>
      <c r="AB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21" s="25" t="n">
        <v>0</v>
      </c>
      <c r="AD21" s="24" t="n"/>
      <c r="AE21" s="23" t="n">
        <v>6</v>
      </c>
      <c r="AF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21" s="307" t="n">
        <v>0</v>
      </c>
      <c r="AH21" s="24" t="n"/>
      <c r="AI21" s="23" t="n">
        <v>6</v>
      </c>
      <c r="AJ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21" s="25" t="n">
        <v>0</v>
      </c>
      <c r="AL21" s="24" t="n"/>
      <c r="AM21" s="23" t="n">
        <v>6</v>
      </c>
      <c r="AN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21" s="25" t="n">
        <v>0</v>
      </c>
      <c r="AP21" s="24" t="n"/>
      <c r="AQ21" s="23" t="n">
        <v>6</v>
      </c>
      <c r="AR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21" s="25" t="n">
        <v>0</v>
      </c>
      <c r="AT21" s="24" t="n"/>
      <c r="AU21" s="23" t="n">
        <v>6</v>
      </c>
      <c r="AV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21" s="25" t="n">
        <v>0</v>
      </c>
      <c r="AX21" s="24" t="n"/>
      <c r="AY21" s="23" t="n">
        <v>6</v>
      </c>
      <c r="AZ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21" s="25" t="n">
        <v>0</v>
      </c>
      <c r="BB21" s="24" t="n"/>
      <c r="BC21" s="23" t="n">
        <v>6</v>
      </c>
      <c r="BD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21" s="25" t="n">
        <v>0</v>
      </c>
      <c r="BF21" s="24" t="n"/>
      <c r="BG21" s="23" t="n">
        <v>6</v>
      </c>
      <c r="BH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21" s="25" t="n">
        <v>0</v>
      </c>
      <c r="BJ21" s="24" t="n"/>
      <c r="BK21" s="340" t="n"/>
      <c r="BL21" s="803">
        <f>SUMPRODUCT(--(MOD(COLUMN($O21:$AL21),4)=MOD(COLUMN($O21)+0,4)),$O21:$AL21)
+SUMPRODUCT(--(MOD(COLUMN($AM21:$BJ21),4)=MOD(COLUMN($AM21)+0,4)),$AM21:$BJ21)</f>
        <v/>
      </c>
      <c r="BM21" s="803">
        <f>SUMPRODUCT(--(MOD(COLUMN($O21:$AL21),4)=MOD(COLUMN($O21)+0,4)),$O21:$AL21)*
$I21+SUMPRODUCT(--(MOD(COLUMN($AM21:$BJ21),4)=MOD(COLUMN($AM21)+0,4)),$AM21:$BJ21)*$I21</f>
        <v/>
      </c>
      <c r="BN21" s="805">
        <f>SUMPRODUCT(--(MOD(COLUMN($O21:$AL21),4)=MOD(COLUMN($O21)+1,4)),$O21:$AL21)
+SUMPRODUCT(--(MOD(COLUMN($AM21:$BJ21),4)=MOD(COLUMN($AM21)+1,4)),$AM21:$BJ21)</f>
        <v/>
      </c>
      <c r="BO21" s="806">
        <f>SUMPRODUCT(--(MOD(COLUMN($O21:$AL21),4)=MOD(COLUMN($O21)+1,4)),$O21:$AL21)*
$I21+SUMPRODUCT(--(MOD(COLUMN($AM21:$BJ21),4)=MOD(COLUMN($AM21)+1,4)),$AM21:$BJ21)*$I21</f>
        <v/>
      </c>
      <c r="BP21" s="807">
        <f>SUMPRODUCT(--(MOD(COLUMN($O21:$AL21),4)=MOD(COLUMN($O21)+2,4)),$O21:$AL21)
+SUMPRODUCT(--(MOD(COLUMN($AM21:$BJ21),4)=MOD(COLUMN($AM21)+2,4)),$AM21:$BJ21)</f>
        <v/>
      </c>
      <c r="BQ21" s="808">
        <f>SUMPRODUCT(--(MOD(COLUMN($O21:$AL21),4)=MOD(COLUMN($O21)+2,4)),$O21:$AL21)*
$I21+SUMPRODUCT(--(MOD(COLUMN($AM21:$BJ21),4)=MOD(COLUMN($AM21)+2,4)),$AM21:$BJ21)*$I21</f>
        <v/>
      </c>
      <c r="BR21" s="801" t="n"/>
      <c r="BS21" s="819" t="n"/>
      <c r="BT21" s="23" t="n"/>
      <c r="BU21" s="24" t="n"/>
      <c r="BV21" s="25" t="n"/>
      <c r="BW21" s="24" t="n"/>
      <c r="BX21" s="23" t="n"/>
      <c r="BY21" s="24" t="n"/>
      <c r="BZ21" s="25" t="n"/>
      <c r="CA21" s="24" t="n"/>
      <c r="CB21" s="23" t="n"/>
      <c r="CC21" s="24" t="n"/>
      <c r="CD21" s="25" t="n"/>
      <c r="CE21" s="24" t="n"/>
      <c r="CF21" s="23" t="n"/>
      <c r="CG21" s="24" t="n"/>
      <c r="CH21" s="25" t="n"/>
      <c r="CI21" s="24" t="n"/>
      <c r="CJ21" s="23" t="n"/>
      <c r="CK21" s="24" t="n"/>
      <c r="CL21" s="25" t="n"/>
      <c r="CM21" s="24" t="n"/>
      <c r="CN21" s="23" t="n"/>
      <c r="CO21" s="24" t="n"/>
      <c r="CP21" s="25" t="n"/>
      <c r="CQ21" s="24" t="n"/>
      <c r="CR21" s="23" t="n"/>
      <c r="CS21" s="24" t="n"/>
      <c r="CT21" s="25" t="n"/>
      <c r="CU21" s="24" t="n"/>
      <c r="CV21" s="23" t="n"/>
      <c r="CW21" s="24" t="n"/>
      <c r="CX21" s="25" t="n"/>
      <c r="CY21" s="24" t="n"/>
      <c r="CZ21" s="23" t="n"/>
      <c r="DA21" s="24" t="n"/>
      <c r="DB21" s="25" t="n"/>
      <c r="DC21" s="24" t="n"/>
      <c r="DD21" s="23" t="n"/>
      <c r="DE21" s="24" t="n"/>
      <c r="DF21" s="25" t="n"/>
      <c r="DG21" s="24" t="n"/>
      <c r="DH21" s="23" t="n"/>
      <c r="DI21" s="24" t="n"/>
      <c r="DJ21" s="25" t="n"/>
      <c r="DK21" s="24" t="n"/>
      <c r="DL21" s="23" t="n"/>
      <c r="DM21" s="24" t="n"/>
      <c r="DN21" s="25" t="n"/>
      <c r="DO21" s="24" t="n"/>
      <c r="DP21" s="340" t="n"/>
      <c r="DQ21" s="803">
        <f>SUMPRODUCT(--(MOD(COLUMN(BT21:CQ21),4)=MOD(COLUMN(BT21),4)),BT21:CQ21)+SUMPRODUCT(--(MOD(COLUMN(CR21:DO21),4)=MOD(COLUMN(CR21),4)),CR21:DO21)</f>
        <v/>
      </c>
      <c r="DR21" s="803">
        <f>SUMPRODUCT(--(MOD(COLUMN(BT21:CQ21),4)=MOD(COLUMN(BT21),4)),BT21:CQ21)*$I21+SUMPRODUCT(--(MOD(COLUMN(CR21:DO21),4)=MOD(COLUMN(CR21),4)),CR21:DO21)*$I21</f>
        <v/>
      </c>
      <c r="DS21" s="801" t="n"/>
      <c r="DT21" s="819" t="n"/>
      <c r="DU21" s="23" t="n"/>
      <c r="DV21" s="24" t="n"/>
      <c r="DW21" s="25" t="n"/>
      <c r="DX21" s="24" t="n"/>
      <c r="DY21" s="23" t="n"/>
      <c r="DZ21" s="24" t="n"/>
      <c r="EA21" s="25" t="n"/>
      <c r="EB21" s="24" t="n"/>
      <c r="EC21" s="23" t="n"/>
      <c r="ED21" s="24" t="n"/>
      <c r="EE21" s="25" t="n"/>
      <c r="EF21" s="24" t="n"/>
      <c r="EG21" s="23" t="n"/>
      <c r="EH21" s="24" t="n"/>
      <c r="EI21" s="25" t="n"/>
      <c r="EJ21" s="24" t="n"/>
      <c r="EK21" s="23" t="n"/>
      <c r="EL21" s="24" t="n"/>
      <c r="EM21" s="25" t="n"/>
      <c r="EN21" s="24" t="n"/>
      <c r="EO21" s="23" t="n"/>
      <c r="EP21" s="24" t="n"/>
      <c r="EQ21" s="25" t="n"/>
      <c r="ER21" s="24" t="n"/>
      <c r="ES21" s="23" t="n"/>
      <c r="ET21" s="24" t="n"/>
      <c r="EU21" s="25" t="n"/>
      <c r="EV21" s="24" t="n"/>
      <c r="EW21" s="23" t="n"/>
      <c r="EX21" s="24" t="n"/>
      <c r="EY21" s="25" t="n"/>
      <c r="EZ21" s="24" t="n"/>
      <c r="FA21" s="23" t="n"/>
      <c r="FB21" s="24" t="n"/>
      <c r="FC21" s="25" t="n"/>
      <c r="FD21" s="24" t="n"/>
      <c r="FE21" s="23" t="n"/>
      <c r="FF21" s="24" t="n"/>
      <c r="FG21" s="25" t="n"/>
      <c r="FH21" s="24" t="n"/>
      <c r="FI21" s="23" t="n"/>
      <c r="FJ21" s="24" t="n"/>
      <c r="FK21" s="25" t="n"/>
      <c r="FL21" s="24" t="n"/>
      <c r="FM21" s="23" t="n"/>
      <c r="FN21" s="24" t="n"/>
      <c r="FO21" s="25" t="n"/>
      <c r="FP21" s="24" t="n"/>
      <c r="FQ21" s="340" t="n"/>
      <c r="FR21" s="803">
        <f>SUMPRODUCT(--(MOD(COLUMN(DU21:ER21),4)=MOD(COLUMN(DU21),4)),DU21:ER21)+SUMPRODUCT(--(MOD(COLUMN(ES21:FP21),4)=MOD(COLUMN(ES21),4)),ES21:FP21)</f>
        <v/>
      </c>
      <c r="FS21" s="803">
        <f>SUMPRODUCT(--(MOD(COLUMN(DU21:ER21),4)=MOD(COLUMN(DU21),4)),DU21:ER21)*$I21+SUMPRODUCT(--(MOD(COLUMN(ES21:FP21),4)=MOD(COLUMN(ES21),4)),ES21:FP21)*$I21</f>
        <v/>
      </c>
      <c r="FT21" s="360" t="n"/>
    </row>
    <row r="22" outlineLevel="2" customFormat="1" s="14">
      <c r="A22" s="56" t="inlineStr">
        <is>
          <t>УЛЬТРА ГРУПП ООО</t>
        </is>
      </c>
      <c r="B22" s="387" t="inlineStr">
        <is>
          <t>Предоплата 100%</t>
        </is>
      </c>
      <c r="C22" s="541" t="inlineStr">
        <is>
          <t>ВБК РУС</t>
        </is>
      </c>
      <c r="D22" s="565" t="inlineStr">
        <is>
          <t>Прасолов, Соловьёв</t>
        </is>
      </c>
      <c r="E22" s="10">
        <f>IF(ISBLANK(G22),"",IF($A$6:$A$330=$A22,COUNTIF($A$6:A22,$A22),""))</f>
        <v/>
      </c>
      <c r="F22" s="123" t="n">
        <v>1</v>
      </c>
      <c r="G22" s="124" t="n">
        <v>4640061000</v>
      </c>
      <c r="H22" s="604" t="inlineStr">
        <is>
          <t>Кран уровня пола, 5-ти портовый</t>
        </is>
      </c>
      <c r="I22" s="618" t="n">
        <v>0</v>
      </c>
      <c r="J22" s="618" t="n"/>
      <c r="K22" s="874" t="n"/>
      <c r="L22" s="618">
        <f>IF(K22="RUB",J22/ЮАНЬ,IF(K22="EUR",J22*ЕВРО/ЮАНЬ,""))</f>
        <v/>
      </c>
      <c r="M22" s="873" t="n"/>
      <c r="N22" s="871">
        <f>IF(BP22&gt;0,1,IF(BN22&gt;0,2,))</f>
        <v/>
      </c>
      <c r="O22" s="23" t="n">
        <v>2</v>
      </c>
      <c r="P22" s="24" t="n"/>
      <c r="Q22" s="25" t="n">
        <v>0</v>
      </c>
      <c r="R22" s="24" t="n"/>
      <c r="S22" s="23" t="n">
        <v>2</v>
      </c>
      <c r="T22" s="24" t="n"/>
      <c r="U22" s="307" t="n">
        <v>0</v>
      </c>
      <c r="V22" s="24" t="n"/>
      <c r="W22" s="23" t="n">
        <v>2</v>
      </c>
      <c r="X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22" s="25" t="n">
        <v>2</v>
      </c>
      <c r="Z22" s="24" t="n"/>
      <c r="AA22" s="23" t="n">
        <v>3</v>
      </c>
      <c r="AB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22" s="25" t="n">
        <v>0</v>
      </c>
      <c r="AD22" s="24" t="n"/>
      <c r="AE22" s="23" t="n">
        <v>3</v>
      </c>
      <c r="AF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22" s="307" t="n">
        <v>0</v>
      </c>
      <c r="AH22" s="24" t="n"/>
      <c r="AI22" s="23" t="n">
        <v>3</v>
      </c>
      <c r="AJ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22" s="25" t="n">
        <v>0</v>
      </c>
      <c r="AL22" s="24" t="n"/>
      <c r="AM22" s="23" t="n">
        <v>3</v>
      </c>
      <c r="AN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22" s="25" t="n">
        <v>0</v>
      </c>
      <c r="AP22" s="24" t="n"/>
      <c r="AQ22" s="23" t="n">
        <v>3</v>
      </c>
      <c r="AR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22" s="25" t="n">
        <v>0</v>
      </c>
      <c r="AT22" s="24" t="n"/>
      <c r="AU22" s="23" t="n">
        <v>3</v>
      </c>
      <c r="AV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22" s="25" t="n">
        <v>0</v>
      </c>
      <c r="AX22" s="24" t="n"/>
      <c r="AY22" s="23" t="n">
        <v>3</v>
      </c>
      <c r="AZ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22" s="25" t="n">
        <v>0</v>
      </c>
      <c r="BB22" s="24" t="n"/>
      <c r="BC22" s="23" t="n">
        <v>3</v>
      </c>
      <c r="BD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22" s="25" t="n">
        <v>0</v>
      </c>
      <c r="BF22" s="24" t="n"/>
      <c r="BG22" s="23" t="n">
        <v>3</v>
      </c>
      <c r="BH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22" s="25" t="n">
        <v>0</v>
      </c>
      <c r="BJ22" s="24" t="n"/>
      <c r="BK22" s="340" t="n"/>
      <c r="BL22" s="803">
        <f>SUMPRODUCT(--(MOD(COLUMN($O22:$AL22),4)=MOD(COLUMN($O22)+0,4)),$O22:$AL22)
+SUMPRODUCT(--(MOD(COLUMN($AM22:$BJ22),4)=MOD(COLUMN($AM22)+0,4)),$AM22:$BJ22)</f>
        <v/>
      </c>
      <c r="BM22" s="803">
        <f>SUMPRODUCT(--(MOD(COLUMN($O22:$AL22),4)=MOD(COLUMN($O22)+0,4)),$O22:$AL22)*
$I22+SUMPRODUCT(--(MOD(COLUMN($AM22:$BJ22),4)=MOD(COLUMN($AM22)+0,4)),$AM22:$BJ22)*$I22</f>
        <v/>
      </c>
      <c r="BN22" s="805">
        <f>SUMPRODUCT(--(MOD(COLUMN($O22:$AL22),4)=MOD(COLUMN($O22)+1,4)),$O22:$AL22)
+SUMPRODUCT(--(MOD(COLUMN($AM22:$BJ22),4)=MOD(COLUMN($AM22)+1,4)),$AM22:$BJ22)</f>
        <v/>
      </c>
      <c r="BO22" s="806">
        <f>SUMPRODUCT(--(MOD(COLUMN($O22:$AL22),4)=MOD(COLUMN($O22)+1,4)),$O22:$AL22)*
$I22+SUMPRODUCT(--(MOD(COLUMN($AM22:$BJ22),4)=MOD(COLUMN($AM22)+1,4)),$AM22:$BJ22)*$I22</f>
        <v/>
      </c>
      <c r="BP22" s="807">
        <f>SUMPRODUCT(--(MOD(COLUMN($O22:$AL22),4)=MOD(COLUMN($O22)+2,4)),$O22:$AL22)
+SUMPRODUCT(--(MOD(COLUMN($AM22:$BJ22),4)=MOD(COLUMN($AM22)+2,4)),$AM22:$BJ22)</f>
        <v/>
      </c>
      <c r="BQ22" s="808">
        <f>SUMPRODUCT(--(MOD(COLUMN($O22:$AL22),4)=MOD(COLUMN($O22)+2,4)),$O22:$AL22)*
$I22+SUMPRODUCT(--(MOD(COLUMN($AM22:$BJ22),4)=MOD(COLUMN($AM22)+2,4)),$AM22:$BJ22)*$I22</f>
        <v/>
      </c>
      <c r="BR22" s="801" t="n"/>
      <c r="BS22" s="819" t="n"/>
      <c r="BT22" s="23" t="n"/>
      <c r="BU22" s="24" t="n"/>
      <c r="BV22" s="25" t="n"/>
      <c r="BW22" s="24" t="n"/>
      <c r="BX22" s="23" t="n"/>
      <c r="BY22" s="24" t="n"/>
      <c r="BZ22" s="25" t="n"/>
      <c r="CA22" s="24" t="n"/>
      <c r="CB22" s="23" t="n"/>
      <c r="CC22" s="24" t="n"/>
      <c r="CD22" s="25" t="n"/>
      <c r="CE22" s="24" t="n"/>
      <c r="CF22" s="23" t="n"/>
      <c r="CG22" s="24" t="n"/>
      <c r="CH22" s="25" t="n"/>
      <c r="CI22" s="24" t="n"/>
      <c r="CJ22" s="23" t="n"/>
      <c r="CK22" s="24" t="n"/>
      <c r="CL22" s="25" t="n"/>
      <c r="CM22" s="24" t="n"/>
      <c r="CN22" s="23" t="n"/>
      <c r="CO22" s="24" t="n"/>
      <c r="CP22" s="25" t="n"/>
      <c r="CQ22" s="24" t="n"/>
      <c r="CR22" s="23" t="n"/>
      <c r="CS22" s="24" t="n"/>
      <c r="CT22" s="25" t="n"/>
      <c r="CU22" s="24" t="n"/>
      <c r="CV22" s="23" t="n"/>
      <c r="CW22" s="24" t="n"/>
      <c r="CX22" s="25" t="n"/>
      <c r="CY22" s="24" t="n"/>
      <c r="CZ22" s="23" t="n"/>
      <c r="DA22" s="24" t="n"/>
      <c r="DB22" s="25" t="n"/>
      <c r="DC22" s="24" t="n"/>
      <c r="DD22" s="23" t="n"/>
      <c r="DE22" s="24" t="n"/>
      <c r="DF22" s="25" t="n"/>
      <c r="DG22" s="24" t="n"/>
      <c r="DH22" s="23" t="n"/>
      <c r="DI22" s="24" t="n"/>
      <c r="DJ22" s="25" t="n"/>
      <c r="DK22" s="24" t="n"/>
      <c r="DL22" s="23" t="n"/>
      <c r="DM22" s="24" t="n"/>
      <c r="DN22" s="25" t="n"/>
      <c r="DO22" s="24" t="n"/>
      <c r="DP22" s="340" t="n"/>
      <c r="DQ22" s="803">
        <f>SUMPRODUCT(--(MOD(COLUMN(BT22:CQ22),4)=MOD(COLUMN(BT22),4)),BT22:CQ22)+SUMPRODUCT(--(MOD(COLUMN(CR22:DO22),4)=MOD(COLUMN(CR22),4)),CR22:DO22)</f>
        <v/>
      </c>
      <c r="DR22" s="803">
        <f>SUMPRODUCT(--(MOD(COLUMN(BT22:CQ22),4)=MOD(COLUMN(BT22),4)),BT22:CQ22)*$I22+SUMPRODUCT(--(MOD(COLUMN(CR22:DO22),4)=MOD(COLUMN(CR22),4)),CR22:DO22)*$I22</f>
        <v/>
      </c>
      <c r="DS22" s="801" t="n"/>
      <c r="DT22" s="819" t="n"/>
      <c r="DU22" s="23" t="n"/>
      <c r="DV22" s="24" t="n"/>
      <c r="DW22" s="25" t="n"/>
      <c r="DX22" s="24" t="n"/>
      <c r="DY22" s="23" t="n"/>
      <c r="DZ22" s="24" t="n"/>
      <c r="EA22" s="25" t="n"/>
      <c r="EB22" s="24" t="n"/>
      <c r="EC22" s="23" t="n"/>
      <c r="ED22" s="24" t="n"/>
      <c r="EE22" s="25" t="n"/>
      <c r="EF22" s="24" t="n"/>
      <c r="EG22" s="23" t="n"/>
      <c r="EH22" s="24" t="n"/>
      <c r="EI22" s="25" t="n"/>
      <c r="EJ22" s="24" t="n"/>
      <c r="EK22" s="23" t="n"/>
      <c r="EL22" s="24" t="n"/>
      <c r="EM22" s="25" t="n"/>
      <c r="EN22" s="24" t="n"/>
      <c r="EO22" s="23" t="n"/>
      <c r="EP22" s="24" t="n"/>
      <c r="EQ22" s="25" t="n"/>
      <c r="ER22" s="24" t="n"/>
      <c r="ES22" s="23" t="n"/>
      <c r="ET22" s="24" t="n"/>
      <c r="EU22" s="25" t="n"/>
      <c r="EV22" s="24" t="n"/>
      <c r="EW22" s="23" t="n"/>
      <c r="EX22" s="24" t="n"/>
      <c r="EY22" s="25" t="n"/>
      <c r="EZ22" s="24" t="n"/>
      <c r="FA22" s="23" t="n"/>
      <c r="FB22" s="24" t="n"/>
      <c r="FC22" s="25" t="n"/>
      <c r="FD22" s="24" t="n"/>
      <c r="FE22" s="23" t="n"/>
      <c r="FF22" s="24" t="n"/>
      <c r="FG22" s="25" t="n"/>
      <c r="FH22" s="24" t="n"/>
      <c r="FI22" s="23" t="n"/>
      <c r="FJ22" s="24" t="n"/>
      <c r="FK22" s="25" t="n"/>
      <c r="FL22" s="24" t="n"/>
      <c r="FM22" s="23" t="n"/>
      <c r="FN22" s="24" t="n"/>
      <c r="FO22" s="25" t="n"/>
      <c r="FP22" s="24" t="n"/>
      <c r="FQ22" s="340" t="n"/>
      <c r="FR22" s="803">
        <f>SUMPRODUCT(--(MOD(COLUMN(DU22:ER22),4)=MOD(COLUMN(DU22),4)),DU22:ER22)+SUMPRODUCT(--(MOD(COLUMN(ES22:FP22),4)=MOD(COLUMN(ES22),4)),ES22:FP22)</f>
        <v/>
      </c>
      <c r="FS22" s="803">
        <f>SUMPRODUCT(--(MOD(COLUMN(DU22:ER22),4)=MOD(COLUMN(DU22),4)),DU22:ER22)*$I22+SUMPRODUCT(--(MOD(COLUMN(ES22:FP22),4)=MOD(COLUMN(ES22),4)),ES22:FP22)*$I22</f>
        <v/>
      </c>
      <c r="FT22" s="360" t="n"/>
    </row>
    <row r="23" outlineLevel="2" customFormat="1" s="14">
      <c r="A23" s="56" t="inlineStr">
        <is>
          <t>УЛЬТРА ГРУПП ООО</t>
        </is>
      </c>
      <c r="B23" s="387" t="inlineStr">
        <is>
          <t>Предоплата 100%</t>
        </is>
      </c>
      <c r="C23" s="541" t="inlineStr">
        <is>
          <t>ВБК РУС</t>
        </is>
      </c>
      <c r="D23" s="565" t="inlineStr">
        <is>
          <t>Прасолов, Соловьёв</t>
        </is>
      </c>
      <c r="E23" s="10">
        <f>IF(ISBLANK(G23),"",IF($A$6:$A$330=$A23,COUNTIF($A$6:A23,$A23),""))</f>
        <v/>
      </c>
      <c r="F23" s="123" t="n">
        <v>1</v>
      </c>
      <c r="G23" s="124" t="n">
        <v>4630320200</v>
      </c>
      <c r="H23" s="604" t="inlineStr">
        <is>
          <t>Кран ручного управления</t>
        </is>
      </c>
      <c r="I23" s="618" t="n">
        <v>0</v>
      </c>
      <c r="J23" s="618" t="n"/>
      <c r="K23" s="874" t="n"/>
      <c r="L23" s="618">
        <f>IF(K23="RUB",J23/ЮАНЬ,IF(K23="EUR",J23*ЕВРО/ЮАНЬ,""))</f>
        <v/>
      </c>
      <c r="M23" s="873" t="n"/>
      <c r="N23" s="871">
        <f>IF(BP23&gt;0,1,IF(BN23&gt;0,2,))</f>
        <v/>
      </c>
      <c r="O23" s="23" t="n">
        <v>2</v>
      </c>
      <c r="P23" s="24" t="n"/>
      <c r="Q23" s="25" t="n">
        <v>0</v>
      </c>
      <c r="R23" s="24" t="n"/>
      <c r="S23" s="23" t="n">
        <v>2</v>
      </c>
      <c r="T23" s="24" t="n"/>
      <c r="U23" s="307" t="n">
        <v>0</v>
      </c>
      <c r="V23" s="24" t="n"/>
      <c r="W23" s="23" t="n">
        <v>2</v>
      </c>
      <c r="X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23" s="25" t="n">
        <v>2</v>
      </c>
      <c r="Z23" s="24" t="n"/>
      <c r="AA23" s="23" t="n">
        <v>3</v>
      </c>
      <c r="AB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23" s="25" t="n">
        <v>0</v>
      </c>
      <c r="AD23" s="24" t="n"/>
      <c r="AE23" s="23" t="n">
        <v>3</v>
      </c>
      <c r="AF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23" s="307" t="n">
        <v>0</v>
      </c>
      <c r="AH23" s="24" t="n"/>
      <c r="AI23" s="23" t="n">
        <v>3</v>
      </c>
      <c r="AJ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23" s="25" t="n">
        <v>0</v>
      </c>
      <c r="AL23" s="24" t="n"/>
      <c r="AM23" s="23" t="n">
        <v>3</v>
      </c>
      <c r="AN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23" s="25" t="n">
        <v>0</v>
      </c>
      <c r="AP23" s="24" t="n"/>
      <c r="AQ23" s="23" t="n">
        <v>3</v>
      </c>
      <c r="AR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23" s="25" t="n">
        <v>0</v>
      </c>
      <c r="AT23" s="24" t="n"/>
      <c r="AU23" s="23" t="n">
        <v>3</v>
      </c>
      <c r="AV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23" s="25" t="n">
        <v>0</v>
      </c>
      <c r="AX23" s="24" t="n"/>
      <c r="AY23" s="23" t="n">
        <v>3</v>
      </c>
      <c r="AZ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23" s="25" t="n">
        <v>0</v>
      </c>
      <c r="BB23" s="24" t="n"/>
      <c r="BC23" s="23" t="n">
        <v>3</v>
      </c>
      <c r="BD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23" s="25" t="n">
        <v>0</v>
      </c>
      <c r="BF23" s="24" t="n"/>
      <c r="BG23" s="23" t="n">
        <v>3</v>
      </c>
      <c r="BH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23" s="25" t="n">
        <v>0</v>
      </c>
      <c r="BJ23" s="24" t="n"/>
      <c r="BK23" s="340" t="n"/>
      <c r="BL23" s="803">
        <f>SUMPRODUCT(--(MOD(COLUMN($O23:$AL23),4)=MOD(COLUMN($O23)+0,4)),$O23:$AL23)
+SUMPRODUCT(--(MOD(COLUMN($AM23:$BJ23),4)=MOD(COLUMN($AM23)+0,4)),$AM23:$BJ23)</f>
        <v/>
      </c>
      <c r="BM23" s="803">
        <f>SUMPRODUCT(--(MOD(COLUMN($O23:$AL23),4)=MOD(COLUMN($O23)+0,4)),$O23:$AL23)*
$I23+SUMPRODUCT(--(MOD(COLUMN($AM23:$BJ23),4)=MOD(COLUMN($AM23)+0,4)),$AM23:$BJ23)*$I23</f>
        <v/>
      </c>
      <c r="BN23" s="805">
        <f>SUMPRODUCT(--(MOD(COLUMN($O23:$AL23),4)=MOD(COLUMN($O23)+1,4)),$O23:$AL23)
+SUMPRODUCT(--(MOD(COLUMN($AM23:$BJ23),4)=MOD(COLUMN($AM23)+1,4)),$AM23:$BJ23)</f>
        <v/>
      </c>
      <c r="BO23" s="806">
        <f>SUMPRODUCT(--(MOD(COLUMN($O23:$AL23),4)=MOD(COLUMN($O23)+1,4)),$O23:$AL23)*
$I23+SUMPRODUCT(--(MOD(COLUMN($AM23:$BJ23),4)=MOD(COLUMN($AM23)+1,4)),$AM23:$BJ23)*$I23</f>
        <v/>
      </c>
      <c r="BP23" s="807">
        <f>SUMPRODUCT(--(MOD(COLUMN($O23:$AL23),4)=MOD(COLUMN($O23)+2,4)),$O23:$AL23)
+SUMPRODUCT(--(MOD(COLUMN($AM23:$BJ23),4)=MOD(COLUMN($AM23)+2,4)),$AM23:$BJ23)</f>
        <v/>
      </c>
      <c r="BQ23" s="808">
        <f>SUMPRODUCT(--(MOD(COLUMN($O23:$AL23),4)=MOD(COLUMN($O23)+2,4)),$O23:$AL23)*
$I23+SUMPRODUCT(--(MOD(COLUMN($AM23:$BJ23),4)=MOD(COLUMN($AM23)+2,4)),$AM23:$BJ23)*$I23</f>
        <v/>
      </c>
      <c r="BR23" s="801" t="n"/>
      <c r="BS23" s="819" t="n"/>
      <c r="BT23" s="23" t="n"/>
      <c r="BU23" s="24" t="n"/>
      <c r="BV23" s="25" t="n"/>
      <c r="BW23" s="24" t="n"/>
      <c r="BX23" s="23" t="n"/>
      <c r="BY23" s="24" t="n"/>
      <c r="BZ23" s="25" t="n"/>
      <c r="CA23" s="24" t="n"/>
      <c r="CB23" s="23" t="n"/>
      <c r="CC23" s="24" t="n"/>
      <c r="CD23" s="25" t="n"/>
      <c r="CE23" s="24" t="n"/>
      <c r="CF23" s="23" t="n"/>
      <c r="CG23" s="24" t="n"/>
      <c r="CH23" s="25" t="n"/>
      <c r="CI23" s="24" t="n"/>
      <c r="CJ23" s="23" t="n"/>
      <c r="CK23" s="24" t="n"/>
      <c r="CL23" s="25" t="n"/>
      <c r="CM23" s="24" t="n"/>
      <c r="CN23" s="23" t="n"/>
      <c r="CO23" s="24" t="n"/>
      <c r="CP23" s="25" t="n"/>
      <c r="CQ23" s="24" t="n"/>
      <c r="CR23" s="23" t="n"/>
      <c r="CS23" s="24" t="n"/>
      <c r="CT23" s="25" t="n"/>
      <c r="CU23" s="24" t="n"/>
      <c r="CV23" s="23" t="n"/>
      <c r="CW23" s="24" t="n"/>
      <c r="CX23" s="25" t="n"/>
      <c r="CY23" s="24" t="n"/>
      <c r="CZ23" s="23" t="n"/>
      <c r="DA23" s="24" t="n"/>
      <c r="DB23" s="25" t="n"/>
      <c r="DC23" s="24" t="n"/>
      <c r="DD23" s="23" t="n"/>
      <c r="DE23" s="24" t="n"/>
      <c r="DF23" s="25" t="n"/>
      <c r="DG23" s="24" t="n"/>
      <c r="DH23" s="23" t="n"/>
      <c r="DI23" s="24" t="n"/>
      <c r="DJ23" s="25" t="n"/>
      <c r="DK23" s="24" t="n"/>
      <c r="DL23" s="23" t="n"/>
      <c r="DM23" s="24" t="n"/>
      <c r="DN23" s="25" t="n"/>
      <c r="DO23" s="24" t="n"/>
      <c r="DP23" s="340" t="n"/>
      <c r="DQ23" s="803">
        <f>SUMPRODUCT(--(MOD(COLUMN(BT23:CQ23),4)=MOD(COLUMN(BT23),4)),BT23:CQ23)+SUMPRODUCT(--(MOD(COLUMN(CR23:DO23),4)=MOD(COLUMN(CR23),4)),CR23:DO23)</f>
        <v/>
      </c>
      <c r="DR23" s="803">
        <f>SUMPRODUCT(--(MOD(COLUMN(BT23:CQ23),4)=MOD(COLUMN(BT23),4)),BT23:CQ23)*$I23+SUMPRODUCT(--(MOD(COLUMN(CR23:DO23),4)=MOD(COLUMN(CR23),4)),CR23:DO23)*$I23</f>
        <v/>
      </c>
      <c r="DS23" s="801" t="n"/>
      <c r="DT23" s="819" t="n"/>
      <c r="DU23" s="23" t="n"/>
      <c r="DV23" s="24" t="n"/>
      <c r="DW23" s="25" t="n"/>
      <c r="DX23" s="24" t="n"/>
      <c r="DY23" s="23" t="n"/>
      <c r="DZ23" s="24" t="n"/>
      <c r="EA23" s="25" t="n"/>
      <c r="EB23" s="24" t="n"/>
      <c r="EC23" s="23" t="n"/>
      <c r="ED23" s="24" t="n"/>
      <c r="EE23" s="25" t="n"/>
      <c r="EF23" s="24" t="n"/>
      <c r="EG23" s="23" t="n"/>
      <c r="EH23" s="24" t="n"/>
      <c r="EI23" s="25" t="n"/>
      <c r="EJ23" s="24" t="n"/>
      <c r="EK23" s="23" t="n"/>
      <c r="EL23" s="24" t="n"/>
      <c r="EM23" s="25" t="n"/>
      <c r="EN23" s="24" t="n"/>
      <c r="EO23" s="23" t="n"/>
      <c r="EP23" s="24" t="n"/>
      <c r="EQ23" s="25" t="n"/>
      <c r="ER23" s="24" t="n"/>
      <c r="ES23" s="23" t="n"/>
      <c r="ET23" s="24" t="n"/>
      <c r="EU23" s="25" t="n"/>
      <c r="EV23" s="24" t="n"/>
      <c r="EW23" s="23" t="n"/>
      <c r="EX23" s="24" t="n"/>
      <c r="EY23" s="25" t="n"/>
      <c r="EZ23" s="24" t="n"/>
      <c r="FA23" s="23" t="n"/>
      <c r="FB23" s="24" t="n"/>
      <c r="FC23" s="25" t="n"/>
      <c r="FD23" s="24" t="n"/>
      <c r="FE23" s="23" t="n"/>
      <c r="FF23" s="24" t="n"/>
      <c r="FG23" s="25" t="n"/>
      <c r="FH23" s="24" t="n"/>
      <c r="FI23" s="23" t="n"/>
      <c r="FJ23" s="24" t="n"/>
      <c r="FK23" s="25" t="n"/>
      <c r="FL23" s="24" t="n"/>
      <c r="FM23" s="23" t="n"/>
      <c r="FN23" s="24" t="n"/>
      <c r="FO23" s="25" t="n"/>
      <c r="FP23" s="24" t="n"/>
      <c r="FQ23" s="340" t="n"/>
      <c r="FR23" s="803">
        <f>SUMPRODUCT(--(MOD(COLUMN(DU23:ER23),4)=MOD(COLUMN(DU23),4)),DU23:ER23)+SUMPRODUCT(--(MOD(COLUMN(ES23:FP23),4)=MOD(COLUMN(ES23),4)),ES23:FP23)</f>
        <v/>
      </c>
      <c r="FS23" s="803">
        <f>SUMPRODUCT(--(MOD(COLUMN(DU23:ER23),4)=MOD(COLUMN(DU23),4)),DU23:ER23)*$I23+SUMPRODUCT(--(MOD(COLUMN(ES23:FP23),4)=MOD(COLUMN(ES23),4)),ES23:FP23)*$I23</f>
        <v/>
      </c>
      <c r="FT23" s="360" t="n"/>
    </row>
    <row r="24" outlineLevel="2" customFormat="1" s="14">
      <c r="A24" s="56" t="inlineStr">
        <is>
          <t>УЛЬТРА ГРУПП ООО</t>
        </is>
      </c>
      <c r="B24" s="387" t="inlineStr">
        <is>
          <t>Предоплата 100%</t>
        </is>
      </c>
      <c r="C24" s="541" t="inlineStr">
        <is>
          <t>ВБК РУС</t>
        </is>
      </c>
      <c r="D24" s="565" t="inlineStr">
        <is>
          <t>Прасолов, Соловьёв</t>
        </is>
      </c>
      <c r="E24" s="10">
        <f>IF(ISBLANK(G24),"",IF($A$6:$A$330=$A24,COUNTIF($A$6:A24,$A24),""))</f>
        <v/>
      </c>
      <c r="F24" s="123" t="n">
        <v>1</v>
      </c>
      <c r="G24" s="124" t="n">
        <v>4334010030</v>
      </c>
      <c r="H24" s="604" t="inlineStr">
        <is>
          <t>Упругий элемент</t>
        </is>
      </c>
      <c r="I24" s="618" t="n">
        <v>0</v>
      </c>
      <c r="J24" s="618" t="n"/>
      <c r="K24" s="874" t="n"/>
      <c r="L24" s="618">
        <f>IF(K24="RUB",J24/ЮАНЬ,IF(K24="EUR",J24*ЕВРО/ЮАНЬ,""))</f>
        <v/>
      </c>
      <c r="M24" s="873" t="n"/>
      <c r="N24" s="871">
        <f>IF(BP24&gt;0,1,IF(BN24&gt;0,2,))</f>
        <v/>
      </c>
      <c r="O24" s="23" t="n">
        <v>2</v>
      </c>
      <c r="P24" s="24" t="n"/>
      <c r="Q24" s="25" t="n">
        <v>0</v>
      </c>
      <c r="R24" s="24" t="n"/>
      <c r="S24" s="23" t="n">
        <v>2</v>
      </c>
      <c r="T24" s="24" t="n"/>
      <c r="U24" s="307" t="n">
        <v>0</v>
      </c>
      <c r="V24" s="24" t="n"/>
      <c r="W24" s="23" t="n">
        <v>2</v>
      </c>
      <c r="X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24" s="25" t="n">
        <v>2</v>
      </c>
      <c r="Z24" s="24" t="n"/>
      <c r="AA24" s="23" t="n">
        <v>3</v>
      </c>
      <c r="AB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24" s="25" t="n">
        <v>0</v>
      </c>
      <c r="AD24" s="24" t="n"/>
      <c r="AE24" s="23" t="n">
        <v>3</v>
      </c>
      <c r="AF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24" s="307" t="n">
        <v>0</v>
      </c>
      <c r="AH24" s="24" t="n"/>
      <c r="AI24" s="23" t="n">
        <v>3</v>
      </c>
      <c r="AJ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24" s="25" t="n">
        <v>0</v>
      </c>
      <c r="AL24" s="24" t="n"/>
      <c r="AM24" s="23" t="n">
        <v>3</v>
      </c>
      <c r="AN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24" s="25" t="n">
        <v>0</v>
      </c>
      <c r="AP24" s="24" t="n"/>
      <c r="AQ24" s="23" t="n">
        <v>3</v>
      </c>
      <c r="AR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24" s="25" t="n">
        <v>0</v>
      </c>
      <c r="AT24" s="24" t="n"/>
      <c r="AU24" s="23" t="n">
        <v>3</v>
      </c>
      <c r="AV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24" s="25" t="n">
        <v>0</v>
      </c>
      <c r="AX24" s="24" t="n"/>
      <c r="AY24" s="23" t="n">
        <v>3</v>
      </c>
      <c r="AZ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24" s="25" t="n">
        <v>0</v>
      </c>
      <c r="BB24" s="24" t="n"/>
      <c r="BC24" s="23" t="n">
        <v>3</v>
      </c>
      <c r="BD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24" s="25" t="n">
        <v>0</v>
      </c>
      <c r="BF24" s="24" t="n"/>
      <c r="BG24" s="23" t="n">
        <v>3</v>
      </c>
      <c r="BH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24" s="25" t="n">
        <v>0</v>
      </c>
      <c r="BJ24" s="24" t="n"/>
      <c r="BK24" s="340" t="n"/>
      <c r="BL24" s="803">
        <f>SUMPRODUCT(--(MOD(COLUMN($O24:$AL24),4)=MOD(COLUMN($O24)+0,4)),$O24:$AL24)
+SUMPRODUCT(--(MOD(COLUMN($AM24:$BJ24),4)=MOD(COLUMN($AM24)+0,4)),$AM24:$BJ24)</f>
        <v/>
      </c>
      <c r="BM24" s="803">
        <f>SUMPRODUCT(--(MOD(COLUMN($O24:$AL24),4)=MOD(COLUMN($O24)+0,4)),$O24:$AL24)*
$I24+SUMPRODUCT(--(MOD(COLUMN($AM24:$BJ24),4)=MOD(COLUMN($AM24)+0,4)),$AM24:$BJ24)*$I24</f>
        <v/>
      </c>
      <c r="BN24" s="805">
        <f>SUMPRODUCT(--(MOD(COLUMN($O24:$AL24),4)=MOD(COLUMN($O24)+1,4)),$O24:$AL24)
+SUMPRODUCT(--(MOD(COLUMN($AM24:$BJ24),4)=MOD(COLUMN($AM24)+1,4)),$AM24:$BJ24)</f>
        <v/>
      </c>
      <c r="BO24" s="806">
        <f>SUMPRODUCT(--(MOD(COLUMN($O24:$AL24),4)=MOD(COLUMN($O24)+1,4)),$O24:$AL24)*
$I24+SUMPRODUCT(--(MOD(COLUMN($AM24:$BJ24),4)=MOD(COLUMN($AM24)+1,4)),$AM24:$BJ24)*$I24</f>
        <v/>
      </c>
      <c r="BP24" s="807">
        <f>SUMPRODUCT(--(MOD(COLUMN($O24:$AL24),4)=MOD(COLUMN($O24)+2,4)),$O24:$AL24)
+SUMPRODUCT(--(MOD(COLUMN($AM24:$BJ24),4)=MOD(COLUMN($AM24)+2,4)),$AM24:$BJ24)</f>
        <v/>
      </c>
      <c r="BQ24" s="808">
        <f>SUMPRODUCT(--(MOD(COLUMN($O24:$AL24),4)=MOD(COLUMN($O24)+2,4)),$O24:$AL24)*
$I24+SUMPRODUCT(--(MOD(COLUMN($AM24:$BJ24),4)=MOD(COLUMN($AM24)+2,4)),$AM24:$BJ24)*$I24</f>
        <v/>
      </c>
      <c r="BR24" s="801" t="n"/>
      <c r="BS24" s="819" t="n"/>
      <c r="BT24" s="23" t="n"/>
      <c r="BU24" s="24" t="n"/>
      <c r="BV24" s="25" t="n"/>
      <c r="BW24" s="24" t="n"/>
      <c r="BX24" s="23" t="n"/>
      <c r="BY24" s="24" t="n"/>
      <c r="BZ24" s="25" t="n"/>
      <c r="CA24" s="24" t="n"/>
      <c r="CB24" s="23" t="n"/>
      <c r="CC24" s="24" t="n"/>
      <c r="CD24" s="25" t="n"/>
      <c r="CE24" s="24" t="n"/>
      <c r="CF24" s="23" t="n"/>
      <c r="CG24" s="24" t="n"/>
      <c r="CH24" s="25" t="n"/>
      <c r="CI24" s="24" t="n"/>
      <c r="CJ24" s="23" t="n"/>
      <c r="CK24" s="24" t="n"/>
      <c r="CL24" s="25" t="n"/>
      <c r="CM24" s="24" t="n"/>
      <c r="CN24" s="23" t="n"/>
      <c r="CO24" s="24" t="n"/>
      <c r="CP24" s="25" t="n"/>
      <c r="CQ24" s="24" t="n"/>
      <c r="CR24" s="23" t="n"/>
      <c r="CS24" s="24" t="n"/>
      <c r="CT24" s="25" t="n"/>
      <c r="CU24" s="24" t="n"/>
      <c r="CV24" s="23" t="n"/>
      <c r="CW24" s="24" t="n"/>
      <c r="CX24" s="25" t="n"/>
      <c r="CY24" s="24" t="n"/>
      <c r="CZ24" s="23" t="n"/>
      <c r="DA24" s="24" t="n"/>
      <c r="DB24" s="25" t="n"/>
      <c r="DC24" s="24" t="n"/>
      <c r="DD24" s="23" t="n"/>
      <c r="DE24" s="24" t="n"/>
      <c r="DF24" s="25" t="n"/>
      <c r="DG24" s="24" t="n"/>
      <c r="DH24" s="23" t="n"/>
      <c r="DI24" s="24" t="n"/>
      <c r="DJ24" s="25" t="n"/>
      <c r="DK24" s="24" t="n"/>
      <c r="DL24" s="23" t="n"/>
      <c r="DM24" s="24" t="n"/>
      <c r="DN24" s="25" t="n"/>
      <c r="DO24" s="24" t="n"/>
      <c r="DP24" s="340" t="n"/>
      <c r="DQ24" s="803">
        <f>SUMPRODUCT(--(MOD(COLUMN(BT24:CQ24),4)=MOD(COLUMN(BT24),4)),BT24:CQ24)+SUMPRODUCT(--(MOD(COLUMN(CR24:DO24),4)=MOD(COLUMN(CR24),4)),CR24:DO24)</f>
        <v/>
      </c>
      <c r="DR24" s="803">
        <f>SUMPRODUCT(--(MOD(COLUMN(BT24:CQ24),4)=MOD(COLUMN(BT24),4)),BT24:CQ24)*$I24+SUMPRODUCT(--(MOD(COLUMN(CR24:DO24),4)=MOD(COLUMN(CR24),4)),CR24:DO24)*$I24</f>
        <v/>
      </c>
      <c r="DS24" s="801" t="n"/>
      <c r="DT24" s="819" t="n"/>
      <c r="DU24" s="23" t="n"/>
      <c r="DV24" s="24" t="n"/>
      <c r="DW24" s="25" t="n"/>
      <c r="DX24" s="24" t="n"/>
      <c r="DY24" s="23" t="n"/>
      <c r="DZ24" s="24" t="n"/>
      <c r="EA24" s="25" t="n"/>
      <c r="EB24" s="24" t="n"/>
      <c r="EC24" s="23" t="n"/>
      <c r="ED24" s="24" t="n"/>
      <c r="EE24" s="25" t="n"/>
      <c r="EF24" s="24" t="n"/>
      <c r="EG24" s="23" t="n"/>
      <c r="EH24" s="24" t="n"/>
      <c r="EI24" s="25" t="n"/>
      <c r="EJ24" s="24" t="n"/>
      <c r="EK24" s="23" t="n"/>
      <c r="EL24" s="24" t="n"/>
      <c r="EM24" s="25" t="n"/>
      <c r="EN24" s="24" t="n"/>
      <c r="EO24" s="23" t="n"/>
      <c r="EP24" s="24" t="n"/>
      <c r="EQ24" s="25" t="n"/>
      <c r="ER24" s="24" t="n"/>
      <c r="ES24" s="23" t="n"/>
      <c r="ET24" s="24" t="n"/>
      <c r="EU24" s="25" t="n"/>
      <c r="EV24" s="24" t="n"/>
      <c r="EW24" s="23" t="n"/>
      <c r="EX24" s="24" t="n"/>
      <c r="EY24" s="25" t="n"/>
      <c r="EZ24" s="24" t="n"/>
      <c r="FA24" s="23" t="n"/>
      <c r="FB24" s="24" t="n"/>
      <c r="FC24" s="25" t="n"/>
      <c r="FD24" s="24" t="n"/>
      <c r="FE24" s="23" t="n"/>
      <c r="FF24" s="24" t="n"/>
      <c r="FG24" s="25" t="n"/>
      <c r="FH24" s="24" t="n"/>
      <c r="FI24" s="23" t="n"/>
      <c r="FJ24" s="24" t="n"/>
      <c r="FK24" s="25" t="n"/>
      <c r="FL24" s="24" t="n"/>
      <c r="FM24" s="23" t="n"/>
      <c r="FN24" s="24" t="n"/>
      <c r="FO24" s="25" t="n"/>
      <c r="FP24" s="24" t="n"/>
      <c r="FQ24" s="340" t="n"/>
      <c r="FR24" s="803">
        <f>SUMPRODUCT(--(MOD(COLUMN(DU24:ER24),4)=MOD(COLUMN(DU24),4)),DU24:ER24)+SUMPRODUCT(--(MOD(COLUMN(ES24:FP24),4)=MOD(COLUMN(ES24),4)),ES24:FP24)</f>
        <v/>
      </c>
      <c r="FS24" s="803">
        <f>SUMPRODUCT(--(MOD(COLUMN(DU24:ER24),4)=MOD(COLUMN(DU24),4)),DU24:ER24)*$I24+SUMPRODUCT(--(MOD(COLUMN(ES24:FP24),4)=MOD(COLUMN(ES24),4)),ES24:FP24)*$I24</f>
        <v/>
      </c>
      <c r="FT24" s="360" t="n"/>
    </row>
    <row r="25" outlineLevel="2" customFormat="1" s="14">
      <c r="A25" s="375" t="inlineStr">
        <is>
          <t>УЛЬТРА ГРУПП ООО</t>
        </is>
      </c>
      <c r="B25" s="389" t="inlineStr">
        <is>
          <t>Предоплата 100%</t>
        </is>
      </c>
      <c r="C25" s="432" t="inlineStr">
        <is>
          <t>ВБК РУС</t>
        </is>
      </c>
      <c r="D25" s="575" t="inlineStr">
        <is>
          <t>Прасолов, Соловьёв</t>
        </is>
      </c>
      <c r="E25" s="284">
        <f>IF(ISBLANK(G25),"",IF($A$6:$A$330=$A25,COUNTIF($A$6:A25,$A25),""))</f>
        <v/>
      </c>
      <c r="F25" s="318" t="n">
        <v>1</v>
      </c>
      <c r="G25" s="319" t="n">
        <v>4494430600</v>
      </c>
      <c r="H25" s="603" t="inlineStr">
        <is>
          <t>Кабель клапана управления подъемом оси, 6 м</t>
        </is>
      </c>
      <c r="I25" s="619" t="n">
        <v>0</v>
      </c>
      <c r="J25" s="619" t="n"/>
      <c r="K25" s="876" t="n"/>
      <c r="L25" s="619">
        <f>IF(K25="RUB",J25/ЮАНЬ,IF(K25="EUR",J25*ЕВРО/ЮАНЬ,""))</f>
        <v/>
      </c>
      <c r="M25" s="871" t="n"/>
      <c r="N25" s="871">
        <f>IF(BP25&gt;0,1,IF(BN25&gt;0,2,))</f>
        <v/>
      </c>
      <c r="O25" s="322" t="n">
        <v>0</v>
      </c>
      <c r="P25" s="408" t="n"/>
      <c r="Q25" s="307" t="n"/>
      <c r="R25" s="408" t="n"/>
      <c r="S25" s="322" t="n">
        <v>0</v>
      </c>
      <c r="T25" s="408" t="n"/>
      <c r="U25" s="307" t="n"/>
      <c r="V25" s="408" t="n"/>
      <c r="W25" s="322" t="n">
        <v>0</v>
      </c>
      <c r="X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25" s="307">
        <f>SUMPRODUCT((Комплекты[Пр]=ПНЕВМАТИКА!$F25)*(Комплекты[Обозначение]=ПНЕВМАТИКА!$G25)*Комплекты[Кол-во]*(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/>
      </c>
      <c r="Z25" s="408" t="n"/>
      <c r="AA25" s="322" t="n">
        <v>0</v>
      </c>
      <c r="AB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25" s="307" t="n"/>
      <c r="AD25" s="408" t="n"/>
      <c r="AE25" s="322" t="n">
        <v>0</v>
      </c>
      <c r="AF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25" s="307">
        <f>SUMPRODUCT((Комплекты[Пр]=ПНЕВМАТИКА!$F25)*(Комплекты[Обозначение]=ПНЕВМАТИКА!$G25)*Комплекты[Кол-во]*(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/>
      </c>
      <c r="AH25" s="408" t="n"/>
      <c r="AI25" s="322" t="n">
        <v>0</v>
      </c>
      <c r="AJ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25" s="307" t="n"/>
      <c r="AL25" s="408" t="n"/>
      <c r="AM25" s="322" t="n">
        <v>0</v>
      </c>
      <c r="AN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25" s="307" t="n"/>
      <c r="AP25" s="408" t="n"/>
      <c r="AQ25" s="322" t="n">
        <v>0</v>
      </c>
      <c r="AR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25" s="307" t="n"/>
      <c r="AT25" s="408" t="n"/>
      <c r="AU25" s="322" t="n">
        <v>0</v>
      </c>
      <c r="AV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25" s="307" t="n"/>
      <c r="AX25" s="408" t="n"/>
      <c r="AY25" s="322" t="n">
        <v>0</v>
      </c>
      <c r="AZ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25" s="307" t="n"/>
      <c r="BB25" s="408" t="n"/>
      <c r="BC25" s="322" t="n">
        <v>0</v>
      </c>
      <c r="BD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25" s="307" t="n"/>
      <c r="BF25" s="408" t="n"/>
      <c r="BG25" s="322" t="n">
        <v>0</v>
      </c>
      <c r="BH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25" s="307" t="n"/>
      <c r="BJ25" s="408" t="n"/>
      <c r="BK25" s="340" t="n"/>
      <c r="BL25" s="820">
        <f>SUMPRODUCT(--(MOD(COLUMN($O25:$AL25),4)=MOD(COLUMN($O25)+0,4)),$O25:$AL25)
+SUMPRODUCT(--(MOD(COLUMN($AM25:$BJ25),4)=MOD(COLUMN($AM25)+0,4)),$AM25:$BJ25)</f>
        <v/>
      </c>
      <c r="BM25" s="820">
        <f>SUMPRODUCT(--(MOD(COLUMN($O25:$AL25),4)=MOD(COLUMN($O25)+0,4)),$O25:$AL25)*
$I25+SUMPRODUCT(--(MOD(COLUMN($AM25:$BJ25),4)=MOD(COLUMN($AM25)+0,4)),$AM25:$BJ25)*$I25</f>
        <v/>
      </c>
      <c r="BN25" s="822">
        <f>SUMPRODUCT(--(MOD(COLUMN($O25:$AL25),4)=MOD(COLUMN($O25)+1,4)),$O25:$AL25)
+SUMPRODUCT(--(MOD(COLUMN($AM25:$BJ25),4)=MOD(COLUMN($AM25)+1,4)),$AM25:$BJ25)</f>
        <v/>
      </c>
      <c r="BO25" s="823">
        <f>SUMPRODUCT(--(MOD(COLUMN($O25:$AL25),4)=MOD(COLUMN($O25)+1,4)),$O25:$AL25)*
$I25+SUMPRODUCT(--(MOD(COLUMN($AM25:$BJ25),4)=MOD(COLUMN($AM25)+1,4)),$AM25:$BJ25)*$I25</f>
        <v/>
      </c>
      <c r="BP25" s="824">
        <f>SUMPRODUCT(--(MOD(COLUMN($O25:$AL25),4)=MOD(COLUMN($O25)+2,4)),$O25:$AL25)
+SUMPRODUCT(--(MOD(COLUMN($AM25:$BJ25),4)=MOD(COLUMN($AM25)+2,4)),$AM25:$BJ25)</f>
        <v/>
      </c>
      <c r="BQ25" s="825">
        <f>SUMPRODUCT(--(MOD(COLUMN($O25:$AL25),4)=MOD(COLUMN($O25)+2,4)),$O25:$AL25)*
$I25+SUMPRODUCT(--(MOD(COLUMN($AM25:$BJ25),4)=MOD(COLUMN($AM25)+2,4)),$AM25:$BJ25)*$I25</f>
        <v/>
      </c>
      <c r="BR25" s="819" t="n"/>
      <c r="BS25" s="819" t="n"/>
      <c r="BT25" s="322" t="n"/>
      <c r="BU25" s="408" t="n"/>
      <c r="BV25" s="307" t="n"/>
      <c r="BW25" s="408" t="n"/>
      <c r="BX25" s="322" t="n"/>
      <c r="BY25" s="408" t="n"/>
      <c r="BZ25" s="307" t="n"/>
      <c r="CA25" s="408" t="n"/>
      <c r="CB25" s="322" t="n"/>
      <c r="CC25" s="408" t="n"/>
      <c r="CD25" s="307" t="n"/>
      <c r="CE25" s="408" t="n"/>
      <c r="CF25" s="322" t="n"/>
      <c r="CG25" s="408" t="n"/>
      <c r="CH25" s="307" t="n"/>
      <c r="CI25" s="408" t="n"/>
      <c r="CJ25" s="322" t="n"/>
      <c r="CK25" s="408" t="n"/>
      <c r="CL25" s="307" t="n"/>
      <c r="CM25" s="408" t="n"/>
      <c r="CN25" s="322" t="n"/>
      <c r="CO25" s="408" t="n"/>
      <c r="CP25" s="307" t="n"/>
      <c r="CQ25" s="408" t="n"/>
      <c r="CR25" s="322" t="n"/>
      <c r="CS25" s="408" t="n"/>
      <c r="CT25" s="307" t="n"/>
      <c r="CU25" s="408" t="n"/>
      <c r="CV25" s="322" t="n"/>
      <c r="CW25" s="408" t="n"/>
      <c r="CX25" s="307" t="n"/>
      <c r="CY25" s="408" t="n"/>
      <c r="CZ25" s="322" t="n"/>
      <c r="DA25" s="408" t="n"/>
      <c r="DB25" s="307" t="n"/>
      <c r="DC25" s="408" t="n"/>
      <c r="DD25" s="322" t="n"/>
      <c r="DE25" s="408" t="n"/>
      <c r="DF25" s="307" t="n"/>
      <c r="DG25" s="408" t="n"/>
      <c r="DH25" s="322" t="n"/>
      <c r="DI25" s="408" t="n"/>
      <c r="DJ25" s="307" t="n"/>
      <c r="DK25" s="408" t="n"/>
      <c r="DL25" s="322" t="n"/>
      <c r="DM25" s="408" t="n"/>
      <c r="DN25" s="307" t="n"/>
      <c r="DO25" s="408" t="n"/>
      <c r="DP25" s="340" t="n"/>
      <c r="DQ25" s="820">
        <f>SUMPRODUCT(--(MOD(COLUMN(BT25:CQ25),4)=MOD(COLUMN(BT25),4)),BT25:CQ25)+SUMPRODUCT(--(MOD(COLUMN(CR25:DO25),4)=MOD(COLUMN(CR25),4)),CR25:DO25)</f>
        <v/>
      </c>
      <c r="DR25" s="820">
        <f>SUMPRODUCT(--(MOD(COLUMN(BT25:CQ25),4)=MOD(COLUMN(BT25),4)),BT25:CQ25)*$I25+SUMPRODUCT(--(MOD(COLUMN(CR25:DO25),4)=MOD(COLUMN(CR25),4)),CR25:DO25)*$I25</f>
        <v/>
      </c>
      <c r="DS25" s="819" t="n"/>
      <c r="DT25" s="819" t="n"/>
      <c r="DU25" s="322" t="n"/>
      <c r="DV25" s="408" t="n"/>
      <c r="DW25" s="307" t="n"/>
      <c r="DX25" s="408" t="n"/>
      <c r="DY25" s="322" t="n"/>
      <c r="DZ25" s="408" t="n"/>
      <c r="EA25" s="307" t="n"/>
      <c r="EB25" s="408" t="n"/>
      <c r="EC25" s="322" t="n"/>
      <c r="ED25" s="408" t="n"/>
      <c r="EE25" s="307" t="n"/>
      <c r="EF25" s="408" t="n"/>
      <c r="EG25" s="322" t="n"/>
      <c r="EH25" s="408" t="n"/>
      <c r="EI25" s="307" t="n"/>
      <c r="EJ25" s="408" t="n"/>
      <c r="EK25" s="322" t="n"/>
      <c r="EL25" s="408" t="n"/>
      <c r="EM25" s="307" t="n"/>
      <c r="EN25" s="408" t="n"/>
      <c r="EO25" s="322" t="n"/>
      <c r="EP25" s="408" t="n"/>
      <c r="EQ25" s="307" t="n"/>
      <c r="ER25" s="408" t="n"/>
      <c r="ES25" s="322" t="n"/>
      <c r="ET25" s="408" t="n"/>
      <c r="EU25" s="307" t="n"/>
      <c r="EV25" s="408" t="n"/>
      <c r="EW25" s="322" t="n"/>
      <c r="EX25" s="408" t="n"/>
      <c r="EY25" s="307" t="n"/>
      <c r="EZ25" s="408" t="n"/>
      <c r="FA25" s="322" t="n"/>
      <c r="FB25" s="408" t="n"/>
      <c r="FC25" s="307" t="n"/>
      <c r="FD25" s="408" t="n"/>
      <c r="FE25" s="322" t="n"/>
      <c r="FF25" s="408" t="n"/>
      <c r="FG25" s="307" t="n"/>
      <c r="FH25" s="408" t="n"/>
      <c r="FI25" s="322" t="n"/>
      <c r="FJ25" s="408" t="n"/>
      <c r="FK25" s="307" t="n"/>
      <c r="FL25" s="408" t="n"/>
      <c r="FM25" s="322" t="n"/>
      <c r="FN25" s="408" t="n"/>
      <c r="FO25" s="307" t="n"/>
      <c r="FP25" s="408" t="n"/>
      <c r="FQ25" s="340" t="n"/>
      <c r="FR25" s="820">
        <f>SUMPRODUCT(--(MOD(COLUMN(DU25:ER25),4)=MOD(COLUMN(DU25),4)),DU25:ER25)+SUMPRODUCT(--(MOD(COLUMN(ES25:FP25),4)=MOD(COLUMN(ES25),4)),ES25:FP25)</f>
        <v/>
      </c>
      <c r="FS25" s="820">
        <f>SUMPRODUCT(--(MOD(COLUMN(DU25:ER25),4)=MOD(COLUMN(DU25),4)),DU25:ER25)*$I25+SUMPRODUCT(--(MOD(COLUMN(ES25:FP25),4)=MOD(COLUMN(ES25),4)),ES25:FP25)*$I25</f>
        <v/>
      </c>
      <c r="FT25" s="360" t="n"/>
    </row>
    <row r="26" outlineLevel="2" customFormat="1" s="14">
      <c r="A26" s="375" t="inlineStr">
        <is>
          <t>УЛЬТРА ГРУПП ООО</t>
        </is>
      </c>
      <c r="B26" s="389" t="inlineStr">
        <is>
          <t>Предоплата 100%</t>
        </is>
      </c>
      <c r="C26" s="432" t="inlineStr">
        <is>
          <t>ВБК РУС</t>
        </is>
      </c>
      <c r="D26" s="575" t="inlineStr">
        <is>
          <t>Прасолов, Соловьёв</t>
        </is>
      </c>
      <c r="E26" s="284">
        <f>IF(ISBLANK(G26),"",IF($A$6:$A$330=$A26,COUNTIF($A$6:A26,$A26),""))</f>
        <v/>
      </c>
      <c r="F26" s="318" t="n">
        <v>1</v>
      </c>
      <c r="G26" s="319" t="n">
        <v>4630840310</v>
      </c>
      <c r="H26" s="603" t="inlineStr">
        <is>
          <t>Клапан управления подъемом оси (LACV)</t>
        </is>
      </c>
      <c r="I26" s="619" t="n">
        <v>0</v>
      </c>
      <c r="J26" s="619" t="n"/>
      <c r="K26" s="876" t="n"/>
      <c r="L26" s="619">
        <f>IF(K26="RUB",J26/ЮАНЬ,IF(K26="EUR",J26*ЕВРО/ЮАНЬ,""))</f>
        <v/>
      </c>
      <c r="M26" s="871" t="n"/>
      <c r="N26" s="871">
        <f>IF(BP26&gt;0,1,IF(BN26&gt;0,2,))</f>
        <v/>
      </c>
      <c r="O26" s="322" t="n">
        <v>0</v>
      </c>
      <c r="P26" s="408" t="n"/>
      <c r="Q26" s="307" t="n"/>
      <c r="R26" s="408" t="n"/>
      <c r="S26" s="322" t="n">
        <v>0</v>
      </c>
      <c r="T26" s="408" t="n"/>
      <c r="U26" s="307" t="n"/>
      <c r="V26" s="408" t="n"/>
      <c r="W26" s="322" t="n">
        <v>0</v>
      </c>
      <c r="X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/>
      </c>
      <c r="Y26" s="307">
        <f>SUMPRODUCT((Комплекты[Пр]=ПНЕВМАТИКА!$F26)*(Комплекты[Обозначение]=ПНЕВМАТИКА!$G26)*Комплекты[Кол-во]*(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/>
      </c>
      <c r="Z26" s="408" t="n"/>
      <c r="AA26" s="322" t="n">
        <v>0</v>
      </c>
      <c r="AB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/>
      </c>
      <c r="AC26" s="307" t="n"/>
      <c r="AD26" s="408" t="n"/>
      <c r="AE26" s="322" t="n">
        <v>0</v>
      </c>
      <c r="AF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/>
      </c>
      <c r="AG26" s="307">
        <f>SUMPRODUCT((Комплекты[Пр]=ПНЕВМАТИКА!$F26)*(Комплекты[Обозначение]=ПНЕВМАТИКА!$G26)*Комплекты[Кол-во]*(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/>
      </c>
      <c r="AH26" s="408" t="n"/>
      <c r="AI26" s="322" t="n">
        <v>0</v>
      </c>
      <c r="AJ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/>
      </c>
      <c r="AK26" s="307" t="n"/>
      <c r="AL26" s="408" t="n"/>
      <c r="AM26" s="322" t="n">
        <v>0</v>
      </c>
      <c r="AN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/>
      </c>
      <c r="AO26" s="307" t="n"/>
      <c r="AP26" s="408" t="n"/>
      <c r="AQ26" s="322" t="n">
        <v>0</v>
      </c>
      <c r="AR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/>
      </c>
      <c r="AS26" s="307" t="n"/>
      <c r="AT26" s="408" t="n"/>
      <c r="AU26" s="322" t="n">
        <v>0</v>
      </c>
      <c r="AV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/>
      </c>
      <c r="AW26" s="307" t="n"/>
      <c r="AX26" s="408" t="n"/>
      <c r="AY26" s="322" t="n">
        <v>0</v>
      </c>
      <c r="AZ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/>
      </c>
      <c r="BA26" s="307" t="n"/>
      <c r="BB26" s="408" t="n"/>
      <c r="BC26" s="322" t="n">
        <v>0</v>
      </c>
      <c r="BD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/>
      </c>
      <c r="BE26" s="307" t="n"/>
      <c r="BF26" s="408" t="n"/>
      <c r="BG26" s="322" t="n">
        <v>0</v>
      </c>
      <c r="BH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/>
      </c>
      <c r="BI26" s="307" t="n"/>
      <c r="BJ26" s="408" t="n"/>
      <c r="BK26" s="340" t="n"/>
      <c r="BL26" s="820">
        <f>SUMPRODUCT(--(MOD(COLUMN($O26:$AL26),4)=MOD(COLUMN($O26)+0,4)),$O26:$AL26)
+SUMPRODUCT(--(MOD(COLUMN($AM26:$BJ26),4)=MOD(COLUMN($AM26)+0,4)),$AM26:$BJ26)</f>
        <v/>
      </c>
      <c r="BM26" s="820">
        <f>SUMPRODUCT(--(MOD(COLUMN($O26:$AL26),4)=MOD(COLUMN($O26)+0,4)),$O26:$AL26)*
$I26+SUMPRODUCT(--(MOD(COLUMN($AM26:$BJ26),4)=MOD(COLUMN($AM26)+0,4)),$AM26:$BJ26)*$I26</f>
        <v/>
      </c>
      <c r="BN26" s="822">
        <f>SUMPRODUCT(--(MOD(COLUMN($O26:$AL26),4)=MOD(COLUMN($O26)+1,4)),$O26:$AL26)
+SUMPRODUCT(--(MOD(COLUMN($AM26:$BJ26),4)=MOD(COLUMN($AM26)+1,4)),$AM26:$BJ26)</f>
        <v/>
      </c>
      <c r="BO26" s="823">
        <f>SUMPRODUCT(--(MOD(COLUMN($O26:$AL26),4)=MOD(COLUMN($O26)+1,4)),$O26:$AL26)*
$I26+SUMPRODUCT(--(MOD(COLUMN($AM26:$BJ26),4)=MOD(COLUMN($AM26)+1,4)),$AM26:$BJ26)*$I26</f>
        <v/>
      </c>
      <c r="BP26" s="824">
        <f>SUMPRODUCT(--(MOD(COLUMN($O26:$AL26),4)=MOD(COLUMN($O26)+2,4)),$O26:$AL26)
+SUMPRODUCT(--(MOD(COLUMN($AM26:$BJ26),4)=MOD(COLUMN($AM26)+2,4)),$AM26:$BJ26)</f>
        <v/>
      </c>
      <c r="BQ26" s="825">
        <f>SUMPRODUCT(--(MOD(COLUMN($O26:$AL26),4)=MOD(COLUMN($O26)+2,4)),$O26:$AL26)*
$I26+SUMPRODUCT(--(MOD(COLUMN($AM26:$BJ26),4)=MOD(COLUMN($AM26)+2,4)),$AM26:$BJ26)*$I26</f>
        <v/>
      </c>
      <c r="BR26" s="819" t="n"/>
      <c r="BS26" s="819" t="n"/>
      <c r="BT26" s="322" t="n"/>
      <c r="BU26" s="408" t="n"/>
      <c r="BV26" s="307" t="n"/>
      <c r="BW26" s="408" t="n"/>
      <c r="BX26" s="322" t="n"/>
      <c r="BY26" s="408" t="n"/>
      <c r="BZ26" s="307" t="n"/>
      <c r="CA26" s="408" t="n"/>
      <c r="CB26" s="322" t="n"/>
      <c r="CC26" s="408" t="n"/>
      <c r="CD26" s="307" t="n"/>
      <c r="CE26" s="408" t="n"/>
      <c r="CF26" s="322" t="n"/>
      <c r="CG26" s="408" t="n"/>
      <c r="CH26" s="307" t="n"/>
      <c r="CI26" s="408" t="n"/>
      <c r="CJ26" s="322" t="n"/>
      <c r="CK26" s="408" t="n"/>
      <c r="CL26" s="307" t="n"/>
      <c r="CM26" s="408" t="n"/>
      <c r="CN26" s="322" t="n"/>
      <c r="CO26" s="408" t="n"/>
      <c r="CP26" s="307" t="n"/>
      <c r="CQ26" s="408" t="n"/>
      <c r="CR26" s="322" t="n"/>
      <c r="CS26" s="408" t="n"/>
      <c r="CT26" s="307" t="n"/>
      <c r="CU26" s="408" t="n"/>
      <c r="CV26" s="322" t="n"/>
      <c r="CW26" s="408" t="n"/>
      <c r="CX26" s="307" t="n"/>
      <c r="CY26" s="408" t="n"/>
      <c r="CZ26" s="322" t="n"/>
      <c r="DA26" s="408" t="n"/>
      <c r="DB26" s="307" t="n"/>
      <c r="DC26" s="408" t="n"/>
      <c r="DD26" s="322" t="n"/>
      <c r="DE26" s="408" t="n"/>
      <c r="DF26" s="307" t="n"/>
      <c r="DG26" s="408" t="n"/>
      <c r="DH26" s="322" t="n"/>
      <c r="DI26" s="408" t="n"/>
      <c r="DJ26" s="307" t="n"/>
      <c r="DK26" s="408" t="n"/>
      <c r="DL26" s="322" t="n"/>
      <c r="DM26" s="408" t="n"/>
      <c r="DN26" s="307" t="n"/>
      <c r="DO26" s="408" t="n"/>
      <c r="DP26" s="340" t="n"/>
      <c r="DQ26" s="820">
        <f>SUMPRODUCT(--(MOD(COLUMN(BT26:CQ26),4)=MOD(COLUMN(BT26),4)),BT26:CQ26)+SUMPRODUCT(--(MOD(COLUMN(CR26:DO26),4)=MOD(COLUMN(CR26),4)),CR26:DO26)</f>
        <v/>
      </c>
      <c r="DR26" s="820">
        <f>SUMPRODUCT(--(MOD(COLUMN(BT26:CQ26),4)=MOD(COLUMN(BT26),4)),BT26:CQ26)*$I26+SUMPRODUCT(--(MOD(COLUMN(CR26:DO26),4)=MOD(COLUMN(CR26),4)),CR26:DO26)*$I26</f>
        <v/>
      </c>
      <c r="DS26" s="819" t="n"/>
      <c r="DT26" s="819" t="n"/>
      <c r="DU26" s="322" t="n"/>
      <c r="DV26" s="408" t="n"/>
      <c r="DW26" s="307" t="n"/>
      <c r="DX26" s="408" t="n"/>
      <c r="DY26" s="322" t="n"/>
      <c r="DZ26" s="408" t="n"/>
      <c r="EA26" s="307" t="n"/>
      <c r="EB26" s="408" t="n"/>
      <c r="EC26" s="322" t="n"/>
      <c r="ED26" s="408" t="n"/>
      <c r="EE26" s="307" t="n"/>
      <c r="EF26" s="408" t="n"/>
      <c r="EG26" s="322" t="n"/>
      <c r="EH26" s="408" t="n"/>
      <c r="EI26" s="307" t="n"/>
      <c r="EJ26" s="408" t="n"/>
      <c r="EK26" s="322" t="n"/>
      <c r="EL26" s="408" t="n"/>
      <c r="EM26" s="307" t="n"/>
      <c r="EN26" s="408" t="n"/>
      <c r="EO26" s="322" t="n"/>
      <c r="EP26" s="408" t="n"/>
      <c r="EQ26" s="307" t="n"/>
      <c r="ER26" s="408" t="n"/>
      <c r="ES26" s="322" t="n"/>
      <c r="ET26" s="408" t="n"/>
      <c r="EU26" s="307" t="n"/>
      <c r="EV26" s="408" t="n"/>
      <c r="EW26" s="322" t="n"/>
      <c r="EX26" s="408" t="n"/>
      <c r="EY26" s="307" t="n"/>
      <c r="EZ26" s="408" t="n"/>
      <c r="FA26" s="322" t="n"/>
      <c r="FB26" s="408" t="n"/>
      <c r="FC26" s="307" t="n"/>
      <c r="FD26" s="408" t="n"/>
      <c r="FE26" s="322" t="n"/>
      <c r="FF26" s="408" t="n"/>
      <c r="FG26" s="307" t="n"/>
      <c r="FH26" s="408" t="n"/>
      <c r="FI26" s="322" t="n"/>
      <c r="FJ26" s="408" t="n"/>
      <c r="FK26" s="307" t="n"/>
      <c r="FL26" s="408" t="n"/>
      <c r="FM26" s="322" t="n"/>
      <c r="FN26" s="408" t="n"/>
      <c r="FO26" s="307" t="n"/>
      <c r="FP26" s="408" t="n"/>
      <c r="FQ26" s="340" t="n"/>
      <c r="FR26" s="820">
        <f>SUMPRODUCT(--(MOD(COLUMN(DU26:ER26),4)=MOD(COLUMN(DU26),4)),DU26:ER26)+SUMPRODUCT(--(MOD(COLUMN(ES26:FP26),4)=MOD(COLUMN(ES26),4)),ES26:FP26)</f>
        <v/>
      </c>
      <c r="FS26" s="820">
        <f>SUMPRODUCT(--(MOD(COLUMN(DU26:ER26),4)=MOD(COLUMN(DU26),4)),DU26:ER26)*$I26+SUMPRODUCT(--(MOD(COLUMN(ES26:FP26),4)=MOD(COLUMN(ES26),4)),ES26:FP26)*$I26</f>
        <v/>
      </c>
      <c r="FT26" s="360" t="n"/>
    </row>
    <row r="27" outlineLevel="2" customFormat="1" s="14">
      <c r="A27" s="56" t="inlineStr">
        <is>
          <t>УЛЬТРА ГРУПП ООО</t>
        </is>
      </c>
      <c r="B27" s="387" t="n"/>
      <c r="C27" s="541" t="n"/>
      <c r="D27" s="565" t="n"/>
      <c r="E27" s="13">
        <f>IF(ISBLANK(G27),"",IF($A$6:$A$330=$A27,COUNTIF($A$6:A27,$A27),""))</f>
        <v/>
      </c>
      <c r="F27" s="13" t="n"/>
      <c r="G27" s="111" t="n"/>
      <c r="H27" s="607" t="inlineStr">
        <is>
          <t>Итого</t>
        </is>
      </c>
      <c r="I27" s="617" t="n"/>
      <c r="J27" s="617" t="n"/>
      <c r="K27" s="872" t="n"/>
      <c r="L27" s="617">
        <f>IF(K27="RUB",J27/ЮАНЬ,IF(K27="EUR",J27*ЕВРО/ЮАНЬ,""))</f>
        <v/>
      </c>
      <c r="M27" s="873" t="n"/>
      <c r="N27" s="871">
        <f>IF(BP27&gt;0,1,IF(BN27&gt;0,2,))</f>
        <v/>
      </c>
      <c r="O27" s="40" t="n"/>
      <c r="P27" s="41" t="n"/>
      <c r="Q27" s="42" t="n"/>
      <c r="R27" s="41" t="n"/>
      <c r="S27" s="40" t="n"/>
      <c r="T27" s="41" t="n"/>
      <c r="U27" s="42" t="n"/>
      <c r="V27" s="41" t="n"/>
      <c r="W27" s="40" t="n"/>
      <c r="X27" s="41" t="n"/>
      <c r="Y27" s="42" t="n"/>
      <c r="Z27" s="41" t="n"/>
      <c r="AA27" s="40" t="n"/>
      <c r="AB27" s="41" t="n"/>
      <c r="AC27" s="42" t="n"/>
      <c r="AD27" s="41" t="n"/>
      <c r="AE27" s="40" t="n"/>
      <c r="AF27" s="41" t="n"/>
      <c r="AG27" s="42" t="n"/>
      <c r="AH27" s="41" t="n"/>
      <c r="AI27" s="40" t="n"/>
      <c r="AJ27" s="41" t="n"/>
      <c r="AK27" s="42" t="n"/>
      <c r="AL27" s="41" t="n"/>
      <c r="AM27" s="40" t="n"/>
      <c r="AN27" s="41" t="n"/>
      <c r="AO27" s="42" t="n"/>
      <c r="AP27" s="41" t="n"/>
      <c r="AQ27" s="40" t="n"/>
      <c r="AR27" s="41" t="n"/>
      <c r="AS27" s="42" t="n"/>
      <c r="AT27" s="41" t="n"/>
      <c r="AU27" s="40" t="n"/>
      <c r="AV27" s="41" t="n"/>
      <c r="AW27" s="42" t="n"/>
      <c r="AX27" s="41" t="n"/>
      <c r="AY27" s="40" t="n"/>
      <c r="AZ27" s="41" t="n"/>
      <c r="BA27" s="42" t="n"/>
      <c r="BB27" s="41" t="n"/>
      <c r="BC27" s="40" t="n"/>
      <c r="BD27" s="41" t="n"/>
      <c r="BE27" s="42" t="n"/>
      <c r="BF27" s="41" t="n"/>
      <c r="BG27" s="40" t="n"/>
      <c r="BH27" s="41" t="n"/>
      <c r="BI27" s="42" t="n"/>
      <c r="BJ27" s="43" t="n"/>
      <c r="BK27" s="341" t="n"/>
      <c r="BL27" s="811">
        <f>SUMPRODUCT(--(MOD(COLUMN($O27:$AL27),4)=MOD(COLUMN($O27)+0,4)),$O27:$AL27)
+SUMPRODUCT(--(MOD(COLUMN($AM27:$BJ27),4)=MOD(COLUMN($AM27)+0,4)),$AM27:$BJ27)</f>
        <v/>
      </c>
      <c r="BM27" s="811">
        <f>SUMPRODUCT(--(MOD(COLUMN($O27:$AL27),4)=MOD(COLUMN($O27)+0,4)),$O27:$AL27)*
$I27+SUMPRODUCT(--(MOD(COLUMN($AM27:$BJ27),4)=MOD(COLUMN($AM27)+0,4)),$AM27:$BJ27)*$I27</f>
        <v/>
      </c>
      <c r="BN27" s="805">
        <f>SUMPRODUCT(--(MOD(COLUMN($O27:$AL27),4)=MOD(COLUMN($O27)+1,4)),$O27:$AL27)
+SUMPRODUCT(--(MOD(COLUMN($AM27:$BJ27),4)=MOD(COLUMN($AM27)+1,4)),$AM27:$BJ27)</f>
        <v/>
      </c>
      <c r="BO27" s="806">
        <f>SUMPRODUCT(--(MOD(COLUMN($O27:$AL27),4)=MOD(COLUMN($O27)+1,4)),$O27:$AL27)*
$I27+SUMPRODUCT(--(MOD(COLUMN($AM27:$BJ27),4)=MOD(COLUMN($AM27)+1,4)),$AM27:$BJ27)*$I27</f>
        <v/>
      </c>
      <c r="BP27" s="807">
        <f>SUMPRODUCT(--(MOD(COLUMN($O27:$AL27),4)=MOD(COLUMN($O27)+2,4)),$O27:$AL27)
+SUMPRODUCT(--(MOD(COLUMN($AM27:$BJ27),4)=MOD(COLUMN($AM27)+2,4)),$AM27:$BJ27)</f>
        <v/>
      </c>
      <c r="BQ27" s="808">
        <f>SUMPRODUCT(--(MOD(COLUMN($O27:$AL27),4)=MOD(COLUMN($O27)+2,4)),$O27:$AL27)*
$I27+SUMPRODUCT(--(MOD(COLUMN($AM27:$BJ27),4)=MOD(COLUMN($AM27)+2,4)),$AM27:$BJ27)*$I27</f>
        <v/>
      </c>
      <c r="BR27" s="801" t="n"/>
      <c r="BS27" s="819" t="n"/>
      <c r="BT27" s="40" t="n"/>
      <c r="BU27" s="41" t="n"/>
      <c r="BV27" s="42" t="n"/>
      <c r="BW27" s="41" t="n"/>
      <c r="BX27" s="40" t="n"/>
      <c r="BY27" s="41" t="n"/>
      <c r="BZ27" s="42" t="n"/>
      <c r="CA27" s="41" t="n"/>
      <c r="CB27" s="40" t="n"/>
      <c r="CC27" s="41" t="n"/>
      <c r="CD27" s="42" t="n"/>
      <c r="CE27" s="41" t="n"/>
      <c r="CF27" s="40" t="n"/>
      <c r="CG27" s="41" t="n"/>
      <c r="CH27" s="42" t="n"/>
      <c r="CI27" s="41" t="n"/>
      <c r="CJ27" s="40" t="n"/>
      <c r="CK27" s="41" t="n"/>
      <c r="CL27" s="42" t="n"/>
      <c r="CM27" s="41" t="n"/>
      <c r="CN27" s="40" t="n"/>
      <c r="CO27" s="41" t="n"/>
      <c r="CP27" s="42" t="n"/>
      <c r="CQ27" s="41" t="n"/>
      <c r="CR27" s="40" t="n"/>
      <c r="CS27" s="41" t="n"/>
      <c r="CT27" s="42" t="n"/>
      <c r="CU27" s="41" t="n"/>
      <c r="CV27" s="40" t="n"/>
      <c r="CW27" s="41" t="n"/>
      <c r="CX27" s="42" t="n"/>
      <c r="CY27" s="41" t="n"/>
      <c r="CZ27" s="40" t="n"/>
      <c r="DA27" s="41" t="n"/>
      <c r="DB27" s="42" t="n"/>
      <c r="DC27" s="41" t="n"/>
      <c r="DD27" s="40" t="n"/>
      <c r="DE27" s="41" t="n"/>
      <c r="DF27" s="42" t="n"/>
      <c r="DG27" s="41" t="n"/>
      <c r="DH27" s="40" t="n"/>
      <c r="DI27" s="41" t="n"/>
      <c r="DJ27" s="42" t="n"/>
      <c r="DK27" s="41" t="n"/>
      <c r="DL27" s="40" t="n"/>
      <c r="DM27" s="41" t="n"/>
      <c r="DN27" s="42" t="n"/>
      <c r="DO27" s="43" t="n"/>
      <c r="DP27" s="341" t="n"/>
      <c r="DQ27" s="811">
        <f>SUMPRODUCT(--(MOD(COLUMN(BT27:CQ27),4)=MOD(COLUMN(BT27),4)),BT27:CQ27)+SUMPRODUCT(--(MOD(COLUMN(CR27:DO27),4)=MOD(COLUMN(CR27),4)),CR27:DO27)</f>
        <v/>
      </c>
      <c r="DR27" s="811">
        <f>SUMPRODUCT(--(MOD(COLUMN(BT27:CQ27),4)=MOD(COLUMN(BT27),4)),BT27:CQ27)*$I27+SUMPRODUCT(--(MOD(COLUMN(CR27:DO27),4)=MOD(COLUMN(CR27),4)),CR27:DO27)*$I27</f>
        <v/>
      </c>
      <c r="DS27" s="801" t="n"/>
      <c r="DT27" s="819" t="n"/>
      <c r="DU27" s="40" t="n"/>
      <c r="DV27" s="41" t="n"/>
      <c r="DW27" s="42" t="n"/>
      <c r="DX27" s="41" t="n"/>
      <c r="DY27" s="40" t="n"/>
      <c r="DZ27" s="41" t="n"/>
      <c r="EA27" s="42" t="n"/>
      <c r="EB27" s="41" t="n"/>
      <c r="EC27" s="40" t="n"/>
      <c r="ED27" s="41" t="n"/>
      <c r="EE27" s="42" t="n"/>
      <c r="EF27" s="41" t="n"/>
      <c r="EG27" s="40" t="n"/>
      <c r="EH27" s="41" t="n"/>
      <c r="EI27" s="42" t="n"/>
      <c r="EJ27" s="41" t="n"/>
      <c r="EK27" s="40" t="n"/>
      <c r="EL27" s="41" t="n"/>
      <c r="EM27" s="42" t="n"/>
      <c r="EN27" s="41" t="n"/>
      <c r="EO27" s="40" t="n"/>
      <c r="EP27" s="41" t="n"/>
      <c r="EQ27" s="42" t="n"/>
      <c r="ER27" s="41" t="n"/>
      <c r="ES27" s="40" t="n"/>
      <c r="ET27" s="41" t="n"/>
      <c r="EU27" s="42" t="n"/>
      <c r="EV27" s="41" t="n"/>
      <c r="EW27" s="40" t="n"/>
      <c r="EX27" s="41" t="n"/>
      <c r="EY27" s="42" t="n"/>
      <c r="EZ27" s="41" t="n"/>
      <c r="FA27" s="40" t="n"/>
      <c r="FB27" s="41" t="n"/>
      <c r="FC27" s="42" t="n"/>
      <c r="FD27" s="41" t="n"/>
      <c r="FE27" s="40" t="n"/>
      <c r="FF27" s="41" t="n"/>
      <c r="FG27" s="42" t="n"/>
      <c r="FH27" s="41" t="n"/>
      <c r="FI27" s="40" t="n"/>
      <c r="FJ27" s="41" t="n"/>
      <c r="FK27" s="42" t="n"/>
      <c r="FL27" s="41" t="n"/>
      <c r="FM27" s="40" t="n"/>
      <c r="FN27" s="41" t="n"/>
      <c r="FO27" s="42" t="n"/>
      <c r="FP27" s="43" t="n"/>
      <c r="FQ27" s="341" t="n"/>
      <c r="FR27" s="811">
        <f>SUMPRODUCT(--(MOD(COLUMN(DU27:ER27),4)=MOD(COLUMN(DU27),4)),DU27:ER27)+SUMPRODUCT(--(MOD(COLUMN(ES27:FP27),4)=MOD(COLUMN(ES27),4)),ES27:FP27)</f>
        <v/>
      </c>
      <c r="FS27" s="811">
        <f>SUMPRODUCT(--(MOD(COLUMN(DU27:ER27),4)=MOD(COLUMN(DU27),4)),DU27:ER27)*$I27+SUMPRODUCT(--(MOD(COLUMN(ES27:FP27),4)=MOD(COLUMN(ES27),4)),ES27:FP27)*$I27</f>
        <v/>
      </c>
      <c r="FT27" s="360" t="n"/>
    </row>
    <row r="28" outlineLevel="1" customFormat="1" s="116">
      <c r="A28" s="46" t="inlineStr">
        <is>
          <t>УЛЬТРА ГРУПП ООО</t>
        </is>
      </c>
      <c r="B28" s="388" t="n"/>
      <c r="C28" s="650" t="n"/>
      <c r="D28" s="651" t="n"/>
      <c r="E28" s="118">
        <f>IF(ISBLANK(G28),"",IF($A$6:$A$330=$A28,COUNTIF($A$6:A28,$A28),""))</f>
        <v/>
      </c>
      <c r="F28" s="117" t="n"/>
      <c r="G28" s="119" t="n"/>
      <c r="H28" s="608" t="n"/>
      <c r="I28" s="620" t="n"/>
      <c r="J28" s="620" t="n"/>
      <c r="K28" s="120" t="n"/>
      <c r="L28" s="620">
        <f>IF(K28="RUB",J28/ЮАНЬ,IF(K28="EUR",J28*ЕВРО/ЮАНЬ,""))</f>
        <v/>
      </c>
      <c r="M28" s="873" t="n"/>
      <c r="N28" s="871">
        <f>IF(BP28&gt;0,1,IF(BN28&gt;0,2,))</f>
        <v/>
      </c>
      <c r="O28" s="121" t="n"/>
      <c r="P28" s="121" t="n"/>
      <c r="Q28" s="121" t="n"/>
      <c r="R28" s="121" t="n"/>
      <c r="S28" s="121" t="n"/>
      <c r="T28" s="121" t="n"/>
      <c r="U28" s="121" t="n"/>
      <c r="V28" s="121" t="n"/>
      <c r="W28" s="121" t="n"/>
      <c r="X28" s="121" t="n"/>
      <c r="Y28" s="121" t="n"/>
      <c r="Z28" s="121" t="n"/>
      <c r="AA28" s="121" t="n"/>
      <c r="AB28" s="121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  <c r="AK28" s="121" t="n"/>
      <c r="AL28" s="121" t="n"/>
      <c r="AM28" s="121" t="n"/>
      <c r="AN28" s="121" t="n"/>
      <c r="AO28" s="121" t="n"/>
      <c r="AP28" s="121" t="n"/>
      <c r="AQ28" s="121" t="n"/>
      <c r="AR28" s="121" t="n"/>
      <c r="AS28" s="121" t="n"/>
      <c r="AT28" s="121" t="n"/>
      <c r="AU28" s="121" t="n"/>
      <c r="AV28" s="121" t="n"/>
      <c r="AW28" s="121" t="n"/>
      <c r="AX28" s="121" t="n"/>
      <c r="AY28" s="121" t="n"/>
      <c r="AZ28" s="121" t="n"/>
      <c r="BA28" s="121" t="n"/>
      <c r="BB28" s="121" t="n"/>
      <c r="BC28" s="121" t="n"/>
      <c r="BD28" s="121" t="n"/>
      <c r="BE28" s="121" t="n"/>
      <c r="BF28" s="121" t="n"/>
      <c r="BG28" s="121" t="n"/>
      <c r="BH28" s="121" t="n"/>
      <c r="BI28" s="121" t="n"/>
      <c r="BJ28" s="121" t="n"/>
      <c r="BK28" s="356" t="n"/>
      <c r="BL28" s="814">
        <f>SUMPRODUCT(--(MOD(COLUMN($O28:$AL28),4)=MOD(COLUMN($O28)+0,4)),$O28:$AL28)
+SUMPRODUCT(--(MOD(COLUMN($AM28:$BJ28),4)=MOD(COLUMN($AM28)+0,4)),$AM28:$BJ28)</f>
        <v/>
      </c>
      <c r="BM28" s="814">
        <f>SUMPRODUCT(--(MOD(COLUMN($O28:$AL28),4)=MOD(COLUMN($O28)+0,4)),$O28:$AL28)*
$I28+SUMPRODUCT(--(MOD(COLUMN($AM28:$BJ28),4)=MOD(COLUMN($AM28)+0,4)),$AM28:$BJ28)*$I28</f>
        <v/>
      </c>
      <c r="BN28" s="814">
        <f>SUMPRODUCT(--(MOD(COLUMN($O28:$AL28),4)=MOD(COLUMN($O28)+1,4)),$O28:$AL28)
+SUMPRODUCT(--(MOD(COLUMN($AM28:$BJ28),4)=MOD(COLUMN($AM28)+1,4)),$AM28:$BJ28)</f>
        <v/>
      </c>
      <c r="BO28" s="814">
        <f>SUMPRODUCT(--(MOD(COLUMN($O28:$AL28),4)=MOD(COLUMN($O28)+1,4)),$O28:$AL28)*
$I28+SUMPRODUCT(--(MOD(COLUMN($AM28:$BJ28),4)=MOD(COLUMN($AM28)+1,4)),$AM28:$BJ28)*$I28</f>
        <v/>
      </c>
      <c r="BP28" s="814">
        <f>SUMPRODUCT(--(MOD(COLUMN($O28:$AL28),4)=MOD(COLUMN($O28)+2,4)),$O28:$AL28)
+SUMPRODUCT(--(MOD(COLUMN($AM28:$BJ28),4)=MOD(COLUMN($AM28)+2,4)),$AM28:$BJ28)</f>
        <v/>
      </c>
      <c r="BQ28" s="814">
        <f>SUMPRODUCT(--(MOD(COLUMN($O28:$AL28),4)=MOD(COLUMN($O28)+2,4)),$O28:$AL28)*
$I28+SUMPRODUCT(--(MOD(COLUMN($AM28:$BJ28),4)=MOD(COLUMN($AM28)+2,4)),$AM28:$BJ28)*$I28</f>
        <v/>
      </c>
      <c r="BR28" s="51" t="n"/>
      <c r="BS28" s="335" t="n"/>
      <c r="BT28" s="121" t="n"/>
      <c r="BU28" s="121" t="n"/>
      <c r="BV28" s="121" t="n"/>
      <c r="BW28" s="121" t="n"/>
      <c r="BX28" s="121" t="n"/>
      <c r="BY28" s="121" t="n"/>
      <c r="BZ28" s="121" t="n"/>
      <c r="CA28" s="121" t="n"/>
      <c r="CB28" s="121" t="n"/>
      <c r="CC28" s="121" t="n"/>
      <c r="CD28" s="121" t="n"/>
      <c r="CE28" s="121" t="n"/>
      <c r="CF28" s="121" t="n"/>
      <c r="CG28" s="121" t="n"/>
      <c r="CH28" s="121" t="n"/>
      <c r="CI28" s="121" t="n"/>
      <c r="CJ28" s="121" t="n"/>
      <c r="CK28" s="121" t="n"/>
      <c r="CL28" s="121" t="n"/>
      <c r="CM28" s="121" t="n"/>
      <c r="CN28" s="121" t="n"/>
      <c r="CO28" s="121" t="n"/>
      <c r="CP28" s="121" t="n"/>
      <c r="CQ28" s="121" t="n"/>
      <c r="CR28" s="121" t="n"/>
      <c r="CS28" s="121" t="n"/>
      <c r="CT28" s="121" t="n"/>
      <c r="CU28" s="121" t="n"/>
      <c r="CV28" s="121" t="n"/>
      <c r="CW28" s="121" t="n"/>
      <c r="CX28" s="121" t="n"/>
      <c r="CY28" s="121" t="n"/>
      <c r="CZ28" s="121" t="n"/>
      <c r="DA28" s="121" t="n"/>
      <c r="DB28" s="121" t="n"/>
      <c r="DC28" s="121" t="n"/>
      <c r="DD28" s="121" t="n"/>
      <c r="DE28" s="121" t="n"/>
      <c r="DF28" s="121" t="n"/>
      <c r="DG28" s="121" t="n"/>
      <c r="DH28" s="121" t="n"/>
      <c r="DI28" s="121" t="n"/>
      <c r="DJ28" s="121" t="n"/>
      <c r="DK28" s="121" t="n"/>
      <c r="DL28" s="121" t="n"/>
      <c r="DM28" s="121" t="n"/>
      <c r="DN28" s="121" t="n"/>
      <c r="DO28" s="121" t="n"/>
      <c r="DP28" s="356" t="n"/>
      <c r="DQ28" s="814">
        <f>SUMPRODUCT(--(MOD(COLUMN(BT28:CQ28),4)=MOD(COLUMN(BT28),4)),BT28:CQ28)+SUMPRODUCT(--(MOD(COLUMN(CR28:DO28),4)=MOD(COLUMN(CR28),4)),CR28:DO28)</f>
        <v/>
      </c>
      <c r="DR28" s="814">
        <f>SUMPRODUCT(--(MOD(COLUMN(BT28:CQ28),4)=MOD(COLUMN(BT28),4)),BT28:CQ28)*$I28+SUMPRODUCT(--(MOD(COLUMN(CR28:DO28),4)=MOD(COLUMN(CR28),4)),CR28:DO28)*$I28</f>
        <v/>
      </c>
      <c r="DS28" s="51" t="n"/>
      <c r="DT28" s="335" t="n"/>
      <c r="DU28" s="121" t="n"/>
      <c r="DV28" s="121" t="n"/>
      <c r="DW28" s="121" t="n"/>
      <c r="DX28" s="121" t="n"/>
      <c r="DY28" s="121" t="n"/>
      <c r="DZ28" s="121" t="n"/>
      <c r="EA28" s="121" t="n"/>
      <c r="EB28" s="121" t="n"/>
      <c r="EC28" s="121" t="n"/>
      <c r="ED28" s="121" t="n"/>
      <c r="EE28" s="121" t="n"/>
      <c r="EF28" s="121" t="n"/>
      <c r="EG28" s="121" t="n"/>
      <c r="EH28" s="121" t="n"/>
      <c r="EI28" s="121" t="n"/>
      <c r="EJ28" s="121" t="n"/>
      <c r="EK28" s="121" t="n"/>
      <c r="EL28" s="121" t="n"/>
      <c r="EM28" s="121" t="n"/>
      <c r="EN28" s="121" t="n"/>
      <c r="EO28" s="121" t="n"/>
      <c r="EP28" s="121" t="n"/>
      <c r="EQ28" s="121" t="n"/>
      <c r="ER28" s="121" t="n"/>
      <c r="ES28" s="121" t="n"/>
      <c r="ET28" s="121" t="n"/>
      <c r="EU28" s="121" t="n"/>
      <c r="EV28" s="121" t="n"/>
      <c r="EW28" s="121" t="n"/>
      <c r="EX28" s="121" t="n"/>
      <c r="EY28" s="121" t="n"/>
      <c r="EZ28" s="121" t="n"/>
      <c r="FA28" s="121" t="n"/>
      <c r="FB28" s="121" t="n"/>
      <c r="FC28" s="121" t="n"/>
      <c r="FD28" s="121" t="n"/>
      <c r="FE28" s="121" t="n"/>
      <c r="FF28" s="121" t="n"/>
      <c r="FG28" s="121" t="n"/>
      <c r="FH28" s="121" t="n"/>
      <c r="FI28" s="121" t="n"/>
      <c r="FJ28" s="121" t="n"/>
      <c r="FK28" s="121" t="n"/>
      <c r="FL28" s="121" t="n"/>
      <c r="FM28" s="121" t="n"/>
      <c r="FN28" s="121" t="n"/>
      <c r="FO28" s="121" t="n"/>
      <c r="FP28" s="121" t="n"/>
      <c r="FQ28" s="356" t="n"/>
      <c r="FR28" s="814">
        <f>SUMPRODUCT(--(MOD(COLUMN(DU28:ER28),4)=MOD(COLUMN(DU28),4)),DU28:ER28)+SUMPRODUCT(--(MOD(COLUMN(ES28:FP28),4)=MOD(COLUMN(ES28),4)),ES28:FP28)</f>
        <v/>
      </c>
      <c r="FS28" s="814">
        <f>SUMPRODUCT(--(MOD(COLUMN(DU28:ER28),4)=MOD(COLUMN(DU28),4)),DU28:ER28)*$I28+SUMPRODUCT(--(MOD(COLUMN(ES28:FP28),4)=MOD(COLUMN(ES28),4)),ES28:FP28)*$I28</f>
        <v/>
      </c>
      <c r="FT28" s="343" t="n"/>
    </row>
    <row r="29" outlineLevel="2" customFormat="1" s="14">
      <c r="A29" s="56" t="inlineStr">
        <is>
          <t>НОВОСИБАРЗ АО</t>
        </is>
      </c>
      <c r="B29" s="387" t="inlineStr">
        <is>
          <t>Договор не подписан</t>
        </is>
      </c>
      <c r="C29" s="173" t="inlineStr">
        <is>
          <t>ВБК Восток</t>
        </is>
      </c>
      <c r="D29" s="565" t="inlineStr">
        <is>
          <t>Прасолов, Соловьёв</t>
        </is>
      </c>
      <c r="E29" s="10">
        <f>IF(ISBLANK(G29),"",IF($A$6:$A$330=$A29,COUNTIF($A$6:A29,$A29),""))</f>
        <v/>
      </c>
      <c r="F29" s="10" t="n">
        <v>1</v>
      </c>
      <c r="G29" s="55" t="n">
        <v>4231069000</v>
      </c>
      <c r="H29" s="54" t="inlineStr">
        <is>
          <t>Камера тормозная тип 24</t>
        </is>
      </c>
      <c r="I29" s="617">
        <f>145/НДС_20</f>
        <v/>
      </c>
      <c r="J29" s="617" t="n"/>
      <c r="K29" s="872" t="n"/>
      <c r="L29" s="617">
        <f>IF(K29="RUB",J29/ЮАНЬ,IF(K29="EUR",J29*ЕВРО/ЮАНЬ,""))</f>
        <v/>
      </c>
      <c r="M29" s="873" t="n"/>
      <c r="N29" s="871">
        <f>IF(BP29&gt;0,1,IF(BN29&gt;0,2,))</f>
        <v/>
      </c>
      <c r="O29" s="23" t="n"/>
      <c r="P29" s="24" t="n"/>
      <c r="Q29" s="25" t="n"/>
      <c r="R29" s="24" t="n"/>
      <c r="S29" s="23" t="n"/>
      <c r="T29" s="24" t="n"/>
      <c r="U29" s="25" t="n"/>
      <c r="V29" s="24" t="n"/>
      <c r="W29" s="23" t="n"/>
      <c r="X29" s="24" t="n"/>
      <c r="Y29" s="25" t="n"/>
      <c r="Z29" s="24" t="n"/>
      <c r="AA29" s="23" t="n"/>
      <c r="AB29" s="24" t="n"/>
      <c r="AC29" s="25" t="n"/>
      <c r="AD29" s="24" t="n"/>
      <c r="AE29" s="23" t="n"/>
      <c r="AF29" s="24" t="n"/>
      <c r="AG29" s="25" t="n">
        <v>0</v>
      </c>
      <c r="AH29" s="24" t="n"/>
      <c r="AI29" s="23" t="n"/>
      <c r="AJ29" s="24" t="n"/>
      <c r="AK29" s="25" t="n"/>
      <c r="AL29" s="24" t="n"/>
      <c r="AM29" s="23" t="n"/>
      <c r="AN29" s="24" t="n"/>
      <c r="AO29" s="25" t="n"/>
      <c r="AP29" s="24" t="n"/>
      <c r="AQ29" s="23" t="n"/>
      <c r="AR29" s="24" t="n"/>
      <c r="AS29" s="25" t="n"/>
      <c r="AT29" s="24" t="n"/>
      <c r="AU29" s="23" t="n"/>
      <c r="AV29" s="24" t="n"/>
      <c r="AW29" s="25" t="n"/>
      <c r="AX29" s="24" t="n"/>
      <c r="AY29" s="23" t="n"/>
      <c r="AZ29" s="24" t="n"/>
      <c r="BA29" s="25" t="n"/>
      <c r="BB29" s="24" t="n"/>
      <c r="BC29" s="23" t="n"/>
      <c r="BD29" s="24" t="n"/>
      <c r="BE29" s="25" t="n"/>
      <c r="BF29" s="24" t="n"/>
      <c r="BG29" s="23" t="n"/>
      <c r="BH29" s="24" t="n"/>
      <c r="BI29" s="25" t="n"/>
      <c r="BJ29" s="24" t="n"/>
      <c r="BK29" s="340" t="n"/>
      <c r="BL29" s="803">
        <f>SUMPRODUCT(--(MOD(COLUMN($O29:$AL29),4)=MOD(COLUMN($O29)+0,4)),$O29:$AL29)
+SUMPRODUCT(--(MOD(COLUMN($AM29:$BJ29),4)=MOD(COLUMN($AM29)+0,4)),$AM29:$BJ29)</f>
        <v/>
      </c>
      <c r="BM29" s="803">
        <f>SUMPRODUCT(--(MOD(COLUMN($O29:$AL29),4)=MOD(COLUMN($O29)+0,4)),$O29:$AL29)*
$I29+SUMPRODUCT(--(MOD(COLUMN($AM29:$BJ29),4)=MOD(COLUMN($AM29)+0,4)),$AM29:$BJ29)*$I29</f>
        <v/>
      </c>
      <c r="BN29" s="805">
        <f>SUMPRODUCT(--(MOD(COLUMN($O29:$AL29),4)=MOD(COLUMN($O29)+1,4)),$O29:$AL29)
+SUMPRODUCT(--(MOD(COLUMN($AM29:$BJ29),4)=MOD(COLUMN($AM29)+1,4)),$AM29:$BJ29)</f>
        <v/>
      </c>
      <c r="BO29" s="806">
        <f>SUMPRODUCT(--(MOD(COLUMN($O29:$AL29),4)=MOD(COLUMN($O29)+1,4)),$O29:$AL29)*
$I29+SUMPRODUCT(--(MOD(COLUMN($AM29:$BJ29),4)=MOD(COLUMN($AM29)+1,4)),$AM29:$BJ29)*$I29</f>
        <v/>
      </c>
      <c r="BP29" s="807">
        <f>SUMPRODUCT(--(MOD(COLUMN($O29:$AL29),4)=MOD(COLUMN($O29)+2,4)),$O29:$AL29)
+SUMPRODUCT(--(MOD(COLUMN($AM29:$BJ29),4)=MOD(COLUMN($AM29)+2,4)),$AM29:$BJ29)</f>
        <v/>
      </c>
      <c r="BQ29" s="808">
        <f>SUMPRODUCT(--(MOD(COLUMN($O29:$AL29),4)=MOD(COLUMN($O29)+2,4)),$O29:$AL29)*
$I29+SUMPRODUCT(--(MOD(COLUMN($AM29:$BJ29),4)=MOD(COLUMN($AM29)+2,4)),$AM29:$BJ29)*$I29</f>
        <v/>
      </c>
      <c r="BR29" s="801" t="n"/>
      <c r="BS29" s="819" t="n"/>
      <c r="BT29" s="23" t="n"/>
      <c r="BU29" s="24" t="n"/>
      <c r="BV29" s="25" t="n"/>
      <c r="BW29" s="24" t="n"/>
      <c r="BX29" s="23" t="n"/>
      <c r="BY29" s="24" t="n"/>
      <c r="BZ29" s="25" t="n"/>
      <c r="CA29" s="24" t="n"/>
      <c r="CB29" s="23" t="n"/>
      <c r="CC29" s="24" t="n"/>
      <c r="CD29" s="25" t="n"/>
      <c r="CE29" s="24" t="n"/>
      <c r="CF29" s="23" t="n"/>
      <c r="CG29" s="24" t="n"/>
      <c r="CH29" s="25" t="n"/>
      <c r="CI29" s="24" t="n"/>
      <c r="CJ29" s="23" t="n"/>
      <c r="CK29" s="24" t="n"/>
      <c r="CL29" s="25" t="n"/>
      <c r="CM29" s="24" t="n"/>
      <c r="CN29" s="23" t="n"/>
      <c r="CO29" s="24" t="n"/>
      <c r="CP29" s="25" t="n"/>
      <c r="CQ29" s="24" t="n"/>
      <c r="CR29" s="23" t="n"/>
      <c r="CS29" s="24" t="n"/>
      <c r="CT29" s="25" t="n"/>
      <c r="CU29" s="24" t="n"/>
      <c r="CV29" s="23" t="n"/>
      <c r="CW29" s="24" t="n"/>
      <c r="CX29" s="25" t="n"/>
      <c r="CY29" s="24" t="n"/>
      <c r="CZ29" s="23" t="n"/>
      <c r="DA29" s="24" t="n"/>
      <c r="DB29" s="25" t="n"/>
      <c r="DC29" s="24" t="n"/>
      <c r="DD29" s="23" t="n"/>
      <c r="DE29" s="24" t="n"/>
      <c r="DF29" s="25" t="n"/>
      <c r="DG29" s="24" t="n"/>
      <c r="DH29" s="23" t="n"/>
      <c r="DI29" s="24" t="n"/>
      <c r="DJ29" s="25" t="n"/>
      <c r="DK29" s="24" t="n"/>
      <c r="DL29" s="23" t="n"/>
      <c r="DM29" s="24" t="n"/>
      <c r="DN29" s="25" t="n"/>
      <c r="DO29" s="24" t="n"/>
      <c r="DP29" s="340" t="n"/>
      <c r="DQ29" s="803">
        <f>SUMPRODUCT(--(MOD(COLUMN(BT29:CQ29),4)=MOD(COLUMN(BT29),4)),BT29:CQ29)+SUMPRODUCT(--(MOD(COLUMN(CR29:DO29),4)=MOD(COLUMN(CR29),4)),CR29:DO29)</f>
        <v/>
      </c>
      <c r="DR29" s="803">
        <f>SUMPRODUCT(--(MOD(COLUMN(BT29:CQ29),4)=MOD(COLUMN(BT29),4)),BT29:CQ29)*$I29+SUMPRODUCT(--(MOD(COLUMN(CR29:DO29),4)=MOD(COLUMN(CR29),4)),CR29:DO29)*$I29</f>
        <v/>
      </c>
      <c r="DS29" s="801" t="n"/>
      <c r="DT29" s="819" t="n"/>
      <c r="DU29" s="23" t="n"/>
      <c r="DV29" s="24" t="n"/>
      <c r="DW29" s="25" t="n"/>
      <c r="DX29" s="24" t="n"/>
      <c r="DY29" s="23" t="n"/>
      <c r="DZ29" s="24" t="n"/>
      <c r="EA29" s="25" t="n"/>
      <c r="EB29" s="24" t="n"/>
      <c r="EC29" s="23" t="n"/>
      <c r="ED29" s="24" t="n"/>
      <c r="EE29" s="25" t="n"/>
      <c r="EF29" s="24" t="n"/>
      <c r="EG29" s="23" t="n"/>
      <c r="EH29" s="24" t="n"/>
      <c r="EI29" s="25" t="n"/>
      <c r="EJ29" s="24" t="n"/>
      <c r="EK29" s="23" t="n"/>
      <c r="EL29" s="24" t="n"/>
      <c r="EM29" s="25" t="n"/>
      <c r="EN29" s="24" t="n"/>
      <c r="EO29" s="23" t="n"/>
      <c r="EP29" s="24" t="n"/>
      <c r="EQ29" s="25" t="n"/>
      <c r="ER29" s="24" t="n"/>
      <c r="ES29" s="23" t="n"/>
      <c r="ET29" s="24" t="n"/>
      <c r="EU29" s="25" t="n"/>
      <c r="EV29" s="24" t="n"/>
      <c r="EW29" s="23" t="n"/>
      <c r="EX29" s="24" t="n"/>
      <c r="EY29" s="25" t="n"/>
      <c r="EZ29" s="24" t="n"/>
      <c r="FA29" s="23" t="n"/>
      <c r="FB29" s="24" t="n"/>
      <c r="FC29" s="25" t="n"/>
      <c r="FD29" s="24" t="n"/>
      <c r="FE29" s="23" t="n"/>
      <c r="FF29" s="24" t="n"/>
      <c r="FG29" s="25" t="n"/>
      <c r="FH29" s="24" t="n"/>
      <c r="FI29" s="23" t="n"/>
      <c r="FJ29" s="24" t="n"/>
      <c r="FK29" s="25" t="n"/>
      <c r="FL29" s="24" t="n"/>
      <c r="FM29" s="23" t="n"/>
      <c r="FN29" s="24" t="n"/>
      <c r="FO29" s="25" t="n"/>
      <c r="FP29" s="24" t="n"/>
      <c r="FQ29" s="340" t="n"/>
      <c r="FR29" s="803">
        <f>SUMPRODUCT(--(MOD(COLUMN(DU29:ER29),4)=MOD(COLUMN(DU29),4)),DU29:ER29)+SUMPRODUCT(--(MOD(COLUMN(ES29:FP29),4)=MOD(COLUMN(ES29),4)),ES29:FP29)</f>
        <v/>
      </c>
      <c r="FS29" s="803">
        <f>SUMPRODUCT(--(MOD(COLUMN(DU29:ER29),4)=MOD(COLUMN(DU29),4)),DU29:ER29)*$I29+SUMPRODUCT(--(MOD(COLUMN(ES29:FP29),4)=MOD(COLUMN(ES29),4)),ES29:FP29)*$I29</f>
        <v/>
      </c>
      <c r="FT29" s="360" t="n"/>
    </row>
    <row r="30" outlineLevel="2" customFormat="1" s="14">
      <c r="A30" s="56" t="inlineStr">
        <is>
          <t>НОВОСИБАРЗ АО</t>
        </is>
      </c>
      <c r="B30" s="387" t="inlineStr">
        <is>
          <t>Договор не подписан</t>
        </is>
      </c>
      <c r="C30" s="173" t="inlineStr">
        <is>
          <t>ВБК Восток</t>
        </is>
      </c>
      <c r="D30" s="565" t="inlineStr">
        <is>
          <t>Прасолов, Соловьёв</t>
        </is>
      </c>
      <c r="E30" s="10">
        <f>IF(ISBLANK(G30),"",IF($A$6:$A$330=$A30,COUNTIF($A$6:A30,$A30),""))</f>
        <v/>
      </c>
      <c r="F30" s="10" t="n">
        <v>1</v>
      </c>
      <c r="G30" s="55" t="n">
        <v>4231079000</v>
      </c>
      <c r="H30" s="54" t="inlineStr">
        <is>
          <t>Камера тормозная тип 30</t>
        </is>
      </c>
      <c r="I30" s="617">
        <f>153/НДС_20</f>
        <v/>
      </c>
      <c r="J30" s="617" t="n"/>
      <c r="K30" s="872" t="n"/>
      <c r="L30" s="617">
        <f>IF(K30="RUB",J30/ЮАНЬ,IF(K30="EUR",J30*ЕВРО/ЮАНЬ,""))</f>
        <v/>
      </c>
      <c r="M30" s="873" t="n"/>
      <c r="N30" s="871">
        <f>IF(BP30&gt;0,1,IF(BN30&gt;0,2,))</f>
        <v/>
      </c>
      <c r="O30" s="23" t="n"/>
      <c r="P30" s="24" t="n"/>
      <c r="Q30" s="25" t="n"/>
      <c r="R30" s="24" t="n"/>
      <c r="S30" s="23" t="n"/>
      <c r="T30" s="24" t="n"/>
      <c r="U30" s="25" t="n"/>
      <c r="V30" s="24" t="n"/>
      <c r="W30" s="23" t="n"/>
      <c r="X30" s="24" t="n"/>
      <c r="Y30" s="25" t="n"/>
      <c r="Z30" s="24" t="n"/>
      <c r="AA30" s="23" t="n"/>
      <c r="AB30" s="24" t="n"/>
      <c r="AC30" s="25" t="n">
        <v>0</v>
      </c>
      <c r="AD30" s="24" t="n"/>
      <c r="AE30" s="23" t="n"/>
      <c r="AF30" s="24" t="n"/>
      <c r="AG30" s="25" t="n">
        <v>0</v>
      </c>
      <c r="AH30" s="24" t="n"/>
      <c r="AI30" s="23" t="n"/>
      <c r="AJ30" s="24" t="n"/>
      <c r="AK30" s="25" t="n"/>
      <c r="AL30" s="24" t="n"/>
      <c r="AM30" s="23" t="n"/>
      <c r="AN30" s="24" t="n"/>
      <c r="AO30" s="25" t="n"/>
      <c r="AP30" s="24" t="n"/>
      <c r="AQ30" s="23" t="n"/>
      <c r="AR30" s="24" t="n"/>
      <c r="AS30" s="25" t="n"/>
      <c r="AT30" s="24" t="n"/>
      <c r="AU30" s="23" t="n"/>
      <c r="AV30" s="24" t="n"/>
      <c r="AW30" s="25" t="n"/>
      <c r="AX30" s="24" t="n"/>
      <c r="AY30" s="23" t="n"/>
      <c r="AZ30" s="24" t="n"/>
      <c r="BA30" s="25" t="n"/>
      <c r="BB30" s="24" t="n"/>
      <c r="BC30" s="23" t="n"/>
      <c r="BD30" s="24" t="n"/>
      <c r="BE30" s="25" t="n"/>
      <c r="BF30" s="24" t="n"/>
      <c r="BG30" s="23" t="n"/>
      <c r="BH30" s="24" t="n"/>
      <c r="BI30" s="25" t="n"/>
      <c r="BJ30" s="24" t="n"/>
      <c r="BK30" s="340" t="n"/>
      <c r="BL30" s="803">
        <f>SUMPRODUCT(--(MOD(COLUMN($O30:$AL30),4)=MOD(COLUMN($O30)+0,4)),$O30:$AL30)
+SUMPRODUCT(--(MOD(COLUMN($AM30:$BJ30),4)=MOD(COLUMN($AM30)+0,4)),$AM30:$BJ30)</f>
        <v/>
      </c>
      <c r="BM30" s="803">
        <f>SUMPRODUCT(--(MOD(COLUMN($O30:$AL30),4)=MOD(COLUMN($O30)+0,4)),$O30:$AL30)*
$I30+SUMPRODUCT(--(MOD(COLUMN($AM30:$BJ30),4)=MOD(COLUMN($AM30)+0,4)),$AM30:$BJ30)*$I30</f>
        <v/>
      </c>
      <c r="BN30" s="805">
        <f>SUMPRODUCT(--(MOD(COLUMN($O30:$AL30),4)=MOD(COLUMN($O30)+1,4)),$O30:$AL30)
+SUMPRODUCT(--(MOD(COLUMN($AM30:$BJ30),4)=MOD(COLUMN($AM30)+1,4)),$AM30:$BJ30)</f>
        <v/>
      </c>
      <c r="BO30" s="806">
        <f>SUMPRODUCT(--(MOD(COLUMN($O30:$AL30),4)=MOD(COLUMN($O30)+1,4)),$O30:$AL30)*
$I30+SUMPRODUCT(--(MOD(COLUMN($AM30:$BJ30),4)=MOD(COLUMN($AM30)+1,4)),$AM30:$BJ30)*$I30</f>
        <v/>
      </c>
      <c r="BP30" s="807">
        <f>SUMPRODUCT(--(MOD(COLUMN($O30:$AL30),4)=MOD(COLUMN($O30)+2,4)),$O30:$AL30)
+SUMPRODUCT(--(MOD(COLUMN($AM30:$BJ30),4)=MOD(COLUMN($AM30)+2,4)),$AM30:$BJ30)</f>
        <v/>
      </c>
      <c r="BQ30" s="808">
        <f>SUMPRODUCT(--(MOD(COLUMN($O30:$AL30),4)=MOD(COLUMN($O30)+2,4)),$O30:$AL30)*
$I30+SUMPRODUCT(--(MOD(COLUMN($AM30:$BJ30),4)=MOD(COLUMN($AM30)+2,4)),$AM30:$BJ30)*$I30</f>
        <v/>
      </c>
      <c r="BR30" s="801" t="n"/>
      <c r="BS30" s="819" t="n"/>
      <c r="BT30" s="23" t="n"/>
      <c r="BU30" s="24" t="n"/>
      <c r="BV30" s="25" t="n"/>
      <c r="BW30" s="24" t="n"/>
      <c r="BX30" s="23" t="n"/>
      <c r="BY30" s="24" t="n"/>
      <c r="BZ30" s="25" t="n"/>
      <c r="CA30" s="24" t="n"/>
      <c r="CB30" s="23" t="n"/>
      <c r="CC30" s="24" t="n"/>
      <c r="CD30" s="25" t="n"/>
      <c r="CE30" s="24" t="n"/>
      <c r="CF30" s="23" t="n"/>
      <c r="CG30" s="24" t="n"/>
      <c r="CH30" s="25" t="n"/>
      <c r="CI30" s="24" t="n"/>
      <c r="CJ30" s="23" t="n"/>
      <c r="CK30" s="24" t="n"/>
      <c r="CL30" s="25" t="n"/>
      <c r="CM30" s="24" t="n"/>
      <c r="CN30" s="23" t="n"/>
      <c r="CO30" s="24" t="n"/>
      <c r="CP30" s="25" t="n"/>
      <c r="CQ30" s="24" t="n"/>
      <c r="CR30" s="23" t="n"/>
      <c r="CS30" s="24" t="n"/>
      <c r="CT30" s="25" t="n"/>
      <c r="CU30" s="24" t="n"/>
      <c r="CV30" s="23" t="n"/>
      <c r="CW30" s="24" t="n"/>
      <c r="CX30" s="25" t="n"/>
      <c r="CY30" s="24" t="n"/>
      <c r="CZ30" s="23" t="n"/>
      <c r="DA30" s="24" t="n"/>
      <c r="DB30" s="25" t="n"/>
      <c r="DC30" s="24" t="n"/>
      <c r="DD30" s="23" t="n"/>
      <c r="DE30" s="24" t="n"/>
      <c r="DF30" s="25" t="n"/>
      <c r="DG30" s="24" t="n"/>
      <c r="DH30" s="23" t="n"/>
      <c r="DI30" s="24" t="n"/>
      <c r="DJ30" s="25" t="n"/>
      <c r="DK30" s="24" t="n"/>
      <c r="DL30" s="23" t="n"/>
      <c r="DM30" s="24" t="n"/>
      <c r="DN30" s="25" t="n"/>
      <c r="DO30" s="24" t="n"/>
      <c r="DP30" s="340" t="n"/>
      <c r="DQ30" s="803">
        <f>SUMPRODUCT(--(MOD(COLUMN(BT30:CQ30),4)=MOD(COLUMN(BT30),4)),BT30:CQ30)+SUMPRODUCT(--(MOD(COLUMN(CR30:DO30),4)=MOD(COLUMN(CR30),4)),CR30:DO30)</f>
        <v/>
      </c>
      <c r="DR30" s="803">
        <f>SUMPRODUCT(--(MOD(COLUMN(BT30:CQ30),4)=MOD(COLUMN(BT30),4)),BT30:CQ30)*$I30+SUMPRODUCT(--(MOD(COLUMN(CR30:DO30),4)=MOD(COLUMN(CR30),4)),CR30:DO30)*$I30</f>
        <v/>
      </c>
      <c r="DS30" s="801" t="n"/>
      <c r="DT30" s="819" t="n"/>
      <c r="DU30" s="23" t="n"/>
      <c r="DV30" s="24" t="n"/>
      <c r="DW30" s="25" t="n"/>
      <c r="DX30" s="24" t="n"/>
      <c r="DY30" s="23" t="n"/>
      <c r="DZ30" s="24" t="n"/>
      <c r="EA30" s="25" t="n"/>
      <c r="EB30" s="24" t="n"/>
      <c r="EC30" s="23" t="n"/>
      <c r="ED30" s="24" t="n"/>
      <c r="EE30" s="25" t="n"/>
      <c r="EF30" s="24" t="n"/>
      <c r="EG30" s="23" t="n"/>
      <c r="EH30" s="24" t="n"/>
      <c r="EI30" s="25" t="n"/>
      <c r="EJ30" s="24" t="n"/>
      <c r="EK30" s="23" t="n"/>
      <c r="EL30" s="24" t="n"/>
      <c r="EM30" s="25" t="n"/>
      <c r="EN30" s="24" t="n"/>
      <c r="EO30" s="23" t="n"/>
      <c r="EP30" s="24" t="n"/>
      <c r="EQ30" s="25" t="n"/>
      <c r="ER30" s="24" t="n"/>
      <c r="ES30" s="23" t="n"/>
      <c r="ET30" s="24" t="n"/>
      <c r="EU30" s="25" t="n"/>
      <c r="EV30" s="24" t="n"/>
      <c r="EW30" s="23" t="n"/>
      <c r="EX30" s="24" t="n"/>
      <c r="EY30" s="25" t="n"/>
      <c r="EZ30" s="24" t="n"/>
      <c r="FA30" s="23" t="n"/>
      <c r="FB30" s="24" t="n"/>
      <c r="FC30" s="25" t="n"/>
      <c r="FD30" s="24" t="n"/>
      <c r="FE30" s="23" t="n"/>
      <c r="FF30" s="24" t="n"/>
      <c r="FG30" s="25" t="n"/>
      <c r="FH30" s="24" t="n"/>
      <c r="FI30" s="23" t="n"/>
      <c r="FJ30" s="24" t="n"/>
      <c r="FK30" s="25" t="n"/>
      <c r="FL30" s="24" t="n"/>
      <c r="FM30" s="23" t="n"/>
      <c r="FN30" s="24" t="n"/>
      <c r="FO30" s="25" t="n"/>
      <c r="FP30" s="24" t="n"/>
      <c r="FQ30" s="340" t="n"/>
      <c r="FR30" s="803">
        <f>SUMPRODUCT(--(MOD(COLUMN(DU30:ER30),4)=MOD(COLUMN(DU30),4)),DU30:ER30)+SUMPRODUCT(--(MOD(COLUMN(ES30:FP30),4)=MOD(COLUMN(ES30),4)),ES30:FP30)</f>
        <v/>
      </c>
      <c r="FS30" s="803">
        <f>SUMPRODUCT(--(MOD(COLUMN(DU30:ER30),4)=MOD(COLUMN(DU30),4)),DU30:ER30)*$I30+SUMPRODUCT(--(MOD(COLUMN(ES30:FP30),4)=MOD(COLUMN(ES30),4)),ES30:FP30)*$I30</f>
        <v/>
      </c>
      <c r="FT30" s="360" t="n"/>
    </row>
    <row r="31" outlineLevel="2" customFormat="1" s="14">
      <c r="A31" s="56" t="inlineStr">
        <is>
          <t>НОВОСИБАРЗ АО</t>
        </is>
      </c>
      <c r="B31" s="387" t="inlineStr">
        <is>
          <t>Договор не подписан</t>
        </is>
      </c>
      <c r="C31" s="173" t="inlineStr">
        <is>
          <t>ВБК Восток</t>
        </is>
      </c>
      <c r="D31" s="565" t="inlineStr">
        <is>
          <t>Прасолов, Соловьёв</t>
        </is>
      </c>
      <c r="E31" s="10">
        <f>IF(ISBLANK(G31),"",IF($A$6:$A$330=$A31,COUNTIF($A$6:A31,$A31),""))</f>
        <v/>
      </c>
      <c r="F31" s="10" t="n">
        <v>1</v>
      </c>
      <c r="G31" s="55" t="n">
        <v>9253761210</v>
      </c>
      <c r="H31" s="54" t="inlineStr">
        <is>
          <t>Энергоаккумулятор тип 24/30</t>
        </is>
      </c>
      <c r="I31" s="617">
        <f>301/НДС_20</f>
        <v/>
      </c>
      <c r="J31" s="617" t="n"/>
      <c r="K31" s="872" t="n"/>
      <c r="L31" s="617">
        <f>IF(K31="RUB",J31/ЮАНЬ,IF(K31="EUR",J31*ЕВРО/ЮАНЬ,""))</f>
        <v/>
      </c>
      <c r="M31" s="873" t="n"/>
      <c r="N31" s="871">
        <f>IF(BP31&gt;0,1,IF(BN31&gt;0,2,))</f>
        <v/>
      </c>
      <c r="O31" s="23" t="n"/>
      <c r="P31" s="24" t="n"/>
      <c r="Q31" s="25" t="n"/>
      <c r="R31" s="24" t="n"/>
      <c r="S31" s="23" t="n"/>
      <c r="T31" s="24" t="n"/>
      <c r="U31" s="25" t="n"/>
      <c r="V31" s="24" t="n"/>
      <c r="W31" s="23" t="n"/>
      <c r="X31" s="24" t="n"/>
      <c r="Y31" s="25" t="n"/>
      <c r="Z31" s="24" t="n"/>
      <c r="AA31" s="23" t="n"/>
      <c r="AB31" s="24" t="n"/>
      <c r="AC31" s="25" t="n"/>
      <c r="AD31" s="24" t="n"/>
      <c r="AE31" s="23" t="n"/>
      <c r="AF31" s="24" t="n"/>
      <c r="AG31" s="25" t="n">
        <v>0</v>
      </c>
      <c r="AH31" s="24" t="n"/>
      <c r="AI31" s="23" t="n"/>
      <c r="AJ31" s="24" t="n"/>
      <c r="AK31" s="25" t="n"/>
      <c r="AL31" s="24" t="n"/>
      <c r="AM31" s="23" t="n"/>
      <c r="AN31" s="24" t="n"/>
      <c r="AO31" s="25" t="n"/>
      <c r="AP31" s="24" t="n"/>
      <c r="AQ31" s="23" t="n"/>
      <c r="AR31" s="24" t="n"/>
      <c r="AS31" s="25" t="n"/>
      <c r="AT31" s="24" t="n"/>
      <c r="AU31" s="23" t="n"/>
      <c r="AV31" s="24" t="n"/>
      <c r="AW31" s="25" t="n"/>
      <c r="AX31" s="24" t="n"/>
      <c r="AY31" s="23" t="n"/>
      <c r="AZ31" s="24" t="n"/>
      <c r="BA31" s="25" t="n"/>
      <c r="BB31" s="24" t="n"/>
      <c r="BC31" s="23" t="n"/>
      <c r="BD31" s="24" t="n"/>
      <c r="BE31" s="25" t="n"/>
      <c r="BF31" s="24" t="n"/>
      <c r="BG31" s="23" t="n"/>
      <c r="BH31" s="24" t="n"/>
      <c r="BI31" s="25" t="n"/>
      <c r="BJ31" s="24" t="n"/>
      <c r="BK31" s="340" t="n"/>
      <c r="BL31" s="803">
        <f>SUMPRODUCT(--(MOD(COLUMN($O31:$AL31),4)=MOD(COLUMN($O31)+0,4)),$O31:$AL31)
+SUMPRODUCT(--(MOD(COLUMN($AM31:$BJ31),4)=MOD(COLUMN($AM31)+0,4)),$AM31:$BJ31)</f>
        <v/>
      </c>
      <c r="BM31" s="803">
        <f>SUMPRODUCT(--(MOD(COLUMN($O31:$AL31),4)=MOD(COLUMN($O31)+0,4)),$O31:$AL31)*
$I31+SUMPRODUCT(--(MOD(COLUMN($AM31:$BJ31),4)=MOD(COLUMN($AM31)+0,4)),$AM31:$BJ31)*$I31</f>
        <v/>
      </c>
      <c r="BN31" s="805">
        <f>SUMPRODUCT(--(MOD(COLUMN($O31:$AL31),4)=MOD(COLUMN($O31)+1,4)),$O31:$AL31)
+SUMPRODUCT(--(MOD(COLUMN($AM31:$BJ31),4)=MOD(COLUMN($AM31)+1,4)),$AM31:$BJ31)</f>
        <v/>
      </c>
      <c r="BO31" s="806">
        <f>SUMPRODUCT(--(MOD(COLUMN($O31:$AL31),4)=MOD(COLUMN($O31)+1,4)),$O31:$AL31)*
$I31+SUMPRODUCT(--(MOD(COLUMN($AM31:$BJ31),4)=MOD(COLUMN($AM31)+1,4)),$AM31:$BJ31)*$I31</f>
        <v/>
      </c>
      <c r="BP31" s="807">
        <f>SUMPRODUCT(--(MOD(COLUMN($O31:$AL31),4)=MOD(COLUMN($O31)+2,4)),$O31:$AL31)
+SUMPRODUCT(--(MOD(COLUMN($AM31:$BJ31),4)=MOD(COLUMN($AM31)+2,4)),$AM31:$BJ31)</f>
        <v/>
      </c>
      <c r="BQ31" s="808">
        <f>SUMPRODUCT(--(MOD(COLUMN($O31:$AL31),4)=MOD(COLUMN($O31)+2,4)),$O31:$AL31)*
$I31+SUMPRODUCT(--(MOD(COLUMN($AM31:$BJ31),4)=MOD(COLUMN($AM31)+2,4)),$AM31:$BJ31)*$I31</f>
        <v/>
      </c>
      <c r="BR31" s="801" t="n"/>
      <c r="BS31" s="819" t="n"/>
      <c r="BT31" s="23" t="n"/>
      <c r="BU31" s="24" t="n"/>
      <c r="BV31" s="25" t="n"/>
      <c r="BW31" s="24" t="n"/>
      <c r="BX31" s="23" t="n"/>
      <c r="BY31" s="24" t="n"/>
      <c r="BZ31" s="25" t="n"/>
      <c r="CA31" s="24" t="n"/>
      <c r="CB31" s="23" t="n"/>
      <c r="CC31" s="24" t="n"/>
      <c r="CD31" s="25" t="n"/>
      <c r="CE31" s="24" t="n"/>
      <c r="CF31" s="23" t="n"/>
      <c r="CG31" s="24" t="n"/>
      <c r="CH31" s="25" t="n"/>
      <c r="CI31" s="24" t="n"/>
      <c r="CJ31" s="23" t="n"/>
      <c r="CK31" s="24" t="n"/>
      <c r="CL31" s="25" t="n"/>
      <c r="CM31" s="24" t="n"/>
      <c r="CN31" s="23" t="n"/>
      <c r="CO31" s="24" t="n"/>
      <c r="CP31" s="25" t="n"/>
      <c r="CQ31" s="24" t="n"/>
      <c r="CR31" s="23" t="n"/>
      <c r="CS31" s="24" t="n"/>
      <c r="CT31" s="25" t="n"/>
      <c r="CU31" s="24" t="n"/>
      <c r="CV31" s="23" t="n"/>
      <c r="CW31" s="24" t="n"/>
      <c r="CX31" s="25" t="n"/>
      <c r="CY31" s="24" t="n"/>
      <c r="CZ31" s="23" t="n"/>
      <c r="DA31" s="24" t="n"/>
      <c r="DB31" s="25" t="n"/>
      <c r="DC31" s="24" t="n"/>
      <c r="DD31" s="23" t="n"/>
      <c r="DE31" s="24" t="n"/>
      <c r="DF31" s="25" t="n"/>
      <c r="DG31" s="24" t="n"/>
      <c r="DH31" s="23" t="n"/>
      <c r="DI31" s="24" t="n"/>
      <c r="DJ31" s="25" t="n"/>
      <c r="DK31" s="24" t="n"/>
      <c r="DL31" s="23" t="n"/>
      <c r="DM31" s="24" t="n"/>
      <c r="DN31" s="25" t="n"/>
      <c r="DO31" s="24" t="n"/>
      <c r="DP31" s="340" t="n"/>
      <c r="DQ31" s="803">
        <f>SUMPRODUCT(--(MOD(COLUMN(BT31:CQ31),4)=MOD(COLUMN(BT31),4)),BT31:CQ31)+SUMPRODUCT(--(MOD(COLUMN(CR31:DO31),4)=MOD(COLUMN(CR31),4)),CR31:DO31)</f>
        <v/>
      </c>
      <c r="DR31" s="803">
        <f>SUMPRODUCT(--(MOD(COLUMN(BT31:CQ31),4)=MOD(COLUMN(BT31),4)),BT31:CQ31)*$I31+SUMPRODUCT(--(MOD(COLUMN(CR31:DO31),4)=MOD(COLUMN(CR31),4)),CR31:DO31)*$I31</f>
        <v/>
      </c>
      <c r="DS31" s="801" t="n"/>
      <c r="DT31" s="819" t="n"/>
      <c r="DU31" s="23" t="n"/>
      <c r="DV31" s="24" t="n"/>
      <c r="DW31" s="25" t="n"/>
      <c r="DX31" s="24" t="n"/>
      <c r="DY31" s="23" t="n"/>
      <c r="DZ31" s="24" t="n"/>
      <c r="EA31" s="25" t="n"/>
      <c r="EB31" s="24" t="n"/>
      <c r="EC31" s="23" t="n"/>
      <c r="ED31" s="24" t="n"/>
      <c r="EE31" s="25" t="n"/>
      <c r="EF31" s="24" t="n"/>
      <c r="EG31" s="23" t="n"/>
      <c r="EH31" s="24" t="n"/>
      <c r="EI31" s="25" t="n"/>
      <c r="EJ31" s="24" t="n"/>
      <c r="EK31" s="23" t="n"/>
      <c r="EL31" s="24" t="n"/>
      <c r="EM31" s="25" t="n"/>
      <c r="EN31" s="24" t="n"/>
      <c r="EO31" s="23" t="n"/>
      <c r="EP31" s="24" t="n"/>
      <c r="EQ31" s="25" t="n"/>
      <c r="ER31" s="24" t="n"/>
      <c r="ES31" s="23" t="n"/>
      <c r="ET31" s="24" t="n"/>
      <c r="EU31" s="25" t="n"/>
      <c r="EV31" s="24" t="n"/>
      <c r="EW31" s="23" t="n"/>
      <c r="EX31" s="24" t="n"/>
      <c r="EY31" s="25" t="n"/>
      <c r="EZ31" s="24" t="n"/>
      <c r="FA31" s="23" t="n"/>
      <c r="FB31" s="24" t="n"/>
      <c r="FC31" s="25" t="n"/>
      <c r="FD31" s="24" t="n"/>
      <c r="FE31" s="23" t="n"/>
      <c r="FF31" s="24" t="n"/>
      <c r="FG31" s="25" t="n"/>
      <c r="FH31" s="24" t="n"/>
      <c r="FI31" s="23" t="n"/>
      <c r="FJ31" s="24" t="n"/>
      <c r="FK31" s="25" t="n"/>
      <c r="FL31" s="24" t="n"/>
      <c r="FM31" s="23" t="n"/>
      <c r="FN31" s="24" t="n"/>
      <c r="FO31" s="25" t="n"/>
      <c r="FP31" s="24" t="n"/>
      <c r="FQ31" s="340" t="n"/>
      <c r="FR31" s="803">
        <f>SUMPRODUCT(--(MOD(COLUMN(DU31:ER31),4)=MOD(COLUMN(DU31),4)),DU31:ER31)+SUMPRODUCT(--(MOD(COLUMN(ES31:FP31),4)=MOD(COLUMN(ES31),4)),ES31:FP31)</f>
        <v/>
      </c>
      <c r="FS31" s="803">
        <f>SUMPRODUCT(--(MOD(COLUMN(DU31:ER31),4)=MOD(COLUMN(DU31),4)),DU31:ER31)*$I31+SUMPRODUCT(--(MOD(COLUMN(ES31:FP31),4)=MOD(COLUMN(ES31),4)),ES31:FP31)*$I31</f>
        <v/>
      </c>
      <c r="FT31" s="360" t="n"/>
    </row>
    <row r="32" outlineLevel="2" customFormat="1" s="14">
      <c r="A32" s="56" t="inlineStr">
        <is>
          <t>НОВОСИБАРЗ АО</t>
        </is>
      </c>
      <c r="B32" s="387" t="inlineStr">
        <is>
          <t>Договор не подписан</t>
        </is>
      </c>
      <c r="C32" s="173" t="inlineStr">
        <is>
          <t>ВБК Восток</t>
        </is>
      </c>
      <c r="D32" s="565" t="inlineStr">
        <is>
          <t>Прасолов, Соловьёв</t>
        </is>
      </c>
      <c r="E32" s="10">
        <f>IF(ISBLANK(G32),"",IF($A$6:$A$330=$A32,COUNTIF($A$6:A32,$A32),""))</f>
        <v/>
      </c>
      <c r="F32" s="10" t="n">
        <v>1</v>
      </c>
      <c r="G32" s="55" t="n">
        <v>9253771100</v>
      </c>
      <c r="H32" s="54" t="inlineStr">
        <is>
          <t>Энергоаккумулятор тип 30/30</t>
        </is>
      </c>
      <c r="I32" s="617">
        <f>305/НДС_20</f>
        <v/>
      </c>
      <c r="J32" s="617" t="n"/>
      <c r="K32" s="872" t="n"/>
      <c r="L32" s="617">
        <f>IF(K32="RUB",J32/ЮАНЬ,IF(K32="EUR",J32*ЕВРО/ЮАНЬ,""))</f>
        <v/>
      </c>
      <c r="M32" s="873" t="n"/>
      <c r="N32" s="871">
        <f>IF(BP32&gt;0,1,IF(BN32&gt;0,2,))</f>
        <v/>
      </c>
      <c r="O32" s="23" t="n"/>
      <c r="P32" s="24" t="n"/>
      <c r="Q32" s="25" t="n"/>
      <c r="R32" s="24" t="n"/>
      <c r="S32" s="23" t="n"/>
      <c r="T32" s="24" t="n"/>
      <c r="U32" s="25" t="n"/>
      <c r="V32" s="24" t="n"/>
      <c r="W32" s="23" t="n"/>
      <c r="X32" s="24" t="n"/>
      <c r="Y32" s="25" t="n"/>
      <c r="Z32" s="24" t="n"/>
      <c r="AA32" s="23" t="n"/>
      <c r="AB32" s="24" t="n"/>
      <c r="AC32" s="25" t="n"/>
      <c r="AD32" s="24" t="n"/>
      <c r="AE32" s="23" t="n"/>
      <c r="AF32" s="24" t="n"/>
      <c r="AG32" s="25" t="n">
        <v>0</v>
      </c>
      <c r="AH32" s="24" t="n"/>
      <c r="AI32" s="23" t="n"/>
      <c r="AJ32" s="24" t="n"/>
      <c r="AK32" s="25" t="n"/>
      <c r="AL32" s="24" t="n"/>
      <c r="AM32" s="23" t="n"/>
      <c r="AN32" s="24" t="n"/>
      <c r="AO32" s="25" t="n"/>
      <c r="AP32" s="24" t="n"/>
      <c r="AQ32" s="23" t="n"/>
      <c r="AR32" s="24" t="n"/>
      <c r="AS32" s="25" t="n"/>
      <c r="AT32" s="24" t="n"/>
      <c r="AU32" s="23" t="n"/>
      <c r="AV32" s="24" t="n"/>
      <c r="AW32" s="25" t="n"/>
      <c r="AX32" s="24" t="n"/>
      <c r="AY32" s="23" t="n"/>
      <c r="AZ32" s="24" t="n"/>
      <c r="BA32" s="25" t="n"/>
      <c r="BB32" s="24" t="n"/>
      <c r="BC32" s="23" t="n"/>
      <c r="BD32" s="24" t="n"/>
      <c r="BE32" s="25" t="n"/>
      <c r="BF32" s="24" t="n"/>
      <c r="BG32" s="23" t="n"/>
      <c r="BH32" s="24" t="n"/>
      <c r="BI32" s="25" t="n"/>
      <c r="BJ32" s="24" t="n"/>
      <c r="BK32" s="340" t="n"/>
      <c r="BL32" s="803">
        <f>SUMPRODUCT(--(MOD(COLUMN($O32:$AL32),4)=MOD(COLUMN($O32)+0,4)),$O32:$AL32)
+SUMPRODUCT(--(MOD(COLUMN($AM32:$BJ32),4)=MOD(COLUMN($AM32)+0,4)),$AM32:$BJ32)</f>
        <v/>
      </c>
      <c r="BM32" s="803">
        <f>SUMPRODUCT(--(MOD(COLUMN($O32:$AL32),4)=MOD(COLUMN($O32)+0,4)),$O32:$AL32)*
$I32+SUMPRODUCT(--(MOD(COLUMN($AM32:$BJ32),4)=MOD(COLUMN($AM32)+0,4)),$AM32:$BJ32)*$I32</f>
        <v/>
      </c>
      <c r="BN32" s="805">
        <f>SUMPRODUCT(--(MOD(COLUMN($O32:$AL32),4)=MOD(COLUMN($O32)+1,4)),$O32:$AL32)
+SUMPRODUCT(--(MOD(COLUMN($AM32:$BJ32),4)=MOD(COLUMN($AM32)+1,4)),$AM32:$BJ32)</f>
        <v/>
      </c>
      <c r="BO32" s="806">
        <f>SUMPRODUCT(--(MOD(COLUMN($O32:$AL32),4)=MOD(COLUMN($O32)+1,4)),$O32:$AL32)*
$I32+SUMPRODUCT(--(MOD(COLUMN($AM32:$BJ32),4)=MOD(COLUMN($AM32)+1,4)),$AM32:$BJ32)*$I32</f>
        <v/>
      </c>
      <c r="BP32" s="807">
        <f>SUMPRODUCT(--(MOD(COLUMN($O32:$AL32),4)=MOD(COLUMN($O32)+2,4)),$O32:$AL32)
+SUMPRODUCT(--(MOD(COLUMN($AM32:$BJ32),4)=MOD(COLUMN($AM32)+2,4)),$AM32:$BJ32)</f>
        <v/>
      </c>
      <c r="BQ32" s="808">
        <f>SUMPRODUCT(--(MOD(COLUMN($O32:$AL32),4)=MOD(COLUMN($O32)+2,4)),$O32:$AL32)*
$I32+SUMPRODUCT(--(MOD(COLUMN($AM32:$BJ32),4)=MOD(COLUMN($AM32)+2,4)),$AM32:$BJ32)*$I32</f>
        <v/>
      </c>
      <c r="BR32" s="801" t="n"/>
      <c r="BS32" s="819" t="n"/>
      <c r="BT32" s="23" t="n"/>
      <c r="BU32" s="24" t="n"/>
      <c r="BV32" s="25" t="n"/>
      <c r="BW32" s="24" t="n"/>
      <c r="BX32" s="23" t="n"/>
      <c r="BY32" s="24" t="n"/>
      <c r="BZ32" s="25" t="n"/>
      <c r="CA32" s="24" t="n"/>
      <c r="CB32" s="23" t="n"/>
      <c r="CC32" s="24" t="n"/>
      <c r="CD32" s="25" t="n"/>
      <c r="CE32" s="24" t="n"/>
      <c r="CF32" s="23" t="n"/>
      <c r="CG32" s="24" t="n"/>
      <c r="CH32" s="25" t="n"/>
      <c r="CI32" s="24" t="n"/>
      <c r="CJ32" s="23" t="n"/>
      <c r="CK32" s="24" t="n"/>
      <c r="CL32" s="25" t="n"/>
      <c r="CM32" s="24" t="n"/>
      <c r="CN32" s="23" t="n"/>
      <c r="CO32" s="24" t="n"/>
      <c r="CP32" s="25" t="n"/>
      <c r="CQ32" s="24" t="n"/>
      <c r="CR32" s="23" t="n"/>
      <c r="CS32" s="24" t="n"/>
      <c r="CT32" s="25" t="n"/>
      <c r="CU32" s="24" t="n"/>
      <c r="CV32" s="23" t="n"/>
      <c r="CW32" s="24" t="n"/>
      <c r="CX32" s="25" t="n"/>
      <c r="CY32" s="24" t="n"/>
      <c r="CZ32" s="23" t="n"/>
      <c r="DA32" s="24" t="n"/>
      <c r="DB32" s="25" t="n"/>
      <c r="DC32" s="24" t="n"/>
      <c r="DD32" s="23" t="n"/>
      <c r="DE32" s="24" t="n"/>
      <c r="DF32" s="25" t="n"/>
      <c r="DG32" s="24" t="n"/>
      <c r="DH32" s="23" t="n"/>
      <c r="DI32" s="24" t="n"/>
      <c r="DJ32" s="25" t="n"/>
      <c r="DK32" s="24" t="n"/>
      <c r="DL32" s="23" t="n"/>
      <c r="DM32" s="24" t="n"/>
      <c r="DN32" s="25" t="n"/>
      <c r="DO32" s="24" t="n"/>
      <c r="DP32" s="340" t="n"/>
      <c r="DQ32" s="803">
        <f>SUMPRODUCT(--(MOD(COLUMN(BT32:CQ32),4)=MOD(COLUMN(BT32),4)),BT32:CQ32)+SUMPRODUCT(--(MOD(COLUMN(CR32:DO32),4)=MOD(COLUMN(CR32),4)),CR32:DO32)</f>
        <v/>
      </c>
      <c r="DR32" s="803">
        <f>SUMPRODUCT(--(MOD(COLUMN(BT32:CQ32),4)=MOD(COLUMN(BT32),4)),BT32:CQ32)*$I32+SUMPRODUCT(--(MOD(COLUMN(CR32:DO32),4)=MOD(COLUMN(CR32),4)),CR32:DO32)*$I32</f>
        <v/>
      </c>
      <c r="DS32" s="801" t="n"/>
      <c r="DT32" s="819" t="n"/>
      <c r="DU32" s="23" t="n"/>
      <c r="DV32" s="24" t="n"/>
      <c r="DW32" s="25" t="n"/>
      <c r="DX32" s="24" t="n"/>
      <c r="DY32" s="23" t="n"/>
      <c r="DZ32" s="24" t="n"/>
      <c r="EA32" s="25" t="n"/>
      <c r="EB32" s="24" t="n"/>
      <c r="EC32" s="23" t="n"/>
      <c r="ED32" s="24" t="n"/>
      <c r="EE32" s="25" t="n"/>
      <c r="EF32" s="24" t="n"/>
      <c r="EG32" s="23" t="n"/>
      <c r="EH32" s="24" t="n"/>
      <c r="EI32" s="25" t="n"/>
      <c r="EJ32" s="24" t="n"/>
      <c r="EK32" s="23" t="n"/>
      <c r="EL32" s="24" t="n"/>
      <c r="EM32" s="25" t="n"/>
      <c r="EN32" s="24" t="n"/>
      <c r="EO32" s="23" t="n"/>
      <c r="EP32" s="24" t="n"/>
      <c r="EQ32" s="25" t="n"/>
      <c r="ER32" s="24" t="n"/>
      <c r="ES32" s="23" t="n"/>
      <c r="ET32" s="24" t="n"/>
      <c r="EU32" s="25" t="n"/>
      <c r="EV32" s="24" t="n"/>
      <c r="EW32" s="23" t="n"/>
      <c r="EX32" s="24" t="n"/>
      <c r="EY32" s="25" t="n"/>
      <c r="EZ32" s="24" t="n"/>
      <c r="FA32" s="23" t="n"/>
      <c r="FB32" s="24" t="n"/>
      <c r="FC32" s="25" t="n"/>
      <c r="FD32" s="24" t="n"/>
      <c r="FE32" s="23" t="n"/>
      <c r="FF32" s="24" t="n"/>
      <c r="FG32" s="25" t="n"/>
      <c r="FH32" s="24" t="n"/>
      <c r="FI32" s="23" t="n"/>
      <c r="FJ32" s="24" t="n"/>
      <c r="FK32" s="25" t="n"/>
      <c r="FL32" s="24" t="n"/>
      <c r="FM32" s="23" t="n"/>
      <c r="FN32" s="24" t="n"/>
      <c r="FO32" s="25" t="n"/>
      <c r="FP32" s="24" t="n"/>
      <c r="FQ32" s="340" t="n"/>
      <c r="FR32" s="803">
        <f>SUMPRODUCT(--(MOD(COLUMN(DU32:ER32),4)=MOD(COLUMN(DU32),4)),DU32:ER32)+SUMPRODUCT(--(MOD(COLUMN(ES32:FP32),4)=MOD(COLUMN(ES32),4)),ES32:FP32)</f>
        <v/>
      </c>
      <c r="FS32" s="803">
        <f>SUMPRODUCT(--(MOD(COLUMN(DU32:ER32),4)=MOD(COLUMN(DU32),4)),DU32:ER32)*$I32+SUMPRODUCT(--(MOD(COLUMN(ES32:FP32),4)=MOD(COLUMN(ES32),4)),ES32:FP32)*$I32</f>
        <v/>
      </c>
      <c r="FT32" s="360" t="n"/>
    </row>
    <row r="33" outlineLevel="2" customFormat="1" s="14">
      <c r="A33" s="375" t="inlineStr">
        <is>
          <t>НОВОСИБАРЗ АО</t>
        </is>
      </c>
      <c r="B33" s="389" t="inlineStr">
        <is>
          <t>Договор не подписан</t>
        </is>
      </c>
      <c r="C33" s="311" t="inlineStr">
        <is>
          <t>ВБК РУС</t>
        </is>
      </c>
      <c r="D33" s="575" t="inlineStr">
        <is>
          <t>Прасолов, Соловьёв</t>
        </is>
      </c>
      <c r="E33" s="284">
        <f>IF(ISBLANK(G33),"",IF($A$6:$A$330=$A33,COUNTIF($A$6:A33,$A33),""))</f>
        <v/>
      </c>
      <c r="F33" s="284" t="n">
        <v>2</v>
      </c>
      <c r="G33" s="304" t="n">
        <v>4757145000</v>
      </c>
      <c r="H33" s="602" t="inlineStr">
        <is>
          <t>Регулятор тормозных сил</t>
        </is>
      </c>
      <c r="I33" s="616" t="n">
        <v>1670.606995884774</v>
      </c>
      <c r="J33" s="616" t="n"/>
      <c r="K33" s="870" t="n"/>
      <c r="L33" s="616" t="n"/>
      <c r="M33" s="871" t="n"/>
      <c r="N33" s="871">
        <f>IF(BP33&gt;0,1,IF(BN33&gt;0,2,))</f>
        <v/>
      </c>
      <c r="O33" s="322" t="n"/>
      <c r="P33" s="408" t="n"/>
      <c r="Q33" s="307" t="n"/>
      <c r="R33" s="408" t="n"/>
      <c r="S33" s="322" t="n"/>
      <c r="T33" s="408" t="n"/>
      <c r="U33" s="307" t="n"/>
      <c r="V33" s="408" t="n"/>
      <c r="W33" s="322" t="n"/>
      <c r="X33" s="408" t="n"/>
      <c r="Y33" s="307" t="n"/>
      <c r="Z33" s="408" t="n"/>
      <c r="AA33" s="322" t="n"/>
      <c r="AB33" s="408" t="n"/>
      <c r="AC33" s="307" t="n"/>
      <c r="AD33" s="408" t="n"/>
      <c r="AE33" s="322" t="n"/>
      <c r="AF33" s="408" t="n"/>
      <c r="AG33" s="25" t="n">
        <v>0</v>
      </c>
      <c r="AH33" s="408" t="n"/>
      <c r="AI33" s="322" t="n"/>
      <c r="AJ33" s="408" t="n"/>
      <c r="AK33" s="307" t="n"/>
      <c r="AL33" s="408" t="n"/>
      <c r="AM33" s="322" t="n"/>
      <c r="AN33" s="408" t="n"/>
      <c r="AO33" s="307" t="n"/>
      <c r="AP33" s="408" t="n"/>
      <c r="AQ33" s="322" t="n"/>
      <c r="AR33" s="408" t="n"/>
      <c r="AS33" s="307" t="n"/>
      <c r="AT33" s="408" t="n"/>
      <c r="AU33" s="322" t="n"/>
      <c r="AV33" s="408" t="n"/>
      <c r="AW33" s="307" t="n"/>
      <c r="AX33" s="408" t="n"/>
      <c r="AY33" s="322" t="n"/>
      <c r="AZ33" s="408" t="n"/>
      <c r="BA33" s="307" t="n"/>
      <c r="BB33" s="408" t="n"/>
      <c r="BC33" s="322" t="n"/>
      <c r="BD33" s="408" t="n"/>
      <c r="BE33" s="307" t="n"/>
      <c r="BF33" s="408" t="n"/>
      <c r="BG33" s="322" t="n"/>
      <c r="BH33" s="408" t="n"/>
      <c r="BI33" s="307" t="n"/>
      <c r="BJ33" s="408" t="n"/>
      <c r="BK33" s="340" t="n"/>
      <c r="BL33" s="820">
        <f>SUMPRODUCT(--(MOD(COLUMN($O33:$AL33),4)=MOD(COLUMN($O33)+0,4)),$O33:$AL33)
+SUMPRODUCT(--(MOD(COLUMN($AM33:$BJ33),4)=MOD(COLUMN($AM33)+0,4)),$AM33:$BJ33)</f>
        <v/>
      </c>
      <c r="BM33" s="820">
        <f>SUMPRODUCT(--(MOD(COLUMN($O33:$AL33),4)=MOD(COLUMN($O33)+0,4)),$O33:$AL33)*
$I33+SUMPRODUCT(--(MOD(COLUMN($AM33:$BJ33),4)=MOD(COLUMN($AM33)+0,4)),$AM33:$BJ33)*$I33</f>
        <v/>
      </c>
      <c r="BN33" s="822">
        <f>SUMPRODUCT(--(MOD(COLUMN($O33:$AL33),4)=MOD(COLUMN($O33)+1,4)),$O33:$AL33)
+SUMPRODUCT(--(MOD(COLUMN($AM33:$BJ33),4)=MOD(COLUMN($AM33)+1,4)),$AM33:$BJ33)</f>
        <v/>
      </c>
      <c r="BO33" s="823">
        <f>SUMPRODUCT(--(MOD(COLUMN($O33:$AL33),4)=MOD(COLUMN($O33)+1,4)),$O33:$AL33)*
$I33+SUMPRODUCT(--(MOD(COLUMN($AM33:$BJ33),4)=MOD(COLUMN($AM33)+1,4)),$AM33:$BJ33)*$I33</f>
        <v/>
      </c>
      <c r="BP33" s="824">
        <f>SUMPRODUCT(--(MOD(COLUMN($O33:$AL33),4)=MOD(COLUMN($O33)+2,4)),$O33:$AL33)
+SUMPRODUCT(--(MOD(COLUMN($AM33:$BJ33),4)=MOD(COLUMN($AM33)+2,4)),$AM33:$BJ33)</f>
        <v/>
      </c>
      <c r="BQ33" s="825">
        <f>SUMPRODUCT(--(MOD(COLUMN($O33:$AL33),4)=MOD(COLUMN($O33)+2,4)),$O33:$AL33)*
$I33+SUMPRODUCT(--(MOD(COLUMN($AM33:$BJ33),4)=MOD(COLUMN($AM33)+2,4)),$AM33:$BJ33)*$I33</f>
        <v/>
      </c>
      <c r="BR33" s="819" t="n"/>
      <c r="BS33" s="819" t="n"/>
      <c r="BT33" s="322" t="n"/>
      <c r="BU33" s="408" t="n"/>
      <c r="BV33" s="307" t="n"/>
      <c r="BW33" s="408" t="n"/>
      <c r="BX33" s="322" t="n"/>
      <c r="BY33" s="408" t="n"/>
      <c r="BZ33" s="307" t="n"/>
      <c r="CA33" s="408" t="n"/>
      <c r="CB33" s="322" t="n"/>
      <c r="CC33" s="408" t="n"/>
      <c r="CD33" s="307" t="n"/>
      <c r="CE33" s="408" t="n"/>
      <c r="CF33" s="322" t="n"/>
      <c r="CG33" s="408" t="n"/>
      <c r="CH33" s="307" t="n"/>
      <c r="CI33" s="408" t="n"/>
      <c r="CJ33" s="322" t="n"/>
      <c r="CK33" s="408" t="n"/>
      <c r="CL33" s="307" t="n"/>
      <c r="CM33" s="408" t="n"/>
      <c r="CN33" s="322" t="n"/>
      <c r="CO33" s="408" t="n"/>
      <c r="CP33" s="307" t="n"/>
      <c r="CQ33" s="408" t="n"/>
      <c r="CR33" s="322" t="n"/>
      <c r="CS33" s="408" t="n"/>
      <c r="CT33" s="307" t="n"/>
      <c r="CU33" s="408" t="n"/>
      <c r="CV33" s="322" t="n"/>
      <c r="CW33" s="408" t="n"/>
      <c r="CX33" s="307" t="n"/>
      <c r="CY33" s="408" t="n"/>
      <c r="CZ33" s="322" t="n"/>
      <c r="DA33" s="408" t="n"/>
      <c r="DB33" s="307" t="n"/>
      <c r="DC33" s="408" t="n"/>
      <c r="DD33" s="322" t="n"/>
      <c r="DE33" s="408" t="n"/>
      <c r="DF33" s="307" t="n"/>
      <c r="DG33" s="408" t="n"/>
      <c r="DH33" s="322" t="n"/>
      <c r="DI33" s="408" t="n"/>
      <c r="DJ33" s="307" t="n"/>
      <c r="DK33" s="408" t="n"/>
      <c r="DL33" s="322" t="n"/>
      <c r="DM33" s="408" t="n"/>
      <c r="DN33" s="307" t="n"/>
      <c r="DO33" s="408" t="n"/>
      <c r="DP33" s="340" t="n"/>
      <c r="DQ33" s="820" t="n"/>
      <c r="DR33" s="820" t="n"/>
      <c r="DS33" s="819" t="n"/>
      <c r="DT33" s="819" t="n"/>
      <c r="DU33" s="322" t="n"/>
      <c r="DV33" s="408" t="n"/>
      <c r="DW33" s="307" t="n"/>
      <c r="DX33" s="408" t="n"/>
      <c r="DY33" s="322" t="n"/>
      <c r="DZ33" s="408" t="n"/>
      <c r="EA33" s="307" t="n"/>
      <c r="EB33" s="408" t="n"/>
      <c r="EC33" s="322" t="n"/>
      <c r="ED33" s="408" t="n"/>
      <c r="EE33" s="307" t="n"/>
      <c r="EF33" s="408" t="n"/>
      <c r="EG33" s="322" t="n"/>
      <c r="EH33" s="408" t="n"/>
      <c r="EI33" s="307" t="n"/>
      <c r="EJ33" s="408" t="n"/>
      <c r="EK33" s="322" t="n"/>
      <c r="EL33" s="408" t="n"/>
      <c r="EM33" s="307" t="n"/>
      <c r="EN33" s="408" t="n"/>
      <c r="EO33" s="322" t="n"/>
      <c r="EP33" s="408" t="n"/>
      <c r="EQ33" s="307" t="n"/>
      <c r="ER33" s="408" t="n"/>
      <c r="ES33" s="322" t="n"/>
      <c r="ET33" s="408" t="n"/>
      <c r="EU33" s="307" t="n"/>
      <c r="EV33" s="408" t="n"/>
      <c r="EW33" s="322" t="n"/>
      <c r="EX33" s="408" t="n"/>
      <c r="EY33" s="307" t="n"/>
      <c r="EZ33" s="408" t="n"/>
      <c r="FA33" s="322" t="n"/>
      <c r="FB33" s="408" t="n"/>
      <c r="FC33" s="307" t="n"/>
      <c r="FD33" s="408" t="n"/>
      <c r="FE33" s="322" t="n"/>
      <c r="FF33" s="408" t="n"/>
      <c r="FG33" s="307" t="n"/>
      <c r="FH33" s="408" t="n"/>
      <c r="FI33" s="322" t="n"/>
      <c r="FJ33" s="408" t="n"/>
      <c r="FK33" s="307" t="n"/>
      <c r="FL33" s="408" t="n"/>
      <c r="FM33" s="322" t="n"/>
      <c r="FN33" s="408" t="n"/>
      <c r="FO33" s="307" t="n"/>
      <c r="FP33" s="408" t="n"/>
      <c r="FQ33" s="340" t="n"/>
      <c r="FR33" s="820" t="n"/>
      <c r="FS33" s="820" t="n"/>
      <c r="FT33" s="360" t="n"/>
    </row>
    <row r="34" outlineLevel="2" customFormat="1" s="14">
      <c r="A34" s="413" t="inlineStr">
        <is>
          <t>НОВОСИБАРЗ АО</t>
        </is>
      </c>
      <c r="B34" s="444" t="inlineStr">
        <is>
          <t>Договор не подписан</t>
        </is>
      </c>
      <c r="C34" s="592" t="inlineStr">
        <is>
          <t>ВБК РУС</t>
        </is>
      </c>
      <c r="D34" s="580" t="inlineStr">
        <is>
          <t>Прасолов, Соловьёв</t>
        </is>
      </c>
      <c r="E34" s="414">
        <f>IF(ISBLANK(G34),"",IF($A$6:$A$330=$A34,COUNTIF($A$6:A34,$A34),""))</f>
        <v/>
      </c>
      <c r="F34" s="284" t="n">
        <v>2</v>
      </c>
      <c r="G34" s="304" t="n">
        <v>4630320200</v>
      </c>
      <c r="H34" s="602" t="inlineStr">
        <is>
          <t>Кран ручного управления</t>
        </is>
      </c>
      <c r="I34" s="616">
        <f>J34/ЮАНЬ_2025_08_29</f>
        <v/>
      </c>
      <c r="J34" s="616">
        <f>11250/НДС</f>
        <v/>
      </c>
      <c r="K34" s="870" t="inlineStr">
        <is>
          <t>RUB</t>
        </is>
      </c>
      <c r="L34" s="616">
        <f>IF(K34="RUB",J34/ЮАНЬ,IF(K34="EUR",J34*ЕВРО/ЮАНЬ,""))</f>
        <v/>
      </c>
      <c r="M34" s="871" t="n"/>
      <c r="N34" s="871">
        <f>IF(BP34&gt;0,1,IF(BN34&gt;0,2,))</f>
        <v/>
      </c>
      <c r="O34" s="322" t="n"/>
      <c r="P34" s="408" t="n"/>
      <c r="Q34" s="307" t="n"/>
      <c r="R34" s="408" t="n"/>
      <c r="S34" s="322" t="n"/>
      <c r="T34" s="408" t="n"/>
      <c r="U34" s="307" t="n"/>
      <c r="V34" s="408" t="n"/>
      <c r="W34" s="322" t="n"/>
      <c r="X34" s="408" t="n"/>
      <c r="Y34" s="307" t="n"/>
      <c r="Z34" s="408" t="n"/>
      <c r="AA34" s="322" t="n"/>
      <c r="AB34" s="408" t="n"/>
      <c r="AC34" s="307" t="n"/>
      <c r="AD34" s="408" t="n"/>
      <c r="AE34" s="322" t="n"/>
      <c r="AF34" s="408" t="n"/>
      <c r="AG34" s="307" t="n"/>
      <c r="AH34" s="408" t="n"/>
      <c r="AI34" s="322" t="n"/>
      <c r="AJ34" s="408">
        <f>2</f>
        <v/>
      </c>
      <c r="AK34" s="307" t="n">
        <v>0</v>
      </c>
      <c r="AL34" s="408" t="n"/>
      <c r="AM34" s="322" t="n"/>
      <c r="AN34" s="408" t="n"/>
      <c r="AO34" s="307" t="n"/>
      <c r="AP34" s="408" t="n"/>
      <c r="AQ34" s="322" t="n"/>
      <c r="AR34" s="408" t="n"/>
      <c r="AS34" s="307" t="n"/>
      <c r="AT34" s="408" t="n"/>
      <c r="AU34" s="322" t="n"/>
      <c r="AV34" s="408" t="n"/>
      <c r="AW34" s="307" t="n"/>
      <c r="AX34" s="408" t="n"/>
      <c r="AY34" s="322" t="n"/>
      <c r="AZ34" s="408" t="n"/>
      <c r="BA34" s="307" t="n"/>
      <c r="BB34" s="408" t="n"/>
      <c r="BC34" s="322" t="n"/>
      <c r="BD34" s="408" t="n"/>
      <c r="BE34" s="307" t="n"/>
      <c r="BF34" s="408" t="n"/>
      <c r="BG34" s="322" t="n"/>
      <c r="BH34" s="408" t="n"/>
      <c r="BI34" s="307" t="n"/>
      <c r="BJ34" s="408" t="n"/>
      <c r="BK34" s="340" t="n"/>
      <c r="BL34" s="820">
        <f>SUMPRODUCT(--(MOD(COLUMN($O34:$AL34),4)=MOD(COLUMN($O34)+0,4)),$O34:$AL34)
+SUMPRODUCT(--(MOD(COLUMN($AM34:$BJ34),4)=MOD(COLUMN($AM34)+0,4)),$AM34:$BJ34)</f>
        <v/>
      </c>
      <c r="BM34" s="820">
        <f>SUMPRODUCT(--(MOD(COLUMN($O34:$AL34),4)=MOD(COLUMN($O34)+0,4)),$O34:$AL34)*
$I34+SUMPRODUCT(--(MOD(COLUMN($AM34:$BJ34),4)=MOD(COLUMN($AM34)+0,4)),$AM34:$BJ34)*$I34</f>
        <v/>
      </c>
      <c r="BN34" s="822">
        <f>SUMPRODUCT(--(MOD(COLUMN($O34:$AL34),4)=MOD(COLUMN($O34)+1,4)),$O34:$AL34)
+SUMPRODUCT(--(MOD(COLUMN($AM34:$BJ34),4)=MOD(COLUMN($AM34)+1,4)),$AM34:$BJ34)</f>
        <v/>
      </c>
      <c r="BO34" s="823">
        <f>SUMPRODUCT(--(MOD(COLUMN($O34:$AL34),4)=MOD(COLUMN($O34)+1,4)),$O34:$AL34)*
$I34+SUMPRODUCT(--(MOD(COLUMN($AM34:$BJ34),4)=MOD(COLUMN($AM34)+1,4)),$AM34:$BJ34)*$I34</f>
        <v/>
      </c>
      <c r="BP34" s="824">
        <f>SUMPRODUCT(--(MOD(COLUMN($O34:$AL34),4)=MOD(COLUMN($O34)+2,4)),$O34:$AL34)
+SUMPRODUCT(--(MOD(COLUMN($AM34:$BJ34),4)=MOD(COLUMN($AM34)+2,4)),$AM34:$BJ34)</f>
        <v/>
      </c>
      <c r="BQ34" s="825">
        <f>SUMPRODUCT(--(MOD(COLUMN($O34:$AL34),4)=MOD(COLUMN($O34)+2,4)),$O34:$AL34)*
$I34+SUMPRODUCT(--(MOD(COLUMN($AM34:$BJ34),4)=MOD(COLUMN($AM34)+2,4)),$AM34:$BJ34)*$I34</f>
        <v/>
      </c>
      <c r="BR34" s="819" t="n"/>
      <c r="BS34" s="819" t="n"/>
      <c r="BT34" s="322" t="n"/>
      <c r="BU34" s="408" t="n"/>
      <c r="BV34" s="307" t="n"/>
      <c r="BW34" s="408" t="n"/>
      <c r="BX34" s="322" t="n"/>
      <c r="BY34" s="408" t="n"/>
      <c r="BZ34" s="307" t="n"/>
      <c r="CA34" s="408" t="n"/>
      <c r="CB34" s="322" t="n"/>
      <c r="CC34" s="408" t="n"/>
      <c r="CD34" s="307" t="n"/>
      <c r="CE34" s="408" t="n"/>
      <c r="CF34" s="322" t="n"/>
      <c r="CG34" s="408" t="n"/>
      <c r="CH34" s="307" t="n"/>
      <c r="CI34" s="408" t="n"/>
      <c r="CJ34" s="322" t="n"/>
      <c r="CK34" s="408" t="n"/>
      <c r="CL34" s="307" t="n"/>
      <c r="CM34" s="408" t="n"/>
      <c r="CN34" s="322" t="n"/>
      <c r="CO34" s="408" t="n"/>
      <c r="CP34" s="307" t="n"/>
      <c r="CQ34" s="408" t="n"/>
      <c r="CR34" s="322" t="n"/>
      <c r="CS34" s="408" t="n"/>
      <c r="CT34" s="307" t="n"/>
      <c r="CU34" s="408" t="n"/>
      <c r="CV34" s="322" t="n"/>
      <c r="CW34" s="408" t="n"/>
      <c r="CX34" s="307" t="n"/>
      <c r="CY34" s="408" t="n"/>
      <c r="CZ34" s="322" t="n"/>
      <c r="DA34" s="408" t="n"/>
      <c r="DB34" s="307" t="n"/>
      <c r="DC34" s="408" t="n"/>
      <c r="DD34" s="322" t="n"/>
      <c r="DE34" s="408" t="n"/>
      <c r="DF34" s="307" t="n"/>
      <c r="DG34" s="408" t="n"/>
      <c r="DH34" s="322" t="n"/>
      <c r="DI34" s="408" t="n"/>
      <c r="DJ34" s="307" t="n"/>
      <c r="DK34" s="408" t="n"/>
      <c r="DL34" s="322" t="n"/>
      <c r="DM34" s="408" t="n"/>
      <c r="DN34" s="307" t="n"/>
      <c r="DO34" s="408" t="n"/>
      <c r="DP34" s="340" t="n"/>
      <c r="DQ34" s="820" t="n"/>
      <c r="DR34" s="820" t="n"/>
      <c r="DS34" s="819" t="n"/>
      <c r="DT34" s="819" t="n"/>
      <c r="DU34" s="322" t="n"/>
      <c r="DV34" s="408" t="n"/>
      <c r="DW34" s="307" t="n"/>
      <c r="DX34" s="408" t="n"/>
      <c r="DY34" s="322" t="n"/>
      <c r="DZ34" s="408" t="n"/>
      <c r="EA34" s="307" t="n"/>
      <c r="EB34" s="408" t="n"/>
      <c r="EC34" s="322" t="n"/>
      <c r="ED34" s="408" t="n"/>
      <c r="EE34" s="307" t="n"/>
      <c r="EF34" s="408" t="n"/>
      <c r="EG34" s="322" t="n"/>
      <c r="EH34" s="408" t="n"/>
      <c r="EI34" s="307" t="n"/>
      <c r="EJ34" s="408" t="n"/>
      <c r="EK34" s="322" t="n"/>
      <c r="EL34" s="408" t="n"/>
      <c r="EM34" s="307" t="n"/>
      <c r="EN34" s="408" t="n"/>
      <c r="EO34" s="322" t="n"/>
      <c r="EP34" s="408" t="n"/>
      <c r="EQ34" s="307" t="n"/>
      <c r="ER34" s="408" t="n"/>
      <c r="ES34" s="322" t="n"/>
      <c r="ET34" s="408" t="n"/>
      <c r="EU34" s="307" t="n"/>
      <c r="EV34" s="408" t="n"/>
      <c r="EW34" s="322" t="n"/>
      <c r="EX34" s="408" t="n"/>
      <c r="EY34" s="307" t="n"/>
      <c r="EZ34" s="408" t="n"/>
      <c r="FA34" s="322" t="n"/>
      <c r="FB34" s="408" t="n"/>
      <c r="FC34" s="307" t="n"/>
      <c r="FD34" s="408" t="n"/>
      <c r="FE34" s="322" t="n"/>
      <c r="FF34" s="408" t="n"/>
      <c r="FG34" s="307" t="n"/>
      <c r="FH34" s="408" t="n"/>
      <c r="FI34" s="322" t="n"/>
      <c r="FJ34" s="408" t="n"/>
      <c r="FK34" s="307" t="n"/>
      <c r="FL34" s="408" t="n"/>
      <c r="FM34" s="322" t="n"/>
      <c r="FN34" s="408" t="n"/>
      <c r="FO34" s="307" t="n"/>
      <c r="FP34" s="408" t="n"/>
      <c r="FQ34" s="340" t="n"/>
      <c r="FR34" s="820" t="n"/>
      <c r="FS34" s="820" t="n"/>
      <c r="FT34" s="360" t="n"/>
    </row>
    <row r="35" outlineLevel="2" customFormat="1" s="14">
      <c r="A35" s="413" t="inlineStr">
        <is>
          <t>НОВОСИБАРЗ АО</t>
        </is>
      </c>
      <c r="B35" s="444" t="inlineStr">
        <is>
          <t>Договор не подписан</t>
        </is>
      </c>
      <c r="C35" s="592" t="inlineStr">
        <is>
          <t>ВБК РУС</t>
        </is>
      </c>
      <c r="D35" s="580" t="inlineStr">
        <is>
          <t>Прасолов, Соловьёв</t>
        </is>
      </c>
      <c r="E35" s="414">
        <f>IF(ISBLANK(G35),"",IF($A$6:$A$330=$A35,COUNTIF($A$6:A35,$A35),""))</f>
        <v/>
      </c>
      <c r="F35" s="284" t="n">
        <v>2</v>
      </c>
      <c r="G35" s="304" t="n">
        <v>4640061000</v>
      </c>
      <c r="H35" s="602" t="inlineStr">
        <is>
          <t>Кран уровня пола</t>
        </is>
      </c>
      <c r="I35" s="623">
        <f>J35/ЮАНЬ_2025_08_29</f>
        <v/>
      </c>
      <c r="J35" s="663">
        <f>10790/НДС</f>
        <v/>
      </c>
      <c r="K35" s="877" t="inlineStr">
        <is>
          <t>RUB</t>
        </is>
      </c>
      <c r="L35" s="616">
        <f>IF(K35="RUB",J35/ЮАНЬ,IF(K35="EUR",J35*ЕВРО/ЮАНЬ,""))</f>
        <v/>
      </c>
      <c r="M35" s="871" t="n"/>
      <c r="N35" s="871">
        <f>IF(BP35&gt;0,1,IF(BN35&gt;0,2,))</f>
        <v/>
      </c>
      <c r="O35" s="322" t="n"/>
      <c r="P35" s="408" t="n"/>
      <c r="Q35" s="307" t="n"/>
      <c r="R35" s="408" t="n"/>
      <c r="S35" s="322" t="n"/>
      <c r="T35" s="408" t="n"/>
      <c r="U35" s="307" t="n"/>
      <c r="V35" s="408" t="n"/>
      <c r="W35" s="322" t="n"/>
      <c r="X35" s="408" t="n"/>
      <c r="Y35" s="307" t="n"/>
      <c r="Z35" s="408" t="n"/>
      <c r="AA35" s="322" t="n"/>
      <c r="AB35" s="408" t="n"/>
      <c r="AC35" s="307" t="n"/>
      <c r="AD35" s="408" t="n"/>
      <c r="AE35" s="322" t="n"/>
      <c r="AF35" s="408" t="n"/>
      <c r="AG35" s="25" t="n">
        <v>0</v>
      </c>
      <c r="AH35" s="408" t="n"/>
      <c r="AI35" s="322" t="n"/>
      <c r="AJ35" s="408">
        <f>2</f>
        <v/>
      </c>
      <c r="AK35" s="307" t="n">
        <v>0</v>
      </c>
      <c r="AL35" s="408" t="n"/>
      <c r="AM35" s="322" t="n"/>
      <c r="AN35" s="408" t="n"/>
      <c r="AO35" s="307" t="n"/>
      <c r="AP35" s="408" t="n"/>
      <c r="AQ35" s="322" t="n"/>
      <c r="AR35" s="408" t="n"/>
      <c r="AS35" s="307" t="n"/>
      <c r="AT35" s="408" t="n"/>
      <c r="AU35" s="322" t="n"/>
      <c r="AV35" s="408" t="n"/>
      <c r="AW35" s="307" t="n"/>
      <c r="AX35" s="408" t="n"/>
      <c r="AY35" s="322" t="n"/>
      <c r="AZ35" s="408" t="n"/>
      <c r="BA35" s="307" t="n"/>
      <c r="BB35" s="408" t="n"/>
      <c r="BC35" s="322" t="n"/>
      <c r="BD35" s="408" t="n"/>
      <c r="BE35" s="307" t="n"/>
      <c r="BF35" s="408" t="n"/>
      <c r="BG35" s="322" t="n"/>
      <c r="BH35" s="408" t="n"/>
      <c r="BI35" s="307" t="n"/>
      <c r="BJ35" s="408" t="n"/>
      <c r="BK35" s="340" t="n"/>
      <c r="BL35" s="820">
        <f>SUMPRODUCT(--(MOD(COLUMN($O35:$AL35),4)=MOD(COLUMN($O35)+0,4)),$O35:$AL35)
+SUMPRODUCT(--(MOD(COLUMN($AM35:$BJ35),4)=MOD(COLUMN($AM35)+0,4)),$AM35:$BJ35)</f>
        <v/>
      </c>
      <c r="BM35" s="820">
        <f>SUMPRODUCT(--(MOD(COLUMN($O35:$AL35),4)=MOD(COLUMN($O35)+0,4)),$O35:$AL35)*
$I35+SUMPRODUCT(--(MOD(COLUMN($AM35:$BJ35),4)=MOD(COLUMN($AM35)+0,4)),$AM35:$BJ35)*$I35</f>
        <v/>
      </c>
      <c r="BN35" s="822">
        <f>SUMPRODUCT(--(MOD(COLUMN($O35:$AL35),4)=MOD(COLUMN($O35)+1,4)),$O35:$AL35)
+SUMPRODUCT(--(MOD(COLUMN($AM35:$BJ35),4)=MOD(COLUMN($AM35)+1,4)),$AM35:$BJ35)</f>
        <v/>
      </c>
      <c r="BO35" s="823">
        <f>SUMPRODUCT(--(MOD(COLUMN($O35:$AL35),4)=MOD(COLUMN($O35)+1,4)),$O35:$AL35)*
$I35+SUMPRODUCT(--(MOD(COLUMN($AM35:$BJ35),4)=MOD(COLUMN($AM35)+1,4)),$AM35:$BJ35)*$I35</f>
        <v/>
      </c>
      <c r="BP35" s="824">
        <f>SUMPRODUCT(--(MOD(COLUMN($O35:$AL35),4)=MOD(COLUMN($O35)+2,4)),$O35:$AL35)
+SUMPRODUCT(--(MOD(COLUMN($AM35:$BJ35),4)=MOD(COLUMN($AM35)+2,4)),$AM35:$BJ35)</f>
        <v/>
      </c>
      <c r="BQ35" s="825">
        <f>SUMPRODUCT(--(MOD(COLUMN($O35:$AL35),4)=MOD(COLUMN($O35)+2,4)),$O35:$AL35)*
$I35+SUMPRODUCT(--(MOD(COLUMN($AM35:$BJ35),4)=MOD(COLUMN($AM35)+2,4)),$AM35:$BJ35)*$I35</f>
        <v/>
      </c>
      <c r="BR35" s="819" t="n"/>
      <c r="BS35" s="819" t="n"/>
      <c r="BT35" s="322" t="n"/>
      <c r="BU35" s="408" t="n"/>
      <c r="BV35" s="307" t="n"/>
      <c r="BW35" s="408" t="n"/>
      <c r="BX35" s="322" t="n"/>
      <c r="BY35" s="408" t="n"/>
      <c r="BZ35" s="307" t="n"/>
      <c r="CA35" s="408" t="n"/>
      <c r="CB35" s="322" t="n"/>
      <c r="CC35" s="408" t="n"/>
      <c r="CD35" s="307" t="n"/>
      <c r="CE35" s="408" t="n"/>
      <c r="CF35" s="322" t="n"/>
      <c r="CG35" s="408" t="n"/>
      <c r="CH35" s="307" t="n"/>
      <c r="CI35" s="408" t="n"/>
      <c r="CJ35" s="322" t="n"/>
      <c r="CK35" s="408" t="n"/>
      <c r="CL35" s="307" t="n"/>
      <c r="CM35" s="408" t="n"/>
      <c r="CN35" s="322" t="n"/>
      <c r="CO35" s="408" t="n"/>
      <c r="CP35" s="307" t="n"/>
      <c r="CQ35" s="408" t="n"/>
      <c r="CR35" s="322" t="n"/>
      <c r="CS35" s="408" t="n"/>
      <c r="CT35" s="307" t="n"/>
      <c r="CU35" s="408" t="n"/>
      <c r="CV35" s="322" t="n"/>
      <c r="CW35" s="408" t="n"/>
      <c r="CX35" s="307" t="n"/>
      <c r="CY35" s="408" t="n"/>
      <c r="CZ35" s="322" t="n"/>
      <c r="DA35" s="408" t="n"/>
      <c r="DB35" s="307" t="n"/>
      <c r="DC35" s="408" t="n"/>
      <c r="DD35" s="322" t="n"/>
      <c r="DE35" s="408" t="n"/>
      <c r="DF35" s="307" t="n"/>
      <c r="DG35" s="408" t="n"/>
      <c r="DH35" s="322" t="n"/>
      <c r="DI35" s="408" t="n"/>
      <c r="DJ35" s="307" t="n"/>
      <c r="DK35" s="408" t="n"/>
      <c r="DL35" s="322" t="n"/>
      <c r="DM35" s="408" t="n"/>
      <c r="DN35" s="307" t="n"/>
      <c r="DO35" s="408" t="n"/>
      <c r="DP35" s="340" t="n"/>
      <c r="DQ35" s="820" t="n"/>
      <c r="DR35" s="820" t="n"/>
      <c r="DS35" s="819" t="n"/>
      <c r="DT35" s="819" t="n"/>
      <c r="DU35" s="322" t="n"/>
      <c r="DV35" s="408" t="n"/>
      <c r="DW35" s="307" t="n"/>
      <c r="DX35" s="408" t="n"/>
      <c r="DY35" s="322" t="n"/>
      <c r="DZ35" s="408" t="n"/>
      <c r="EA35" s="307" t="n"/>
      <c r="EB35" s="408" t="n"/>
      <c r="EC35" s="322" t="n"/>
      <c r="ED35" s="408" t="n"/>
      <c r="EE35" s="307" t="n"/>
      <c r="EF35" s="408" t="n"/>
      <c r="EG35" s="322" t="n"/>
      <c r="EH35" s="408" t="n"/>
      <c r="EI35" s="307" t="n"/>
      <c r="EJ35" s="408" t="n"/>
      <c r="EK35" s="322" t="n"/>
      <c r="EL35" s="408" t="n"/>
      <c r="EM35" s="307" t="n"/>
      <c r="EN35" s="408" t="n"/>
      <c r="EO35" s="322" t="n"/>
      <c r="EP35" s="408" t="n"/>
      <c r="EQ35" s="307" t="n"/>
      <c r="ER35" s="408" t="n"/>
      <c r="ES35" s="322" t="n"/>
      <c r="ET35" s="408" t="n"/>
      <c r="EU35" s="307" t="n"/>
      <c r="EV35" s="408" t="n"/>
      <c r="EW35" s="322" t="n"/>
      <c r="EX35" s="408" t="n"/>
      <c r="EY35" s="307" t="n"/>
      <c r="EZ35" s="408" t="n"/>
      <c r="FA35" s="322" t="n"/>
      <c r="FB35" s="408" t="n"/>
      <c r="FC35" s="307" t="n"/>
      <c r="FD35" s="408" t="n"/>
      <c r="FE35" s="322" t="n"/>
      <c r="FF35" s="408" t="n"/>
      <c r="FG35" s="307" t="n"/>
      <c r="FH35" s="408" t="n"/>
      <c r="FI35" s="322" t="n"/>
      <c r="FJ35" s="408" t="n"/>
      <c r="FK35" s="307" t="n"/>
      <c r="FL35" s="408" t="n"/>
      <c r="FM35" s="322" t="n"/>
      <c r="FN35" s="408" t="n"/>
      <c r="FO35" s="307" t="n"/>
      <c r="FP35" s="408" t="n"/>
      <c r="FQ35" s="340" t="n"/>
      <c r="FR35" s="820" t="n"/>
      <c r="FS35" s="820" t="n"/>
      <c r="FT35" s="360" t="n"/>
    </row>
    <row r="36" outlineLevel="2" customFormat="1" s="14">
      <c r="A36" s="411" t="inlineStr">
        <is>
          <t>НОВОСИБАРЗ АО</t>
        </is>
      </c>
      <c r="B36" s="448" t="inlineStr">
        <is>
          <t>Договор не подписан</t>
        </is>
      </c>
      <c r="C36" s="594" t="inlineStr">
        <is>
          <t>ВБК РУС</t>
        </is>
      </c>
      <c r="D36" s="589" t="inlineStr">
        <is>
          <t>Прасолов, Соловьёв</t>
        </is>
      </c>
      <c r="E36" s="412">
        <f>IF(ISBLANK(G36),"",IF($A$6:$A$330=$A36,COUNTIF($A$6:A36,$A36),""))</f>
        <v/>
      </c>
      <c r="F36" s="10" t="n">
        <v>2</v>
      </c>
      <c r="G36" s="55" t="n">
        <v>9630010510</v>
      </c>
      <c r="H36" s="54" t="inlineStr">
        <is>
          <t>Клапан растормаживания сдвоенный</t>
        </is>
      </c>
      <c r="I36" s="663">
        <f>J36/ЮАНЬ_2025_08_29</f>
        <v/>
      </c>
      <c r="J36" s="663">
        <f>5383.17/НДС</f>
        <v/>
      </c>
      <c r="K36" s="872" t="inlineStr">
        <is>
          <t>RUB</t>
        </is>
      </c>
      <c r="L36" s="617">
        <f>IF(K36="RUB",J36/ЮАНЬ,IF(K36="EUR",J36*ЕВРО/ЮАНЬ,""))</f>
        <v/>
      </c>
      <c r="M36" s="873" t="n"/>
      <c r="N36" s="871">
        <f>IF(BP36&gt;0,1,IF(BN36&gt;0,2,))</f>
        <v/>
      </c>
      <c r="O36" s="23" t="n"/>
      <c r="P36" s="24" t="n"/>
      <c r="Q36" s="25" t="n"/>
      <c r="R36" s="24" t="n"/>
      <c r="S36" s="23" t="n"/>
      <c r="T36" s="24" t="n"/>
      <c r="U36" s="25" t="n"/>
      <c r="V36" s="24" t="n"/>
      <c r="W36" s="23" t="n"/>
      <c r="X36" s="24" t="n"/>
      <c r="Y36" s="25" t="n"/>
      <c r="Z36" s="434" t="n"/>
      <c r="AA36" s="23" t="n"/>
      <c r="AB36" s="24" t="n"/>
      <c r="AC36" s="25" t="n"/>
      <c r="AD36" s="24" t="n"/>
      <c r="AE36" s="23" t="n"/>
      <c r="AF36" s="24" t="n"/>
      <c r="AG36" s="25" t="n">
        <v>0</v>
      </c>
      <c r="AH36" s="24" t="n"/>
      <c r="AI36" s="23" t="n"/>
      <c r="AJ36" s="408">
        <f>2</f>
        <v/>
      </c>
      <c r="AK36" s="25" t="n">
        <v>0</v>
      </c>
      <c r="AL36" s="24" t="n"/>
      <c r="AM36" s="23" t="n"/>
      <c r="AN36" s="24" t="n"/>
      <c r="AO36" s="25" t="n"/>
      <c r="AP36" s="24" t="n"/>
      <c r="AQ36" s="23" t="n"/>
      <c r="AR36" s="24" t="n"/>
      <c r="AS36" s="25" t="n"/>
      <c r="AT36" s="24" t="n"/>
      <c r="AU36" s="23" t="n"/>
      <c r="AV36" s="24" t="n"/>
      <c r="AW36" s="25" t="n"/>
      <c r="AX36" s="24" t="n"/>
      <c r="AY36" s="23" t="n"/>
      <c r="AZ36" s="24" t="n"/>
      <c r="BA36" s="25" t="n"/>
      <c r="BB36" s="24" t="n"/>
      <c r="BC36" s="23" t="n"/>
      <c r="BD36" s="24" t="n"/>
      <c r="BE36" s="25" t="n"/>
      <c r="BF36" s="24" t="n"/>
      <c r="BG36" s="23" t="n"/>
      <c r="BH36" s="24" t="n"/>
      <c r="BI36" s="25" t="n"/>
      <c r="BJ36" s="24" t="n"/>
      <c r="BK36" s="340" t="n"/>
      <c r="BL36" s="803">
        <f>SUMPRODUCT(--(MOD(COLUMN($O36:$AL36),4)=MOD(COLUMN($O36)+0,4)),$O36:$AL36)
+SUMPRODUCT(--(MOD(COLUMN($AM36:$BJ36),4)=MOD(COLUMN($AM36)+0,4)),$AM36:$BJ36)</f>
        <v/>
      </c>
      <c r="BM36" s="803">
        <f>SUMPRODUCT(--(MOD(COLUMN($O36:$AL36),4)=MOD(COLUMN($O36)+0,4)),$O36:$AL36)*
$I36+SUMPRODUCT(--(MOD(COLUMN($AM36:$BJ36),4)=MOD(COLUMN($AM36)+0,4)),$AM36:$BJ36)*$I36</f>
        <v/>
      </c>
      <c r="BN36" s="805">
        <f>SUMPRODUCT(--(MOD(COLUMN($O36:$AL36),4)=MOD(COLUMN($O36)+1,4)),$O36:$AL36)
+SUMPRODUCT(--(MOD(COLUMN($AM36:$BJ36),4)=MOD(COLUMN($AM36)+1,4)),$AM36:$BJ36)</f>
        <v/>
      </c>
      <c r="BO36" s="806">
        <f>SUMPRODUCT(--(MOD(COLUMN($O36:$AL36),4)=MOD(COLUMN($O36)+1,4)),$O36:$AL36)*
$I36+SUMPRODUCT(--(MOD(COLUMN($AM36:$BJ36),4)=MOD(COLUMN($AM36)+1,4)),$AM36:$BJ36)*$I36</f>
        <v/>
      </c>
      <c r="BP36" s="807">
        <f>SUMPRODUCT(--(MOD(COLUMN($O36:$AL36),4)=MOD(COLUMN($O36)+2,4)),$O36:$AL36)
+SUMPRODUCT(--(MOD(COLUMN($AM36:$BJ36),4)=MOD(COLUMN($AM36)+2,4)),$AM36:$BJ36)</f>
        <v/>
      </c>
      <c r="BQ36" s="808">
        <f>SUMPRODUCT(--(MOD(COLUMN($O36:$AL36),4)=MOD(COLUMN($O36)+2,4)),$O36:$AL36)*
$I36+SUMPRODUCT(--(MOD(COLUMN($AM36:$BJ36),4)=MOD(COLUMN($AM36)+2,4)),$AM36:$BJ36)*$I36</f>
        <v/>
      </c>
      <c r="BR36" s="801" t="n"/>
      <c r="BS36" s="819" t="n"/>
      <c r="BT36" s="23" t="n"/>
      <c r="BU36" s="24" t="n"/>
      <c r="BV36" s="25" t="n"/>
      <c r="BW36" s="24" t="n"/>
      <c r="BX36" s="23" t="n"/>
      <c r="BY36" s="24" t="n"/>
      <c r="BZ36" s="25" t="n"/>
      <c r="CA36" s="24" t="n"/>
      <c r="CB36" s="23" t="n"/>
      <c r="CC36" s="24" t="n"/>
      <c r="CD36" s="25" t="n"/>
      <c r="CE36" s="434" t="n"/>
      <c r="CF36" s="23" t="n"/>
      <c r="CG36" s="24" t="n"/>
      <c r="CH36" s="25" t="n"/>
      <c r="CI36" s="24" t="n"/>
      <c r="CJ36" s="23" t="n"/>
      <c r="CK36" s="24" t="n"/>
      <c r="CL36" s="25" t="n"/>
      <c r="CM36" s="24" t="n"/>
      <c r="CN36" s="23" t="n"/>
      <c r="CO36" s="24" t="n"/>
      <c r="CP36" s="25" t="n"/>
      <c r="CQ36" s="24" t="n"/>
      <c r="CR36" s="23" t="n"/>
      <c r="CS36" s="24" t="n"/>
      <c r="CT36" s="25" t="n"/>
      <c r="CU36" s="24" t="n"/>
      <c r="CV36" s="23" t="n"/>
      <c r="CW36" s="24" t="n"/>
      <c r="CX36" s="25" t="n"/>
      <c r="CY36" s="24" t="n"/>
      <c r="CZ36" s="23" t="n"/>
      <c r="DA36" s="24" t="n"/>
      <c r="DB36" s="25" t="n"/>
      <c r="DC36" s="24" t="n"/>
      <c r="DD36" s="23" t="n"/>
      <c r="DE36" s="24" t="n"/>
      <c r="DF36" s="25" t="n"/>
      <c r="DG36" s="24" t="n"/>
      <c r="DH36" s="23" t="n"/>
      <c r="DI36" s="24" t="n"/>
      <c r="DJ36" s="25" t="n"/>
      <c r="DK36" s="24" t="n"/>
      <c r="DL36" s="23" t="n"/>
      <c r="DM36" s="24" t="n"/>
      <c r="DN36" s="25" t="n"/>
      <c r="DO36" s="24" t="n"/>
      <c r="DP36" s="340" t="n"/>
      <c r="DQ36" s="803">
        <f>SUMPRODUCT(--(MOD(COLUMN(BT36:CQ36),4)=MOD(COLUMN(BT36),4)),BT36:CQ36)+SUMPRODUCT(--(MOD(COLUMN(CR36:DO36),4)=MOD(COLUMN(CR36),4)),CR36:DO36)</f>
        <v/>
      </c>
      <c r="DR36" s="803">
        <f>SUMPRODUCT(--(MOD(COLUMN(BT36:CQ36),4)=MOD(COLUMN(BT36),4)),BT36:CQ36)*$I36+SUMPRODUCT(--(MOD(COLUMN(CR36:DO36),4)=MOD(COLUMN(CR36),4)),CR36:DO36)*$I36</f>
        <v/>
      </c>
      <c r="DS36" s="801" t="n"/>
      <c r="DT36" s="819" t="n"/>
      <c r="DU36" s="23" t="n"/>
      <c r="DV36" s="24" t="n"/>
      <c r="DW36" s="25" t="n"/>
      <c r="DX36" s="24" t="n"/>
      <c r="DY36" s="23" t="n"/>
      <c r="DZ36" s="24" t="n"/>
      <c r="EA36" s="25" t="n"/>
      <c r="EB36" s="24" t="n"/>
      <c r="EC36" s="23" t="n"/>
      <c r="ED36" s="24" t="n"/>
      <c r="EE36" s="25" t="n"/>
      <c r="EF36" s="434" t="n"/>
      <c r="EG36" s="23" t="n"/>
      <c r="EH36" s="24" t="n"/>
      <c r="EI36" s="25" t="n"/>
      <c r="EJ36" s="24" t="n"/>
      <c r="EK36" s="23" t="n"/>
      <c r="EL36" s="24" t="n"/>
      <c r="EM36" s="25" t="n"/>
      <c r="EN36" s="24" t="n"/>
      <c r="EO36" s="23" t="n"/>
      <c r="EP36" s="24" t="n"/>
      <c r="EQ36" s="25" t="n"/>
      <c r="ER36" s="24" t="n"/>
      <c r="ES36" s="23" t="n"/>
      <c r="ET36" s="24" t="n"/>
      <c r="EU36" s="25" t="n"/>
      <c r="EV36" s="24" t="n"/>
      <c r="EW36" s="23" t="n"/>
      <c r="EX36" s="24" t="n"/>
      <c r="EY36" s="25" t="n"/>
      <c r="EZ36" s="24" t="n"/>
      <c r="FA36" s="23" t="n"/>
      <c r="FB36" s="24" t="n"/>
      <c r="FC36" s="25" t="n"/>
      <c r="FD36" s="24" t="n"/>
      <c r="FE36" s="23" t="n"/>
      <c r="FF36" s="24" t="n"/>
      <c r="FG36" s="25" t="n"/>
      <c r="FH36" s="24" t="n"/>
      <c r="FI36" s="23" t="n"/>
      <c r="FJ36" s="24" t="n"/>
      <c r="FK36" s="25" t="n"/>
      <c r="FL36" s="24" t="n"/>
      <c r="FM36" s="23" t="n"/>
      <c r="FN36" s="24" t="n"/>
      <c r="FO36" s="25" t="n"/>
      <c r="FP36" s="24" t="n"/>
      <c r="FQ36" s="340" t="n"/>
      <c r="FR36" s="803">
        <f>SUMPRODUCT(--(MOD(COLUMN(DU36:ER36),4)=MOD(COLUMN(DU36),4)),DU36:ER36)+SUMPRODUCT(--(MOD(COLUMN(ES36:FP36),4)=MOD(COLUMN(ES36),4)),ES36:FP36)</f>
        <v/>
      </c>
      <c r="FS36" s="803">
        <f>SUMPRODUCT(--(MOD(COLUMN(DU36:ER36),4)=MOD(COLUMN(DU36),4)),DU36:ER36)*$I36+SUMPRODUCT(--(MOD(COLUMN(ES36:FP36),4)=MOD(COLUMN(ES36),4)),ES36:FP36)*$I36</f>
        <v/>
      </c>
      <c r="FT36" s="360" t="n"/>
    </row>
    <row r="37" outlineLevel="2" customFormat="1" s="14">
      <c r="A37" s="411" t="inlineStr">
        <is>
          <t>НОВОСИБАРЗ АО</t>
        </is>
      </c>
      <c r="B37" s="448" t="inlineStr">
        <is>
          <t>Договор не подписан</t>
        </is>
      </c>
      <c r="C37" s="594" t="inlineStr">
        <is>
          <t>ВБК РУС</t>
        </is>
      </c>
      <c r="D37" s="589" t="inlineStr">
        <is>
          <t>Прасолов, Соловьёв</t>
        </is>
      </c>
      <c r="E37" s="412">
        <f>IF(ISBLANK(G37),"",IF($A$6:$A$330=$A37,COUNTIF($A$6:A37,$A37),""))</f>
        <v/>
      </c>
      <c r="F37" s="10" t="n">
        <v>2</v>
      </c>
      <c r="G37" s="55" t="n">
        <v>9735000510</v>
      </c>
      <c r="H37" s="54" t="inlineStr">
        <is>
          <t>Клапан быстрого растормаживания энергоакк.</t>
        </is>
      </c>
      <c r="I37" s="663">
        <f>J37/ЮАНЬ_2025_08_29</f>
        <v/>
      </c>
      <c r="J37" s="663">
        <f>4880/НДС</f>
        <v/>
      </c>
      <c r="K37" s="872" t="inlineStr">
        <is>
          <t>RUB</t>
        </is>
      </c>
      <c r="L37" s="617">
        <f>IF(K37="RUB",J37/ЮАНЬ,IF(K37="EUR",J37*ЕВРО/ЮАНЬ,""))</f>
        <v/>
      </c>
      <c r="M37" s="873" t="n"/>
      <c r="N37" s="871">
        <f>IF(BP37&gt;0,1,IF(BN37&gt;0,2,))</f>
        <v/>
      </c>
      <c r="O37" s="23" t="n"/>
      <c r="P37" s="24" t="n"/>
      <c r="Q37" s="25" t="n"/>
      <c r="R37" s="24" t="n"/>
      <c r="S37" s="23" t="n"/>
      <c r="T37" s="24" t="n"/>
      <c r="U37" s="25" t="n"/>
      <c r="V37" s="24" t="n"/>
      <c r="W37" s="23" t="n"/>
      <c r="X37" s="24" t="n"/>
      <c r="Y37" s="25" t="n"/>
      <c r="Z37" s="434" t="n"/>
      <c r="AA37" s="23" t="n"/>
      <c r="AB37" s="24" t="n"/>
      <c r="AC37" s="25" t="n"/>
      <c r="AD37" s="24" t="n"/>
      <c r="AE37" s="23" t="n"/>
      <c r="AF37" s="24" t="n"/>
      <c r="AG37" s="25" t="n">
        <v>0</v>
      </c>
      <c r="AH37" s="24" t="n"/>
      <c r="AI37" s="23" t="n"/>
      <c r="AJ37" s="408">
        <f>2</f>
        <v/>
      </c>
      <c r="AK37" s="25" t="n">
        <v>0</v>
      </c>
      <c r="AL37" s="24" t="n"/>
      <c r="AM37" s="23" t="n"/>
      <c r="AN37" s="24" t="n"/>
      <c r="AO37" s="25" t="n"/>
      <c r="AP37" s="24" t="n"/>
      <c r="AQ37" s="23" t="n"/>
      <c r="AR37" s="24" t="n"/>
      <c r="AS37" s="25" t="n"/>
      <c r="AT37" s="24" t="n"/>
      <c r="AU37" s="23" t="n"/>
      <c r="AV37" s="24" t="n"/>
      <c r="AW37" s="25" t="n"/>
      <c r="AX37" s="24" t="n"/>
      <c r="AY37" s="23" t="n"/>
      <c r="AZ37" s="24" t="n"/>
      <c r="BA37" s="25" t="n"/>
      <c r="BB37" s="24" t="n"/>
      <c r="BC37" s="23" t="n"/>
      <c r="BD37" s="24" t="n"/>
      <c r="BE37" s="25" t="n"/>
      <c r="BF37" s="24" t="n"/>
      <c r="BG37" s="23" t="n"/>
      <c r="BH37" s="24" t="n"/>
      <c r="BI37" s="25" t="n"/>
      <c r="BJ37" s="24" t="n"/>
      <c r="BK37" s="340" t="n"/>
      <c r="BL37" s="803">
        <f>SUMPRODUCT(--(MOD(COLUMN($O37:$AL37),4)=MOD(COLUMN($O37)+0,4)),$O37:$AL37)
+SUMPRODUCT(--(MOD(COLUMN($AM37:$BJ37),4)=MOD(COLUMN($AM37)+0,4)),$AM37:$BJ37)</f>
        <v/>
      </c>
      <c r="BM37" s="803">
        <f>SUMPRODUCT(--(MOD(COLUMN($O37:$AL37),4)=MOD(COLUMN($O37)+0,4)),$O37:$AL37)*
$I37+SUMPRODUCT(--(MOD(COLUMN($AM37:$BJ37),4)=MOD(COLUMN($AM37)+0,4)),$AM37:$BJ37)*$I37</f>
        <v/>
      </c>
      <c r="BN37" s="805">
        <f>SUMPRODUCT(--(MOD(COLUMN($O37:$AL37),4)=MOD(COLUMN($O37)+1,4)),$O37:$AL37)
+SUMPRODUCT(--(MOD(COLUMN($AM37:$BJ37),4)=MOD(COLUMN($AM37)+1,4)),$AM37:$BJ37)</f>
        <v/>
      </c>
      <c r="BO37" s="806">
        <f>SUMPRODUCT(--(MOD(COLUMN($O37:$AL37),4)=MOD(COLUMN($O37)+1,4)),$O37:$AL37)*
$I37+SUMPRODUCT(--(MOD(COLUMN($AM37:$BJ37),4)=MOD(COLUMN($AM37)+1,4)),$AM37:$BJ37)*$I37</f>
        <v/>
      </c>
      <c r="BP37" s="807">
        <f>SUMPRODUCT(--(MOD(COLUMN($O37:$AL37),4)=MOD(COLUMN($O37)+2,4)),$O37:$AL37)
+SUMPRODUCT(--(MOD(COLUMN($AM37:$BJ37),4)=MOD(COLUMN($AM37)+2,4)),$AM37:$BJ37)</f>
        <v/>
      </c>
      <c r="BQ37" s="808">
        <f>SUMPRODUCT(--(MOD(COLUMN($O37:$AL37),4)=MOD(COLUMN($O37)+2,4)),$O37:$AL37)*
$I37+SUMPRODUCT(--(MOD(COLUMN($AM37:$BJ37),4)=MOD(COLUMN($AM37)+2,4)),$AM37:$BJ37)*$I37</f>
        <v/>
      </c>
      <c r="BR37" s="801" t="n"/>
      <c r="BS37" s="819" t="n"/>
      <c r="BT37" s="23" t="n"/>
      <c r="BU37" s="24" t="n"/>
      <c r="BV37" s="25" t="n"/>
      <c r="BW37" s="24" t="n"/>
      <c r="BX37" s="23" t="n"/>
      <c r="BY37" s="24" t="n"/>
      <c r="BZ37" s="25" t="n"/>
      <c r="CA37" s="24" t="n"/>
      <c r="CB37" s="23" t="n"/>
      <c r="CC37" s="24" t="n"/>
      <c r="CD37" s="25" t="n"/>
      <c r="CE37" s="434" t="n"/>
      <c r="CF37" s="23" t="n"/>
      <c r="CG37" s="24" t="n"/>
      <c r="CH37" s="25" t="n"/>
      <c r="CI37" s="24" t="n"/>
      <c r="CJ37" s="23" t="n"/>
      <c r="CK37" s="24" t="n"/>
      <c r="CL37" s="25" t="n"/>
      <c r="CM37" s="24" t="n"/>
      <c r="CN37" s="23" t="n"/>
      <c r="CO37" s="24" t="n"/>
      <c r="CP37" s="25" t="n"/>
      <c r="CQ37" s="24" t="n"/>
      <c r="CR37" s="23" t="n"/>
      <c r="CS37" s="24" t="n"/>
      <c r="CT37" s="25" t="n"/>
      <c r="CU37" s="24" t="n"/>
      <c r="CV37" s="23" t="n"/>
      <c r="CW37" s="24" t="n"/>
      <c r="CX37" s="25" t="n"/>
      <c r="CY37" s="24" t="n"/>
      <c r="CZ37" s="23" t="n"/>
      <c r="DA37" s="24" t="n"/>
      <c r="DB37" s="25" t="n"/>
      <c r="DC37" s="24" t="n"/>
      <c r="DD37" s="23" t="n"/>
      <c r="DE37" s="24" t="n"/>
      <c r="DF37" s="25" t="n"/>
      <c r="DG37" s="24" t="n"/>
      <c r="DH37" s="23" t="n"/>
      <c r="DI37" s="24" t="n"/>
      <c r="DJ37" s="25" t="n"/>
      <c r="DK37" s="24" t="n"/>
      <c r="DL37" s="23" t="n"/>
      <c r="DM37" s="24" t="n"/>
      <c r="DN37" s="25" t="n"/>
      <c r="DO37" s="24" t="n"/>
      <c r="DP37" s="340" t="n"/>
      <c r="DQ37" s="803">
        <f>SUMPRODUCT(--(MOD(COLUMN(BT37:CQ37),4)=MOD(COLUMN(BT37),4)),BT37:CQ37)+SUMPRODUCT(--(MOD(COLUMN(CR37:DO37),4)=MOD(COLUMN(CR37),4)),CR37:DO37)</f>
        <v/>
      </c>
      <c r="DR37" s="803">
        <f>SUMPRODUCT(--(MOD(COLUMN(BT37:CQ37),4)=MOD(COLUMN(BT37),4)),BT37:CQ37)*$I37+SUMPRODUCT(--(MOD(COLUMN(CR37:DO37),4)=MOD(COLUMN(CR37),4)),CR37:DO37)*$I37</f>
        <v/>
      </c>
      <c r="DS37" s="801" t="n"/>
      <c r="DT37" s="819" t="n"/>
      <c r="DU37" s="23" t="n"/>
      <c r="DV37" s="24" t="n"/>
      <c r="DW37" s="25" t="n"/>
      <c r="DX37" s="24" t="n"/>
      <c r="DY37" s="23" t="n"/>
      <c r="DZ37" s="24" t="n"/>
      <c r="EA37" s="25" t="n"/>
      <c r="EB37" s="24" t="n"/>
      <c r="EC37" s="23" t="n"/>
      <c r="ED37" s="24" t="n"/>
      <c r="EE37" s="25" t="n"/>
      <c r="EF37" s="434" t="n"/>
      <c r="EG37" s="23" t="n"/>
      <c r="EH37" s="24" t="n"/>
      <c r="EI37" s="25" t="n"/>
      <c r="EJ37" s="24" t="n"/>
      <c r="EK37" s="23" t="n"/>
      <c r="EL37" s="24" t="n"/>
      <c r="EM37" s="25" t="n"/>
      <c r="EN37" s="24" t="n"/>
      <c r="EO37" s="23" t="n"/>
      <c r="EP37" s="24" t="n"/>
      <c r="EQ37" s="25" t="n"/>
      <c r="ER37" s="24" t="n"/>
      <c r="ES37" s="23" t="n"/>
      <c r="ET37" s="24" t="n"/>
      <c r="EU37" s="25" t="n"/>
      <c r="EV37" s="24" t="n"/>
      <c r="EW37" s="23" t="n"/>
      <c r="EX37" s="24" t="n"/>
      <c r="EY37" s="25" t="n"/>
      <c r="EZ37" s="24" t="n"/>
      <c r="FA37" s="23" t="n"/>
      <c r="FB37" s="24" t="n"/>
      <c r="FC37" s="25" t="n"/>
      <c r="FD37" s="24" t="n"/>
      <c r="FE37" s="23" t="n"/>
      <c r="FF37" s="24" t="n"/>
      <c r="FG37" s="25" t="n"/>
      <c r="FH37" s="24" t="n"/>
      <c r="FI37" s="23" t="n"/>
      <c r="FJ37" s="24" t="n"/>
      <c r="FK37" s="25" t="n"/>
      <c r="FL37" s="24" t="n"/>
      <c r="FM37" s="23" t="n"/>
      <c r="FN37" s="24" t="n"/>
      <c r="FO37" s="25" t="n"/>
      <c r="FP37" s="24" t="n"/>
      <c r="FQ37" s="340" t="n"/>
      <c r="FR37" s="803">
        <f>SUMPRODUCT(--(MOD(COLUMN(DU37:ER37),4)=MOD(COLUMN(DU37),4)),DU37:ER37)+SUMPRODUCT(--(MOD(COLUMN(ES37:FP37),4)=MOD(COLUMN(ES37),4)),ES37:FP37)</f>
        <v/>
      </c>
      <c r="FS37" s="803">
        <f>SUMPRODUCT(--(MOD(COLUMN(DU37:ER37),4)=MOD(COLUMN(DU37),4)),DU37:ER37)*$I37+SUMPRODUCT(--(MOD(COLUMN(ES37:FP37),4)=MOD(COLUMN(ES37),4)),ES37:FP37)*$I37</f>
        <v/>
      </c>
      <c r="FT37" s="360" t="n"/>
    </row>
    <row r="38" outlineLevel="2" customFormat="1" s="14">
      <c r="A38" s="411" t="inlineStr">
        <is>
          <t>НОВОСИБАРЗ АО</t>
        </is>
      </c>
      <c r="B38" s="448" t="inlineStr">
        <is>
          <t>Договор не подписан</t>
        </is>
      </c>
      <c r="C38" s="594" t="inlineStr">
        <is>
          <t>ВБК РУС</t>
        </is>
      </c>
      <c r="D38" s="589" t="inlineStr">
        <is>
          <t>Прасолов, Соловьёв</t>
        </is>
      </c>
      <c r="E38" s="412">
        <f>IF(ISBLANK(G38),"",IF($A$6:$A$330=$A38,COUNTIF($A$6:A38,$A38),""))</f>
        <v/>
      </c>
      <c r="F38" s="10" t="n">
        <v>2</v>
      </c>
      <c r="G38" s="55" t="n">
        <v>4341001250</v>
      </c>
      <c r="H38" s="54" t="inlineStr">
        <is>
          <t>Клапан перепускной</t>
        </is>
      </c>
      <c r="I38" s="663">
        <f>J38/ЮАНЬ_2025_08_29</f>
        <v/>
      </c>
      <c r="J38" s="663">
        <f>2135/НДС</f>
        <v/>
      </c>
      <c r="K38" s="872" t="inlineStr">
        <is>
          <t>RUB</t>
        </is>
      </c>
      <c r="L38" s="617">
        <f>IF(K38="RUB",J38/ЮАНЬ,IF(K38="EUR",J38*ЕВРО/ЮАНЬ,""))</f>
        <v/>
      </c>
      <c r="M38" s="873" t="n"/>
      <c r="N38" s="871">
        <f>IF(BP38&gt;0,1,IF(BN38&gt;0,2,))</f>
        <v/>
      </c>
      <c r="O38" s="23" t="n"/>
      <c r="P38" s="24" t="n"/>
      <c r="Q38" s="25" t="n"/>
      <c r="R38" s="24" t="n"/>
      <c r="S38" s="23" t="n"/>
      <c r="T38" s="24">
        <f>3</f>
        <v/>
      </c>
      <c r="U38" s="25" t="n">
        <v>3</v>
      </c>
      <c r="V38" s="24" t="n"/>
      <c r="W38" s="23" t="n"/>
      <c r="X38" s="24" t="n"/>
      <c r="Y38" s="25" t="n"/>
      <c r="Z38" s="434" t="n"/>
      <c r="AA38" s="23" t="n"/>
      <c r="AB38" s="24" t="n"/>
      <c r="AC38" s="25" t="n"/>
      <c r="AD38" s="24" t="n"/>
      <c r="AE38" s="23" t="n"/>
      <c r="AF38" s="24" t="n"/>
      <c r="AG38" s="25" t="n">
        <v>0</v>
      </c>
      <c r="AH38" s="24" t="n"/>
      <c r="AI38" s="23" t="n"/>
      <c r="AJ38" s="408">
        <f>2</f>
        <v/>
      </c>
      <c r="AK38" s="25" t="n">
        <v>0</v>
      </c>
      <c r="AL38" s="24" t="n"/>
      <c r="AM38" s="23" t="n"/>
      <c r="AN38" s="24" t="n"/>
      <c r="AO38" s="25" t="n"/>
      <c r="AP38" s="24" t="n"/>
      <c r="AQ38" s="23" t="n"/>
      <c r="AR38" s="24" t="n"/>
      <c r="AS38" s="25" t="n"/>
      <c r="AT38" s="24" t="n"/>
      <c r="AU38" s="23" t="n"/>
      <c r="AV38" s="24" t="n"/>
      <c r="AW38" s="25" t="n"/>
      <c r="AX38" s="24" t="n"/>
      <c r="AY38" s="23" t="n"/>
      <c r="AZ38" s="24" t="n"/>
      <c r="BA38" s="25" t="n"/>
      <c r="BB38" s="24" t="n"/>
      <c r="BC38" s="23" t="n"/>
      <c r="BD38" s="24" t="n"/>
      <c r="BE38" s="25" t="n"/>
      <c r="BF38" s="24" t="n"/>
      <c r="BG38" s="23" t="n"/>
      <c r="BH38" s="24" t="n"/>
      <c r="BI38" s="25" t="n"/>
      <c r="BJ38" s="24" t="n"/>
      <c r="BK38" s="340" t="n"/>
      <c r="BL38" s="803">
        <f>SUMPRODUCT(--(MOD(COLUMN($O38:$AL38),4)=MOD(COLUMN($O38)+0,4)),$O38:$AL38)
+SUMPRODUCT(--(MOD(COLUMN($AM38:$BJ38),4)=MOD(COLUMN($AM38)+0,4)),$AM38:$BJ38)</f>
        <v/>
      </c>
      <c r="BM38" s="803">
        <f>SUMPRODUCT(--(MOD(COLUMN($O38:$AL38),4)=MOD(COLUMN($O38)+0,4)),$O38:$AL38)*
$I38+SUMPRODUCT(--(MOD(COLUMN($AM38:$BJ38),4)=MOD(COLUMN($AM38)+0,4)),$AM38:$BJ38)*$I38</f>
        <v/>
      </c>
      <c r="BN38" s="805">
        <f>SUMPRODUCT(--(MOD(COLUMN($O38:$AL38),4)=MOD(COLUMN($O38)+1,4)),$O38:$AL38)
+SUMPRODUCT(--(MOD(COLUMN($AM38:$BJ38),4)=MOD(COLUMN($AM38)+1,4)),$AM38:$BJ38)</f>
        <v/>
      </c>
      <c r="BO38" s="806">
        <f>SUMPRODUCT(--(MOD(COLUMN($O38:$AL38),4)=MOD(COLUMN($O38)+1,4)),$O38:$AL38)*
$I38+SUMPRODUCT(--(MOD(COLUMN($AM38:$BJ38),4)=MOD(COLUMN($AM38)+1,4)),$AM38:$BJ38)*$I38</f>
        <v/>
      </c>
      <c r="BP38" s="807">
        <f>SUMPRODUCT(--(MOD(COLUMN($O38:$AL38),4)=MOD(COLUMN($O38)+2,4)),$O38:$AL38)
+SUMPRODUCT(--(MOD(COLUMN($AM38:$BJ38),4)=MOD(COLUMN($AM38)+2,4)),$AM38:$BJ38)</f>
        <v/>
      </c>
      <c r="BQ38" s="808">
        <f>SUMPRODUCT(--(MOD(COLUMN($O38:$AL38),4)=MOD(COLUMN($O38)+2,4)),$O38:$AL38)*
$I38+SUMPRODUCT(--(MOD(COLUMN($AM38:$BJ38),4)=MOD(COLUMN($AM38)+2,4)),$AM38:$BJ38)*$I38</f>
        <v/>
      </c>
      <c r="BR38" s="801" t="n"/>
      <c r="BS38" s="819" t="n"/>
      <c r="BT38" s="23" t="n"/>
      <c r="BU38" s="24" t="n"/>
      <c r="BV38" s="25" t="n"/>
      <c r="BW38" s="24" t="n"/>
      <c r="BX38" s="23" t="n"/>
      <c r="BY38" s="24" t="n"/>
      <c r="BZ38" s="25" t="n"/>
      <c r="CA38" s="24" t="n"/>
      <c r="CB38" s="23" t="n"/>
      <c r="CC38" s="24" t="n"/>
      <c r="CD38" s="25" t="n"/>
      <c r="CE38" s="434" t="n"/>
      <c r="CF38" s="23" t="n"/>
      <c r="CG38" s="24" t="n"/>
      <c r="CH38" s="25" t="n"/>
      <c r="CI38" s="24" t="n"/>
      <c r="CJ38" s="23" t="n"/>
      <c r="CK38" s="24" t="n"/>
      <c r="CL38" s="25" t="n"/>
      <c r="CM38" s="24" t="n"/>
      <c r="CN38" s="23" t="n"/>
      <c r="CO38" s="24" t="n"/>
      <c r="CP38" s="25" t="n"/>
      <c r="CQ38" s="24" t="n"/>
      <c r="CR38" s="23" t="n"/>
      <c r="CS38" s="24" t="n"/>
      <c r="CT38" s="25" t="n"/>
      <c r="CU38" s="24" t="n"/>
      <c r="CV38" s="23" t="n"/>
      <c r="CW38" s="24" t="n"/>
      <c r="CX38" s="25" t="n"/>
      <c r="CY38" s="24" t="n"/>
      <c r="CZ38" s="23" t="n"/>
      <c r="DA38" s="24" t="n"/>
      <c r="DB38" s="25" t="n"/>
      <c r="DC38" s="24" t="n"/>
      <c r="DD38" s="23" t="n"/>
      <c r="DE38" s="24" t="n"/>
      <c r="DF38" s="25" t="n"/>
      <c r="DG38" s="24" t="n"/>
      <c r="DH38" s="23" t="n"/>
      <c r="DI38" s="24" t="n"/>
      <c r="DJ38" s="25" t="n"/>
      <c r="DK38" s="24" t="n"/>
      <c r="DL38" s="23" t="n"/>
      <c r="DM38" s="24" t="n"/>
      <c r="DN38" s="25" t="n"/>
      <c r="DO38" s="24" t="n"/>
      <c r="DP38" s="340" t="n"/>
      <c r="DQ38" s="803">
        <f>SUMPRODUCT(--(MOD(COLUMN(BT38:CQ38),4)=MOD(COLUMN(BT38),4)),BT38:CQ38)+SUMPRODUCT(--(MOD(COLUMN(CR38:DO38),4)=MOD(COLUMN(CR38),4)),CR38:DO38)</f>
        <v/>
      </c>
      <c r="DR38" s="803">
        <f>SUMPRODUCT(--(MOD(COLUMN(BT38:CQ38),4)=MOD(COLUMN(BT38),4)),BT38:CQ38)*$I38+SUMPRODUCT(--(MOD(COLUMN(CR38:DO38),4)=MOD(COLUMN(CR38),4)),CR38:DO38)*$I38</f>
        <v/>
      </c>
      <c r="DS38" s="801" t="n"/>
      <c r="DT38" s="819" t="n"/>
      <c r="DU38" s="23" t="n"/>
      <c r="DV38" s="24" t="n"/>
      <c r="DW38" s="25" t="n"/>
      <c r="DX38" s="24" t="n"/>
      <c r="DY38" s="23" t="n"/>
      <c r="DZ38" s="24" t="n"/>
      <c r="EA38" s="25" t="n"/>
      <c r="EB38" s="24" t="n"/>
      <c r="EC38" s="23" t="n"/>
      <c r="ED38" s="24" t="n"/>
      <c r="EE38" s="25" t="n"/>
      <c r="EF38" s="434" t="n"/>
      <c r="EG38" s="23" t="n"/>
      <c r="EH38" s="24" t="n"/>
      <c r="EI38" s="25" t="n"/>
      <c r="EJ38" s="24" t="n"/>
      <c r="EK38" s="23" t="n"/>
      <c r="EL38" s="24" t="n"/>
      <c r="EM38" s="25" t="n"/>
      <c r="EN38" s="24" t="n"/>
      <c r="EO38" s="23" t="n"/>
      <c r="EP38" s="24" t="n"/>
      <c r="EQ38" s="25" t="n"/>
      <c r="ER38" s="24" t="n"/>
      <c r="ES38" s="23" t="n"/>
      <c r="ET38" s="24" t="n"/>
      <c r="EU38" s="25" t="n"/>
      <c r="EV38" s="24" t="n"/>
      <c r="EW38" s="23" t="n"/>
      <c r="EX38" s="24" t="n"/>
      <c r="EY38" s="25" t="n"/>
      <c r="EZ38" s="24" t="n"/>
      <c r="FA38" s="23" t="n"/>
      <c r="FB38" s="24" t="n"/>
      <c r="FC38" s="25" t="n"/>
      <c r="FD38" s="24" t="n"/>
      <c r="FE38" s="23" t="n"/>
      <c r="FF38" s="24" t="n"/>
      <c r="FG38" s="25" t="n"/>
      <c r="FH38" s="24" t="n"/>
      <c r="FI38" s="23" t="n"/>
      <c r="FJ38" s="24" t="n"/>
      <c r="FK38" s="25" t="n"/>
      <c r="FL38" s="24" t="n"/>
      <c r="FM38" s="23" t="n"/>
      <c r="FN38" s="24" t="n"/>
      <c r="FO38" s="25" t="n"/>
      <c r="FP38" s="24" t="n"/>
      <c r="FQ38" s="340" t="n"/>
      <c r="FR38" s="803">
        <f>SUMPRODUCT(--(MOD(COLUMN(DU38:ER38),4)=MOD(COLUMN(DU38),4)),DU38:ER38)+SUMPRODUCT(--(MOD(COLUMN(ES38:FP38),4)=MOD(COLUMN(ES38),4)),ES38:FP38)</f>
        <v/>
      </c>
      <c r="FS38" s="803">
        <f>SUMPRODUCT(--(MOD(COLUMN(DU38:ER38),4)=MOD(COLUMN(DU38),4)),DU38:ER38)*$I38+SUMPRODUCT(--(MOD(COLUMN(ES38:FP38),4)=MOD(COLUMN(ES38),4)),ES38:FP38)*$I38</f>
        <v/>
      </c>
      <c r="FT38" s="360" t="n"/>
    </row>
    <row r="39" outlineLevel="2" customFormat="1" s="14">
      <c r="A39" s="413" t="inlineStr">
        <is>
          <t>НОВОСИБАРЗ АО</t>
        </is>
      </c>
      <c r="B39" s="444" t="inlineStr">
        <is>
          <t>Договор не подписан</t>
        </is>
      </c>
      <c r="C39" s="592" t="inlineStr">
        <is>
          <t>ВБК РУС</t>
        </is>
      </c>
      <c r="D39" s="580" t="inlineStr">
        <is>
          <t>Прасолов, Соловьёв</t>
        </is>
      </c>
      <c r="E39" s="414">
        <f>IF(ISBLANK(G39),"",IF($A$6:$A$330=$A39,COUNTIF($A$6:A39,$A39),""))</f>
        <v/>
      </c>
      <c r="F39" s="284" t="n">
        <v>2</v>
      </c>
      <c r="G39" s="304" t="n">
        <v>9522010010</v>
      </c>
      <c r="H39" s="602" t="inlineStr">
        <is>
          <t>Головка соединительная</t>
        </is>
      </c>
      <c r="I39" s="623">
        <f>J39/ЮАНЬ_2025_08_29</f>
        <v/>
      </c>
      <c r="J39" s="623">
        <f>1400.26/НДС</f>
        <v/>
      </c>
      <c r="K39" s="870" t="inlineStr">
        <is>
          <t>RUB</t>
        </is>
      </c>
      <c r="L39" s="616">
        <f>IF(K39="RUB",J39/ЮАНЬ,IF(K39="EUR",J39*ЕВРО/ЮАНЬ,""))</f>
        <v/>
      </c>
      <c r="M39" s="871" t="n"/>
      <c r="N39" s="871">
        <f>IF(BP39&gt;0,1,IF(BN39&gt;0,2,))</f>
        <v/>
      </c>
      <c r="O39" s="322" t="n"/>
      <c r="P39" s="408" t="n"/>
      <c r="Q39" s="307" t="n"/>
      <c r="R39" s="408" t="n"/>
      <c r="S39" s="322" t="n"/>
      <c r="T39" s="408" t="n"/>
      <c r="U39" s="307" t="n"/>
      <c r="V39" s="408" t="n"/>
      <c r="W39" s="322" t="n"/>
      <c r="X39" s="408" t="n"/>
      <c r="Y39" s="307" t="n"/>
      <c r="Z39" s="547" t="n"/>
      <c r="AA39" s="322" t="n"/>
      <c r="AB39" s="408" t="n"/>
      <c r="AC39" s="307" t="n"/>
      <c r="AD39" s="408" t="n"/>
      <c r="AE39" s="322" t="n"/>
      <c r="AF39" s="408" t="n"/>
      <c r="AG39" s="307" t="n"/>
      <c r="AH39" s="408" t="n"/>
      <c r="AI39" s="322" t="n"/>
      <c r="AJ39" s="408">
        <f>2</f>
        <v/>
      </c>
      <c r="AK39" s="307" t="n">
        <v>0</v>
      </c>
      <c r="AL39" s="408" t="n"/>
      <c r="AM39" s="322" t="n"/>
      <c r="AN39" s="408" t="n"/>
      <c r="AO39" s="307" t="n"/>
      <c r="AP39" s="408" t="n"/>
      <c r="AQ39" s="322" t="n"/>
      <c r="AR39" s="408" t="n"/>
      <c r="AS39" s="307" t="n"/>
      <c r="AT39" s="408" t="n"/>
      <c r="AU39" s="322" t="n"/>
      <c r="AV39" s="408" t="n"/>
      <c r="AW39" s="307" t="n"/>
      <c r="AX39" s="408" t="n"/>
      <c r="AY39" s="322" t="n"/>
      <c r="AZ39" s="408" t="n"/>
      <c r="BA39" s="307" t="n"/>
      <c r="BB39" s="408" t="n"/>
      <c r="BC39" s="322" t="n"/>
      <c r="BD39" s="408" t="n"/>
      <c r="BE39" s="307" t="n"/>
      <c r="BF39" s="408" t="n"/>
      <c r="BG39" s="322" t="n"/>
      <c r="BH39" s="408" t="n"/>
      <c r="BI39" s="307" t="n"/>
      <c r="BJ39" s="408" t="n"/>
      <c r="BK39" s="340" t="n"/>
      <c r="BL39" s="820">
        <f>SUMPRODUCT(--(MOD(COLUMN($O39:$AL39),4)=MOD(COLUMN($O39)+0,4)),$O39:$AL39)
+SUMPRODUCT(--(MOD(COLUMN($AM39:$BJ39),4)=MOD(COLUMN($AM39)+0,4)),$AM39:$BJ39)</f>
        <v/>
      </c>
      <c r="BM39" s="820">
        <f>SUMPRODUCT(--(MOD(COLUMN($O39:$AL39),4)=MOD(COLUMN($O39)+0,4)),$O39:$AL39)*
$I39+SUMPRODUCT(--(MOD(COLUMN($AM39:$BJ39),4)=MOD(COLUMN($AM39)+0,4)),$AM39:$BJ39)*$I39</f>
        <v/>
      </c>
      <c r="BN39" s="822">
        <f>SUMPRODUCT(--(MOD(COLUMN($O39:$AL39),4)=MOD(COLUMN($O39)+1,4)),$O39:$AL39)
+SUMPRODUCT(--(MOD(COLUMN($AM39:$BJ39),4)=MOD(COLUMN($AM39)+1,4)),$AM39:$BJ39)</f>
        <v/>
      </c>
      <c r="BO39" s="823">
        <f>SUMPRODUCT(--(MOD(COLUMN($O39:$AL39),4)=MOD(COLUMN($O39)+1,4)),$O39:$AL39)*
$I39+SUMPRODUCT(--(MOD(COLUMN($AM39:$BJ39),4)=MOD(COLUMN($AM39)+1,4)),$AM39:$BJ39)*$I39</f>
        <v/>
      </c>
      <c r="BP39" s="824">
        <f>SUMPRODUCT(--(MOD(COLUMN($O39:$AL39),4)=MOD(COLUMN($O39)+2,4)),$O39:$AL39)
+SUMPRODUCT(--(MOD(COLUMN($AM39:$BJ39),4)=MOD(COLUMN($AM39)+2,4)),$AM39:$BJ39)</f>
        <v/>
      </c>
      <c r="BQ39" s="825">
        <f>SUMPRODUCT(--(MOD(COLUMN($O39:$AL39),4)=MOD(COLUMN($O39)+2,4)),$O39:$AL39)*
$I39+SUMPRODUCT(--(MOD(COLUMN($AM39:$BJ39),4)=MOD(COLUMN($AM39)+2,4)),$AM39:$BJ39)*$I39</f>
        <v/>
      </c>
      <c r="BR39" s="819" t="n"/>
      <c r="BS39" s="819" t="n"/>
      <c r="BT39" s="322" t="n"/>
      <c r="BU39" s="408" t="n"/>
      <c r="BV39" s="307" t="n"/>
      <c r="BW39" s="408" t="n"/>
      <c r="BX39" s="322" t="n"/>
      <c r="BY39" s="408" t="n"/>
      <c r="BZ39" s="307" t="n"/>
      <c r="CA39" s="408" t="n"/>
      <c r="CB39" s="322" t="n"/>
      <c r="CC39" s="408" t="n"/>
      <c r="CD39" s="307" t="n"/>
      <c r="CE39" s="547" t="n"/>
      <c r="CF39" s="322" t="n"/>
      <c r="CG39" s="408" t="n"/>
      <c r="CH39" s="307" t="n"/>
      <c r="CI39" s="408" t="n"/>
      <c r="CJ39" s="322" t="n"/>
      <c r="CK39" s="408" t="n"/>
      <c r="CL39" s="307" t="n"/>
      <c r="CM39" s="408" t="n"/>
      <c r="CN39" s="322" t="n"/>
      <c r="CO39" s="408" t="n"/>
      <c r="CP39" s="307" t="n"/>
      <c r="CQ39" s="408" t="n"/>
      <c r="CR39" s="322" t="n"/>
      <c r="CS39" s="408" t="n"/>
      <c r="CT39" s="307" t="n"/>
      <c r="CU39" s="408" t="n"/>
      <c r="CV39" s="322" t="n"/>
      <c r="CW39" s="408" t="n"/>
      <c r="CX39" s="307" t="n"/>
      <c r="CY39" s="408" t="n"/>
      <c r="CZ39" s="322" t="n"/>
      <c r="DA39" s="408" t="n"/>
      <c r="DB39" s="307" t="n"/>
      <c r="DC39" s="408" t="n"/>
      <c r="DD39" s="322" t="n"/>
      <c r="DE39" s="408" t="n"/>
      <c r="DF39" s="307" t="n"/>
      <c r="DG39" s="408" t="n"/>
      <c r="DH39" s="322" t="n"/>
      <c r="DI39" s="408" t="n"/>
      <c r="DJ39" s="307" t="n"/>
      <c r="DK39" s="408" t="n"/>
      <c r="DL39" s="322" t="n"/>
      <c r="DM39" s="408" t="n"/>
      <c r="DN39" s="307" t="n"/>
      <c r="DO39" s="408" t="n"/>
      <c r="DP39" s="340" t="n"/>
      <c r="DQ39" s="820" t="n"/>
      <c r="DR39" s="820" t="n"/>
      <c r="DS39" s="819" t="n"/>
      <c r="DT39" s="819" t="n"/>
      <c r="DU39" s="322" t="n"/>
      <c r="DV39" s="408" t="n"/>
      <c r="DW39" s="307" t="n"/>
      <c r="DX39" s="408" t="n"/>
      <c r="DY39" s="322" t="n"/>
      <c r="DZ39" s="408" t="n"/>
      <c r="EA39" s="307" t="n"/>
      <c r="EB39" s="408" t="n"/>
      <c r="EC39" s="322" t="n"/>
      <c r="ED39" s="408" t="n"/>
      <c r="EE39" s="307" t="n"/>
      <c r="EF39" s="547" t="n"/>
      <c r="EG39" s="322" t="n"/>
      <c r="EH39" s="408" t="n"/>
      <c r="EI39" s="307" t="n"/>
      <c r="EJ39" s="408" t="n"/>
      <c r="EK39" s="322" t="n"/>
      <c r="EL39" s="408" t="n"/>
      <c r="EM39" s="307" t="n"/>
      <c r="EN39" s="408" t="n"/>
      <c r="EO39" s="322" t="n"/>
      <c r="EP39" s="408" t="n"/>
      <c r="EQ39" s="307" t="n"/>
      <c r="ER39" s="408" t="n"/>
      <c r="ES39" s="322" t="n"/>
      <c r="ET39" s="408" t="n"/>
      <c r="EU39" s="307" t="n"/>
      <c r="EV39" s="408" t="n"/>
      <c r="EW39" s="322" t="n"/>
      <c r="EX39" s="408" t="n"/>
      <c r="EY39" s="307" t="n"/>
      <c r="EZ39" s="408" t="n"/>
      <c r="FA39" s="322" t="n"/>
      <c r="FB39" s="408" t="n"/>
      <c r="FC39" s="307" t="n"/>
      <c r="FD39" s="408" t="n"/>
      <c r="FE39" s="322" t="n"/>
      <c r="FF39" s="408" t="n"/>
      <c r="FG39" s="307" t="n"/>
      <c r="FH39" s="408" t="n"/>
      <c r="FI39" s="322" t="n"/>
      <c r="FJ39" s="408" t="n"/>
      <c r="FK39" s="307" t="n"/>
      <c r="FL39" s="408" t="n"/>
      <c r="FM39" s="322" t="n"/>
      <c r="FN39" s="408" t="n"/>
      <c r="FO39" s="307" t="n"/>
      <c r="FP39" s="408" t="n"/>
      <c r="FQ39" s="340" t="n"/>
      <c r="FR39" s="820" t="n"/>
      <c r="FS39" s="820" t="n"/>
      <c r="FT39" s="360" t="n"/>
    </row>
    <row r="40" outlineLevel="2" customFormat="1" s="14">
      <c r="A40" s="413" t="inlineStr">
        <is>
          <t>НОВОСИБАРЗ АО</t>
        </is>
      </c>
      <c r="B40" s="444" t="inlineStr">
        <is>
          <t>Договор не подписан</t>
        </is>
      </c>
      <c r="C40" s="592" t="inlineStr">
        <is>
          <t>ВБК РУС</t>
        </is>
      </c>
      <c r="D40" s="580" t="inlineStr">
        <is>
          <t>Прасолов, Соловьёв</t>
        </is>
      </c>
      <c r="E40" s="414">
        <f>IF(ISBLANK(G40),"",IF($A$6:$A$330=$A40,COUNTIF($A$6:A40,$A40),""))</f>
        <v/>
      </c>
      <c r="F40" s="284" t="n">
        <v>2</v>
      </c>
      <c r="G40" s="304" t="n">
        <v>9522010020</v>
      </c>
      <c r="H40" s="602" t="inlineStr">
        <is>
          <t>Головка соединительная</t>
        </is>
      </c>
      <c r="I40" s="623">
        <f>J40/ЮАНЬ_2025_08_29</f>
        <v/>
      </c>
      <c r="J40" s="623">
        <f>1400.26/НДС</f>
        <v/>
      </c>
      <c r="K40" s="870" t="inlineStr">
        <is>
          <t>RUB</t>
        </is>
      </c>
      <c r="L40" s="616">
        <f>IF(K40="RUB",J40/ЮАНЬ,IF(K40="EUR",J40*ЕВРО/ЮАНЬ,""))</f>
        <v/>
      </c>
      <c r="M40" s="871" t="n"/>
      <c r="N40" s="871">
        <f>IF(BP40&gt;0,1,IF(BN40&gt;0,2,))</f>
        <v/>
      </c>
      <c r="O40" s="322" t="n"/>
      <c r="P40" s="408" t="n"/>
      <c r="Q40" s="307" t="n"/>
      <c r="R40" s="408" t="n"/>
      <c r="S40" s="322" t="n"/>
      <c r="T40" s="408" t="n"/>
      <c r="U40" s="307" t="n"/>
      <c r="V40" s="408" t="n"/>
      <c r="W40" s="322" t="n"/>
      <c r="X40" s="408" t="n"/>
      <c r="Y40" s="307" t="n"/>
      <c r="Z40" s="547" t="n"/>
      <c r="AA40" s="322" t="n"/>
      <c r="AB40" s="408" t="n"/>
      <c r="AC40" s="307" t="n"/>
      <c r="AD40" s="408" t="n"/>
      <c r="AE40" s="322" t="n"/>
      <c r="AF40" s="408" t="n"/>
      <c r="AG40" s="307" t="n"/>
      <c r="AH40" s="408" t="n"/>
      <c r="AI40" s="322" t="n"/>
      <c r="AJ40" s="408">
        <f>2</f>
        <v/>
      </c>
      <c r="AK40" s="307" t="n">
        <v>0</v>
      </c>
      <c r="AL40" s="408" t="n"/>
      <c r="AM40" s="322" t="n"/>
      <c r="AN40" s="408" t="n"/>
      <c r="AO40" s="307" t="n"/>
      <c r="AP40" s="408" t="n"/>
      <c r="AQ40" s="322" t="n"/>
      <c r="AR40" s="408" t="n"/>
      <c r="AS40" s="307" t="n"/>
      <c r="AT40" s="408" t="n"/>
      <c r="AU40" s="322" t="n"/>
      <c r="AV40" s="408" t="n"/>
      <c r="AW40" s="307" t="n"/>
      <c r="AX40" s="408" t="n"/>
      <c r="AY40" s="322" t="n"/>
      <c r="AZ40" s="408" t="n"/>
      <c r="BA40" s="307" t="n"/>
      <c r="BB40" s="408" t="n"/>
      <c r="BC40" s="322" t="n"/>
      <c r="BD40" s="408" t="n"/>
      <c r="BE40" s="307" t="n"/>
      <c r="BF40" s="408" t="n"/>
      <c r="BG40" s="322" t="n"/>
      <c r="BH40" s="408" t="n"/>
      <c r="BI40" s="307" t="n"/>
      <c r="BJ40" s="408" t="n"/>
      <c r="BK40" s="340" t="n"/>
      <c r="BL40" s="820">
        <f>SUMPRODUCT(--(MOD(COLUMN($O40:$AL40),4)=MOD(COLUMN($O40)+0,4)),$O40:$AL40)
+SUMPRODUCT(--(MOD(COLUMN($AM40:$BJ40),4)=MOD(COLUMN($AM40)+0,4)),$AM40:$BJ40)</f>
        <v/>
      </c>
      <c r="BM40" s="820">
        <f>SUMPRODUCT(--(MOD(COLUMN($O40:$AL40),4)=MOD(COLUMN($O40)+0,4)),$O40:$AL40)*
$I40+SUMPRODUCT(--(MOD(COLUMN($AM40:$BJ40),4)=MOD(COLUMN($AM40)+0,4)),$AM40:$BJ40)*$I40</f>
        <v/>
      </c>
      <c r="BN40" s="822">
        <f>SUMPRODUCT(--(MOD(COLUMN($O40:$AL40),4)=MOD(COLUMN($O40)+1,4)),$O40:$AL40)
+SUMPRODUCT(--(MOD(COLUMN($AM40:$BJ40),4)=MOD(COLUMN($AM40)+1,4)),$AM40:$BJ40)</f>
        <v/>
      </c>
      <c r="BO40" s="823">
        <f>SUMPRODUCT(--(MOD(COLUMN($O40:$AL40),4)=MOD(COLUMN($O40)+1,4)),$O40:$AL40)*
$I40+SUMPRODUCT(--(MOD(COLUMN($AM40:$BJ40),4)=MOD(COLUMN($AM40)+1,4)),$AM40:$BJ40)*$I40</f>
        <v/>
      </c>
      <c r="BP40" s="824">
        <f>SUMPRODUCT(--(MOD(COLUMN($O40:$AL40),4)=MOD(COLUMN($O40)+2,4)),$O40:$AL40)
+SUMPRODUCT(--(MOD(COLUMN($AM40:$BJ40),4)=MOD(COLUMN($AM40)+2,4)),$AM40:$BJ40)</f>
        <v/>
      </c>
      <c r="BQ40" s="825">
        <f>SUMPRODUCT(--(MOD(COLUMN($O40:$AL40),4)=MOD(COLUMN($O40)+2,4)),$O40:$AL40)*
$I40+SUMPRODUCT(--(MOD(COLUMN($AM40:$BJ40),4)=MOD(COLUMN($AM40)+2,4)),$AM40:$BJ40)*$I40</f>
        <v/>
      </c>
      <c r="BR40" s="819" t="n"/>
      <c r="BS40" s="819" t="n"/>
      <c r="BT40" s="322" t="n"/>
      <c r="BU40" s="408" t="n"/>
      <c r="BV40" s="307" t="n"/>
      <c r="BW40" s="408" t="n"/>
      <c r="BX40" s="322" t="n"/>
      <c r="BY40" s="408" t="n"/>
      <c r="BZ40" s="307" t="n"/>
      <c r="CA40" s="408" t="n"/>
      <c r="CB40" s="322" t="n"/>
      <c r="CC40" s="408" t="n"/>
      <c r="CD40" s="307" t="n"/>
      <c r="CE40" s="547" t="n"/>
      <c r="CF40" s="322" t="n"/>
      <c r="CG40" s="408" t="n"/>
      <c r="CH40" s="307" t="n"/>
      <c r="CI40" s="408" t="n"/>
      <c r="CJ40" s="322" t="n"/>
      <c r="CK40" s="408" t="n"/>
      <c r="CL40" s="307" t="n"/>
      <c r="CM40" s="408" t="n"/>
      <c r="CN40" s="322" t="n"/>
      <c r="CO40" s="408" t="n"/>
      <c r="CP40" s="307" t="n"/>
      <c r="CQ40" s="408" t="n"/>
      <c r="CR40" s="322" t="n"/>
      <c r="CS40" s="408" t="n"/>
      <c r="CT40" s="307" t="n"/>
      <c r="CU40" s="408" t="n"/>
      <c r="CV40" s="322" t="n"/>
      <c r="CW40" s="408" t="n"/>
      <c r="CX40" s="307" t="n"/>
      <c r="CY40" s="408" t="n"/>
      <c r="CZ40" s="322" t="n"/>
      <c r="DA40" s="408" t="n"/>
      <c r="DB40" s="307" t="n"/>
      <c r="DC40" s="408" t="n"/>
      <c r="DD40" s="322" t="n"/>
      <c r="DE40" s="408" t="n"/>
      <c r="DF40" s="307" t="n"/>
      <c r="DG40" s="408" t="n"/>
      <c r="DH40" s="322" t="n"/>
      <c r="DI40" s="408" t="n"/>
      <c r="DJ40" s="307" t="n"/>
      <c r="DK40" s="408" t="n"/>
      <c r="DL40" s="322" t="n"/>
      <c r="DM40" s="408" t="n"/>
      <c r="DN40" s="307" t="n"/>
      <c r="DO40" s="408" t="n"/>
      <c r="DP40" s="340" t="n"/>
      <c r="DQ40" s="820" t="n"/>
      <c r="DR40" s="820" t="n"/>
      <c r="DS40" s="819" t="n"/>
      <c r="DT40" s="819" t="n"/>
      <c r="DU40" s="322" t="n"/>
      <c r="DV40" s="408" t="n"/>
      <c r="DW40" s="307" t="n"/>
      <c r="DX40" s="408" t="n"/>
      <c r="DY40" s="322" t="n"/>
      <c r="DZ40" s="408" t="n"/>
      <c r="EA40" s="307" t="n"/>
      <c r="EB40" s="408" t="n"/>
      <c r="EC40" s="322" t="n"/>
      <c r="ED40" s="408" t="n"/>
      <c r="EE40" s="307" t="n"/>
      <c r="EF40" s="547" t="n"/>
      <c r="EG40" s="322" t="n"/>
      <c r="EH40" s="408" t="n"/>
      <c r="EI40" s="307" t="n"/>
      <c r="EJ40" s="408" t="n"/>
      <c r="EK40" s="322" t="n"/>
      <c r="EL40" s="408" t="n"/>
      <c r="EM40" s="307" t="n"/>
      <c r="EN40" s="408" t="n"/>
      <c r="EO40" s="322" t="n"/>
      <c r="EP40" s="408" t="n"/>
      <c r="EQ40" s="307" t="n"/>
      <c r="ER40" s="408" t="n"/>
      <c r="ES40" s="322" t="n"/>
      <c r="ET40" s="408" t="n"/>
      <c r="EU40" s="307" t="n"/>
      <c r="EV40" s="408" t="n"/>
      <c r="EW40" s="322" t="n"/>
      <c r="EX40" s="408" t="n"/>
      <c r="EY40" s="307" t="n"/>
      <c r="EZ40" s="408" t="n"/>
      <c r="FA40" s="322" t="n"/>
      <c r="FB40" s="408" t="n"/>
      <c r="FC40" s="307" t="n"/>
      <c r="FD40" s="408" t="n"/>
      <c r="FE40" s="322" t="n"/>
      <c r="FF40" s="408" t="n"/>
      <c r="FG40" s="307" t="n"/>
      <c r="FH40" s="408" t="n"/>
      <c r="FI40" s="322" t="n"/>
      <c r="FJ40" s="408" t="n"/>
      <c r="FK40" s="307" t="n"/>
      <c r="FL40" s="408" t="n"/>
      <c r="FM40" s="322" t="n"/>
      <c r="FN40" s="408" t="n"/>
      <c r="FO40" s="307" t="n"/>
      <c r="FP40" s="408" t="n"/>
      <c r="FQ40" s="340" t="n"/>
      <c r="FR40" s="820" t="n"/>
      <c r="FS40" s="820" t="n"/>
      <c r="FT40" s="360" t="n"/>
    </row>
    <row r="41" outlineLevel="2" customFormat="1" s="14">
      <c r="A41" s="413" t="inlineStr">
        <is>
          <t>НОВОСИБАРЗ АО</t>
        </is>
      </c>
      <c r="B41" s="444" t="inlineStr">
        <is>
          <t>Договор не подписан</t>
        </is>
      </c>
      <c r="C41" s="592" t="inlineStr">
        <is>
          <t>ВБК РУС</t>
        </is>
      </c>
      <c r="D41" s="580" t="inlineStr">
        <is>
          <t>Прасолов, Соловьёв</t>
        </is>
      </c>
      <c r="E41" s="414">
        <f>IF(ISBLANK(G41),"",IF($A$6:$A$330=$A41,COUNTIF($A$6:A41,$A41),""))</f>
        <v/>
      </c>
      <c r="F41" s="284" t="n">
        <v>2</v>
      </c>
      <c r="G41" s="304" t="n">
        <v>4801020640</v>
      </c>
      <c r="H41" s="602" t="inlineStr">
        <is>
          <t>Блок TEBS-E, 4s3m Premium</t>
        </is>
      </c>
      <c r="I41" s="623">
        <f>J41/ЮАНЬ_2025_08_29</f>
        <v/>
      </c>
      <c r="J41" s="623">
        <f>122982.39/НДС</f>
        <v/>
      </c>
      <c r="K41" s="870" t="inlineStr">
        <is>
          <t>RUB</t>
        </is>
      </c>
      <c r="L41" s="616">
        <f>IF(K41="RUB",J41/ЮАНЬ,IF(K41="EUR",J41*ЕВРО/ЮАНЬ,""))</f>
        <v/>
      </c>
      <c r="M41" s="871" t="n"/>
      <c r="N41" s="871">
        <f>IF(BP41&gt;0,1,IF(BN41&gt;0,2,))</f>
        <v/>
      </c>
      <c r="O41" s="322" t="n"/>
      <c r="P41" s="408" t="n"/>
      <c r="Q41" s="307" t="n"/>
      <c r="R41" s="408" t="n"/>
      <c r="S41" s="322" t="n"/>
      <c r="T41" s="408" t="n"/>
      <c r="U41" s="307" t="n"/>
      <c r="V41" s="408" t="n"/>
      <c r="W41" s="322" t="n"/>
      <c r="X41" s="408" t="n"/>
      <c r="Y41" s="307" t="n"/>
      <c r="Z41" s="547" t="n"/>
      <c r="AA41" s="322" t="n"/>
      <c r="AB41" s="408" t="n"/>
      <c r="AC41" s="307" t="n"/>
      <c r="AD41" s="408" t="n"/>
      <c r="AE41" s="322" t="n"/>
      <c r="AF41" s="408" t="n"/>
      <c r="AG41" s="307" t="n"/>
      <c r="AH41" s="408" t="n"/>
      <c r="AI41" s="322" t="n"/>
      <c r="AJ41" s="408">
        <f>2</f>
        <v/>
      </c>
      <c r="AK41" s="307" t="n">
        <v>0</v>
      </c>
      <c r="AL41" s="408" t="n"/>
      <c r="AM41" s="322" t="n"/>
      <c r="AN41" s="408" t="n"/>
      <c r="AO41" s="307" t="n"/>
      <c r="AP41" s="408" t="n"/>
      <c r="AQ41" s="322" t="n"/>
      <c r="AR41" s="408" t="n"/>
      <c r="AS41" s="307" t="n"/>
      <c r="AT41" s="408" t="n"/>
      <c r="AU41" s="322" t="n"/>
      <c r="AV41" s="408" t="n"/>
      <c r="AW41" s="307" t="n"/>
      <c r="AX41" s="408" t="n"/>
      <c r="AY41" s="322" t="n"/>
      <c r="AZ41" s="408" t="n"/>
      <c r="BA41" s="307" t="n"/>
      <c r="BB41" s="408" t="n"/>
      <c r="BC41" s="322" t="n"/>
      <c r="BD41" s="408" t="n"/>
      <c r="BE41" s="307" t="n"/>
      <c r="BF41" s="408" t="n"/>
      <c r="BG41" s="322" t="n"/>
      <c r="BH41" s="408" t="n"/>
      <c r="BI41" s="307" t="n"/>
      <c r="BJ41" s="408" t="n"/>
      <c r="BK41" s="340" t="n"/>
      <c r="BL41" s="820">
        <f>SUMPRODUCT(--(MOD(COLUMN($O41:$AL41),4)=MOD(COLUMN($O41)+0,4)),$O41:$AL41)
+SUMPRODUCT(--(MOD(COLUMN($AM41:$BJ41),4)=MOD(COLUMN($AM41)+0,4)),$AM41:$BJ41)</f>
        <v/>
      </c>
      <c r="BM41" s="820">
        <f>SUMPRODUCT(--(MOD(COLUMN($O41:$AL41),4)=MOD(COLUMN($O41)+0,4)),$O41:$AL41)*
$I41+SUMPRODUCT(--(MOD(COLUMN($AM41:$BJ41),4)=MOD(COLUMN($AM41)+0,4)),$AM41:$BJ41)*$I41</f>
        <v/>
      </c>
      <c r="BN41" s="822">
        <f>SUMPRODUCT(--(MOD(COLUMN($O41:$AL41),4)=MOD(COLUMN($O41)+1,4)),$O41:$AL41)
+SUMPRODUCT(--(MOD(COLUMN($AM41:$BJ41),4)=MOD(COLUMN($AM41)+1,4)),$AM41:$BJ41)</f>
        <v/>
      </c>
      <c r="BO41" s="823">
        <f>SUMPRODUCT(--(MOD(COLUMN($O41:$AL41),4)=MOD(COLUMN($O41)+1,4)),$O41:$AL41)*
$I41+SUMPRODUCT(--(MOD(COLUMN($AM41:$BJ41),4)=MOD(COLUMN($AM41)+1,4)),$AM41:$BJ41)*$I41</f>
        <v/>
      </c>
      <c r="BP41" s="824">
        <f>SUMPRODUCT(--(MOD(COLUMN($O41:$AL41),4)=MOD(COLUMN($O41)+2,4)),$O41:$AL41)
+SUMPRODUCT(--(MOD(COLUMN($AM41:$BJ41),4)=MOD(COLUMN($AM41)+2,4)),$AM41:$BJ41)</f>
        <v/>
      </c>
      <c r="BQ41" s="825">
        <f>SUMPRODUCT(--(MOD(COLUMN($O41:$AL41),4)=MOD(COLUMN($O41)+2,4)),$O41:$AL41)*
$I41+SUMPRODUCT(--(MOD(COLUMN($AM41:$BJ41),4)=MOD(COLUMN($AM41)+2,4)),$AM41:$BJ41)*$I41</f>
        <v/>
      </c>
      <c r="BR41" s="819" t="n"/>
      <c r="BS41" s="819" t="n"/>
      <c r="BT41" s="322" t="n"/>
      <c r="BU41" s="408" t="n"/>
      <c r="BV41" s="307" t="n"/>
      <c r="BW41" s="408" t="n"/>
      <c r="BX41" s="322" t="n"/>
      <c r="BY41" s="408" t="n"/>
      <c r="BZ41" s="307" t="n"/>
      <c r="CA41" s="408" t="n"/>
      <c r="CB41" s="322" t="n"/>
      <c r="CC41" s="408" t="n"/>
      <c r="CD41" s="307" t="n"/>
      <c r="CE41" s="547" t="n"/>
      <c r="CF41" s="322" t="n"/>
      <c r="CG41" s="408" t="n"/>
      <c r="CH41" s="307" t="n"/>
      <c r="CI41" s="408" t="n"/>
      <c r="CJ41" s="322" t="n"/>
      <c r="CK41" s="408" t="n"/>
      <c r="CL41" s="307" t="n"/>
      <c r="CM41" s="408" t="n"/>
      <c r="CN41" s="322" t="n"/>
      <c r="CO41" s="408" t="n"/>
      <c r="CP41" s="307" t="n"/>
      <c r="CQ41" s="408" t="n"/>
      <c r="CR41" s="322" t="n"/>
      <c r="CS41" s="408" t="n"/>
      <c r="CT41" s="307" t="n"/>
      <c r="CU41" s="408" t="n"/>
      <c r="CV41" s="322" t="n"/>
      <c r="CW41" s="408" t="n"/>
      <c r="CX41" s="307" t="n"/>
      <c r="CY41" s="408" t="n"/>
      <c r="CZ41" s="322" t="n"/>
      <c r="DA41" s="408" t="n"/>
      <c r="DB41" s="307" t="n"/>
      <c r="DC41" s="408" t="n"/>
      <c r="DD41" s="322" t="n"/>
      <c r="DE41" s="408" t="n"/>
      <c r="DF41" s="307" t="n"/>
      <c r="DG41" s="408" t="n"/>
      <c r="DH41" s="322" t="n"/>
      <c r="DI41" s="408" t="n"/>
      <c r="DJ41" s="307" t="n"/>
      <c r="DK41" s="408" t="n"/>
      <c r="DL41" s="322" t="n"/>
      <c r="DM41" s="408" t="n"/>
      <c r="DN41" s="307" t="n"/>
      <c r="DO41" s="408" t="n"/>
      <c r="DP41" s="340" t="n"/>
      <c r="DQ41" s="820" t="n"/>
      <c r="DR41" s="820" t="n"/>
      <c r="DS41" s="819" t="n"/>
      <c r="DT41" s="819" t="n"/>
      <c r="DU41" s="322" t="n"/>
      <c r="DV41" s="408" t="n"/>
      <c r="DW41" s="307" t="n"/>
      <c r="DX41" s="408" t="n"/>
      <c r="DY41" s="322" t="n"/>
      <c r="DZ41" s="408" t="n"/>
      <c r="EA41" s="307" t="n"/>
      <c r="EB41" s="408" t="n"/>
      <c r="EC41" s="322" t="n"/>
      <c r="ED41" s="408" t="n"/>
      <c r="EE41" s="307" t="n"/>
      <c r="EF41" s="547" t="n"/>
      <c r="EG41" s="322" t="n"/>
      <c r="EH41" s="408" t="n"/>
      <c r="EI41" s="307" t="n"/>
      <c r="EJ41" s="408" t="n"/>
      <c r="EK41" s="322" t="n"/>
      <c r="EL41" s="408" t="n"/>
      <c r="EM41" s="307" t="n"/>
      <c r="EN41" s="408" t="n"/>
      <c r="EO41" s="322" t="n"/>
      <c r="EP41" s="408" t="n"/>
      <c r="EQ41" s="307" t="n"/>
      <c r="ER41" s="408" t="n"/>
      <c r="ES41" s="322" t="n"/>
      <c r="ET41" s="408" t="n"/>
      <c r="EU41" s="307" t="n"/>
      <c r="EV41" s="408" t="n"/>
      <c r="EW41" s="322" t="n"/>
      <c r="EX41" s="408" t="n"/>
      <c r="EY41" s="307" t="n"/>
      <c r="EZ41" s="408" t="n"/>
      <c r="FA41" s="322" t="n"/>
      <c r="FB41" s="408" t="n"/>
      <c r="FC41" s="307" t="n"/>
      <c r="FD41" s="408" t="n"/>
      <c r="FE41" s="322" t="n"/>
      <c r="FF41" s="408" t="n"/>
      <c r="FG41" s="307" t="n"/>
      <c r="FH41" s="408" t="n"/>
      <c r="FI41" s="322" t="n"/>
      <c r="FJ41" s="408" t="n"/>
      <c r="FK41" s="307" t="n"/>
      <c r="FL41" s="408" t="n"/>
      <c r="FM41" s="322" t="n"/>
      <c r="FN41" s="408" t="n"/>
      <c r="FO41" s="307" t="n"/>
      <c r="FP41" s="408" t="n"/>
      <c r="FQ41" s="340" t="n"/>
      <c r="FR41" s="820" t="n"/>
      <c r="FS41" s="820" t="n"/>
      <c r="FT41" s="360" t="n"/>
    </row>
    <row r="42" outlineLevel="2" customFormat="1" s="14">
      <c r="A42" s="413" t="inlineStr">
        <is>
          <t>НОВОСИБАРЗ АО</t>
        </is>
      </c>
      <c r="B42" s="444" t="inlineStr">
        <is>
          <t>Договор не подписан</t>
        </is>
      </c>
      <c r="C42" s="592" t="inlineStr">
        <is>
          <t>ВБК РУС</t>
        </is>
      </c>
      <c r="D42" s="580" t="inlineStr">
        <is>
          <t>Прасолов, Соловьёв</t>
        </is>
      </c>
      <c r="E42" s="414">
        <f>IF(ISBLANK(G42),"",IF($A$6:$A$330=$A42,COUNTIF($A$6:A42,$A42),""))</f>
        <v/>
      </c>
      <c r="F42" s="284" t="n">
        <v>2</v>
      </c>
      <c r="G42" s="304" t="n">
        <v>9710020400</v>
      </c>
      <c r="H42" s="602" t="inlineStr">
        <is>
          <t>Воздухораспределитель (без кл. растормаживания)</t>
        </is>
      </c>
      <c r="I42" s="623">
        <f>J42/ЮАНЬ_2025_08_29</f>
        <v/>
      </c>
      <c r="J42" s="623">
        <f>5326.53/НДС</f>
        <v/>
      </c>
      <c r="K42" s="870" t="inlineStr">
        <is>
          <t>RUB</t>
        </is>
      </c>
      <c r="L42" s="616">
        <f>IF(K42="RUB",J42/ЮАНЬ,IF(K42="EUR",J42*ЕВРО/ЮАНЬ,""))</f>
        <v/>
      </c>
      <c r="M42" s="871" t="n"/>
      <c r="N42" s="871">
        <f>IF(BP42&gt;0,1,IF(BN42&gt;0,2,))</f>
        <v/>
      </c>
      <c r="O42" s="322" t="n"/>
      <c r="P42" s="408" t="n"/>
      <c r="Q42" s="307" t="n"/>
      <c r="R42" s="408" t="n"/>
      <c r="S42" s="322" t="n"/>
      <c r="T42" s="408" t="n"/>
      <c r="U42" s="307" t="n"/>
      <c r="V42" s="408" t="n"/>
      <c r="W42" s="322" t="n"/>
      <c r="X42" s="408" t="n"/>
      <c r="Y42" s="307" t="n"/>
      <c r="Z42" s="547" t="n"/>
      <c r="AA42" s="322" t="n"/>
      <c r="AB42" s="408" t="n"/>
      <c r="AC42" s="307" t="n"/>
      <c r="AD42" s="408" t="n"/>
      <c r="AE42" s="322" t="n"/>
      <c r="AF42" s="408" t="n"/>
      <c r="AG42" s="307" t="n"/>
      <c r="AH42" s="408" t="n"/>
      <c r="AI42" s="322" t="n"/>
      <c r="AJ42" s="408">
        <f>2</f>
        <v/>
      </c>
      <c r="AK42" s="307" t="n">
        <v>0</v>
      </c>
      <c r="AL42" s="408" t="n"/>
      <c r="AM42" s="322" t="n"/>
      <c r="AN42" s="408" t="n"/>
      <c r="AO42" s="307" t="n"/>
      <c r="AP42" s="408" t="n"/>
      <c r="AQ42" s="322" t="n"/>
      <c r="AR42" s="408" t="n"/>
      <c r="AS42" s="307" t="n"/>
      <c r="AT42" s="408" t="n"/>
      <c r="AU42" s="322" t="n"/>
      <c r="AV42" s="408" t="n"/>
      <c r="AW42" s="307" t="n"/>
      <c r="AX42" s="408" t="n"/>
      <c r="AY42" s="322" t="n"/>
      <c r="AZ42" s="408" t="n"/>
      <c r="BA42" s="307" t="n"/>
      <c r="BB42" s="408" t="n"/>
      <c r="BC42" s="322" t="n"/>
      <c r="BD42" s="408" t="n"/>
      <c r="BE42" s="307" t="n"/>
      <c r="BF42" s="408" t="n"/>
      <c r="BG42" s="322" t="n"/>
      <c r="BH42" s="408" t="n"/>
      <c r="BI42" s="307" t="n"/>
      <c r="BJ42" s="408" t="n"/>
      <c r="BK42" s="340" t="n"/>
      <c r="BL42" s="820">
        <f>SUMPRODUCT(--(MOD(COLUMN($O42:$AL42),4)=MOD(COLUMN($O42)+0,4)),$O42:$AL42)
+SUMPRODUCT(--(MOD(COLUMN($AM42:$BJ42),4)=MOD(COLUMN($AM42)+0,4)),$AM42:$BJ42)</f>
        <v/>
      </c>
      <c r="BM42" s="820">
        <f>SUMPRODUCT(--(MOD(COLUMN($O42:$AL42),4)=MOD(COLUMN($O42)+0,4)),$O42:$AL42)*
$I42+SUMPRODUCT(--(MOD(COLUMN($AM42:$BJ42),4)=MOD(COLUMN($AM42)+0,4)),$AM42:$BJ42)*$I42</f>
        <v/>
      </c>
      <c r="BN42" s="822">
        <f>SUMPRODUCT(--(MOD(COLUMN($O42:$AL42),4)=MOD(COLUMN($O42)+1,4)),$O42:$AL42)
+SUMPRODUCT(--(MOD(COLUMN($AM42:$BJ42),4)=MOD(COLUMN($AM42)+1,4)),$AM42:$BJ42)</f>
        <v/>
      </c>
      <c r="BO42" s="823">
        <f>SUMPRODUCT(--(MOD(COLUMN($O42:$AL42),4)=MOD(COLUMN($O42)+1,4)),$O42:$AL42)*
$I42+SUMPRODUCT(--(MOD(COLUMN($AM42:$BJ42),4)=MOD(COLUMN($AM42)+1,4)),$AM42:$BJ42)*$I42</f>
        <v/>
      </c>
      <c r="BP42" s="824">
        <f>SUMPRODUCT(--(MOD(COLUMN($O42:$AL42),4)=MOD(COLUMN($O42)+2,4)),$O42:$AL42)
+SUMPRODUCT(--(MOD(COLUMN($AM42:$BJ42),4)=MOD(COLUMN($AM42)+2,4)),$AM42:$BJ42)</f>
        <v/>
      </c>
      <c r="BQ42" s="825">
        <f>SUMPRODUCT(--(MOD(COLUMN($O42:$AL42),4)=MOD(COLUMN($O42)+2,4)),$O42:$AL42)*
$I42+SUMPRODUCT(--(MOD(COLUMN($AM42:$BJ42),4)=MOD(COLUMN($AM42)+2,4)),$AM42:$BJ42)*$I42</f>
        <v/>
      </c>
      <c r="BR42" s="819" t="n"/>
      <c r="BS42" s="819" t="n"/>
      <c r="BT42" s="322" t="n"/>
      <c r="BU42" s="408" t="n"/>
      <c r="BV42" s="307" t="n"/>
      <c r="BW42" s="408" t="n"/>
      <c r="BX42" s="322" t="n"/>
      <c r="BY42" s="408" t="n"/>
      <c r="BZ42" s="307" t="n"/>
      <c r="CA42" s="408" t="n"/>
      <c r="CB42" s="322" t="n"/>
      <c r="CC42" s="408" t="n"/>
      <c r="CD42" s="307" t="n"/>
      <c r="CE42" s="547" t="n"/>
      <c r="CF42" s="322" t="n"/>
      <c r="CG42" s="408" t="n"/>
      <c r="CH42" s="307" t="n"/>
      <c r="CI42" s="408" t="n"/>
      <c r="CJ42" s="322" t="n"/>
      <c r="CK42" s="408" t="n"/>
      <c r="CL42" s="307" t="n"/>
      <c r="CM42" s="408" t="n"/>
      <c r="CN42" s="322" t="n"/>
      <c r="CO42" s="408" t="n"/>
      <c r="CP42" s="307" t="n"/>
      <c r="CQ42" s="408" t="n"/>
      <c r="CR42" s="322" t="n"/>
      <c r="CS42" s="408" t="n"/>
      <c r="CT42" s="307" t="n"/>
      <c r="CU42" s="408" t="n"/>
      <c r="CV42" s="322" t="n"/>
      <c r="CW42" s="408" t="n"/>
      <c r="CX42" s="307" t="n"/>
      <c r="CY42" s="408" t="n"/>
      <c r="CZ42" s="322" t="n"/>
      <c r="DA42" s="408" t="n"/>
      <c r="DB42" s="307" t="n"/>
      <c r="DC42" s="408" t="n"/>
      <c r="DD42" s="322" t="n"/>
      <c r="DE42" s="408" t="n"/>
      <c r="DF42" s="307" t="n"/>
      <c r="DG42" s="408" t="n"/>
      <c r="DH42" s="322" t="n"/>
      <c r="DI42" s="408" t="n"/>
      <c r="DJ42" s="307" t="n"/>
      <c r="DK42" s="408" t="n"/>
      <c r="DL42" s="322" t="n"/>
      <c r="DM42" s="408" t="n"/>
      <c r="DN42" s="307" t="n"/>
      <c r="DO42" s="408" t="n"/>
      <c r="DP42" s="340" t="n"/>
      <c r="DQ42" s="820" t="n"/>
      <c r="DR42" s="820" t="n"/>
      <c r="DS42" s="819" t="n"/>
      <c r="DT42" s="819" t="n"/>
      <c r="DU42" s="322" t="n"/>
      <c r="DV42" s="408" t="n"/>
      <c r="DW42" s="307" t="n"/>
      <c r="DX42" s="408" t="n"/>
      <c r="DY42" s="322" t="n"/>
      <c r="DZ42" s="408" t="n"/>
      <c r="EA42" s="307" t="n"/>
      <c r="EB42" s="408" t="n"/>
      <c r="EC42" s="322" t="n"/>
      <c r="ED42" s="408" t="n"/>
      <c r="EE42" s="307" t="n"/>
      <c r="EF42" s="547" t="n"/>
      <c r="EG42" s="322" t="n"/>
      <c r="EH42" s="408" t="n"/>
      <c r="EI42" s="307" t="n"/>
      <c r="EJ42" s="408" t="n"/>
      <c r="EK42" s="322" t="n"/>
      <c r="EL42" s="408" t="n"/>
      <c r="EM42" s="307" t="n"/>
      <c r="EN42" s="408" t="n"/>
      <c r="EO42" s="322" t="n"/>
      <c r="EP42" s="408" t="n"/>
      <c r="EQ42" s="307" t="n"/>
      <c r="ER42" s="408" t="n"/>
      <c r="ES42" s="322" t="n"/>
      <c r="ET42" s="408" t="n"/>
      <c r="EU42" s="307" t="n"/>
      <c r="EV42" s="408" t="n"/>
      <c r="EW42" s="322" t="n"/>
      <c r="EX42" s="408" t="n"/>
      <c r="EY42" s="307" t="n"/>
      <c r="EZ42" s="408" t="n"/>
      <c r="FA42" s="322" t="n"/>
      <c r="FB42" s="408" t="n"/>
      <c r="FC42" s="307" t="n"/>
      <c r="FD42" s="408" t="n"/>
      <c r="FE42" s="322" t="n"/>
      <c r="FF42" s="408" t="n"/>
      <c r="FG42" s="307" t="n"/>
      <c r="FH42" s="408" t="n"/>
      <c r="FI42" s="322" t="n"/>
      <c r="FJ42" s="408" t="n"/>
      <c r="FK42" s="307" t="n"/>
      <c r="FL42" s="408" t="n"/>
      <c r="FM42" s="322" t="n"/>
      <c r="FN42" s="408" t="n"/>
      <c r="FO42" s="307" t="n"/>
      <c r="FP42" s="408" t="n"/>
      <c r="FQ42" s="340" t="n"/>
      <c r="FR42" s="820" t="n"/>
      <c r="FS42" s="820" t="n"/>
      <c r="FT42" s="360" t="n"/>
    </row>
    <row r="43" outlineLevel="2" customFormat="1" s="14">
      <c r="A43" s="413" t="inlineStr">
        <is>
          <t>НОВОСИБАРЗ АО</t>
        </is>
      </c>
      <c r="B43" s="444" t="inlineStr">
        <is>
          <t>Договор не подписан</t>
        </is>
      </c>
      <c r="C43" s="592" t="inlineStr">
        <is>
          <t>ВБК РУС</t>
        </is>
      </c>
      <c r="D43" s="580" t="inlineStr">
        <is>
          <t>Прасолов, Соловьёв</t>
        </is>
      </c>
      <c r="E43" s="414">
        <f>IF(ISBLANK(G43),"",IF($A$6:$A$330=$A43,COUNTIF($A$6:A43,$A43),""))</f>
        <v/>
      </c>
      <c r="F43" s="284" t="n">
        <v>2</v>
      </c>
      <c r="G43" s="304" t="n">
        <v>4497230300</v>
      </c>
      <c r="H43" s="602" t="inlineStr">
        <is>
          <t>Кабель датчика АБС, 3 м</t>
        </is>
      </c>
      <c r="I43" s="623">
        <f>J43/ЮАНЬ_2025_08_29</f>
        <v/>
      </c>
      <c r="J43" s="623">
        <f>1196.9/НДС</f>
        <v/>
      </c>
      <c r="K43" s="870" t="inlineStr">
        <is>
          <t>RUB</t>
        </is>
      </c>
      <c r="L43" s="616">
        <f>IF(K43="RUB",J43/ЮАНЬ,IF(K43="EUR",J43*ЕВРО/ЮАНЬ,""))</f>
        <v/>
      </c>
      <c r="M43" s="871" t="n"/>
      <c r="N43" s="871">
        <f>IF(BP43&gt;0,1,IF(BN43&gt;0,2,))</f>
        <v/>
      </c>
      <c r="O43" s="322" t="n"/>
      <c r="P43" s="408" t="n"/>
      <c r="Q43" s="307" t="n"/>
      <c r="R43" s="408" t="n"/>
      <c r="S43" s="322" t="n"/>
      <c r="T43" s="408" t="n"/>
      <c r="U43" s="307" t="n"/>
      <c r="V43" s="408" t="n"/>
      <c r="W43" s="322" t="n"/>
      <c r="X43" s="408" t="n"/>
      <c r="Y43" s="307" t="n"/>
      <c r="Z43" s="547" t="n"/>
      <c r="AA43" s="322" t="n"/>
      <c r="AB43" s="408" t="n"/>
      <c r="AC43" s="307" t="n"/>
      <c r="AD43" s="408" t="n"/>
      <c r="AE43" s="322" t="n"/>
      <c r="AF43" s="408" t="n"/>
      <c r="AG43" s="307" t="n"/>
      <c r="AH43" s="408" t="n"/>
      <c r="AI43" s="322" t="n"/>
      <c r="AJ43" s="408">
        <f>4</f>
        <v/>
      </c>
      <c r="AK43" s="307" t="n">
        <v>0</v>
      </c>
      <c r="AL43" s="408" t="n"/>
      <c r="AM43" s="322" t="n"/>
      <c r="AN43" s="408" t="n"/>
      <c r="AO43" s="307" t="n"/>
      <c r="AP43" s="408" t="n"/>
      <c r="AQ43" s="322" t="n"/>
      <c r="AR43" s="408" t="n"/>
      <c r="AS43" s="307" t="n"/>
      <c r="AT43" s="408" t="n"/>
      <c r="AU43" s="322" t="n"/>
      <c r="AV43" s="408" t="n"/>
      <c r="AW43" s="307" t="n"/>
      <c r="AX43" s="408" t="n"/>
      <c r="AY43" s="322" t="n"/>
      <c r="AZ43" s="408" t="n"/>
      <c r="BA43" s="307" t="n"/>
      <c r="BB43" s="408" t="n"/>
      <c r="BC43" s="322" t="n"/>
      <c r="BD43" s="408" t="n"/>
      <c r="BE43" s="307" t="n"/>
      <c r="BF43" s="408" t="n"/>
      <c r="BG43" s="322" t="n"/>
      <c r="BH43" s="408" t="n"/>
      <c r="BI43" s="307" t="n"/>
      <c r="BJ43" s="408" t="n"/>
      <c r="BK43" s="340" t="n"/>
      <c r="BL43" s="820">
        <f>SUMPRODUCT(--(MOD(COLUMN($O43:$AL43),4)=MOD(COLUMN($O43)+0,4)),$O43:$AL43)
+SUMPRODUCT(--(MOD(COLUMN($AM43:$BJ43),4)=MOD(COLUMN($AM43)+0,4)),$AM43:$BJ43)</f>
        <v/>
      </c>
      <c r="BM43" s="820">
        <f>SUMPRODUCT(--(MOD(COLUMN($O43:$AL43),4)=MOD(COLUMN($O43)+0,4)),$O43:$AL43)*
$I43+SUMPRODUCT(--(MOD(COLUMN($AM43:$BJ43),4)=MOD(COLUMN($AM43)+0,4)),$AM43:$BJ43)*$I43</f>
        <v/>
      </c>
      <c r="BN43" s="822">
        <f>SUMPRODUCT(--(MOD(COLUMN($O43:$AL43),4)=MOD(COLUMN($O43)+1,4)),$O43:$AL43)
+SUMPRODUCT(--(MOD(COLUMN($AM43:$BJ43),4)=MOD(COLUMN($AM43)+1,4)),$AM43:$BJ43)</f>
        <v/>
      </c>
      <c r="BO43" s="823">
        <f>SUMPRODUCT(--(MOD(COLUMN($O43:$AL43),4)=MOD(COLUMN($O43)+1,4)),$O43:$AL43)*
$I43+SUMPRODUCT(--(MOD(COLUMN($AM43:$BJ43),4)=MOD(COLUMN($AM43)+1,4)),$AM43:$BJ43)*$I43</f>
        <v/>
      </c>
      <c r="BP43" s="824">
        <f>SUMPRODUCT(--(MOD(COLUMN($O43:$AL43),4)=MOD(COLUMN($O43)+2,4)),$O43:$AL43)
+SUMPRODUCT(--(MOD(COLUMN($AM43:$BJ43),4)=MOD(COLUMN($AM43)+2,4)),$AM43:$BJ43)</f>
        <v/>
      </c>
      <c r="BQ43" s="825">
        <f>SUMPRODUCT(--(MOD(COLUMN($O43:$AL43),4)=MOD(COLUMN($O43)+2,4)),$O43:$AL43)*
$I43+SUMPRODUCT(--(MOD(COLUMN($AM43:$BJ43),4)=MOD(COLUMN($AM43)+2,4)),$AM43:$BJ43)*$I43</f>
        <v/>
      </c>
      <c r="BR43" s="819" t="n"/>
      <c r="BS43" s="819" t="n"/>
      <c r="BT43" s="322" t="n"/>
      <c r="BU43" s="408" t="n"/>
      <c r="BV43" s="307" t="n"/>
      <c r="BW43" s="408" t="n"/>
      <c r="BX43" s="322" t="n"/>
      <c r="BY43" s="408" t="n"/>
      <c r="BZ43" s="307" t="n"/>
      <c r="CA43" s="408" t="n"/>
      <c r="CB43" s="322" t="n"/>
      <c r="CC43" s="408" t="n"/>
      <c r="CD43" s="307" t="n"/>
      <c r="CE43" s="547" t="n"/>
      <c r="CF43" s="322" t="n"/>
      <c r="CG43" s="408" t="n"/>
      <c r="CH43" s="307" t="n"/>
      <c r="CI43" s="408" t="n"/>
      <c r="CJ43" s="322" t="n"/>
      <c r="CK43" s="408" t="n"/>
      <c r="CL43" s="307" t="n"/>
      <c r="CM43" s="408" t="n"/>
      <c r="CN43" s="322" t="n"/>
      <c r="CO43" s="408" t="n"/>
      <c r="CP43" s="307" t="n"/>
      <c r="CQ43" s="408" t="n"/>
      <c r="CR43" s="322" t="n"/>
      <c r="CS43" s="408" t="n"/>
      <c r="CT43" s="307" t="n"/>
      <c r="CU43" s="408" t="n"/>
      <c r="CV43" s="322" t="n"/>
      <c r="CW43" s="408" t="n"/>
      <c r="CX43" s="307" t="n"/>
      <c r="CY43" s="408" t="n"/>
      <c r="CZ43" s="322" t="n"/>
      <c r="DA43" s="408" t="n"/>
      <c r="DB43" s="307" t="n"/>
      <c r="DC43" s="408" t="n"/>
      <c r="DD43" s="322" t="n"/>
      <c r="DE43" s="408" t="n"/>
      <c r="DF43" s="307" t="n"/>
      <c r="DG43" s="408" t="n"/>
      <c r="DH43" s="322" t="n"/>
      <c r="DI43" s="408" t="n"/>
      <c r="DJ43" s="307" t="n"/>
      <c r="DK43" s="408" t="n"/>
      <c r="DL43" s="322" t="n"/>
      <c r="DM43" s="408" t="n"/>
      <c r="DN43" s="307" t="n"/>
      <c r="DO43" s="408" t="n"/>
      <c r="DP43" s="340" t="n"/>
      <c r="DQ43" s="820" t="n"/>
      <c r="DR43" s="820" t="n"/>
      <c r="DS43" s="819" t="n"/>
      <c r="DT43" s="819" t="n"/>
      <c r="DU43" s="322" t="n"/>
      <c r="DV43" s="408" t="n"/>
      <c r="DW43" s="307" t="n"/>
      <c r="DX43" s="408" t="n"/>
      <c r="DY43" s="322" t="n"/>
      <c r="DZ43" s="408" t="n"/>
      <c r="EA43" s="307" t="n"/>
      <c r="EB43" s="408" t="n"/>
      <c r="EC43" s="322" t="n"/>
      <c r="ED43" s="408" t="n"/>
      <c r="EE43" s="307" t="n"/>
      <c r="EF43" s="547" t="n"/>
      <c r="EG43" s="322" t="n"/>
      <c r="EH43" s="408" t="n"/>
      <c r="EI43" s="307" t="n"/>
      <c r="EJ43" s="408" t="n"/>
      <c r="EK43" s="322" t="n"/>
      <c r="EL43" s="408" t="n"/>
      <c r="EM43" s="307" t="n"/>
      <c r="EN43" s="408" t="n"/>
      <c r="EO43" s="322" t="n"/>
      <c r="EP43" s="408" t="n"/>
      <c r="EQ43" s="307" t="n"/>
      <c r="ER43" s="408" t="n"/>
      <c r="ES43" s="322" t="n"/>
      <c r="ET43" s="408" t="n"/>
      <c r="EU43" s="307" t="n"/>
      <c r="EV43" s="408" t="n"/>
      <c r="EW43" s="322" t="n"/>
      <c r="EX43" s="408" t="n"/>
      <c r="EY43" s="307" t="n"/>
      <c r="EZ43" s="408" t="n"/>
      <c r="FA43" s="322" t="n"/>
      <c r="FB43" s="408" t="n"/>
      <c r="FC43" s="307" t="n"/>
      <c r="FD43" s="408" t="n"/>
      <c r="FE43" s="322" t="n"/>
      <c r="FF43" s="408" t="n"/>
      <c r="FG43" s="307" t="n"/>
      <c r="FH43" s="408" t="n"/>
      <c r="FI43" s="322" t="n"/>
      <c r="FJ43" s="408" t="n"/>
      <c r="FK43" s="307" t="n"/>
      <c r="FL43" s="408" t="n"/>
      <c r="FM43" s="322" t="n"/>
      <c r="FN43" s="408" t="n"/>
      <c r="FO43" s="307" t="n"/>
      <c r="FP43" s="408" t="n"/>
      <c r="FQ43" s="340" t="n"/>
      <c r="FR43" s="820" t="n"/>
      <c r="FS43" s="820" t="n"/>
      <c r="FT43" s="360" t="n"/>
    </row>
    <row r="44" outlineLevel="2" customFormat="1" s="14">
      <c r="A44" s="375" t="inlineStr">
        <is>
          <t>НОВОСИБАРЗ АО</t>
        </is>
      </c>
      <c r="B44" s="387" t="inlineStr">
        <is>
          <t>Договор не подписан</t>
        </is>
      </c>
      <c r="C44" s="311" t="inlineStr">
        <is>
          <t>ВБК РУС</t>
        </is>
      </c>
      <c r="D44" s="575" t="inlineStr">
        <is>
          <t>Прасолов, Соловьёв</t>
        </is>
      </c>
      <c r="E44" s="284">
        <f>IF(ISBLANK(G44),"",IF($A$6:$A$330=$A44,COUNTIF($A$6:A44,$A44),""))</f>
        <v/>
      </c>
      <c r="F44" s="284" t="n">
        <v>2</v>
      </c>
      <c r="G44" s="304" t="n">
        <v>4493711800</v>
      </c>
      <c r="H44" s="602" t="inlineStr">
        <is>
          <t>Кабель питания, 18 м</t>
        </is>
      </c>
      <c r="I44" s="663">
        <f>J44/ЮАНЬ_2025_08_29</f>
        <v/>
      </c>
      <c r="J44" s="623">
        <f>12459/НДС</f>
        <v/>
      </c>
      <c r="K44" s="872" t="inlineStr">
        <is>
          <t>RUB</t>
        </is>
      </c>
      <c r="L44" s="617">
        <f>IF(K44="RUB",J44/ЮАНЬ,IF(K44="EUR",J44*ЕВРО/ЮАНЬ,""))</f>
        <v/>
      </c>
      <c r="M44" s="871" t="n"/>
      <c r="N44" s="871">
        <f>IF(BP44&gt;0,1,IF(BN44&gt;0,2,))</f>
        <v/>
      </c>
      <c r="O44" s="322" t="n"/>
      <c r="P44" s="408" t="n"/>
      <c r="Q44" s="307" t="n"/>
      <c r="R44" s="408" t="n"/>
      <c r="S44" s="322" t="n"/>
      <c r="T44" s="408" t="n"/>
      <c r="U44" s="307" t="n"/>
      <c r="V44" s="408" t="n"/>
      <c r="W44" s="322" t="n"/>
      <c r="X44" s="408" t="n"/>
      <c r="Y44" s="307" t="n"/>
      <c r="Z44" s="386" t="n"/>
      <c r="AA44" s="322" t="n"/>
      <c r="AB44" s="408" t="n"/>
      <c r="AC44" s="307" t="n"/>
      <c r="AD44" s="408" t="n"/>
      <c r="AE44" s="322" t="n"/>
      <c r="AF44" s="408" t="n"/>
      <c r="AG44" s="25" t="n">
        <v>0</v>
      </c>
      <c r="AH44" s="408" t="n"/>
      <c r="AI44" s="322" t="n"/>
      <c r="AJ44" s="408">
        <f>2</f>
        <v/>
      </c>
      <c r="AK44" s="307" t="n">
        <v>0</v>
      </c>
      <c r="AL44" s="408" t="n"/>
      <c r="AM44" s="322" t="n"/>
      <c r="AN44" s="408" t="n"/>
      <c r="AO44" s="307" t="n"/>
      <c r="AP44" s="408" t="n"/>
      <c r="AQ44" s="322" t="n"/>
      <c r="AR44" s="408" t="n"/>
      <c r="AS44" s="307" t="n"/>
      <c r="AT44" s="408" t="n"/>
      <c r="AU44" s="322" t="n"/>
      <c r="AV44" s="408" t="n"/>
      <c r="AW44" s="307" t="n"/>
      <c r="AX44" s="408" t="n"/>
      <c r="AY44" s="322" t="n"/>
      <c r="AZ44" s="408" t="n"/>
      <c r="BA44" s="307" t="n"/>
      <c r="BB44" s="408" t="n"/>
      <c r="BC44" s="322" t="n"/>
      <c r="BD44" s="408" t="n"/>
      <c r="BE44" s="307" t="n"/>
      <c r="BF44" s="408" t="n"/>
      <c r="BG44" s="322" t="n"/>
      <c r="BH44" s="408" t="n"/>
      <c r="BI44" s="307" t="n"/>
      <c r="BJ44" s="408" t="n"/>
      <c r="BK44" s="340" t="n"/>
      <c r="BL44" s="820">
        <f>SUMPRODUCT(--(MOD(COLUMN($O44:$AL44),4)=MOD(COLUMN($O44)+0,4)),$O44:$AL44)
+SUMPRODUCT(--(MOD(COLUMN($AM44:$BJ44),4)=MOD(COLUMN($AM44)+0,4)),$AM44:$BJ44)</f>
        <v/>
      </c>
      <c r="BM44" s="820">
        <f>SUMPRODUCT(--(MOD(COLUMN($O44:$AL44),4)=MOD(COLUMN($O44)+0,4)),$O44:$AL44)*
$I44+SUMPRODUCT(--(MOD(COLUMN($AM44:$BJ44),4)=MOD(COLUMN($AM44)+0,4)),$AM44:$BJ44)*$I44</f>
        <v/>
      </c>
      <c r="BN44" s="822">
        <f>SUMPRODUCT(--(MOD(COLUMN($O44:$AL44),4)=MOD(COLUMN($O44)+1,4)),$O44:$AL44)
+SUMPRODUCT(--(MOD(COLUMN($AM44:$BJ44),4)=MOD(COLUMN($AM44)+1,4)),$AM44:$BJ44)</f>
        <v/>
      </c>
      <c r="BO44" s="823">
        <f>SUMPRODUCT(--(MOD(COLUMN($O44:$AL44),4)=MOD(COLUMN($O44)+1,4)),$O44:$AL44)*
$I44+SUMPRODUCT(--(MOD(COLUMN($AM44:$BJ44),4)=MOD(COLUMN($AM44)+1,4)),$AM44:$BJ44)*$I44</f>
        <v/>
      </c>
      <c r="BP44" s="824">
        <f>SUMPRODUCT(--(MOD(COLUMN($O44:$AL44),4)=MOD(COLUMN($O44)+2,4)),$O44:$AL44)
+SUMPRODUCT(--(MOD(COLUMN($AM44:$BJ44),4)=MOD(COLUMN($AM44)+2,4)),$AM44:$BJ44)</f>
        <v/>
      </c>
      <c r="BQ44" s="825">
        <f>SUMPRODUCT(--(MOD(COLUMN($O44:$AL44),4)=MOD(COLUMN($O44)+2,4)),$O44:$AL44)*
$I44+SUMPRODUCT(--(MOD(COLUMN($AM44:$BJ44),4)=MOD(COLUMN($AM44)+2,4)),$AM44:$BJ44)*$I44</f>
        <v/>
      </c>
      <c r="BR44" s="819" t="n"/>
      <c r="BS44" s="819" t="n"/>
      <c r="BT44" s="322" t="n"/>
      <c r="BU44" s="408" t="n"/>
      <c r="BV44" s="307" t="n"/>
      <c r="BW44" s="408" t="n"/>
      <c r="BX44" s="322" t="n"/>
      <c r="BY44" s="408" t="n"/>
      <c r="BZ44" s="307" t="n"/>
      <c r="CA44" s="408" t="n"/>
      <c r="CB44" s="322" t="n"/>
      <c r="CC44" s="408" t="n"/>
      <c r="CD44" s="307" t="n"/>
      <c r="CE44" s="386" t="n"/>
      <c r="CF44" s="322" t="n"/>
      <c r="CG44" s="408" t="n"/>
      <c r="CH44" s="307" t="n"/>
      <c r="CI44" s="408" t="n"/>
      <c r="CJ44" s="322" t="n"/>
      <c r="CK44" s="408" t="n"/>
      <c r="CL44" s="307" t="n"/>
      <c r="CM44" s="408" t="n"/>
      <c r="CN44" s="322" t="n"/>
      <c r="CO44" s="408" t="n"/>
      <c r="CP44" s="307" t="n"/>
      <c r="CQ44" s="408" t="n"/>
      <c r="CR44" s="322" t="n"/>
      <c r="CS44" s="408" t="n"/>
      <c r="CT44" s="307" t="n"/>
      <c r="CU44" s="408" t="n"/>
      <c r="CV44" s="322" t="n"/>
      <c r="CW44" s="408" t="n"/>
      <c r="CX44" s="307" t="n"/>
      <c r="CY44" s="408" t="n"/>
      <c r="CZ44" s="322" t="n"/>
      <c r="DA44" s="408" t="n"/>
      <c r="DB44" s="307" t="n"/>
      <c r="DC44" s="408" t="n"/>
      <c r="DD44" s="322" t="n"/>
      <c r="DE44" s="408" t="n"/>
      <c r="DF44" s="307" t="n"/>
      <c r="DG44" s="408" t="n"/>
      <c r="DH44" s="322" t="n"/>
      <c r="DI44" s="408" t="n"/>
      <c r="DJ44" s="307" t="n"/>
      <c r="DK44" s="408" t="n"/>
      <c r="DL44" s="322" t="n"/>
      <c r="DM44" s="408" t="n"/>
      <c r="DN44" s="307" t="n"/>
      <c r="DO44" s="408" t="n"/>
      <c r="DP44" s="340" t="n"/>
      <c r="DQ44" s="820">
        <f>SUMPRODUCT(--(MOD(COLUMN(BT44:CQ44),4)=MOD(COLUMN(BT44),4)),BT44:CQ44)+SUMPRODUCT(--(MOD(COLUMN(CR44:DO44),4)=MOD(COLUMN(CR44),4)),CR44:DO44)</f>
        <v/>
      </c>
      <c r="DR44" s="820">
        <f>SUMPRODUCT(--(MOD(COLUMN(BT44:CQ44),4)=MOD(COLUMN(BT44),4)),BT44:CQ44)*$I44+SUMPRODUCT(--(MOD(COLUMN(CR44:DO44),4)=MOD(COLUMN(CR44),4)),CR44:DO44)*$I44</f>
        <v/>
      </c>
      <c r="DS44" s="819" t="n"/>
      <c r="DT44" s="819" t="n"/>
      <c r="DU44" s="322" t="n"/>
      <c r="DV44" s="408" t="n"/>
      <c r="DW44" s="307" t="n"/>
      <c r="DX44" s="408" t="n"/>
      <c r="DY44" s="322" t="n"/>
      <c r="DZ44" s="408" t="n"/>
      <c r="EA44" s="307" t="n"/>
      <c r="EB44" s="408" t="n"/>
      <c r="EC44" s="322" t="n"/>
      <c r="ED44" s="408" t="n"/>
      <c r="EE44" s="307" t="n"/>
      <c r="EF44" s="386" t="n"/>
      <c r="EG44" s="322" t="n"/>
      <c r="EH44" s="408" t="n"/>
      <c r="EI44" s="307" t="n"/>
      <c r="EJ44" s="408" t="n"/>
      <c r="EK44" s="322" t="n"/>
      <c r="EL44" s="408" t="n"/>
      <c r="EM44" s="307" t="n"/>
      <c r="EN44" s="408" t="n"/>
      <c r="EO44" s="322" t="n"/>
      <c r="EP44" s="408" t="n"/>
      <c r="EQ44" s="307" t="n"/>
      <c r="ER44" s="408" t="n"/>
      <c r="ES44" s="322" t="n"/>
      <c r="ET44" s="408" t="n"/>
      <c r="EU44" s="307" t="n"/>
      <c r="EV44" s="408" t="n"/>
      <c r="EW44" s="322" t="n"/>
      <c r="EX44" s="408" t="n"/>
      <c r="EY44" s="307" t="n"/>
      <c r="EZ44" s="408" t="n"/>
      <c r="FA44" s="322" t="n"/>
      <c r="FB44" s="408" t="n"/>
      <c r="FC44" s="307" t="n"/>
      <c r="FD44" s="408" t="n"/>
      <c r="FE44" s="322" t="n"/>
      <c r="FF44" s="408" t="n"/>
      <c r="FG44" s="307" t="n"/>
      <c r="FH44" s="408" t="n"/>
      <c r="FI44" s="322" t="n"/>
      <c r="FJ44" s="408" t="n"/>
      <c r="FK44" s="307" t="n"/>
      <c r="FL44" s="408" t="n"/>
      <c r="FM44" s="322" t="n"/>
      <c r="FN44" s="408" t="n"/>
      <c r="FO44" s="307" t="n"/>
      <c r="FP44" s="408" t="n"/>
      <c r="FQ44" s="340" t="n"/>
      <c r="FR44" s="820">
        <f>SUMPRODUCT(--(MOD(COLUMN(DU44:ER44),4)=MOD(COLUMN(DU44),4)),DU44:ER44)+SUMPRODUCT(--(MOD(COLUMN(ES44:FP44),4)=MOD(COLUMN(ES44),4)),ES44:FP44)</f>
        <v/>
      </c>
      <c r="FS44" s="820">
        <f>SUMPRODUCT(--(MOD(COLUMN(DU44:ER44),4)=MOD(COLUMN(DU44),4)),DU44:ER44)*$I44+SUMPRODUCT(--(MOD(COLUMN(ES44:FP44),4)=MOD(COLUMN(ES44),4)),ES44:FP44)*$I44</f>
        <v/>
      </c>
      <c r="FT44" s="360" t="n"/>
    </row>
    <row r="45" outlineLevel="2" customFormat="1" s="14">
      <c r="A45" s="375" t="inlineStr">
        <is>
          <t>НОВОСИБАРЗ АО</t>
        </is>
      </c>
      <c r="B45" s="387" t="inlineStr">
        <is>
          <t>Договор не подписан</t>
        </is>
      </c>
      <c r="C45" s="311" t="inlineStr">
        <is>
          <t>ВБК РУС</t>
        </is>
      </c>
      <c r="D45" s="575" t="inlineStr">
        <is>
          <t>Прасолов, Соловьёв</t>
        </is>
      </c>
      <c r="E45" s="284">
        <f>IF(ISBLANK(G45),"",IF($A$6:$A$330=$A45,COUNTIF($A$6:A45,$A45),""))</f>
        <v/>
      </c>
      <c r="F45" s="284" t="n">
        <v>2</v>
      </c>
      <c r="G45" s="304" t="n">
        <v>4460084042</v>
      </c>
      <c r="H45" s="602" t="inlineStr">
        <is>
          <t>Розетка АБС (7 контактов)</t>
        </is>
      </c>
      <c r="I45" s="663">
        <f>J45/ЮАНЬ_2025_08_29</f>
        <v/>
      </c>
      <c r="J45" s="623">
        <f>3114/НДС</f>
        <v/>
      </c>
      <c r="K45" s="872" t="inlineStr">
        <is>
          <t>RUB</t>
        </is>
      </c>
      <c r="L45" s="617">
        <f>IF(K45="RUB",J45/ЮАНЬ,IF(K45="EUR",J45*ЕВРО/ЮАНЬ,""))</f>
        <v/>
      </c>
      <c r="M45" s="871" t="n"/>
      <c r="N45" s="871">
        <f>IF(BP45&gt;0,1,IF(BN45&gt;0,2,))</f>
        <v/>
      </c>
      <c r="O45" s="322" t="n"/>
      <c r="P45" s="408" t="n"/>
      <c r="Q45" s="307" t="n"/>
      <c r="R45" s="408" t="n"/>
      <c r="S45" s="322" t="n"/>
      <c r="T45" s="408" t="n"/>
      <c r="U45" s="307" t="n"/>
      <c r="V45" s="408" t="n"/>
      <c r="W45" s="322" t="n"/>
      <c r="X45" s="408" t="n"/>
      <c r="Y45" s="307" t="n"/>
      <c r="Z45" s="386" t="n"/>
      <c r="AA45" s="322" t="n"/>
      <c r="AB45" s="408" t="n"/>
      <c r="AC45" s="307" t="n"/>
      <c r="AD45" s="408" t="n"/>
      <c r="AE45" s="322" t="n"/>
      <c r="AF45" s="408" t="n"/>
      <c r="AG45" s="25" t="n">
        <v>0</v>
      </c>
      <c r="AH45" s="408" t="n"/>
      <c r="AI45" s="322" t="n"/>
      <c r="AJ45" s="408">
        <f>2</f>
        <v/>
      </c>
      <c r="AK45" s="307" t="n">
        <v>0</v>
      </c>
      <c r="AL45" s="408" t="n"/>
      <c r="AM45" s="322" t="n"/>
      <c r="AN45" s="408" t="n"/>
      <c r="AO45" s="307" t="n"/>
      <c r="AP45" s="408" t="n"/>
      <c r="AQ45" s="322" t="n"/>
      <c r="AR45" s="408" t="n"/>
      <c r="AS45" s="307" t="n"/>
      <c r="AT45" s="408" t="n"/>
      <c r="AU45" s="322" t="n"/>
      <c r="AV45" s="408" t="n"/>
      <c r="AW45" s="307" t="n"/>
      <c r="AX45" s="408" t="n"/>
      <c r="AY45" s="322" t="n"/>
      <c r="AZ45" s="408" t="n"/>
      <c r="BA45" s="307" t="n"/>
      <c r="BB45" s="408" t="n"/>
      <c r="BC45" s="322" t="n"/>
      <c r="BD45" s="408" t="n"/>
      <c r="BE45" s="307" t="n"/>
      <c r="BF45" s="408" t="n"/>
      <c r="BG45" s="322" t="n"/>
      <c r="BH45" s="408" t="n"/>
      <c r="BI45" s="307" t="n"/>
      <c r="BJ45" s="408" t="n"/>
      <c r="BK45" s="340" t="n"/>
      <c r="BL45" s="820">
        <f>SUMPRODUCT(--(MOD(COLUMN($O45:$AL45),4)=MOD(COLUMN($O45)+0,4)),$O45:$AL45)
+SUMPRODUCT(--(MOD(COLUMN($AM45:$BJ45),4)=MOD(COLUMN($AM45)+0,4)),$AM45:$BJ45)</f>
        <v/>
      </c>
      <c r="BM45" s="820">
        <f>SUMPRODUCT(--(MOD(COLUMN($O45:$AL45),4)=MOD(COLUMN($O45)+0,4)),$O45:$AL45)*
$I45+SUMPRODUCT(--(MOD(COLUMN($AM45:$BJ45),4)=MOD(COLUMN($AM45)+0,4)),$AM45:$BJ45)*$I45</f>
        <v/>
      </c>
      <c r="BN45" s="822">
        <f>SUMPRODUCT(--(MOD(COLUMN($O45:$AL45),4)=MOD(COLUMN($O45)+1,4)),$O45:$AL45)
+SUMPRODUCT(--(MOD(COLUMN($AM45:$BJ45),4)=MOD(COLUMN($AM45)+1,4)),$AM45:$BJ45)</f>
        <v/>
      </c>
      <c r="BO45" s="823">
        <f>SUMPRODUCT(--(MOD(COLUMN($O45:$AL45),4)=MOD(COLUMN($O45)+1,4)),$O45:$AL45)*
$I45+SUMPRODUCT(--(MOD(COLUMN($AM45:$BJ45),4)=MOD(COLUMN($AM45)+1,4)),$AM45:$BJ45)*$I45</f>
        <v/>
      </c>
      <c r="BP45" s="824">
        <f>SUMPRODUCT(--(MOD(COLUMN($O45:$AL45),4)=MOD(COLUMN($O45)+2,4)),$O45:$AL45)
+SUMPRODUCT(--(MOD(COLUMN($AM45:$BJ45),4)=MOD(COLUMN($AM45)+2,4)),$AM45:$BJ45)</f>
        <v/>
      </c>
      <c r="BQ45" s="825">
        <f>SUMPRODUCT(--(MOD(COLUMN($O45:$AL45),4)=MOD(COLUMN($O45)+2,4)),$O45:$AL45)*
$I45+SUMPRODUCT(--(MOD(COLUMN($AM45:$BJ45),4)=MOD(COLUMN($AM45)+2,4)),$AM45:$BJ45)*$I45</f>
        <v/>
      </c>
      <c r="BR45" s="819" t="n"/>
      <c r="BS45" s="819" t="n"/>
      <c r="BT45" s="322" t="n"/>
      <c r="BU45" s="408" t="n"/>
      <c r="BV45" s="307" t="n"/>
      <c r="BW45" s="408" t="n"/>
      <c r="BX45" s="322" t="n"/>
      <c r="BY45" s="408" t="n"/>
      <c r="BZ45" s="307" t="n"/>
      <c r="CA45" s="408" t="n"/>
      <c r="CB45" s="322" t="n"/>
      <c r="CC45" s="408" t="n"/>
      <c r="CD45" s="307" t="n"/>
      <c r="CE45" s="386" t="n"/>
      <c r="CF45" s="322" t="n"/>
      <c r="CG45" s="408" t="n"/>
      <c r="CH45" s="307" t="n"/>
      <c r="CI45" s="408" t="n"/>
      <c r="CJ45" s="322" t="n"/>
      <c r="CK45" s="408" t="n"/>
      <c r="CL45" s="307" t="n"/>
      <c r="CM45" s="408" t="n"/>
      <c r="CN45" s="322" t="n"/>
      <c r="CO45" s="408" t="n"/>
      <c r="CP45" s="307" t="n"/>
      <c r="CQ45" s="408" t="n"/>
      <c r="CR45" s="322" t="n"/>
      <c r="CS45" s="408" t="n"/>
      <c r="CT45" s="307" t="n"/>
      <c r="CU45" s="408" t="n"/>
      <c r="CV45" s="322" t="n"/>
      <c r="CW45" s="408" t="n"/>
      <c r="CX45" s="307" t="n"/>
      <c r="CY45" s="408" t="n"/>
      <c r="CZ45" s="322" t="n"/>
      <c r="DA45" s="408" t="n"/>
      <c r="DB45" s="307" t="n"/>
      <c r="DC45" s="408" t="n"/>
      <c r="DD45" s="322" t="n"/>
      <c r="DE45" s="408" t="n"/>
      <c r="DF45" s="307" t="n"/>
      <c r="DG45" s="408" t="n"/>
      <c r="DH45" s="322" t="n"/>
      <c r="DI45" s="408" t="n"/>
      <c r="DJ45" s="307" t="n"/>
      <c r="DK45" s="408" t="n"/>
      <c r="DL45" s="322" t="n"/>
      <c r="DM45" s="408" t="n"/>
      <c r="DN45" s="307" t="n"/>
      <c r="DO45" s="408" t="n"/>
      <c r="DP45" s="340" t="n"/>
      <c r="DQ45" s="820">
        <f>SUMPRODUCT(--(MOD(COLUMN(BT45:CQ45),4)=MOD(COLUMN(BT45),4)),BT45:CQ45)+SUMPRODUCT(--(MOD(COLUMN(CR45:DO45),4)=MOD(COLUMN(CR45),4)),CR45:DO45)</f>
        <v/>
      </c>
      <c r="DR45" s="820">
        <f>SUMPRODUCT(--(MOD(COLUMN(BT45:CQ45),4)=MOD(COLUMN(BT45),4)),BT45:CQ45)*$I45+SUMPRODUCT(--(MOD(COLUMN(CR45:DO45),4)=MOD(COLUMN(CR45),4)),CR45:DO45)*$I45</f>
        <v/>
      </c>
      <c r="DS45" s="819" t="n"/>
      <c r="DT45" s="819" t="n"/>
      <c r="DU45" s="322" t="n"/>
      <c r="DV45" s="408" t="n"/>
      <c r="DW45" s="307" t="n"/>
      <c r="DX45" s="408" t="n"/>
      <c r="DY45" s="322" t="n"/>
      <c r="DZ45" s="408" t="n"/>
      <c r="EA45" s="307" t="n"/>
      <c r="EB45" s="408" t="n"/>
      <c r="EC45" s="322" t="n"/>
      <c r="ED45" s="408" t="n"/>
      <c r="EE45" s="307" t="n"/>
      <c r="EF45" s="386" t="n"/>
      <c r="EG45" s="322" t="n"/>
      <c r="EH45" s="408" t="n"/>
      <c r="EI45" s="307" t="n"/>
      <c r="EJ45" s="408" t="n"/>
      <c r="EK45" s="322" t="n"/>
      <c r="EL45" s="408" t="n"/>
      <c r="EM45" s="307" t="n"/>
      <c r="EN45" s="408" t="n"/>
      <c r="EO45" s="322" t="n"/>
      <c r="EP45" s="408" t="n"/>
      <c r="EQ45" s="307" t="n"/>
      <c r="ER45" s="408" t="n"/>
      <c r="ES45" s="322" t="n"/>
      <c r="ET45" s="408" t="n"/>
      <c r="EU45" s="307" t="n"/>
      <c r="EV45" s="408" t="n"/>
      <c r="EW45" s="322" t="n"/>
      <c r="EX45" s="408" t="n"/>
      <c r="EY45" s="307" t="n"/>
      <c r="EZ45" s="408" t="n"/>
      <c r="FA45" s="322" t="n"/>
      <c r="FB45" s="408" t="n"/>
      <c r="FC45" s="307" t="n"/>
      <c r="FD45" s="408" t="n"/>
      <c r="FE45" s="322" t="n"/>
      <c r="FF45" s="408" t="n"/>
      <c r="FG45" s="307" t="n"/>
      <c r="FH45" s="408" t="n"/>
      <c r="FI45" s="322" t="n"/>
      <c r="FJ45" s="408" t="n"/>
      <c r="FK45" s="307" t="n"/>
      <c r="FL45" s="408" t="n"/>
      <c r="FM45" s="322" t="n"/>
      <c r="FN45" s="408" t="n"/>
      <c r="FO45" s="307" t="n"/>
      <c r="FP45" s="408" t="n"/>
      <c r="FQ45" s="340" t="n"/>
      <c r="FR45" s="820">
        <f>SUMPRODUCT(--(MOD(COLUMN(DU45:ER45),4)=MOD(COLUMN(DU45),4)),DU45:ER45)+SUMPRODUCT(--(MOD(COLUMN(ES45:FP45),4)=MOD(COLUMN(ES45),4)),ES45:FP45)</f>
        <v/>
      </c>
      <c r="FS45" s="820">
        <f>SUMPRODUCT(--(MOD(COLUMN(DU45:ER45),4)=MOD(COLUMN(DU45),4)),DU45:ER45)*$I45+SUMPRODUCT(--(MOD(COLUMN(ES45:FP45),4)=MOD(COLUMN(ES45),4)),ES45:FP45)*$I45</f>
        <v/>
      </c>
      <c r="FT45" s="360" t="n"/>
    </row>
    <row r="46" outlineLevel="2" customFormat="1" s="14">
      <c r="A46" s="56" t="inlineStr">
        <is>
          <t>НОВОСИБАРЗ АО</t>
        </is>
      </c>
      <c r="B46" s="387" t="n"/>
      <c r="C46" s="173" t="n"/>
      <c r="D46" s="565" t="n"/>
      <c r="E46" s="13">
        <f>IF(ISBLANK(G46),"",IF($A$6:$A$330=$A46,COUNTIF($A$6:A46,$A46),""))</f>
        <v/>
      </c>
      <c r="F46" s="13" t="n"/>
      <c r="G46" s="111" t="n"/>
      <c r="H46" s="607" t="inlineStr">
        <is>
          <t>Итого</t>
        </is>
      </c>
      <c r="I46" s="617" t="n"/>
      <c r="J46" s="617" t="n"/>
      <c r="K46" s="872" t="n"/>
      <c r="L46" s="617">
        <f>IF(K46="RUB",J46/ЮАНЬ,IF(K46="EUR",J46*ЕВРО/ЮАНЬ,""))</f>
        <v/>
      </c>
      <c r="M46" s="873" t="n"/>
      <c r="N46" s="871">
        <f>IF(BP46&gt;0,1,IF(BN46&gt;0,2,))</f>
        <v/>
      </c>
      <c r="O46" s="40" t="n"/>
      <c r="P46" s="41" t="n"/>
      <c r="Q46" s="42" t="n"/>
      <c r="R46" s="41" t="n"/>
      <c r="S46" s="40" t="n"/>
      <c r="T46" s="41" t="n"/>
      <c r="U46" s="42" t="n"/>
      <c r="V46" s="41" t="n"/>
      <c r="W46" s="40" t="n"/>
      <c r="X46" s="41" t="n"/>
      <c r="Y46" s="42" t="n"/>
      <c r="Z46" s="41" t="n"/>
      <c r="AA46" s="40" t="n"/>
      <c r="AB46" s="41" t="n"/>
      <c r="AC46" s="25" t="n"/>
      <c r="AD46" s="41" t="n"/>
      <c r="AE46" s="40" t="n"/>
      <c r="AF46" s="41" t="n"/>
      <c r="AG46" s="42" t="n"/>
      <c r="AH46" s="41" t="n"/>
      <c r="AI46" s="40" t="n"/>
      <c r="AJ46" s="41" t="n"/>
      <c r="AK46" s="42" t="n"/>
      <c r="AL46" s="41" t="n"/>
      <c r="AM46" s="40" t="n"/>
      <c r="AN46" s="41" t="n"/>
      <c r="AO46" s="42" t="n"/>
      <c r="AP46" s="41" t="n"/>
      <c r="AQ46" s="40" t="n"/>
      <c r="AR46" s="41" t="n"/>
      <c r="AS46" s="42" t="n"/>
      <c r="AT46" s="41" t="n"/>
      <c r="AU46" s="40" t="n"/>
      <c r="AV46" s="41" t="n"/>
      <c r="AW46" s="42" t="n"/>
      <c r="AX46" s="41" t="n"/>
      <c r="AY46" s="40" t="n"/>
      <c r="AZ46" s="41" t="n"/>
      <c r="BA46" s="42" t="n"/>
      <c r="BB46" s="41" t="n"/>
      <c r="BC46" s="40" t="n"/>
      <c r="BD46" s="41" t="n"/>
      <c r="BE46" s="42" t="n"/>
      <c r="BF46" s="41" t="n"/>
      <c r="BG46" s="40" t="n"/>
      <c r="BH46" s="41" t="n"/>
      <c r="BI46" s="42" t="n"/>
      <c r="BJ46" s="43" t="n"/>
      <c r="BK46" s="341" t="n"/>
      <c r="BL46" s="811">
        <f>SUMPRODUCT(--(MOD(COLUMN($O46:$AL46),4)=MOD(COLUMN($O46)+0,4)),$O46:$AL46)
+SUMPRODUCT(--(MOD(COLUMN($AM46:$BJ46),4)=MOD(COLUMN($AM46)+0,4)),$AM46:$BJ46)</f>
        <v/>
      </c>
      <c r="BM46" s="811">
        <f>SUMPRODUCT(--(MOD(COLUMN($O46:$AL46),4)=MOD(COLUMN($O46)+0,4)),$O46:$AL46)*
$I46+SUMPRODUCT(--(MOD(COLUMN($AM46:$BJ46),4)=MOD(COLUMN($AM46)+0,4)),$AM46:$BJ46)*$I46</f>
        <v/>
      </c>
      <c r="BN46" s="805">
        <f>SUMPRODUCT(--(MOD(COLUMN($O46:$AL46),4)=MOD(COLUMN($O46)+1,4)),$O46:$AL46)
+SUMPRODUCT(--(MOD(COLUMN($AM46:$BJ46),4)=MOD(COLUMN($AM46)+1,4)),$AM46:$BJ46)</f>
        <v/>
      </c>
      <c r="BO46" s="806">
        <f>SUMPRODUCT(--(MOD(COLUMN($O46:$AL46),4)=MOD(COLUMN($O46)+1,4)),$O46:$AL46)*
$I46+SUMPRODUCT(--(MOD(COLUMN($AM46:$BJ46),4)=MOD(COLUMN($AM46)+1,4)),$AM46:$BJ46)*$I46</f>
        <v/>
      </c>
      <c r="BP46" s="807">
        <f>SUMPRODUCT(--(MOD(COLUMN($O46:$AL46),4)=MOD(COLUMN($O46)+2,4)),$O46:$AL46)
+SUMPRODUCT(--(MOD(COLUMN($AM46:$BJ46),4)=MOD(COLUMN($AM46)+2,4)),$AM46:$BJ46)</f>
        <v/>
      </c>
      <c r="BQ46" s="808">
        <f>SUMPRODUCT(--(MOD(COLUMN($O46:$AL46),4)=MOD(COLUMN($O46)+2,4)),$O46:$AL46)*
$I46+SUMPRODUCT(--(MOD(COLUMN($AM46:$BJ46),4)=MOD(COLUMN($AM46)+2,4)),$AM46:$BJ46)*$I46</f>
        <v/>
      </c>
      <c r="BR46" s="801" t="n"/>
      <c r="BS46" s="819" t="n"/>
      <c r="BT46" s="40" t="n"/>
      <c r="BU46" s="41" t="n"/>
      <c r="BV46" s="42" t="n"/>
      <c r="BW46" s="41" t="n"/>
      <c r="BX46" s="40" t="n"/>
      <c r="BY46" s="41" t="n"/>
      <c r="BZ46" s="42" t="n"/>
      <c r="CA46" s="41" t="n"/>
      <c r="CB46" s="40" t="n"/>
      <c r="CC46" s="41" t="n"/>
      <c r="CD46" s="42" t="n"/>
      <c r="CE46" s="41" t="n"/>
      <c r="CF46" s="40" t="n"/>
      <c r="CG46" s="41" t="n"/>
      <c r="CH46" s="25" t="n"/>
      <c r="CI46" s="41" t="n"/>
      <c r="CJ46" s="40" t="n"/>
      <c r="CK46" s="41" t="n"/>
      <c r="CL46" s="42" t="n"/>
      <c r="CM46" s="41" t="n"/>
      <c r="CN46" s="40" t="n"/>
      <c r="CO46" s="41" t="n"/>
      <c r="CP46" s="42" t="n"/>
      <c r="CQ46" s="41" t="n"/>
      <c r="CR46" s="40" t="n"/>
      <c r="CS46" s="41" t="n"/>
      <c r="CT46" s="42" t="n"/>
      <c r="CU46" s="41" t="n"/>
      <c r="CV46" s="40" t="n"/>
      <c r="CW46" s="41" t="n"/>
      <c r="CX46" s="42" t="n"/>
      <c r="CY46" s="41" t="n"/>
      <c r="CZ46" s="40" t="n"/>
      <c r="DA46" s="41" t="n"/>
      <c r="DB46" s="42" t="n"/>
      <c r="DC46" s="41" t="n"/>
      <c r="DD46" s="40" t="n"/>
      <c r="DE46" s="41" t="n"/>
      <c r="DF46" s="42" t="n"/>
      <c r="DG46" s="41" t="n"/>
      <c r="DH46" s="40" t="n"/>
      <c r="DI46" s="41" t="n"/>
      <c r="DJ46" s="42" t="n"/>
      <c r="DK46" s="41" t="n"/>
      <c r="DL46" s="40" t="n"/>
      <c r="DM46" s="41" t="n"/>
      <c r="DN46" s="42" t="n"/>
      <c r="DO46" s="43" t="n"/>
      <c r="DP46" s="341" t="n"/>
      <c r="DQ46" s="811">
        <f>SUMPRODUCT(--(MOD(COLUMN(BT46:CQ46),4)=MOD(COLUMN(BT46),4)),BT46:CQ46)+SUMPRODUCT(--(MOD(COLUMN(CR46:DO46),4)=MOD(COLUMN(CR46),4)),CR46:DO46)</f>
        <v/>
      </c>
      <c r="DR46" s="811">
        <f>SUMPRODUCT(--(MOD(COLUMN(BT46:CQ46),4)=MOD(COLUMN(BT46),4)),BT46:CQ46)*$I46+SUMPRODUCT(--(MOD(COLUMN(CR46:DO46),4)=MOD(COLUMN(CR46),4)),CR46:DO46)*$I46</f>
        <v/>
      </c>
      <c r="DS46" s="801" t="n"/>
      <c r="DT46" s="819" t="n"/>
      <c r="DU46" s="40" t="n"/>
      <c r="DV46" s="41" t="n"/>
      <c r="DW46" s="42" t="n"/>
      <c r="DX46" s="41" t="n"/>
      <c r="DY46" s="40" t="n"/>
      <c r="DZ46" s="41" t="n"/>
      <c r="EA46" s="42" t="n"/>
      <c r="EB46" s="41" t="n"/>
      <c r="EC46" s="40" t="n"/>
      <c r="ED46" s="41" t="n"/>
      <c r="EE46" s="42" t="n"/>
      <c r="EF46" s="41" t="n"/>
      <c r="EG46" s="40" t="n"/>
      <c r="EH46" s="41" t="n"/>
      <c r="EI46" s="25" t="n"/>
      <c r="EJ46" s="41" t="n"/>
      <c r="EK46" s="40" t="n"/>
      <c r="EL46" s="41" t="n"/>
      <c r="EM46" s="42" t="n"/>
      <c r="EN46" s="41" t="n"/>
      <c r="EO46" s="40" t="n"/>
      <c r="EP46" s="41" t="n"/>
      <c r="EQ46" s="42" t="n"/>
      <c r="ER46" s="41" t="n"/>
      <c r="ES46" s="40" t="n"/>
      <c r="ET46" s="41" t="n"/>
      <c r="EU46" s="42" t="n"/>
      <c r="EV46" s="41" t="n"/>
      <c r="EW46" s="40" t="n"/>
      <c r="EX46" s="41" t="n"/>
      <c r="EY46" s="42" t="n"/>
      <c r="EZ46" s="41" t="n"/>
      <c r="FA46" s="40" t="n"/>
      <c r="FB46" s="41" t="n"/>
      <c r="FC46" s="42" t="n"/>
      <c r="FD46" s="41" t="n"/>
      <c r="FE46" s="40" t="n"/>
      <c r="FF46" s="41" t="n"/>
      <c r="FG46" s="42" t="n"/>
      <c r="FH46" s="41" t="n"/>
      <c r="FI46" s="40" t="n"/>
      <c r="FJ46" s="41" t="n"/>
      <c r="FK46" s="42" t="n"/>
      <c r="FL46" s="41" t="n"/>
      <c r="FM46" s="40" t="n"/>
      <c r="FN46" s="41" t="n"/>
      <c r="FO46" s="42" t="n"/>
      <c r="FP46" s="43" t="n"/>
      <c r="FQ46" s="341" t="n"/>
      <c r="FR46" s="811">
        <f>SUMPRODUCT(--(MOD(COLUMN(DU46:ER46),4)=MOD(COLUMN(DU46),4)),DU46:ER46)+SUMPRODUCT(--(MOD(COLUMN(ES46:FP46),4)=MOD(COLUMN(ES46),4)),ES46:FP46)</f>
        <v/>
      </c>
      <c r="FS46" s="811">
        <f>SUMPRODUCT(--(MOD(COLUMN(DU46:ER46),4)=MOD(COLUMN(DU46),4)),DU46:ER46)*$I46+SUMPRODUCT(--(MOD(COLUMN(ES46:FP46),4)=MOD(COLUMN(ES46),4)),ES46:FP46)*$I46</f>
        <v/>
      </c>
      <c r="FT46" s="360" t="n"/>
    </row>
    <row r="47" outlineLevel="1" customFormat="1" s="116">
      <c r="A47" s="46" t="inlineStr">
        <is>
          <t>НОВОСИБАРЗ АО</t>
        </is>
      </c>
      <c r="B47" s="388" t="n"/>
      <c r="C47" s="650" t="n"/>
      <c r="D47" s="651" t="n"/>
      <c r="E47" s="118">
        <f>IF(ISBLANK(G47),"",IF($A$6:$A$330=$A47,COUNTIF($A$6:A47,$A47),""))</f>
        <v/>
      </c>
      <c r="F47" s="117" t="n"/>
      <c r="G47" s="119" t="n"/>
      <c r="H47" s="608" t="n"/>
      <c r="I47" s="620" t="n"/>
      <c r="J47" s="620" t="n"/>
      <c r="K47" s="120" t="n"/>
      <c r="L47" s="620">
        <f>IF(K47="RUB",J47/ЮАНЬ,IF(K47="EUR",J47*ЕВРО/ЮАНЬ,""))</f>
        <v/>
      </c>
      <c r="M47" s="873" t="n"/>
      <c r="N47" s="871">
        <f>IF(BP47&gt;0,1,IF(BN47&gt;0,2,))</f>
        <v/>
      </c>
      <c r="O47" s="121" t="n"/>
      <c r="P47" s="121" t="n"/>
      <c r="Q47" s="121" t="n"/>
      <c r="R47" s="121" t="n"/>
      <c r="S47" s="121" t="n"/>
      <c r="T47" s="121" t="n"/>
      <c r="U47" s="121" t="n"/>
      <c r="V47" s="121" t="n"/>
      <c r="W47" s="121" t="n"/>
      <c r="X47" s="121" t="n"/>
      <c r="Y47" s="121" t="n"/>
      <c r="Z47" s="121" t="n"/>
      <c r="AA47" s="121" t="n"/>
      <c r="AB47" s="121" t="n"/>
      <c r="AC47" s="121" t="n"/>
      <c r="AD47" s="121" t="n"/>
      <c r="AE47" s="121" t="n"/>
      <c r="AF47" s="121" t="n"/>
      <c r="AG47" s="121" t="n"/>
      <c r="AH47" s="121" t="n"/>
      <c r="AI47" s="121" t="n"/>
      <c r="AJ47" s="121" t="n"/>
      <c r="AK47" s="121" t="n"/>
      <c r="AL47" s="121" t="n"/>
      <c r="AM47" s="121" t="n"/>
      <c r="AN47" s="121" t="n"/>
      <c r="AO47" s="121" t="n"/>
      <c r="AP47" s="121" t="n"/>
      <c r="AQ47" s="121" t="n"/>
      <c r="AR47" s="121" t="n"/>
      <c r="AS47" s="121" t="n"/>
      <c r="AT47" s="121" t="n"/>
      <c r="AU47" s="121" t="n"/>
      <c r="AV47" s="121" t="n"/>
      <c r="AW47" s="121" t="n"/>
      <c r="AX47" s="121" t="n"/>
      <c r="AY47" s="121" t="n"/>
      <c r="AZ47" s="121" t="n"/>
      <c r="BA47" s="121" t="n"/>
      <c r="BB47" s="121" t="n"/>
      <c r="BC47" s="121" t="n"/>
      <c r="BD47" s="121" t="n"/>
      <c r="BE47" s="121" t="n"/>
      <c r="BF47" s="121" t="n"/>
      <c r="BG47" s="121" t="n"/>
      <c r="BH47" s="121" t="n"/>
      <c r="BI47" s="121" t="n"/>
      <c r="BJ47" s="121" t="n"/>
      <c r="BK47" s="356" t="n"/>
      <c r="BL47" s="814">
        <f>SUMPRODUCT(--(MOD(COLUMN($O47:$AL47),4)=MOD(COLUMN($O47)+0,4)),$O47:$AL47)
+SUMPRODUCT(--(MOD(COLUMN($AM47:$BJ47),4)=MOD(COLUMN($AM47)+0,4)),$AM47:$BJ47)</f>
        <v/>
      </c>
      <c r="BM47" s="814">
        <f>SUMPRODUCT(--(MOD(COLUMN($O47:$AL47),4)=MOD(COLUMN($O47)+0,4)),$O47:$AL47)*
$I47+SUMPRODUCT(--(MOD(COLUMN($AM47:$BJ47),4)=MOD(COLUMN($AM47)+0,4)),$AM47:$BJ47)*$I47</f>
        <v/>
      </c>
      <c r="BN47" s="814">
        <f>SUMPRODUCT(--(MOD(COLUMN($O47:$AL47),4)=MOD(COLUMN($O47)+1,4)),$O47:$AL47)
+SUMPRODUCT(--(MOD(COLUMN($AM47:$BJ47),4)=MOD(COLUMN($AM47)+1,4)),$AM47:$BJ47)</f>
        <v/>
      </c>
      <c r="BO47" s="814">
        <f>SUMPRODUCT(--(MOD(COLUMN($O47:$AL47),4)=MOD(COLUMN($O47)+1,4)),$O47:$AL47)*
$I47+SUMPRODUCT(--(MOD(COLUMN($AM47:$BJ47),4)=MOD(COLUMN($AM47)+1,4)),$AM47:$BJ47)*$I47</f>
        <v/>
      </c>
      <c r="BP47" s="814">
        <f>SUMPRODUCT(--(MOD(COLUMN($O47:$AL47),4)=MOD(COLUMN($O47)+2,4)),$O47:$AL47)
+SUMPRODUCT(--(MOD(COLUMN($AM47:$BJ47),4)=MOD(COLUMN($AM47)+2,4)),$AM47:$BJ47)</f>
        <v/>
      </c>
      <c r="BQ47" s="814">
        <f>SUMPRODUCT(--(MOD(COLUMN($O47:$AL47),4)=MOD(COLUMN($O47)+2,4)),$O47:$AL47)*
$I47+SUMPRODUCT(--(MOD(COLUMN($AM47:$BJ47),4)=MOD(COLUMN($AM47)+2,4)),$AM47:$BJ47)*$I47</f>
        <v/>
      </c>
      <c r="BR47" s="51" t="n"/>
      <c r="BS47" s="335" t="n"/>
      <c r="BT47" s="121" t="n"/>
      <c r="BU47" s="121" t="n"/>
      <c r="BV47" s="121" t="n"/>
      <c r="BW47" s="121" t="n"/>
      <c r="BX47" s="121" t="n"/>
      <c r="BY47" s="121" t="n"/>
      <c r="BZ47" s="121" t="n"/>
      <c r="CA47" s="121" t="n"/>
      <c r="CB47" s="121" t="n"/>
      <c r="CC47" s="121" t="n"/>
      <c r="CD47" s="121" t="n"/>
      <c r="CE47" s="121" t="n"/>
      <c r="CF47" s="121" t="n"/>
      <c r="CG47" s="121" t="n"/>
      <c r="CH47" s="121" t="n"/>
      <c r="CI47" s="121" t="n"/>
      <c r="CJ47" s="121" t="n"/>
      <c r="CK47" s="121" t="n"/>
      <c r="CL47" s="121" t="n"/>
      <c r="CM47" s="121" t="n"/>
      <c r="CN47" s="121" t="n"/>
      <c r="CO47" s="121" t="n"/>
      <c r="CP47" s="121" t="n"/>
      <c r="CQ47" s="121" t="n"/>
      <c r="CR47" s="121" t="n"/>
      <c r="CS47" s="121" t="n"/>
      <c r="CT47" s="121" t="n"/>
      <c r="CU47" s="121" t="n"/>
      <c r="CV47" s="121" t="n"/>
      <c r="CW47" s="121" t="n"/>
      <c r="CX47" s="121" t="n"/>
      <c r="CY47" s="121" t="n"/>
      <c r="CZ47" s="121" t="n"/>
      <c r="DA47" s="121" t="n"/>
      <c r="DB47" s="121" t="n"/>
      <c r="DC47" s="121" t="n"/>
      <c r="DD47" s="121" t="n"/>
      <c r="DE47" s="121" t="n"/>
      <c r="DF47" s="121" t="n"/>
      <c r="DG47" s="121" t="n"/>
      <c r="DH47" s="121" t="n"/>
      <c r="DI47" s="121" t="n"/>
      <c r="DJ47" s="121" t="n"/>
      <c r="DK47" s="121" t="n"/>
      <c r="DL47" s="121" t="n"/>
      <c r="DM47" s="121" t="n"/>
      <c r="DN47" s="121" t="n"/>
      <c r="DO47" s="121" t="n"/>
      <c r="DP47" s="356" t="n"/>
      <c r="DQ47" s="814">
        <f>SUMPRODUCT(--(MOD(COLUMN(BT47:CQ47),4)=MOD(COLUMN(BT47),4)),BT47:CQ47)+SUMPRODUCT(--(MOD(COLUMN(CR47:DO47),4)=MOD(COLUMN(CR47),4)),CR47:DO47)</f>
        <v/>
      </c>
      <c r="DR47" s="814">
        <f>SUMPRODUCT(--(MOD(COLUMN(BT47:CQ47),4)=MOD(COLUMN(BT47),4)),BT47:CQ47)*$I47+SUMPRODUCT(--(MOD(COLUMN(CR47:DO47),4)=MOD(COLUMN(CR47),4)),CR47:DO47)*$I47</f>
        <v/>
      </c>
      <c r="DS47" s="51" t="n"/>
      <c r="DT47" s="335" t="n"/>
      <c r="DU47" s="121" t="n"/>
      <c r="DV47" s="121" t="n"/>
      <c r="DW47" s="121" t="n"/>
      <c r="DX47" s="121" t="n"/>
      <c r="DY47" s="121" t="n"/>
      <c r="DZ47" s="121" t="n"/>
      <c r="EA47" s="121" t="n"/>
      <c r="EB47" s="121" t="n"/>
      <c r="EC47" s="121" t="n"/>
      <c r="ED47" s="121" t="n"/>
      <c r="EE47" s="121" t="n"/>
      <c r="EF47" s="121" t="n"/>
      <c r="EG47" s="121" t="n"/>
      <c r="EH47" s="121" t="n"/>
      <c r="EI47" s="121" t="n"/>
      <c r="EJ47" s="121" t="n"/>
      <c r="EK47" s="121" t="n"/>
      <c r="EL47" s="121" t="n"/>
      <c r="EM47" s="121" t="n"/>
      <c r="EN47" s="121" t="n"/>
      <c r="EO47" s="121" t="n"/>
      <c r="EP47" s="121" t="n"/>
      <c r="EQ47" s="121" t="n"/>
      <c r="ER47" s="121" t="n"/>
      <c r="ES47" s="121" t="n"/>
      <c r="ET47" s="121" t="n"/>
      <c r="EU47" s="121" t="n"/>
      <c r="EV47" s="121" t="n"/>
      <c r="EW47" s="121" t="n"/>
      <c r="EX47" s="121" t="n"/>
      <c r="EY47" s="121" t="n"/>
      <c r="EZ47" s="121" t="n"/>
      <c r="FA47" s="121" t="n"/>
      <c r="FB47" s="121" t="n"/>
      <c r="FC47" s="121" t="n"/>
      <c r="FD47" s="121" t="n"/>
      <c r="FE47" s="121" t="n"/>
      <c r="FF47" s="121" t="n"/>
      <c r="FG47" s="121" t="n"/>
      <c r="FH47" s="121" t="n"/>
      <c r="FI47" s="121" t="n"/>
      <c r="FJ47" s="121" t="n"/>
      <c r="FK47" s="121" t="n"/>
      <c r="FL47" s="121" t="n"/>
      <c r="FM47" s="121" t="n"/>
      <c r="FN47" s="121" t="n"/>
      <c r="FO47" s="121" t="n"/>
      <c r="FP47" s="121" t="n"/>
      <c r="FQ47" s="356" t="n"/>
      <c r="FR47" s="814">
        <f>SUMPRODUCT(--(MOD(COLUMN(DU47:ER47),4)=MOD(COLUMN(DU47),4)),DU47:ER47)+SUMPRODUCT(--(MOD(COLUMN(ES47:FP47),4)=MOD(COLUMN(ES47),4)),ES47:FP47)</f>
        <v/>
      </c>
      <c r="FS47" s="814">
        <f>SUMPRODUCT(--(MOD(COLUMN(DU47:ER47),4)=MOD(COLUMN(DU47),4)),DU47:ER47)*$I47+SUMPRODUCT(--(MOD(COLUMN(ES47:FP47),4)=MOD(COLUMN(ES47),4)),ES47:FP47)*$I47</f>
        <v/>
      </c>
      <c r="FT47" s="343" t="n"/>
    </row>
    <row r="48" outlineLevel="2" customFormat="1" s="14">
      <c r="A48" s="411" t="inlineStr">
        <is>
          <t>СТК ООО</t>
        </is>
      </c>
      <c r="B48" s="387" t="inlineStr">
        <is>
          <t>Договор не подписан</t>
        </is>
      </c>
      <c r="C48" s="541" t="inlineStr">
        <is>
          <t>ВБК Восток</t>
        </is>
      </c>
      <c r="D48" s="565" t="inlineStr">
        <is>
          <t>Прасолов, Соловьёв</t>
        </is>
      </c>
      <c r="E48" s="10">
        <f>IF(ISBLANK(G48),"",IF($A$6:$A$330=$A48,COUNTIF($A$6:A48,$A48),""))</f>
        <v/>
      </c>
      <c r="F48" s="10" t="n">
        <v>1</v>
      </c>
      <c r="G48" s="55" t="n">
        <v>4231069000</v>
      </c>
      <c r="H48" s="54" t="inlineStr">
        <is>
          <t>Камера тормозная тип 24</t>
        </is>
      </c>
      <c r="I48" s="617">
        <f>145/НДС_20</f>
        <v/>
      </c>
      <c r="J48" s="617" t="n"/>
      <c r="K48" s="878" t="n"/>
      <c r="L48" s="617" t="n"/>
      <c r="M48" s="871" t="n"/>
      <c r="N48" s="871">
        <f>IF(BP48&gt;0,1,IF(BN48&gt;0,2,))</f>
        <v/>
      </c>
      <c r="O48" s="322" t="n"/>
      <c r="P48" s="408" t="n"/>
      <c r="Q48" s="307" t="n"/>
      <c r="R48" s="408" t="n"/>
      <c r="S48" s="322" t="n"/>
      <c r="T48" s="408" t="n"/>
      <c r="U48" s="307" t="n"/>
      <c r="V48" s="408" t="n"/>
      <c r="W48" s="322" t="n"/>
      <c r="X48" s="408" t="n"/>
      <c r="Y48" s="307" t="n"/>
      <c r="Z48" s="408" t="n"/>
      <c r="AA48" s="322" t="n"/>
      <c r="AB48" s="408" t="n"/>
      <c r="AC48" s="307" t="n"/>
      <c r="AD48" s="408" t="n"/>
      <c r="AE48" s="322" t="n"/>
      <c r="AF48" s="408" t="n"/>
      <c r="AG48" s="307" t="n">
        <v>0</v>
      </c>
      <c r="AH48" s="408" t="n"/>
      <c r="AI48" s="322" t="n"/>
      <c r="AJ48" s="408" t="n"/>
      <c r="AK48" s="307" t="n"/>
      <c r="AL48" s="408" t="n"/>
      <c r="AM48" s="322" t="n"/>
      <c r="AN48" s="408" t="n"/>
      <c r="AO48" s="307" t="n"/>
      <c r="AP48" s="408" t="n"/>
      <c r="AQ48" s="322" t="n"/>
      <c r="AR48" s="408" t="n"/>
      <c r="AS48" s="307" t="n"/>
      <c r="AT48" s="408" t="n"/>
      <c r="AU48" s="322" t="n"/>
      <c r="AV48" s="408" t="n"/>
      <c r="AW48" s="307" t="n"/>
      <c r="AX48" s="408" t="n"/>
      <c r="AY48" s="322" t="n"/>
      <c r="AZ48" s="408" t="n"/>
      <c r="BA48" s="307" t="n"/>
      <c r="BB48" s="408" t="n"/>
      <c r="BC48" s="322" t="n"/>
      <c r="BD48" s="408" t="n"/>
      <c r="BE48" s="307" t="n"/>
      <c r="BF48" s="408" t="n"/>
      <c r="BG48" s="322" t="n"/>
      <c r="BH48" s="408" t="n"/>
      <c r="BI48" s="307" t="n"/>
      <c r="BJ48" s="408" t="n"/>
      <c r="BK48" s="340" t="n"/>
      <c r="BL48" s="820">
        <f>SUMPRODUCT(--(MOD(COLUMN($O48:$AL48),4)=MOD(COLUMN($O48)+0,4)),$O48:$AL48)
+SUMPRODUCT(--(MOD(COLUMN($AM48:$BJ48),4)=MOD(COLUMN($AM48)+0,4)),$AM48:$BJ48)</f>
        <v/>
      </c>
      <c r="BM48" s="820">
        <f>SUMPRODUCT(--(MOD(COLUMN($O48:$AL48),4)=MOD(COLUMN($O48)+0,4)),$O48:$AL48)*
$I48+SUMPRODUCT(--(MOD(COLUMN($AM48:$BJ48),4)=MOD(COLUMN($AM48)+0,4)),$AM48:$BJ48)*$I48</f>
        <v/>
      </c>
      <c r="BN48" s="822">
        <f>SUMPRODUCT(--(MOD(COLUMN($O48:$AL48),4)=MOD(COLUMN($O48)+1,4)),$O48:$AL48)
+SUMPRODUCT(--(MOD(COLUMN($AM48:$BJ48),4)=MOD(COLUMN($AM48)+1,4)),$AM48:$BJ48)</f>
        <v/>
      </c>
      <c r="BO48" s="823">
        <f>SUMPRODUCT(--(MOD(COLUMN($O48:$AL48),4)=MOD(COLUMN($O48)+1,4)),$O48:$AL48)*
$I48+SUMPRODUCT(--(MOD(COLUMN($AM48:$BJ48),4)=MOD(COLUMN($AM48)+1,4)),$AM48:$BJ48)*$I48</f>
        <v/>
      </c>
      <c r="BP48" s="824">
        <f>SUMPRODUCT(--(MOD(COLUMN($O48:$AL48),4)=MOD(COLUMN($O48)+2,4)),$O48:$AL48)
+SUMPRODUCT(--(MOD(COLUMN($AM48:$BJ48),4)=MOD(COLUMN($AM48)+2,4)),$AM48:$BJ48)</f>
        <v/>
      </c>
      <c r="BQ48" s="825">
        <f>SUMPRODUCT(--(MOD(COLUMN($O48:$AL48),4)=MOD(COLUMN($O48)+2,4)),$O48:$AL48)*
$I48+SUMPRODUCT(--(MOD(COLUMN($AM48:$BJ48),4)=MOD(COLUMN($AM48)+2,4)),$AM48:$BJ48)*$I48</f>
        <v/>
      </c>
      <c r="BR48" s="819" t="n"/>
      <c r="BS48" s="819" t="n"/>
      <c r="BT48" s="488" t="n"/>
      <c r="BU48" s="489" t="n"/>
      <c r="BV48" s="490" t="n"/>
      <c r="BW48" s="489" t="n"/>
      <c r="BX48" s="488" t="n"/>
      <c r="BY48" s="489" t="n"/>
      <c r="BZ48" s="490" t="n"/>
      <c r="CA48" s="489" t="n"/>
      <c r="CB48" s="488" t="n"/>
      <c r="CC48" s="489" t="n"/>
      <c r="CD48" s="490" t="n"/>
      <c r="CE48" s="489" t="n"/>
      <c r="CF48" s="488" t="n"/>
      <c r="CG48" s="489" t="n"/>
      <c r="CH48" s="307" t="n"/>
      <c r="CI48" s="489" t="n"/>
      <c r="CJ48" s="488" t="n"/>
      <c r="CK48" s="489" t="n"/>
      <c r="CL48" s="490" t="n"/>
      <c r="CM48" s="489" t="n"/>
      <c r="CN48" s="488" t="n"/>
      <c r="CO48" s="489" t="n"/>
      <c r="CP48" s="490" t="n"/>
      <c r="CQ48" s="489" t="n"/>
      <c r="CR48" s="488" t="n"/>
      <c r="CS48" s="489" t="n"/>
      <c r="CT48" s="490" t="n"/>
      <c r="CU48" s="489" t="n"/>
      <c r="CV48" s="488" t="n"/>
      <c r="CW48" s="489" t="n"/>
      <c r="CX48" s="490" t="n"/>
      <c r="CY48" s="489" t="n"/>
      <c r="CZ48" s="488" t="n"/>
      <c r="DA48" s="489" t="n"/>
      <c r="DB48" s="490" t="n"/>
      <c r="DC48" s="489" t="n"/>
      <c r="DD48" s="488" t="n"/>
      <c r="DE48" s="489" t="n"/>
      <c r="DF48" s="490" t="n"/>
      <c r="DG48" s="489" t="n"/>
      <c r="DH48" s="488" t="n"/>
      <c r="DI48" s="489" t="n"/>
      <c r="DJ48" s="490" t="n"/>
      <c r="DK48" s="489" t="n"/>
      <c r="DL48" s="488" t="n"/>
      <c r="DM48" s="489" t="n"/>
      <c r="DN48" s="490" t="n"/>
      <c r="DO48" s="306" t="n"/>
      <c r="DP48" s="341" t="n"/>
      <c r="DQ48" s="879" t="n"/>
      <c r="DR48" s="879">
        <f>SUMPRODUCT(--(MOD(COLUMN(BT48:CQ48),4)=MOD(COLUMN(BT48),4)),BT48:CQ48)*$I48+SUMPRODUCT(--(MOD(COLUMN(CR48:DO48),4)=MOD(COLUMN(CR48),4)),CR48:DO48)*$I48</f>
        <v/>
      </c>
      <c r="DS48" s="819" t="n"/>
      <c r="DT48" s="819" t="n"/>
      <c r="DU48" s="488" t="n"/>
      <c r="DV48" s="489" t="n"/>
      <c r="DW48" s="490" t="n"/>
      <c r="DX48" s="489" t="n"/>
      <c r="DY48" s="488" t="n"/>
      <c r="DZ48" s="489" t="n"/>
      <c r="EA48" s="490" t="n"/>
      <c r="EB48" s="489" t="n"/>
      <c r="EC48" s="488" t="n"/>
      <c r="ED48" s="489" t="n"/>
      <c r="EE48" s="490" t="n"/>
      <c r="EF48" s="489" t="n"/>
      <c r="EG48" s="488" t="n"/>
      <c r="EH48" s="489" t="n"/>
      <c r="EI48" s="307" t="n"/>
      <c r="EJ48" s="489" t="n"/>
      <c r="EK48" s="488" t="n"/>
      <c r="EL48" s="489" t="n"/>
      <c r="EM48" s="490" t="n"/>
      <c r="EN48" s="489" t="n"/>
      <c r="EO48" s="488" t="n"/>
      <c r="EP48" s="489" t="n"/>
      <c r="EQ48" s="490" t="n"/>
      <c r="ER48" s="489" t="n"/>
      <c r="ES48" s="488" t="n"/>
      <c r="ET48" s="489" t="n"/>
      <c r="EU48" s="490" t="n"/>
      <c r="EV48" s="489" t="n"/>
      <c r="EW48" s="488" t="n"/>
      <c r="EX48" s="489" t="n"/>
      <c r="EY48" s="490" t="n"/>
      <c r="EZ48" s="489" t="n"/>
      <c r="FA48" s="488" t="n"/>
      <c r="FB48" s="489" t="n"/>
      <c r="FC48" s="490" t="n"/>
      <c r="FD48" s="489" t="n"/>
      <c r="FE48" s="488" t="n"/>
      <c r="FF48" s="489" t="n"/>
      <c r="FG48" s="490" t="n"/>
      <c r="FH48" s="489" t="n"/>
      <c r="FI48" s="488" t="n"/>
      <c r="FJ48" s="489" t="n"/>
      <c r="FK48" s="490" t="n"/>
      <c r="FL48" s="489" t="n"/>
      <c r="FM48" s="488" t="n"/>
      <c r="FN48" s="489" t="n"/>
      <c r="FO48" s="490" t="n"/>
      <c r="FP48" s="306" t="n"/>
      <c r="FQ48" s="341" t="n"/>
      <c r="FR48" s="879" t="n"/>
      <c r="FS48" s="879">
        <f>SUMPRODUCT(--(MOD(COLUMN(DU48:ER48),4)=MOD(COLUMN(DU48),4)),DU48:ER48)*$I48+SUMPRODUCT(--(MOD(COLUMN(ES48:FP48),4)=MOD(COLUMN(ES48),4)),ES48:FP48)*$I48</f>
        <v/>
      </c>
      <c r="FT48" s="360" t="n"/>
    </row>
    <row r="49" outlineLevel="2" customFormat="1" s="14">
      <c r="A49" s="411" t="inlineStr">
        <is>
          <t>СТК ООО</t>
        </is>
      </c>
      <c r="B49" s="387" t="inlineStr">
        <is>
          <t>Договор не подписан</t>
        </is>
      </c>
      <c r="C49" s="541" t="inlineStr">
        <is>
          <t>ВБК Восток</t>
        </is>
      </c>
      <c r="D49" s="565" t="inlineStr">
        <is>
          <t>Прасолов, Соловьёв</t>
        </is>
      </c>
      <c r="E49" s="10">
        <f>IF(ISBLANK(G49),"",IF($A$6:$A$330=$A49,COUNTIF($A$6:A49,$A49),""))</f>
        <v/>
      </c>
      <c r="F49" s="10" t="n">
        <v>1</v>
      </c>
      <c r="G49" s="55" t="n">
        <v>4231079000</v>
      </c>
      <c r="H49" s="54" t="inlineStr">
        <is>
          <t>Камера тормозная тип 30</t>
        </is>
      </c>
      <c r="I49" s="617">
        <f>153/НДС_20</f>
        <v/>
      </c>
      <c r="J49" s="617" t="n"/>
      <c r="K49" s="878" t="n"/>
      <c r="L49" s="617" t="n"/>
      <c r="M49" s="871" t="n"/>
      <c r="N49" s="871">
        <f>IF(BP49&gt;0,1,IF(BN49&gt;0,2,))</f>
        <v/>
      </c>
      <c r="O49" s="322" t="n"/>
      <c r="P49" s="408" t="n"/>
      <c r="Q49" s="307" t="n"/>
      <c r="R49" s="408" t="n"/>
      <c r="S49" s="322" t="n"/>
      <c r="T49" s="408" t="n"/>
      <c r="U49" s="307" t="n"/>
      <c r="V49" s="408" t="n"/>
      <c r="W49" s="322" t="n"/>
      <c r="X49" s="408" t="n"/>
      <c r="Y49" s="307" t="n"/>
      <c r="Z49" s="408" t="n"/>
      <c r="AA49" s="322" t="n"/>
      <c r="AB49" s="408" t="n"/>
      <c r="AC49" s="307" t="n"/>
      <c r="AD49" s="408" t="n"/>
      <c r="AE49" s="322" t="n"/>
      <c r="AF49" s="408" t="n"/>
      <c r="AG49" s="307" t="n">
        <v>0</v>
      </c>
      <c r="AH49" s="408" t="n"/>
      <c r="AI49" s="322" t="n"/>
      <c r="AJ49" s="408" t="n"/>
      <c r="AK49" s="307" t="n"/>
      <c r="AL49" s="408" t="n"/>
      <c r="AM49" s="322" t="n"/>
      <c r="AN49" s="408" t="n"/>
      <c r="AO49" s="307" t="n"/>
      <c r="AP49" s="408" t="n"/>
      <c r="AQ49" s="322" t="n"/>
      <c r="AR49" s="408" t="n"/>
      <c r="AS49" s="307" t="n"/>
      <c r="AT49" s="408" t="n"/>
      <c r="AU49" s="322" t="n"/>
      <c r="AV49" s="408" t="n"/>
      <c r="AW49" s="307" t="n"/>
      <c r="AX49" s="408" t="n"/>
      <c r="AY49" s="322" t="n"/>
      <c r="AZ49" s="408" t="n"/>
      <c r="BA49" s="307" t="n"/>
      <c r="BB49" s="408" t="n"/>
      <c r="BC49" s="322" t="n"/>
      <c r="BD49" s="408" t="n"/>
      <c r="BE49" s="307" t="n"/>
      <c r="BF49" s="408" t="n"/>
      <c r="BG49" s="322" t="n"/>
      <c r="BH49" s="408" t="n"/>
      <c r="BI49" s="307" t="n"/>
      <c r="BJ49" s="408" t="n"/>
      <c r="BK49" s="340" t="n"/>
      <c r="BL49" s="820">
        <f>SUMPRODUCT(--(MOD(COLUMN($O49:$AL49),4)=MOD(COLUMN($O49)+0,4)),$O49:$AL49)
+SUMPRODUCT(--(MOD(COLUMN($AM49:$BJ49),4)=MOD(COLUMN($AM49)+0,4)),$AM49:$BJ49)</f>
        <v/>
      </c>
      <c r="BM49" s="820">
        <f>SUMPRODUCT(--(MOD(COLUMN($O49:$AL49),4)=MOD(COLUMN($O49)+0,4)),$O49:$AL49)*
$I49+SUMPRODUCT(--(MOD(COLUMN($AM49:$BJ49),4)=MOD(COLUMN($AM49)+0,4)),$AM49:$BJ49)*$I49</f>
        <v/>
      </c>
      <c r="BN49" s="822">
        <f>SUMPRODUCT(--(MOD(COLUMN($O49:$AL49),4)=MOD(COLUMN($O49)+1,4)),$O49:$AL49)
+SUMPRODUCT(--(MOD(COLUMN($AM49:$BJ49),4)=MOD(COLUMN($AM49)+1,4)),$AM49:$BJ49)</f>
        <v/>
      </c>
      <c r="BO49" s="823">
        <f>SUMPRODUCT(--(MOD(COLUMN($O49:$AL49),4)=MOD(COLUMN($O49)+1,4)),$O49:$AL49)*
$I49+SUMPRODUCT(--(MOD(COLUMN($AM49:$BJ49),4)=MOD(COLUMN($AM49)+1,4)),$AM49:$BJ49)*$I49</f>
        <v/>
      </c>
      <c r="BP49" s="824">
        <f>SUMPRODUCT(--(MOD(COLUMN($O49:$AL49),4)=MOD(COLUMN($O49)+2,4)),$O49:$AL49)
+SUMPRODUCT(--(MOD(COLUMN($AM49:$BJ49),4)=MOD(COLUMN($AM49)+2,4)),$AM49:$BJ49)</f>
        <v/>
      </c>
      <c r="BQ49" s="825">
        <f>SUMPRODUCT(--(MOD(COLUMN($O49:$AL49),4)=MOD(COLUMN($O49)+2,4)),$O49:$AL49)*
$I49+SUMPRODUCT(--(MOD(COLUMN($AM49:$BJ49),4)=MOD(COLUMN($AM49)+2,4)),$AM49:$BJ49)*$I49</f>
        <v/>
      </c>
      <c r="BR49" s="819" t="n"/>
      <c r="BS49" s="819" t="n"/>
      <c r="BT49" s="488" t="n"/>
      <c r="BU49" s="489" t="n"/>
      <c r="BV49" s="490" t="n"/>
      <c r="BW49" s="489" t="n"/>
      <c r="BX49" s="488" t="n"/>
      <c r="BY49" s="489" t="n"/>
      <c r="BZ49" s="490" t="n"/>
      <c r="CA49" s="489" t="n"/>
      <c r="CB49" s="488" t="n"/>
      <c r="CC49" s="489" t="n"/>
      <c r="CD49" s="490" t="n"/>
      <c r="CE49" s="489" t="n"/>
      <c r="CF49" s="488" t="n"/>
      <c r="CG49" s="489" t="n"/>
      <c r="CH49" s="307" t="n"/>
      <c r="CI49" s="489" t="n"/>
      <c r="CJ49" s="488" t="n"/>
      <c r="CK49" s="489" t="n"/>
      <c r="CL49" s="490" t="n"/>
      <c r="CM49" s="489" t="n"/>
      <c r="CN49" s="488" t="n"/>
      <c r="CO49" s="489" t="n"/>
      <c r="CP49" s="490" t="n"/>
      <c r="CQ49" s="489" t="n"/>
      <c r="CR49" s="488" t="n"/>
      <c r="CS49" s="489" t="n"/>
      <c r="CT49" s="490" t="n"/>
      <c r="CU49" s="489" t="n"/>
      <c r="CV49" s="488" t="n"/>
      <c r="CW49" s="489" t="n"/>
      <c r="CX49" s="490" t="n"/>
      <c r="CY49" s="489" t="n"/>
      <c r="CZ49" s="488" t="n"/>
      <c r="DA49" s="489" t="n"/>
      <c r="DB49" s="490" t="n"/>
      <c r="DC49" s="489" t="n"/>
      <c r="DD49" s="488" t="n"/>
      <c r="DE49" s="489" t="n"/>
      <c r="DF49" s="490" t="n"/>
      <c r="DG49" s="489" t="n"/>
      <c r="DH49" s="488" t="n"/>
      <c r="DI49" s="489" t="n"/>
      <c r="DJ49" s="490" t="n"/>
      <c r="DK49" s="489" t="n"/>
      <c r="DL49" s="488" t="n"/>
      <c r="DM49" s="489" t="n"/>
      <c r="DN49" s="490" t="n"/>
      <c r="DO49" s="306" t="n"/>
      <c r="DP49" s="341" t="n"/>
      <c r="DQ49" s="879" t="n"/>
      <c r="DR49" s="879">
        <f>SUMPRODUCT(--(MOD(COLUMN(BT49:CQ49),4)=MOD(COLUMN(BT49),4)),BT49:CQ49)*$I49+SUMPRODUCT(--(MOD(COLUMN(CR49:DO49),4)=MOD(COLUMN(CR49),4)),CR49:DO49)*$I49</f>
        <v/>
      </c>
      <c r="DS49" s="819" t="n"/>
      <c r="DT49" s="819" t="n"/>
      <c r="DU49" s="488" t="n"/>
      <c r="DV49" s="489" t="n"/>
      <c r="DW49" s="490" t="n"/>
      <c r="DX49" s="489" t="n"/>
      <c r="DY49" s="488" t="n"/>
      <c r="DZ49" s="489" t="n"/>
      <c r="EA49" s="490" t="n"/>
      <c r="EB49" s="489" t="n"/>
      <c r="EC49" s="488" t="n"/>
      <c r="ED49" s="489" t="n"/>
      <c r="EE49" s="490" t="n"/>
      <c r="EF49" s="489" t="n"/>
      <c r="EG49" s="488" t="n"/>
      <c r="EH49" s="489" t="n"/>
      <c r="EI49" s="307" t="n"/>
      <c r="EJ49" s="489" t="n"/>
      <c r="EK49" s="488" t="n"/>
      <c r="EL49" s="489" t="n"/>
      <c r="EM49" s="490" t="n"/>
      <c r="EN49" s="489" t="n"/>
      <c r="EO49" s="488" t="n"/>
      <c r="EP49" s="489" t="n"/>
      <c r="EQ49" s="490" t="n"/>
      <c r="ER49" s="489" t="n"/>
      <c r="ES49" s="488" t="n"/>
      <c r="ET49" s="489" t="n"/>
      <c r="EU49" s="490" t="n"/>
      <c r="EV49" s="489" t="n"/>
      <c r="EW49" s="488" t="n"/>
      <c r="EX49" s="489" t="n"/>
      <c r="EY49" s="490" t="n"/>
      <c r="EZ49" s="489" t="n"/>
      <c r="FA49" s="488" t="n"/>
      <c r="FB49" s="489" t="n"/>
      <c r="FC49" s="490" t="n"/>
      <c r="FD49" s="489" t="n"/>
      <c r="FE49" s="488" t="n"/>
      <c r="FF49" s="489" t="n"/>
      <c r="FG49" s="490" t="n"/>
      <c r="FH49" s="489" t="n"/>
      <c r="FI49" s="488" t="n"/>
      <c r="FJ49" s="489" t="n"/>
      <c r="FK49" s="490" t="n"/>
      <c r="FL49" s="489" t="n"/>
      <c r="FM49" s="488" t="n"/>
      <c r="FN49" s="489" t="n"/>
      <c r="FO49" s="490" t="n"/>
      <c r="FP49" s="306" t="n"/>
      <c r="FQ49" s="341" t="n"/>
      <c r="FR49" s="879" t="n"/>
      <c r="FS49" s="879">
        <f>SUMPRODUCT(--(MOD(COLUMN(DU49:ER49),4)=MOD(COLUMN(DU49),4)),DU49:ER49)*$I49+SUMPRODUCT(--(MOD(COLUMN(ES49:FP49),4)=MOD(COLUMN(ES49),4)),ES49:FP49)*$I49</f>
        <v/>
      </c>
      <c r="FT49" s="360" t="n"/>
    </row>
    <row r="50" outlineLevel="2" customFormat="1" s="14">
      <c r="A50" s="411" t="inlineStr">
        <is>
          <t>СТК ООО</t>
        </is>
      </c>
      <c r="B50" s="387" t="inlineStr">
        <is>
          <t>Договор не подписан</t>
        </is>
      </c>
      <c r="C50" s="541" t="inlineStr">
        <is>
          <t>ВБК Восток</t>
        </is>
      </c>
      <c r="D50" s="565" t="inlineStr">
        <is>
          <t>Прасолов, Соловьёв</t>
        </is>
      </c>
      <c r="E50" s="10">
        <f>IF(ISBLANK(G50),"",IF($A$6:$A$330=$A50,COUNTIF($A$6:A50,$A50),""))</f>
        <v/>
      </c>
      <c r="F50" s="10" t="n">
        <v>1</v>
      </c>
      <c r="G50" s="55" t="n">
        <v>9253761210</v>
      </c>
      <c r="H50" s="54" t="inlineStr">
        <is>
          <t>Энергоаккумулятор тип 24/30</t>
        </is>
      </c>
      <c r="I50" s="617">
        <f>301/НДС_20</f>
        <v/>
      </c>
      <c r="J50" s="617" t="n"/>
      <c r="K50" s="878" t="n"/>
      <c r="L50" s="617" t="n"/>
      <c r="M50" s="871" t="n"/>
      <c r="N50" s="871">
        <f>IF(BP50&gt;0,1,IF(BN50&gt;0,2,))</f>
        <v/>
      </c>
      <c r="O50" s="322" t="n"/>
      <c r="P50" s="408" t="n"/>
      <c r="Q50" s="307" t="n"/>
      <c r="R50" s="408" t="n"/>
      <c r="S50" s="322" t="n"/>
      <c r="T50" s="408" t="n"/>
      <c r="U50" s="307" t="n"/>
      <c r="V50" s="408" t="n"/>
      <c r="W50" s="322" t="n"/>
      <c r="X50" s="408" t="n"/>
      <c r="Y50" s="307" t="n"/>
      <c r="Z50" s="408" t="n"/>
      <c r="AA50" s="322" t="n"/>
      <c r="AB50" s="408" t="n"/>
      <c r="AC50" s="307" t="n"/>
      <c r="AD50" s="408" t="n"/>
      <c r="AE50" s="322" t="n"/>
      <c r="AF50" s="408" t="n"/>
      <c r="AG50" s="307" t="n">
        <v>0</v>
      </c>
      <c r="AH50" s="408" t="n"/>
      <c r="AI50" s="322" t="n"/>
      <c r="AJ50" s="408" t="n"/>
      <c r="AK50" s="307" t="n"/>
      <c r="AL50" s="408" t="n"/>
      <c r="AM50" s="322" t="n"/>
      <c r="AN50" s="408" t="n"/>
      <c r="AO50" s="307" t="n"/>
      <c r="AP50" s="408" t="n"/>
      <c r="AQ50" s="322" t="n"/>
      <c r="AR50" s="408" t="n"/>
      <c r="AS50" s="307" t="n"/>
      <c r="AT50" s="408" t="n"/>
      <c r="AU50" s="322" t="n"/>
      <c r="AV50" s="408" t="n"/>
      <c r="AW50" s="307" t="n"/>
      <c r="AX50" s="408" t="n"/>
      <c r="AY50" s="322" t="n"/>
      <c r="AZ50" s="408" t="n"/>
      <c r="BA50" s="307" t="n"/>
      <c r="BB50" s="408" t="n"/>
      <c r="BC50" s="322" t="n"/>
      <c r="BD50" s="408" t="n"/>
      <c r="BE50" s="307" t="n"/>
      <c r="BF50" s="408" t="n"/>
      <c r="BG50" s="322" t="n"/>
      <c r="BH50" s="408" t="n"/>
      <c r="BI50" s="307" t="n"/>
      <c r="BJ50" s="408" t="n"/>
      <c r="BK50" s="340" t="n"/>
      <c r="BL50" s="820">
        <f>SUMPRODUCT(--(MOD(COLUMN($O50:$AL50),4)=MOD(COLUMN($O50)+0,4)),$O50:$AL50)
+SUMPRODUCT(--(MOD(COLUMN($AM50:$BJ50),4)=MOD(COLUMN($AM50)+0,4)),$AM50:$BJ50)</f>
        <v/>
      </c>
      <c r="BM50" s="820">
        <f>SUMPRODUCT(--(MOD(COLUMN($O50:$AL50),4)=MOD(COLUMN($O50)+0,4)),$O50:$AL50)*
$I50+SUMPRODUCT(--(MOD(COLUMN($AM50:$BJ50),4)=MOD(COLUMN($AM50)+0,4)),$AM50:$BJ50)*$I50</f>
        <v/>
      </c>
      <c r="BN50" s="822">
        <f>SUMPRODUCT(--(MOD(COLUMN($O50:$AL50),4)=MOD(COLUMN($O50)+1,4)),$O50:$AL50)
+SUMPRODUCT(--(MOD(COLUMN($AM50:$BJ50),4)=MOD(COLUMN($AM50)+1,4)),$AM50:$BJ50)</f>
        <v/>
      </c>
      <c r="BO50" s="823">
        <f>SUMPRODUCT(--(MOD(COLUMN($O50:$AL50),4)=MOD(COLUMN($O50)+1,4)),$O50:$AL50)*
$I50+SUMPRODUCT(--(MOD(COLUMN($AM50:$BJ50),4)=MOD(COLUMN($AM50)+1,4)),$AM50:$BJ50)*$I50</f>
        <v/>
      </c>
      <c r="BP50" s="824">
        <f>SUMPRODUCT(--(MOD(COLUMN($O50:$AL50),4)=MOD(COLUMN($O50)+2,4)),$O50:$AL50)
+SUMPRODUCT(--(MOD(COLUMN($AM50:$BJ50),4)=MOD(COLUMN($AM50)+2,4)),$AM50:$BJ50)</f>
        <v/>
      </c>
      <c r="BQ50" s="825">
        <f>SUMPRODUCT(--(MOD(COLUMN($O50:$AL50),4)=MOD(COLUMN($O50)+2,4)),$O50:$AL50)*
$I50+SUMPRODUCT(--(MOD(COLUMN($AM50:$BJ50),4)=MOD(COLUMN($AM50)+2,4)),$AM50:$BJ50)*$I50</f>
        <v/>
      </c>
      <c r="BR50" s="819" t="n"/>
      <c r="BS50" s="819" t="n"/>
      <c r="BT50" s="488" t="n"/>
      <c r="BU50" s="489" t="n"/>
      <c r="BV50" s="490" t="n"/>
      <c r="BW50" s="489" t="n"/>
      <c r="BX50" s="488" t="n"/>
      <c r="BY50" s="489" t="n"/>
      <c r="BZ50" s="490" t="n"/>
      <c r="CA50" s="489" t="n"/>
      <c r="CB50" s="488" t="n"/>
      <c r="CC50" s="489" t="n"/>
      <c r="CD50" s="490" t="n"/>
      <c r="CE50" s="489" t="n"/>
      <c r="CF50" s="488" t="n"/>
      <c r="CG50" s="489" t="n"/>
      <c r="CH50" s="307" t="n"/>
      <c r="CI50" s="489" t="n"/>
      <c r="CJ50" s="488" t="n"/>
      <c r="CK50" s="489" t="n"/>
      <c r="CL50" s="490" t="n"/>
      <c r="CM50" s="489" t="n"/>
      <c r="CN50" s="488" t="n"/>
      <c r="CO50" s="489" t="n"/>
      <c r="CP50" s="490" t="n"/>
      <c r="CQ50" s="489" t="n"/>
      <c r="CR50" s="488" t="n"/>
      <c r="CS50" s="489" t="n"/>
      <c r="CT50" s="490" t="n"/>
      <c r="CU50" s="489" t="n"/>
      <c r="CV50" s="488" t="n"/>
      <c r="CW50" s="489" t="n"/>
      <c r="CX50" s="490" t="n"/>
      <c r="CY50" s="489" t="n"/>
      <c r="CZ50" s="488" t="n"/>
      <c r="DA50" s="489" t="n"/>
      <c r="DB50" s="490" t="n"/>
      <c r="DC50" s="489" t="n"/>
      <c r="DD50" s="488" t="n"/>
      <c r="DE50" s="489" t="n"/>
      <c r="DF50" s="490" t="n"/>
      <c r="DG50" s="489" t="n"/>
      <c r="DH50" s="488" t="n"/>
      <c r="DI50" s="489" t="n"/>
      <c r="DJ50" s="490" t="n"/>
      <c r="DK50" s="489" t="n"/>
      <c r="DL50" s="488" t="n"/>
      <c r="DM50" s="489" t="n"/>
      <c r="DN50" s="490" t="n"/>
      <c r="DO50" s="306" t="n"/>
      <c r="DP50" s="341" t="n"/>
      <c r="DQ50" s="879" t="n"/>
      <c r="DR50" s="879">
        <f>SUMPRODUCT(--(MOD(COLUMN(BT50:CQ50),4)=MOD(COLUMN(BT50),4)),BT50:CQ50)*$I50+SUMPRODUCT(--(MOD(COLUMN(CR50:DO50),4)=MOD(COLUMN(CR50),4)),CR50:DO50)*$I50</f>
        <v/>
      </c>
      <c r="DS50" s="819" t="n"/>
      <c r="DT50" s="819" t="n"/>
      <c r="DU50" s="488" t="n"/>
      <c r="DV50" s="489" t="n"/>
      <c r="DW50" s="490" t="n"/>
      <c r="DX50" s="489" t="n"/>
      <c r="DY50" s="488" t="n"/>
      <c r="DZ50" s="489" t="n"/>
      <c r="EA50" s="490" t="n"/>
      <c r="EB50" s="489" t="n"/>
      <c r="EC50" s="488" t="n"/>
      <c r="ED50" s="489" t="n"/>
      <c r="EE50" s="490" t="n"/>
      <c r="EF50" s="489" t="n"/>
      <c r="EG50" s="488" t="n"/>
      <c r="EH50" s="489" t="n"/>
      <c r="EI50" s="307" t="n"/>
      <c r="EJ50" s="489" t="n"/>
      <c r="EK50" s="488" t="n"/>
      <c r="EL50" s="489" t="n"/>
      <c r="EM50" s="490" t="n"/>
      <c r="EN50" s="489" t="n"/>
      <c r="EO50" s="488" t="n"/>
      <c r="EP50" s="489" t="n"/>
      <c r="EQ50" s="490" t="n"/>
      <c r="ER50" s="489" t="n"/>
      <c r="ES50" s="488" t="n"/>
      <c r="ET50" s="489" t="n"/>
      <c r="EU50" s="490" t="n"/>
      <c r="EV50" s="489" t="n"/>
      <c r="EW50" s="488" t="n"/>
      <c r="EX50" s="489" t="n"/>
      <c r="EY50" s="490" t="n"/>
      <c r="EZ50" s="489" t="n"/>
      <c r="FA50" s="488" t="n"/>
      <c r="FB50" s="489" t="n"/>
      <c r="FC50" s="490" t="n"/>
      <c r="FD50" s="489" t="n"/>
      <c r="FE50" s="488" t="n"/>
      <c r="FF50" s="489" t="n"/>
      <c r="FG50" s="490" t="n"/>
      <c r="FH50" s="489" t="n"/>
      <c r="FI50" s="488" t="n"/>
      <c r="FJ50" s="489" t="n"/>
      <c r="FK50" s="490" t="n"/>
      <c r="FL50" s="489" t="n"/>
      <c r="FM50" s="488" t="n"/>
      <c r="FN50" s="489" t="n"/>
      <c r="FO50" s="490" t="n"/>
      <c r="FP50" s="306" t="n"/>
      <c r="FQ50" s="341" t="n"/>
      <c r="FR50" s="879" t="n"/>
      <c r="FS50" s="879">
        <f>SUMPRODUCT(--(MOD(COLUMN(DU50:ER50),4)=MOD(COLUMN(DU50),4)),DU50:ER50)*$I50+SUMPRODUCT(--(MOD(COLUMN(ES50:FP50),4)=MOD(COLUMN(ES50),4)),ES50:FP50)*$I50</f>
        <v/>
      </c>
      <c r="FT50" s="360" t="n"/>
    </row>
    <row r="51" outlineLevel="2" customFormat="1" s="14">
      <c r="A51" s="411" t="inlineStr">
        <is>
          <t>СТК ООО</t>
        </is>
      </c>
      <c r="B51" s="387" t="inlineStr">
        <is>
          <t>Договор не подписан</t>
        </is>
      </c>
      <c r="C51" s="541" t="inlineStr">
        <is>
          <t>ВБК Восток</t>
        </is>
      </c>
      <c r="D51" s="565" t="inlineStr">
        <is>
          <t>Прасолов, Соловьёв</t>
        </is>
      </c>
      <c r="E51" s="10">
        <f>IF(ISBLANK(G51),"",IF($A$6:$A$330=$A51,COUNTIF($A$6:A51,$A51),""))</f>
        <v/>
      </c>
      <c r="F51" s="10" t="n">
        <v>1</v>
      </c>
      <c r="G51" s="55" t="n">
        <v>9253771100</v>
      </c>
      <c r="H51" s="54" t="inlineStr">
        <is>
          <t>Энергоаккумулятор тип 30/30</t>
        </is>
      </c>
      <c r="I51" s="617">
        <f>305/НДС_20</f>
        <v/>
      </c>
      <c r="J51" s="617" t="n"/>
      <c r="K51" s="878" t="n"/>
      <c r="L51" s="617" t="n"/>
      <c r="M51" s="871" t="n"/>
      <c r="N51" s="871">
        <f>IF(BP51&gt;0,1,IF(BN51&gt;0,2,))</f>
        <v/>
      </c>
      <c r="O51" s="322" t="n"/>
      <c r="P51" s="408" t="n"/>
      <c r="Q51" s="307" t="n"/>
      <c r="R51" s="408" t="n"/>
      <c r="S51" s="322" t="n"/>
      <c r="T51" s="408" t="n"/>
      <c r="U51" s="307" t="n"/>
      <c r="V51" s="408" t="n"/>
      <c r="W51" s="322" t="n"/>
      <c r="X51" s="408" t="n"/>
      <c r="Y51" s="307" t="n"/>
      <c r="Z51" s="408" t="n"/>
      <c r="AA51" s="322" t="n"/>
      <c r="AB51" s="408" t="n"/>
      <c r="AC51" s="307" t="n"/>
      <c r="AD51" s="408" t="n"/>
      <c r="AE51" s="322" t="n"/>
      <c r="AF51" s="408" t="n"/>
      <c r="AG51" s="307" t="n">
        <v>0</v>
      </c>
      <c r="AH51" s="408" t="n"/>
      <c r="AI51" s="322" t="n"/>
      <c r="AJ51" s="408" t="n"/>
      <c r="AK51" s="307" t="n"/>
      <c r="AL51" s="408" t="n"/>
      <c r="AM51" s="322" t="n"/>
      <c r="AN51" s="408" t="n"/>
      <c r="AO51" s="307" t="n"/>
      <c r="AP51" s="408" t="n"/>
      <c r="AQ51" s="322" t="n"/>
      <c r="AR51" s="408" t="n"/>
      <c r="AS51" s="307" t="n"/>
      <c r="AT51" s="408" t="n"/>
      <c r="AU51" s="322" t="n"/>
      <c r="AV51" s="408" t="n"/>
      <c r="AW51" s="307" t="n"/>
      <c r="AX51" s="408" t="n"/>
      <c r="AY51" s="322" t="n"/>
      <c r="AZ51" s="408" t="n"/>
      <c r="BA51" s="307" t="n"/>
      <c r="BB51" s="408" t="n"/>
      <c r="BC51" s="322" t="n"/>
      <c r="BD51" s="408" t="n"/>
      <c r="BE51" s="307" t="n"/>
      <c r="BF51" s="408" t="n"/>
      <c r="BG51" s="322" t="n"/>
      <c r="BH51" s="408" t="n"/>
      <c r="BI51" s="307" t="n"/>
      <c r="BJ51" s="408" t="n"/>
      <c r="BK51" s="340" t="n"/>
      <c r="BL51" s="820">
        <f>SUMPRODUCT(--(MOD(COLUMN($O51:$AL51),4)=MOD(COLUMN($O51)+0,4)),$O51:$AL51)
+SUMPRODUCT(--(MOD(COLUMN($AM51:$BJ51),4)=MOD(COLUMN($AM51)+0,4)),$AM51:$BJ51)</f>
        <v/>
      </c>
      <c r="BM51" s="820">
        <f>SUMPRODUCT(--(MOD(COLUMN($O51:$AL51),4)=MOD(COLUMN($O51)+0,4)),$O51:$AL51)*
$I51+SUMPRODUCT(--(MOD(COLUMN($AM51:$BJ51),4)=MOD(COLUMN($AM51)+0,4)),$AM51:$BJ51)*$I51</f>
        <v/>
      </c>
      <c r="BN51" s="822">
        <f>SUMPRODUCT(--(MOD(COLUMN($O51:$AL51),4)=MOD(COLUMN($O51)+1,4)),$O51:$AL51)
+SUMPRODUCT(--(MOD(COLUMN($AM51:$BJ51),4)=MOD(COLUMN($AM51)+1,4)),$AM51:$BJ51)</f>
        <v/>
      </c>
      <c r="BO51" s="823">
        <f>SUMPRODUCT(--(MOD(COLUMN($O51:$AL51),4)=MOD(COLUMN($O51)+1,4)),$O51:$AL51)*
$I51+SUMPRODUCT(--(MOD(COLUMN($AM51:$BJ51),4)=MOD(COLUMN($AM51)+1,4)),$AM51:$BJ51)*$I51</f>
        <v/>
      </c>
      <c r="BP51" s="824">
        <f>SUMPRODUCT(--(MOD(COLUMN($O51:$AL51),4)=MOD(COLUMN($O51)+2,4)),$O51:$AL51)
+SUMPRODUCT(--(MOD(COLUMN($AM51:$BJ51),4)=MOD(COLUMN($AM51)+2,4)),$AM51:$BJ51)</f>
        <v/>
      </c>
      <c r="BQ51" s="825">
        <f>SUMPRODUCT(--(MOD(COLUMN($O51:$AL51),4)=MOD(COLUMN($O51)+2,4)),$O51:$AL51)*
$I51+SUMPRODUCT(--(MOD(COLUMN($AM51:$BJ51),4)=MOD(COLUMN($AM51)+2,4)),$AM51:$BJ51)*$I51</f>
        <v/>
      </c>
      <c r="BR51" s="819" t="n"/>
      <c r="BS51" s="819" t="n"/>
      <c r="BT51" s="488" t="n"/>
      <c r="BU51" s="489" t="n"/>
      <c r="BV51" s="490" t="n"/>
      <c r="BW51" s="489" t="n"/>
      <c r="BX51" s="488" t="n"/>
      <c r="BY51" s="489" t="n"/>
      <c r="BZ51" s="490" t="n"/>
      <c r="CA51" s="489" t="n"/>
      <c r="CB51" s="488" t="n"/>
      <c r="CC51" s="489" t="n"/>
      <c r="CD51" s="490" t="n"/>
      <c r="CE51" s="489" t="n"/>
      <c r="CF51" s="488" t="n"/>
      <c r="CG51" s="489" t="n"/>
      <c r="CH51" s="307" t="n"/>
      <c r="CI51" s="489" t="n"/>
      <c r="CJ51" s="488" t="n"/>
      <c r="CK51" s="489" t="n"/>
      <c r="CL51" s="490" t="n"/>
      <c r="CM51" s="489" t="n"/>
      <c r="CN51" s="488" t="n"/>
      <c r="CO51" s="489" t="n"/>
      <c r="CP51" s="490" t="n"/>
      <c r="CQ51" s="489" t="n"/>
      <c r="CR51" s="488" t="n"/>
      <c r="CS51" s="489" t="n"/>
      <c r="CT51" s="490" t="n"/>
      <c r="CU51" s="489" t="n"/>
      <c r="CV51" s="488" t="n"/>
      <c r="CW51" s="489" t="n"/>
      <c r="CX51" s="490" t="n"/>
      <c r="CY51" s="489" t="n"/>
      <c r="CZ51" s="488" t="n"/>
      <c r="DA51" s="489" t="n"/>
      <c r="DB51" s="490" t="n"/>
      <c r="DC51" s="489" t="n"/>
      <c r="DD51" s="488" t="n"/>
      <c r="DE51" s="489" t="n"/>
      <c r="DF51" s="490" t="n"/>
      <c r="DG51" s="489" t="n"/>
      <c r="DH51" s="488" t="n"/>
      <c r="DI51" s="489" t="n"/>
      <c r="DJ51" s="490" t="n"/>
      <c r="DK51" s="489" t="n"/>
      <c r="DL51" s="488" t="n"/>
      <c r="DM51" s="489" t="n"/>
      <c r="DN51" s="490" t="n"/>
      <c r="DO51" s="306" t="n"/>
      <c r="DP51" s="341" t="n"/>
      <c r="DQ51" s="879" t="n"/>
      <c r="DR51" s="879">
        <f>SUMPRODUCT(--(MOD(COLUMN(BT51:CQ51),4)=MOD(COLUMN(BT51),4)),BT51:CQ51)*$I51+SUMPRODUCT(--(MOD(COLUMN(CR51:DO51),4)=MOD(COLUMN(CR51),4)),CR51:DO51)*$I51</f>
        <v/>
      </c>
      <c r="DS51" s="819" t="n"/>
      <c r="DT51" s="819" t="n"/>
      <c r="DU51" s="488" t="n"/>
      <c r="DV51" s="489" t="n"/>
      <c r="DW51" s="490" t="n"/>
      <c r="DX51" s="489" t="n"/>
      <c r="DY51" s="488" t="n"/>
      <c r="DZ51" s="489" t="n"/>
      <c r="EA51" s="490" t="n"/>
      <c r="EB51" s="489" t="n"/>
      <c r="EC51" s="488" t="n"/>
      <c r="ED51" s="489" t="n"/>
      <c r="EE51" s="490" t="n"/>
      <c r="EF51" s="489" t="n"/>
      <c r="EG51" s="488" t="n"/>
      <c r="EH51" s="489" t="n"/>
      <c r="EI51" s="307" t="n"/>
      <c r="EJ51" s="489" t="n"/>
      <c r="EK51" s="488" t="n"/>
      <c r="EL51" s="489" t="n"/>
      <c r="EM51" s="490" t="n"/>
      <c r="EN51" s="489" t="n"/>
      <c r="EO51" s="488" t="n"/>
      <c r="EP51" s="489" t="n"/>
      <c r="EQ51" s="490" t="n"/>
      <c r="ER51" s="489" t="n"/>
      <c r="ES51" s="488" t="n"/>
      <c r="ET51" s="489" t="n"/>
      <c r="EU51" s="490" t="n"/>
      <c r="EV51" s="489" t="n"/>
      <c r="EW51" s="488" t="n"/>
      <c r="EX51" s="489" t="n"/>
      <c r="EY51" s="490" t="n"/>
      <c r="EZ51" s="489" t="n"/>
      <c r="FA51" s="488" t="n"/>
      <c r="FB51" s="489" t="n"/>
      <c r="FC51" s="490" t="n"/>
      <c r="FD51" s="489" t="n"/>
      <c r="FE51" s="488" t="n"/>
      <c r="FF51" s="489" t="n"/>
      <c r="FG51" s="490" t="n"/>
      <c r="FH51" s="489" t="n"/>
      <c r="FI51" s="488" t="n"/>
      <c r="FJ51" s="489" t="n"/>
      <c r="FK51" s="490" t="n"/>
      <c r="FL51" s="489" t="n"/>
      <c r="FM51" s="488" t="n"/>
      <c r="FN51" s="489" t="n"/>
      <c r="FO51" s="490" t="n"/>
      <c r="FP51" s="306" t="n"/>
      <c r="FQ51" s="341" t="n"/>
      <c r="FR51" s="879" t="n"/>
      <c r="FS51" s="879">
        <f>SUMPRODUCT(--(MOD(COLUMN(DU51:ER51),4)=MOD(COLUMN(DU51),4)),DU51:ER51)*$I51+SUMPRODUCT(--(MOD(COLUMN(ES51:FP51),4)=MOD(COLUMN(ES51),4)),ES51:FP51)*$I51</f>
        <v/>
      </c>
      <c r="FT51" s="360" t="n"/>
    </row>
    <row r="52" outlineLevel="2" customFormat="1" s="14">
      <c r="A52" s="413" t="inlineStr">
        <is>
          <t>СТК ООО</t>
        </is>
      </c>
      <c r="B52" s="389" t="inlineStr">
        <is>
          <t>Договор не подписан</t>
        </is>
      </c>
      <c r="C52" s="432" t="inlineStr">
        <is>
          <t>ВБК РУС</t>
        </is>
      </c>
      <c r="D52" s="575" t="inlineStr">
        <is>
          <t>Прасолов, Соловьёв</t>
        </is>
      </c>
      <c r="E52" s="284">
        <f>IF(ISBLANK(G52),"",IF($A$6:$A$330=$A52,COUNTIF($A$6:A52,$A52),""))</f>
        <v/>
      </c>
      <c r="F52" s="284" t="n">
        <v>1</v>
      </c>
      <c r="G52" s="304" t="n">
        <v>4497230500</v>
      </c>
      <c r="H52" s="602" t="inlineStr">
        <is>
          <t>Кабель датчика, 5 м</t>
        </is>
      </c>
      <c r="I52" s="616">
        <f>154/НДС</f>
        <v/>
      </c>
      <c r="J52" s="616" t="n"/>
      <c r="K52" s="880" t="n"/>
      <c r="L52" s="616" t="n"/>
      <c r="M52" s="871" t="n"/>
      <c r="N52" s="871">
        <f>IF(BP52&gt;0,1,IF(BN52&gt;0,2,))</f>
        <v/>
      </c>
      <c r="O52" s="322" t="n"/>
      <c r="P52" s="408">
        <f>2*P53</f>
        <v/>
      </c>
      <c r="Q52" s="307" t="n">
        <v>4</v>
      </c>
      <c r="R52" s="408" t="n"/>
      <c r="S52" s="322" t="n"/>
      <c r="T52" s="408" t="n"/>
      <c r="U52" s="307" t="n"/>
      <c r="V52" s="408" t="n"/>
      <c r="W52" s="322" t="n"/>
      <c r="X52" s="408" t="n"/>
      <c r="Y52" s="307" t="n"/>
      <c r="Z52" s="408" t="n"/>
      <c r="AA52" s="322" t="n"/>
      <c r="AB52" s="408" t="n"/>
      <c r="AC52" s="307" t="n">
        <v>0</v>
      </c>
      <c r="AD52" s="408" t="n"/>
      <c r="AE52" s="322" t="n"/>
      <c r="AF52" s="408" t="n"/>
      <c r="AG52" s="307" t="n">
        <v>0</v>
      </c>
      <c r="AH52" s="408" t="n"/>
      <c r="AI52" s="322" t="n"/>
      <c r="AJ52" s="408" t="n"/>
      <c r="AK52" s="307" t="n"/>
      <c r="AL52" s="408" t="n"/>
      <c r="AM52" s="322" t="n"/>
      <c r="AN52" s="408" t="n"/>
      <c r="AO52" s="307" t="n"/>
      <c r="AP52" s="408" t="n"/>
      <c r="AQ52" s="322" t="n"/>
      <c r="AR52" s="408" t="n"/>
      <c r="AS52" s="307" t="n"/>
      <c r="AT52" s="408" t="n"/>
      <c r="AU52" s="322" t="n"/>
      <c r="AV52" s="408" t="n"/>
      <c r="AW52" s="307" t="n"/>
      <c r="AX52" s="408" t="n"/>
      <c r="AY52" s="322" t="n"/>
      <c r="AZ52" s="408" t="n"/>
      <c r="BA52" s="307" t="n"/>
      <c r="BB52" s="408" t="n"/>
      <c r="BC52" s="322" t="n"/>
      <c r="BD52" s="408" t="n"/>
      <c r="BE52" s="307" t="n"/>
      <c r="BF52" s="408" t="n"/>
      <c r="BG52" s="322" t="n"/>
      <c r="BH52" s="408" t="n"/>
      <c r="BI52" s="307" t="n"/>
      <c r="BJ52" s="408" t="n"/>
      <c r="BK52" s="340" t="n"/>
      <c r="BL52" s="820">
        <f>SUMPRODUCT(--(MOD(COLUMN($O52:$AL52),4)=MOD(COLUMN($O52)+0,4)),$O52:$AL52)
+SUMPRODUCT(--(MOD(COLUMN($AM52:$BJ52),4)=MOD(COLUMN($AM52)+0,4)),$AM52:$BJ52)</f>
        <v/>
      </c>
      <c r="BM52" s="820">
        <f>SUMPRODUCT(--(MOD(COLUMN($O52:$AL52),4)=MOD(COLUMN($O52)+0,4)),$O52:$AL52)*
$I52+SUMPRODUCT(--(MOD(COLUMN($AM52:$BJ52),4)=MOD(COLUMN($AM52)+0,4)),$AM52:$BJ52)*$I52</f>
        <v/>
      </c>
      <c r="BN52" s="822">
        <f>SUMPRODUCT(--(MOD(COLUMN($O52:$AL52),4)=MOD(COLUMN($O52)+1,4)),$O52:$AL52)
+SUMPRODUCT(--(MOD(COLUMN($AM52:$BJ52),4)=MOD(COLUMN($AM52)+1,4)),$AM52:$BJ52)</f>
        <v/>
      </c>
      <c r="BO52" s="823">
        <f>SUMPRODUCT(--(MOD(COLUMN($O52:$AL52),4)=MOD(COLUMN($O52)+1,4)),$O52:$AL52)*
$I52+SUMPRODUCT(--(MOD(COLUMN($AM52:$BJ52),4)=MOD(COLUMN($AM52)+1,4)),$AM52:$BJ52)*$I52</f>
        <v/>
      </c>
      <c r="BP52" s="824">
        <f>SUMPRODUCT(--(MOD(COLUMN($O52:$AL52),4)=MOD(COLUMN($O52)+2,4)),$O52:$AL52)
+SUMPRODUCT(--(MOD(COLUMN($AM52:$BJ52),4)=MOD(COLUMN($AM52)+2,4)),$AM52:$BJ52)</f>
        <v/>
      </c>
      <c r="BQ52" s="825">
        <f>SUMPRODUCT(--(MOD(COLUMN($O52:$AL52),4)=MOD(COLUMN($O52)+2,4)),$O52:$AL52)*
$I52+SUMPRODUCT(--(MOD(COLUMN($AM52:$BJ52),4)=MOD(COLUMN($AM52)+2,4)),$AM52:$BJ52)*$I52</f>
        <v/>
      </c>
      <c r="BR52" s="819" t="n"/>
      <c r="BS52" s="819" t="n"/>
      <c r="BT52" s="488" t="n"/>
      <c r="BU52" s="489" t="n"/>
      <c r="BV52" s="490" t="n"/>
      <c r="BW52" s="489" t="n"/>
      <c r="BX52" s="488" t="n"/>
      <c r="BY52" s="489" t="n"/>
      <c r="BZ52" s="490" t="n"/>
      <c r="CA52" s="489" t="n"/>
      <c r="CB52" s="488" t="n"/>
      <c r="CC52" s="489" t="n"/>
      <c r="CD52" s="490" t="n"/>
      <c r="CE52" s="489" t="n"/>
      <c r="CF52" s="488" t="n"/>
      <c r="CG52" s="489" t="n"/>
      <c r="CH52" s="307" t="n"/>
      <c r="CI52" s="489" t="n"/>
      <c r="CJ52" s="488" t="n"/>
      <c r="CK52" s="489" t="n"/>
      <c r="CL52" s="490" t="n"/>
      <c r="CM52" s="489" t="n"/>
      <c r="CN52" s="488" t="n"/>
      <c r="CO52" s="489" t="n"/>
      <c r="CP52" s="490" t="n"/>
      <c r="CQ52" s="489" t="n"/>
      <c r="CR52" s="488" t="n"/>
      <c r="CS52" s="489" t="n"/>
      <c r="CT52" s="490" t="n"/>
      <c r="CU52" s="489" t="n"/>
      <c r="CV52" s="488" t="n"/>
      <c r="CW52" s="489" t="n"/>
      <c r="CX52" s="490" t="n"/>
      <c r="CY52" s="489" t="n"/>
      <c r="CZ52" s="488" t="n"/>
      <c r="DA52" s="489" t="n"/>
      <c r="DB52" s="490" t="n"/>
      <c r="DC52" s="489" t="n"/>
      <c r="DD52" s="488" t="n"/>
      <c r="DE52" s="489" t="n"/>
      <c r="DF52" s="490" t="n"/>
      <c r="DG52" s="489" t="n"/>
      <c r="DH52" s="488" t="n"/>
      <c r="DI52" s="489" t="n"/>
      <c r="DJ52" s="490" t="n"/>
      <c r="DK52" s="489" t="n"/>
      <c r="DL52" s="488" t="n"/>
      <c r="DM52" s="489" t="n"/>
      <c r="DN52" s="490" t="n"/>
      <c r="DO52" s="306" t="n"/>
      <c r="DP52" s="341" t="n"/>
      <c r="DQ52" s="879" t="n"/>
      <c r="DR52" s="879">
        <f>SUMPRODUCT(--(MOD(COLUMN(BT52:CQ52),4)=MOD(COLUMN(BT52),4)),BT52:CQ52)*$I52+SUMPRODUCT(--(MOD(COLUMN(CR52:DO52),4)=MOD(COLUMN(CR52),4)),CR52:DO52)*$I52</f>
        <v/>
      </c>
      <c r="DS52" s="819" t="n"/>
      <c r="DT52" s="819" t="n"/>
      <c r="DU52" s="488" t="n"/>
      <c r="DV52" s="489" t="n"/>
      <c r="DW52" s="490" t="n"/>
      <c r="DX52" s="489" t="n"/>
      <c r="DY52" s="488" t="n"/>
      <c r="DZ52" s="489" t="n"/>
      <c r="EA52" s="490" t="n"/>
      <c r="EB52" s="489" t="n"/>
      <c r="EC52" s="488" t="n"/>
      <c r="ED52" s="489" t="n"/>
      <c r="EE52" s="490" t="n"/>
      <c r="EF52" s="489" t="n"/>
      <c r="EG52" s="488" t="n"/>
      <c r="EH52" s="489" t="n"/>
      <c r="EI52" s="307" t="n"/>
      <c r="EJ52" s="489" t="n"/>
      <c r="EK52" s="488" t="n"/>
      <c r="EL52" s="489" t="n"/>
      <c r="EM52" s="490" t="n"/>
      <c r="EN52" s="489" t="n"/>
      <c r="EO52" s="488" t="n"/>
      <c r="EP52" s="489" t="n"/>
      <c r="EQ52" s="490" t="n"/>
      <c r="ER52" s="489" t="n"/>
      <c r="ES52" s="488" t="n"/>
      <c r="ET52" s="489" t="n"/>
      <c r="EU52" s="490" t="n"/>
      <c r="EV52" s="489" t="n"/>
      <c r="EW52" s="488" t="n"/>
      <c r="EX52" s="489" t="n"/>
      <c r="EY52" s="490" t="n"/>
      <c r="EZ52" s="489" t="n"/>
      <c r="FA52" s="488" t="n"/>
      <c r="FB52" s="489" t="n"/>
      <c r="FC52" s="490" t="n"/>
      <c r="FD52" s="489" t="n"/>
      <c r="FE52" s="488" t="n"/>
      <c r="FF52" s="489" t="n"/>
      <c r="FG52" s="490" t="n"/>
      <c r="FH52" s="489" t="n"/>
      <c r="FI52" s="488" t="n"/>
      <c r="FJ52" s="489" t="n"/>
      <c r="FK52" s="490" t="n"/>
      <c r="FL52" s="489" t="n"/>
      <c r="FM52" s="488" t="n"/>
      <c r="FN52" s="489" t="n"/>
      <c r="FO52" s="490" t="n"/>
      <c r="FP52" s="306" t="n"/>
      <c r="FQ52" s="341" t="n"/>
      <c r="FR52" s="879" t="n"/>
      <c r="FS52" s="879">
        <f>SUMPRODUCT(--(MOD(COLUMN(DU52:ER52),4)=MOD(COLUMN(DU52),4)),DU52:ER52)*$I52+SUMPRODUCT(--(MOD(COLUMN(ES52:FP52),4)=MOD(COLUMN(ES52),4)),ES52:FP52)*$I52</f>
        <v/>
      </c>
      <c r="FT52" s="360" t="n"/>
    </row>
    <row r="53" outlineLevel="2" customFormat="1" s="574">
      <c r="A53" s="580" t="inlineStr">
        <is>
          <t>СТК ООО</t>
        </is>
      </c>
      <c r="B53" s="575" t="inlineStr">
        <is>
          <t>Договор не подписан</t>
        </is>
      </c>
      <c r="C53" s="432" t="inlineStr">
        <is>
          <t>ВБК РУС</t>
        </is>
      </c>
      <c r="D53" s="575" t="inlineStr">
        <is>
          <t>Прасолов, Соловьёв</t>
        </is>
      </c>
      <c r="E53" s="576">
        <f>IF(ISBLANK(G53),"",IF($A$6:$A$330=$A53,COUNTIF($A$6:A53,$A53),""))</f>
        <v/>
      </c>
      <c r="F53" s="577" t="inlineStr">
        <is>
          <t>S</t>
        </is>
      </c>
      <c r="G53" s="319" t="n">
        <v>4441000260</v>
      </c>
      <c r="H53" s="603" t="inlineStr">
        <is>
          <t>Комплект базовый "TEBS 2S/2M (12 м)"</t>
        </is>
      </c>
      <c r="I53" s="619">
        <f>8732.15/НДС</f>
        <v/>
      </c>
      <c r="J53" s="619" t="n"/>
      <c r="K53" s="881" t="n"/>
      <c r="L53" s="619" t="n"/>
      <c r="M53" s="813" t="n"/>
      <c r="N53" s="813">
        <f>IF(BP53&gt;0,1,IF(BN53&gt;0,2,))</f>
        <v/>
      </c>
      <c r="O53" s="578" t="n"/>
      <c r="P53" s="498">
        <f>2</f>
        <v/>
      </c>
      <c r="Q53" s="579" t="n">
        <v>2</v>
      </c>
      <c r="R53" s="498" t="n"/>
      <c r="S53" s="578" t="n"/>
      <c r="T53" s="498" t="n"/>
      <c r="U53" s="307" t="n"/>
      <c r="V53" s="498" t="n"/>
      <c r="W53" s="578" t="n"/>
      <c r="X53" s="498" t="n"/>
      <c r="Y53" s="579" t="n"/>
      <c r="Z53" s="498" t="n"/>
      <c r="AA53" s="578" t="n"/>
      <c r="AB53" s="498" t="n"/>
      <c r="AC53" s="579" t="n"/>
      <c r="AD53" s="498" t="n"/>
      <c r="AE53" s="578" t="n"/>
      <c r="AF53" s="498" t="n"/>
      <c r="AG53" s="307" t="n">
        <v>0</v>
      </c>
      <c r="AH53" s="498" t="n"/>
      <c r="AI53" s="578" t="n"/>
      <c r="AJ53" s="498" t="n"/>
      <c r="AK53" s="579" t="n"/>
      <c r="AL53" s="498" t="n"/>
      <c r="AM53" s="578" t="n"/>
      <c r="AN53" s="498" t="n"/>
      <c r="AO53" s="579" t="n"/>
      <c r="AP53" s="498" t="n"/>
      <c r="AQ53" s="578" t="n"/>
      <c r="AR53" s="498" t="n"/>
      <c r="AS53" s="579" t="n"/>
      <c r="AT53" s="498" t="n"/>
      <c r="AU53" s="578" t="n"/>
      <c r="AV53" s="498" t="n"/>
      <c r="AW53" s="579" t="n"/>
      <c r="AX53" s="498" t="n"/>
      <c r="AY53" s="578" t="n"/>
      <c r="AZ53" s="498" t="n"/>
      <c r="BA53" s="579" t="n"/>
      <c r="BB53" s="498" t="n"/>
      <c r="BC53" s="578" t="n"/>
      <c r="BD53" s="498" t="n"/>
      <c r="BE53" s="579" t="n"/>
      <c r="BF53" s="498" t="n"/>
      <c r="BG53" s="578" t="n"/>
      <c r="BH53" s="498" t="n"/>
      <c r="BI53" s="579" t="n"/>
      <c r="BJ53" s="498" t="n"/>
      <c r="BK53" s="572" t="n"/>
      <c r="BL53" s="820">
        <f>SUMPRODUCT(--(MOD(COLUMN($O53:$AL53),4)=MOD(COLUMN($O53)+0,4)),$O53:$AL53)
+SUMPRODUCT(--(MOD(COLUMN($AM53:$BJ53),4)=MOD(COLUMN($AM53)+0,4)),$AM53:$BJ53)</f>
        <v/>
      </c>
      <c r="BM53" s="820">
        <f>SUMPRODUCT(--(MOD(COLUMN($O53:$AL53),4)=MOD(COLUMN($O53)+0,4)),$O53:$AL53)*
$I53+SUMPRODUCT(--(MOD(COLUMN($AM53:$BJ53),4)=MOD(COLUMN($AM53)+0,4)),$AM53:$BJ53)*$I53</f>
        <v/>
      </c>
      <c r="BN53" s="822">
        <f>SUMPRODUCT(--(MOD(COLUMN($O53:$AL53),4)=MOD(COLUMN($O53)+1,4)),$O53:$AL53)
+SUMPRODUCT(--(MOD(COLUMN($AM53:$BJ53),4)=MOD(COLUMN($AM53)+1,4)),$AM53:$BJ53)</f>
        <v/>
      </c>
      <c r="BO53" s="823">
        <f>SUMPRODUCT(--(MOD(COLUMN($O53:$AL53),4)=MOD(COLUMN($O53)+1,4)),$O53:$AL53)*
$I53+SUMPRODUCT(--(MOD(COLUMN($AM53:$BJ53),4)=MOD(COLUMN($AM53)+1,4)),$AM53:$BJ53)*$I53</f>
        <v/>
      </c>
      <c r="BP53" s="824">
        <f>SUMPRODUCT(--(MOD(COLUMN($O53:$AL53),4)=MOD(COLUMN($O53)+2,4)),$O53:$AL53)
+SUMPRODUCT(--(MOD(COLUMN($AM53:$BJ53),4)=MOD(COLUMN($AM53)+2,4)),$AM53:$BJ53)</f>
        <v/>
      </c>
      <c r="BQ53" s="825">
        <f>SUMPRODUCT(--(MOD(COLUMN($O53:$AL53),4)=MOD(COLUMN($O53)+2,4)),$O53:$AL53)*
$I53+SUMPRODUCT(--(MOD(COLUMN($AM53:$BJ53),4)=MOD(COLUMN($AM53)+2,4)),$AM53:$BJ53)*$I53</f>
        <v/>
      </c>
      <c r="BR53" s="819" t="n"/>
      <c r="BS53" s="819" t="n"/>
      <c r="BT53" s="581" t="n"/>
      <c r="BU53" s="582" t="n"/>
      <c r="BV53" s="583" t="n"/>
      <c r="BW53" s="582" t="n"/>
      <c r="BX53" s="581" t="n"/>
      <c r="BY53" s="582" t="n"/>
      <c r="BZ53" s="583" t="n"/>
      <c r="CA53" s="582" t="n"/>
      <c r="CB53" s="581" t="n"/>
      <c r="CC53" s="582" t="n"/>
      <c r="CD53" s="583" t="n"/>
      <c r="CE53" s="582" t="n"/>
      <c r="CF53" s="581" t="n"/>
      <c r="CG53" s="582" t="n"/>
      <c r="CH53" s="579" t="n"/>
      <c r="CI53" s="582" t="n"/>
      <c r="CJ53" s="581" t="n"/>
      <c r="CK53" s="582" t="n"/>
      <c r="CL53" s="583" t="n"/>
      <c r="CM53" s="582" t="n"/>
      <c r="CN53" s="581" t="n"/>
      <c r="CO53" s="582" t="n"/>
      <c r="CP53" s="583" t="n"/>
      <c r="CQ53" s="582" t="n"/>
      <c r="CR53" s="581" t="n"/>
      <c r="CS53" s="582" t="n"/>
      <c r="CT53" s="583" t="n"/>
      <c r="CU53" s="582" t="n"/>
      <c r="CV53" s="581" t="n"/>
      <c r="CW53" s="582" t="n"/>
      <c r="CX53" s="583" t="n"/>
      <c r="CY53" s="582" t="n"/>
      <c r="CZ53" s="581" t="n"/>
      <c r="DA53" s="582" t="n"/>
      <c r="DB53" s="583" t="n"/>
      <c r="DC53" s="582" t="n"/>
      <c r="DD53" s="581" t="n"/>
      <c r="DE53" s="582" t="n"/>
      <c r="DF53" s="583" t="n"/>
      <c r="DG53" s="582" t="n"/>
      <c r="DH53" s="581" t="n"/>
      <c r="DI53" s="582" t="n"/>
      <c r="DJ53" s="583" t="n"/>
      <c r="DK53" s="582" t="n"/>
      <c r="DL53" s="581" t="n"/>
      <c r="DM53" s="582" t="n"/>
      <c r="DN53" s="583" t="n"/>
      <c r="DO53" s="498" t="n"/>
      <c r="DP53" s="572" t="n"/>
      <c r="DQ53" s="879" t="n"/>
      <c r="DR53" s="879">
        <f>SUMPRODUCT(--(MOD(COLUMN(BT53:CQ53),4)=MOD(COLUMN(BT53),4)),BT53:CQ53)*$I53+SUMPRODUCT(--(MOD(COLUMN(CR53:DO53),4)=MOD(COLUMN(CR53),4)),CR53:DO53)*$I53</f>
        <v/>
      </c>
      <c r="DS53" s="819" t="n"/>
      <c r="DT53" s="819" t="n"/>
      <c r="DU53" s="581" t="n"/>
      <c r="DV53" s="582" t="n"/>
      <c r="DW53" s="583" t="n"/>
      <c r="DX53" s="582" t="n"/>
      <c r="DY53" s="581" t="n"/>
      <c r="DZ53" s="582" t="n"/>
      <c r="EA53" s="583" t="n"/>
      <c r="EB53" s="582" t="n"/>
      <c r="EC53" s="581" t="n"/>
      <c r="ED53" s="582" t="n"/>
      <c r="EE53" s="583" t="n"/>
      <c r="EF53" s="582" t="n"/>
      <c r="EG53" s="581" t="n"/>
      <c r="EH53" s="582" t="n"/>
      <c r="EI53" s="579" t="n"/>
      <c r="EJ53" s="582" t="n"/>
      <c r="EK53" s="581" t="n"/>
      <c r="EL53" s="582" t="n"/>
      <c r="EM53" s="583" t="n"/>
      <c r="EN53" s="582" t="n"/>
      <c r="EO53" s="581" t="n"/>
      <c r="EP53" s="582" t="n"/>
      <c r="EQ53" s="583" t="n"/>
      <c r="ER53" s="582" t="n"/>
      <c r="ES53" s="581" t="n"/>
      <c r="ET53" s="582" t="n"/>
      <c r="EU53" s="583" t="n"/>
      <c r="EV53" s="582" t="n"/>
      <c r="EW53" s="581" t="n"/>
      <c r="EX53" s="582" t="n"/>
      <c r="EY53" s="583" t="n"/>
      <c r="EZ53" s="582" t="n"/>
      <c r="FA53" s="581" t="n"/>
      <c r="FB53" s="582" t="n"/>
      <c r="FC53" s="583" t="n"/>
      <c r="FD53" s="582" t="n"/>
      <c r="FE53" s="581" t="n"/>
      <c r="FF53" s="582" t="n"/>
      <c r="FG53" s="583" t="n"/>
      <c r="FH53" s="582" t="n"/>
      <c r="FI53" s="581" t="n"/>
      <c r="FJ53" s="582" t="n"/>
      <c r="FK53" s="583" t="n"/>
      <c r="FL53" s="582" t="n"/>
      <c r="FM53" s="581" t="n"/>
      <c r="FN53" s="582" t="n"/>
      <c r="FO53" s="583" t="n"/>
      <c r="FP53" s="498" t="n"/>
      <c r="FQ53" s="572" t="n"/>
      <c r="FR53" s="879" t="n"/>
      <c r="FS53" s="879">
        <f>SUMPRODUCT(--(MOD(COLUMN(DU53:ER53),4)=MOD(COLUMN(DU53),4)),DU53:ER53)*$I53+SUMPRODUCT(--(MOD(COLUMN(ES53:FP53),4)=MOD(COLUMN(ES53),4)),ES53:FP53)*$I53</f>
        <v/>
      </c>
      <c r="FT53" s="573" t="n"/>
    </row>
    <row r="54" outlineLevel="2" customFormat="1" s="574">
      <c r="A54" s="580" t="inlineStr">
        <is>
          <t>СТК ООО</t>
        </is>
      </c>
      <c r="B54" s="575" t="inlineStr">
        <is>
          <t>Договор не подписан</t>
        </is>
      </c>
      <c r="C54" s="432" t="inlineStr">
        <is>
          <t>ВБК РУС</t>
        </is>
      </c>
      <c r="D54" s="575" t="inlineStr">
        <is>
          <t>Прасолов, Соловьёв</t>
        </is>
      </c>
      <c r="E54" s="576">
        <f>IF(ISBLANK(G54),"",IF($A$6:$A$330=$A54,COUNTIF($A$6:A54,$A54),""))</f>
        <v/>
      </c>
      <c r="F54" s="577" t="inlineStr">
        <is>
          <t>S</t>
        </is>
      </c>
      <c r="G54" s="319" t="n">
        <v>4441000210</v>
      </c>
      <c r="H54" s="603" t="inlineStr">
        <is>
          <t>Комплект клапана подъёма оси LACV (6 м)</t>
        </is>
      </c>
      <c r="I54" s="618">
        <f>847.9/НДС</f>
        <v/>
      </c>
      <c r="J54" s="618" t="n"/>
      <c r="K54" s="882" t="n"/>
      <c r="L54" s="618" t="n"/>
      <c r="M54" s="813" t="n"/>
      <c r="N54" s="813">
        <f>IF(BP54&gt;0,1,IF(BN54&gt;0,2,))</f>
        <v/>
      </c>
      <c r="O54" s="578" t="n"/>
      <c r="P54" s="498" t="n"/>
      <c r="Q54" s="579" t="n"/>
      <c r="R54" s="498" t="n"/>
      <c r="S54" s="578" t="n"/>
      <c r="T54" s="498" t="n"/>
      <c r="U54" s="307" t="n"/>
      <c r="V54" s="498" t="n"/>
      <c r="W54" s="578" t="n"/>
      <c r="X54" s="498" t="n"/>
      <c r="Y54" s="579" t="n"/>
      <c r="Z54" s="498" t="n"/>
      <c r="AA54" s="578" t="n"/>
      <c r="AB54" s="498" t="n"/>
      <c r="AC54" s="579" t="n"/>
      <c r="AD54" s="498" t="n"/>
      <c r="AE54" s="578" t="n"/>
      <c r="AF54" s="498" t="n"/>
      <c r="AG54" s="307" t="n">
        <v>0</v>
      </c>
      <c r="AH54" s="498" t="n"/>
      <c r="AI54" s="578" t="n"/>
      <c r="AJ54" s="498" t="n"/>
      <c r="AK54" s="579" t="n"/>
      <c r="AL54" s="498" t="n"/>
      <c r="AM54" s="578" t="n"/>
      <c r="AN54" s="498" t="n"/>
      <c r="AO54" s="579" t="n"/>
      <c r="AP54" s="498" t="n"/>
      <c r="AQ54" s="578" t="n"/>
      <c r="AR54" s="498" t="n"/>
      <c r="AS54" s="579" t="n"/>
      <c r="AT54" s="498" t="n"/>
      <c r="AU54" s="578" t="n"/>
      <c r="AV54" s="498" t="n"/>
      <c r="AW54" s="579" t="n"/>
      <c r="AX54" s="498" t="n"/>
      <c r="AY54" s="578" t="n"/>
      <c r="AZ54" s="498" t="n"/>
      <c r="BA54" s="579" t="n"/>
      <c r="BB54" s="498" t="n"/>
      <c r="BC54" s="578" t="n"/>
      <c r="BD54" s="498" t="n"/>
      <c r="BE54" s="579" t="n"/>
      <c r="BF54" s="498" t="n"/>
      <c r="BG54" s="578" t="n"/>
      <c r="BH54" s="498" t="n"/>
      <c r="BI54" s="579" t="n"/>
      <c r="BJ54" s="498" t="n"/>
      <c r="BK54" s="572" t="n"/>
      <c r="BL54" s="820">
        <f>SUMPRODUCT(--(MOD(COLUMN($O54:$AL54),4)=MOD(COLUMN($O54)+0,4)),$O54:$AL54)
+SUMPRODUCT(--(MOD(COLUMN($AM54:$BJ54),4)=MOD(COLUMN($AM54)+0,4)),$AM54:$BJ54)</f>
        <v/>
      </c>
      <c r="BM54" s="820">
        <f>SUMPRODUCT(--(MOD(COLUMN($O54:$AL54),4)=MOD(COLUMN($O54)+0,4)),$O54:$AL54)*
$I54+SUMPRODUCT(--(MOD(COLUMN($AM54:$BJ54),4)=MOD(COLUMN($AM54)+0,4)),$AM54:$BJ54)*$I54</f>
        <v/>
      </c>
      <c r="BN54" s="822">
        <f>SUMPRODUCT(--(MOD(COLUMN($O54:$AL54),4)=MOD(COLUMN($O54)+1,4)),$O54:$AL54)
+SUMPRODUCT(--(MOD(COLUMN($AM54:$BJ54),4)=MOD(COLUMN($AM54)+1,4)),$AM54:$BJ54)</f>
        <v/>
      </c>
      <c r="BO54" s="823">
        <f>SUMPRODUCT(--(MOD(COLUMN($O54:$AL54),4)=MOD(COLUMN($O54)+1,4)),$O54:$AL54)*
$I54+SUMPRODUCT(--(MOD(COLUMN($AM54:$BJ54),4)=MOD(COLUMN($AM54)+1,4)),$AM54:$BJ54)*$I54</f>
        <v/>
      </c>
      <c r="BP54" s="824">
        <f>SUMPRODUCT(--(MOD(COLUMN($O54:$AL54),4)=MOD(COLUMN($O54)+2,4)),$O54:$AL54)
+SUMPRODUCT(--(MOD(COLUMN($AM54:$BJ54),4)=MOD(COLUMN($AM54)+2,4)),$AM54:$BJ54)</f>
        <v/>
      </c>
      <c r="BQ54" s="825">
        <f>SUMPRODUCT(--(MOD(COLUMN($O54:$AL54),4)=MOD(COLUMN($O54)+2,4)),$O54:$AL54)*
$I54+SUMPRODUCT(--(MOD(COLUMN($AM54:$BJ54),4)=MOD(COLUMN($AM54)+2,4)),$AM54:$BJ54)*$I54</f>
        <v/>
      </c>
      <c r="BR54" s="819" t="n"/>
      <c r="BS54" s="819" t="n"/>
      <c r="BT54" s="581" t="n"/>
      <c r="BU54" s="582" t="n"/>
      <c r="BV54" s="583" t="n"/>
      <c r="BW54" s="582" t="n"/>
      <c r="BX54" s="581" t="n"/>
      <c r="BY54" s="582" t="n"/>
      <c r="BZ54" s="583" t="n"/>
      <c r="CA54" s="582" t="n"/>
      <c r="CB54" s="581" t="n"/>
      <c r="CC54" s="582" t="n"/>
      <c r="CD54" s="583" t="n"/>
      <c r="CE54" s="582" t="n"/>
      <c r="CF54" s="581" t="n"/>
      <c r="CG54" s="582" t="n"/>
      <c r="CH54" s="579" t="n"/>
      <c r="CI54" s="582" t="n"/>
      <c r="CJ54" s="581" t="n"/>
      <c r="CK54" s="582" t="n"/>
      <c r="CL54" s="583" t="n"/>
      <c r="CM54" s="582" t="n"/>
      <c r="CN54" s="581" t="n"/>
      <c r="CO54" s="582" t="n"/>
      <c r="CP54" s="583" t="n"/>
      <c r="CQ54" s="582" t="n"/>
      <c r="CR54" s="581" t="n"/>
      <c r="CS54" s="582" t="n"/>
      <c r="CT54" s="583" t="n"/>
      <c r="CU54" s="582" t="n"/>
      <c r="CV54" s="581" t="n"/>
      <c r="CW54" s="582" t="n"/>
      <c r="CX54" s="583" t="n"/>
      <c r="CY54" s="582" t="n"/>
      <c r="CZ54" s="581" t="n"/>
      <c r="DA54" s="582" t="n"/>
      <c r="DB54" s="583" t="n"/>
      <c r="DC54" s="582" t="n"/>
      <c r="DD54" s="581" t="n"/>
      <c r="DE54" s="582" t="n"/>
      <c r="DF54" s="583" t="n"/>
      <c r="DG54" s="582" t="n"/>
      <c r="DH54" s="581" t="n"/>
      <c r="DI54" s="582" t="n"/>
      <c r="DJ54" s="583" t="n"/>
      <c r="DK54" s="582" t="n"/>
      <c r="DL54" s="581" t="n"/>
      <c r="DM54" s="582" t="n"/>
      <c r="DN54" s="583" t="n"/>
      <c r="DO54" s="498" t="n"/>
      <c r="DP54" s="572" t="n"/>
      <c r="DQ54" s="879" t="n"/>
      <c r="DR54" s="879">
        <f>SUMPRODUCT(--(MOD(COLUMN(BT54:CQ54),4)=MOD(COLUMN(BT54),4)),BT54:CQ54)*$I54+SUMPRODUCT(--(MOD(COLUMN(CR54:DO54),4)=MOD(COLUMN(CR54),4)),CR54:DO54)*$I54</f>
        <v/>
      </c>
      <c r="DS54" s="819" t="n"/>
      <c r="DT54" s="819" t="n"/>
      <c r="DU54" s="581" t="n"/>
      <c r="DV54" s="582" t="n"/>
      <c r="DW54" s="583" t="n"/>
      <c r="DX54" s="582" t="n"/>
      <c r="DY54" s="581" t="n"/>
      <c r="DZ54" s="582" t="n"/>
      <c r="EA54" s="583" t="n"/>
      <c r="EB54" s="582" t="n"/>
      <c r="EC54" s="581" t="n"/>
      <c r="ED54" s="582" t="n"/>
      <c r="EE54" s="583" t="n"/>
      <c r="EF54" s="582" t="n"/>
      <c r="EG54" s="581" t="n"/>
      <c r="EH54" s="582" t="n"/>
      <c r="EI54" s="579" t="n"/>
      <c r="EJ54" s="582" t="n"/>
      <c r="EK54" s="581" t="n"/>
      <c r="EL54" s="582" t="n"/>
      <c r="EM54" s="583" t="n"/>
      <c r="EN54" s="582" t="n"/>
      <c r="EO54" s="581" t="n"/>
      <c r="EP54" s="582" t="n"/>
      <c r="EQ54" s="583" t="n"/>
      <c r="ER54" s="582" t="n"/>
      <c r="ES54" s="581" t="n"/>
      <c r="ET54" s="582" t="n"/>
      <c r="EU54" s="583" t="n"/>
      <c r="EV54" s="582" t="n"/>
      <c r="EW54" s="581" t="n"/>
      <c r="EX54" s="582" t="n"/>
      <c r="EY54" s="583" t="n"/>
      <c r="EZ54" s="582" t="n"/>
      <c r="FA54" s="581" t="n"/>
      <c r="FB54" s="582" t="n"/>
      <c r="FC54" s="583" t="n"/>
      <c r="FD54" s="582" t="n"/>
      <c r="FE54" s="581" t="n"/>
      <c r="FF54" s="582" t="n"/>
      <c r="FG54" s="583" t="n"/>
      <c r="FH54" s="582" t="n"/>
      <c r="FI54" s="581" t="n"/>
      <c r="FJ54" s="582" t="n"/>
      <c r="FK54" s="583" t="n"/>
      <c r="FL54" s="582" t="n"/>
      <c r="FM54" s="581" t="n"/>
      <c r="FN54" s="582" t="n"/>
      <c r="FO54" s="583" t="n"/>
      <c r="FP54" s="498" t="n"/>
      <c r="FQ54" s="572" t="n"/>
      <c r="FR54" s="879" t="n"/>
      <c r="FS54" s="879">
        <f>SUMPRODUCT(--(MOD(COLUMN(DU54:ER54),4)=MOD(COLUMN(DU54),4)),DU54:ER54)*$I54+SUMPRODUCT(--(MOD(COLUMN(ES54:FP54),4)=MOD(COLUMN(ES54),4)),ES54:FP54)*$I54</f>
        <v/>
      </c>
      <c r="FT54" s="573" t="n"/>
    </row>
    <row r="55" outlineLevel="2" customFormat="1" s="14">
      <c r="A55" s="411" t="inlineStr">
        <is>
          <t>СТК ООО</t>
        </is>
      </c>
      <c r="B55" s="387" t="inlineStr">
        <is>
          <t>Договор не подписан</t>
        </is>
      </c>
      <c r="C55" s="541" t="inlineStr">
        <is>
          <t>ВБК РУС</t>
        </is>
      </c>
      <c r="D55" s="565" t="inlineStr">
        <is>
          <t>Прасолов, Соловьёв</t>
        </is>
      </c>
      <c r="E55" s="10">
        <f>IF(ISBLANK(G55),"",IF($A$6:$A$330=$A55,COUNTIF($A$6:A55,$A55),""))</f>
        <v/>
      </c>
      <c r="F55" s="123" t="n">
        <v>1</v>
      </c>
      <c r="G55" s="124" t="n">
        <v>9522010010</v>
      </c>
      <c r="H55" s="604" t="inlineStr">
        <is>
          <t>Головка соединительная (управляющая)</t>
        </is>
      </c>
      <c r="I55" s="618" t="n">
        <v>0</v>
      </c>
      <c r="J55" s="618" t="n"/>
      <c r="K55" s="882" t="n"/>
      <c r="L55" s="618" t="n"/>
      <c r="M55" s="871" t="n"/>
      <c r="N55" s="871">
        <f>IF(BP55&gt;0,1,IF(BN55&gt;0,2,))</f>
        <v/>
      </c>
      <c r="O55" s="322" t="n"/>
      <c r="P55" s="408">
        <f>SUMPRODUCT((Комплекты[Пр]=$F55)*(Комплекты[Обозначение]=$G55)*Комплекты[Кол-во]*(
((Комплекты[Комплект]=$G$54)*P$54)+
((Комплекты[Комплект]=$G$53)*P$53)))</f>
        <v/>
      </c>
      <c r="Q55" s="307" t="n">
        <v>2</v>
      </c>
      <c r="R55" s="408" t="n"/>
      <c r="S55" s="322" t="n"/>
      <c r="T55" s="408" t="n"/>
      <c r="U55" s="307" t="n"/>
      <c r="V55" s="408" t="n"/>
      <c r="W55" s="322" t="n"/>
      <c r="X55" s="408" t="n"/>
      <c r="Y55" s="307" t="n"/>
      <c r="Z55" s="408" t="n"/>
      <c r="AA55" s="322" t="n"/>
      <c r="AB55" s="408" t="n"/>
      <c r="AC55" s="307" t="n"/>
      <c r="AD55" s="408" t="n"/>
      <c r="AE55" s="322" t="n"/>
      <c r="AF55" s="408" t="n"/>
      <c r="AG55" s="307" t="n">
        <v>0</v>
      </c>
      <c r="AH55" s="408" t="n"/>
      <c r="AI55" s="322" t="n"/>
      <c r="AJ55" s="408" t="n"/>
      <c r="AK55" s="307" t="n"/>
      <c r="AL55" s="408" t="n"/>
      <c r="AM55" s="322" t="n"/>
      <c r="AN55" s="408" t="n"/>
      <c r="AO55" s="307" t="n"/>
      <c r="AP55" s="408" t="n"/>
      <c r="AQ55" s="322" t="n"/>
      <c r="AR55" s="408" t="n"/>
      <c r="AS55" s="307" t="n"/>
      <c r="AT55" s="408" t="n"/>
      <c r="AU55" s="322" t="n"/>
      <c r="AV55" s="408" t="n"/>
      <c r="AW55" s="307" t="n"/>
      <c r="AX55" s="408" t="n"/>
      <c r="AY55" s="322" t="n"/>
      <c r="AZ55" s="408" t="n"/>
      <c r="BA55" s="307" t="n"/>
      <c r="BB55" s="408" t="n"/>
      <c r="BC55" s="322" t="n"/>
      <c r="BD55" s="408" t="n"/>
      <c r="BE55" s="307" t="n"/>
      <c r="BF55" s="408" t="n"/>
      <c r="BG55" s="322" t="n"/>
      <c r="BH55" s="408" t="n"/>
      <c r="BI55" s="307" t="n"/>
      <c r="BJ55" s="408" t="n"/>
      <c r="BK55" s="340" t="n"/>
      <c r="BL55" s="820">
        <f>SUMPRODUCT(--(MOD(COLUMN($O55:$AL55),4)=MOD(COLUMN($O55)+0,4)),$O55:$AL55)
+SUMPRODUCT(--(MOD(COLUMN($AM55:$BJ55),4)=MOD(COLUMN($AM55)+0,4)),$AM55:$BJ55)</f>
        <v/>
      </c>
      <c r="BM55" s="820">
        <f>SUMPRODUCT(--(MOD(COLUMN($O55:$AL55),4)=MOD(COLUMN($O55)+0,4)),$O55:$AL55)*
$I55+SUMPRODUCT(--(MOD(COLUMN($AM55:$BJ55),4)=MOD(COLUMN($AM55)+0,4)),$AM55:$BJ55)*$I55</f>
        <v/>
      </c>
      <c r="BN55" s="822">
        <f>SUMPRODUCT(--(MOD(COLUMN($O55:$AL55),4)=MOD(COLUMN($O55)+1,4)),$O55:$AL55)
+SUMPRODUCT(--(MOD(COLUMN($AM55:$BJ55),4)=MOD(COLUMN($AM55)+1,4)),$AM55:$BJ55)</f>
        <v/>
      </c>
      <c r="BO55" s="823">
        <f>SUMPRODUCT(--(MOD(COLUMN($O55:$AL55),4)=MOD(COLUMN($O55)+1,4)),$O55:$AL55)*
$I55+SUMPRODUCT(--(MOD(COLUMN($AM55:$BJ55),4)=MOD(COLUMN($AM55)+1,4)),$AM55:$BJ55)*$I55</f>
        <v/>
      </c>
      <c r="BP55" s="824">
        <f>SUMPRODUCT(--(MOD(COLUMN($O55:$AL55),4)=MOD(COLUMN($O55)+2,4)),$O55:$AL55)
+SUMPRODUCT(--(MOD(COLUMN($AM55:$BJ55),4)=MOD(COLUMN($AM55)+2,4)),$AM55:$BJ55)</f>
        <v/>
      </c>
      <c r="BQ55" s="825">
        <f>SUMPRODUCT(--(MOD(COLUMN($O55:$AL55),4)=MOD(COLUMN($O55)+2,4)),$O55:$AL55)*
$I55+SUMPRODUCT(--(MOD(COLUMN($AM55:$BJ55),4)=MOD(COLUMN($AM55)+2,4)),$AM55:$BJ55)*$I55</f>
        <v/>
      </c>
      <c r="BR55" s="819" t="n"/>
      <c r="BS55" s="819" t="n"/>
      <c r="BT55" s="488" t="n"/>
      <c r="BU55" s="489" t="n"/>
      <c r="BV55" s="490" t="n"/>
      <c r="BW55" s="489" t="n"/>
      <c r="BX55" s="488" t="n"/>
      <c r="BY55" s="489" t="n"/>
      <c r="BZ55" s="490" t="n"/>
      <c r="CA55" s="489" t="n"/>
      <c r="CB55" s="488" t="n"/>
      <c r="CC55" s="489" t="n"/>
      <c r="CD55" s="490" t="n"/>
      <c r="CE55" s="489" t="n"/>
      <c r="CF55" s="488" t="n"/>
      <c r="CG55" s="489" t="n"/>
      <c r="CH55" s="307" t="n"/>
      <c r="CI55" s="489" t="n"/>
      <c r="CJ55" s="488" t="n"/>
      <c r="CK55" s="489" t="n"/>
      <c r="CL55" s="490" t="n"/>
      <c r="CM55" s="489" t="n"/>
      <c r="CN55" s="488" t="n"/>
      <c r="CO55" s="489" t="n"/>
      <c r="CP55" s="490" t="n"/>
      <c r="CQ55" s="489" t="n"/>
      <c r="CR55" s="488" t="n"/>
      <c r="CS55" s="489" t="n"/>
      <c r="CT55" s="490" t="n"/>
      <c r="CU55" s="489" t="n"/>
      <c r="CV55" s="488" t="n"/>
      <c r="CW55" s="489" t="n"/>
      <c r="CX55" s="490" t="n"/>
      <c r="CY55" s="489" t="n"/>
      <c r="CZ55" s="488" t="n"/>
      <c r="DA55" s="489" t="n"/>
      <c r="DB55" s="490" t="n"/>
      <c r="DC55" s="489" t="n"/>
      <c r="DD55" s="488" t="n"/>
      <c r="DE55" s="489" t="n"/>
      <c r="DF55" s="490" t="n"/>
      <c r="DG55" s="489" t="n"/>
      <c r="DH55" s="488" t="n"/>
      <c r="DI55" s="489" t="n"/>
      <c r="DJ55" s="490" t="n"/>
      <c r="DK55" s="489" t="n"/>
      <c r="DL55" s="488" t="n"/>
      <c r="DM55" s="489" t="n"/>
      <c r="DN55" s="490" t="n"/>
      <c r="DO55" s="306" t="n"/>
      <c r="DP55" s="341" t="n"/>
      <c r="DQ55" s="879" t="n"/>
      <c r="DR55" s="879">
        <f>SUMPRODUCT(--(MOD(COLUMN(BT55:CQ55),4)=MOD(COLUMN(BT55),4)),BT55:CQ55)*$I55+SUMPRODUCT(--(MOD(COLUMN(CR55:DO55),4)=MOD(COLUMN(CR55),4)),CR55:DO55)*$I55</f>
        <v/>
      </c>
      <c r="DS55" s="819" t="n"/>
      <c r="DT55" s="819" t="n"/>
      <c r="DU55" s="488" t="n"/>
      <c r="DV55" s="489" t="n"/>
      <c r="DW55" s="490" t="n"/>
      <c r="DX55" s="489" t="n"/>
      <c r="DY55" s="488" t="n"/>
      <c r="DZ55" s="489" t="n"/>
      <c r="EA55" s="490" t="n"/>
      <c r="EB55" s="489" t="n"/>
      <c r="EC55" s="488" t="n"/>
      <c r="ED55" s="489" t="n"/>
      <c r="EE55" s="490" t="n"/>
      <c r="EF55" s="489" t="n"/>
      <c r="EG55" s="488" t="n"/>
      <c r="EH55" s="489" t="n"/>
      <c r="EI55" s="307" t="n"/>
      <c r="EJ55" s="489" t="n"/>
      <c r="EK55" s="488" t="n"/>
      <c r="EL55" s="489" t="n"/>
      <c r="EM55" s="490" t="n"/>
      <c r="EN55" s="489" t="n"/>
      <c r="EO55" s="488" t="n"/>
      <c r="EP55" s="489" t="n"/>
      <c r="EQ55" s="490" t="n"/>
      <c r="ER55" s="489" t="n"/>
      <c r="ES55" s="488" t="n"/>
      <c r="ET55" s="489" t="n"/>
      <c r="EU55" s="490" t="n"/>
      <c r="EV55" s="489" t="n"/>
      <c r="EW55" s="488" t="n"/>
      <c r="EX55" s="489" t="n"/>
      <c r="EY55" s="490" t="n"/>
      <c r="EZ55" s="489" t="n"/>
      <c r="FA55" s="488" t="n"/>
      <c r="FB55" s="489" t="n"/>
      <c r="FC55" s="490" t="n"/>
      <c r="FD55" s="489" t="n"/>
      <c r="FE55" s="488" t="n"/>
      <c r="FF55" s="489" t="n"/>
      <c r="FG55" s="490" t="n"/>
      <c r="FH55" s="489" t="n"/>
      <c r="FI55" s="488" t="n"/>
      <c r="FJ55" s="489" t="n"/>
      <c r="FK55" s="490" t="n"/>
      <c r="FL55" s="489" t="n"/>
      <c r="FM55" s="488" t="n"/>
      <c r="FN55" s="489" t="n"/>
      <c r="FO55" s="490" t="n"/>
      <c r="FP55" s="306" t="n"/>
      <c r="FQ55" s="341" t="n"/>
      <c r="FR55" s="879" t="n"/>
      <c r="FS55" s="879">
        <f>SUMPRODUCT(--(MOD(COLUMN(DU55:ER55),4)=MOD(COLUMN(DU55),4)),DU55:ER55)*$I55+SUMPRODUCT(--(MOD(COLUMN(ES55:FP55),4)=MOD(COLUMN(ES55),4)),ES55:FP55)*$I55</f>
        <v/>
      </c>
      <c r="FT55" s="360" t="n"/>
    </row>
    <row r="56" outlineLevel="2" customFormat="1" s="14">
      <c r="A56" s="411" t="inlineStr">
        <is>
          <t>СТК ООО</t>
        </is>
      </c>
      <c r="B56" s="387" t="inlineStr">
        <is>
          <t>Договор не подписан</t>
        </is>
      </c>
      <c r="C56" s="541" t="inlineStr">
        <is>
          <t>ВБК РУС</t>
        </is>
      </c>
      <c r="D56" s="565" t="inlineStr">
        <is>
          <t>Прасолов, Соловьёв</t>
        </is>
      </c>
      <c r="E56" s="10">
        <f>IF(ISBLANK(G56),"",IF($A$6:$A$330=$A56,COUNTIF($A$6:A56,$A56),""))</f>
        <v/>
      </c>
      <c r="F56" s="123" t="n">
        <v>1</v>
      </c>
      <c r="G56" s="124" t="n">
        <v>9522010020</v>
      </c>
      <c r="H56" s="604" t="inlineStr">
        <is>
          <t>Головка соединительная (питающая)</t>
        </is>
      </c>
      <c r="I56" s="618" t="n">
        <v>0</v>
      </c>
      <c r="J56" s="618" t="n"/>
      <c r="K56" s="882" t="n"/>
      <c r="L56" s="618" t="n"/>
      <c r="M56" s="871" t="n"/>
      <c r="N56" s="871">
        <f>IF(BP56&gt;0,1,IF(BN56&gt;0,2,))</f>
        <v/>
      </c>
      <c r="O56" s="322" t="n"/>
      <c r="P56" s="408">
        <f>SUMPRODUCT((Комплекты[Пр]=$F56)*(Комплекты[Обозначение]=$G56)*Комплекты[Кол-во]*(
((Комплекты[Комплект]=$G$54)*P$54)+
((Комплекты[Комплект]=$G$53)*P$53)))</f>
        <v/>
      </c>
      <c r="Q56" s="307" t="n">
        <v>2</v>
      </c>
      <c r="R56" s="408" t="n"/>
      <c r="S56" s="322" t="n"/>
      <c r="T56" s="408" t="n"/>
      <c r="U56" s="307" t="n"/>
      <c r="V56" s="408" t="n"/>
      <c r="W56" s="322" t="n"/>
      <c r="X56" s="408" t="n"/>
      <c r="Y56" s="307" t="n"/>
      <c r="Z56" s="408" t="n"/>
      <c r="AA56" s="322" t="n"/>
      <c r="AB56" s="408" t="n"/>
      <c r="AC56" s="307" t="n"/>
      <c r="AD56" s="408" t="n"/>
      <c r="AE56" s="322" t="n"/>
      <c r="AF56" s="408" t="n"/>
      <c r="AG56" s="307" t="n">
        <v>0</v>
      </c>
      <c r="AH56" s="408" t="n"/>
      <c r="AI56" s="322" t="n"/>
      <c r="AJ56" s="408" t="n"/>
      <c r="AK56" s="307" t="n"/>
      <c r="AL56" s="408" t="n"/>
      <c r="AM56" s="322" t="n"/>
      <c r="AN56" s="408" t="n"/>
      <c r="AO56" s="307" t="n"/>
      <c r="AP56" s="408" t="n"/>
      <c r="AQ56" s="322" t="n"/>
      <c r="AR56" s="408" t="n"/>
      <c r="AS56" s="307" t="n"/>
      <c r="AT56" s="408" t="n"/>
      <c r="AU56" s="322" t="n"/>
      <c r="AV56" s="408" t="n"/>
      <c r="AW56" s="307" t="n"/>
      <c r="AX56" s="408" t="n"/>
      <c r="AY56" s="322" t="n"/>
      <c r="AZ56" s="408" t="n"/>
      <c r="BA56" s="307" t="n"/>
      <c r="BB56" s="408" t="n"/>
      <c r="BC56" s="322" t="n"/>
      <c r="BD56" s="408" t="n"/>
      <c r="BE56" s="307" t="n"/>
      <c r="BF56" s="408" t="n"/>
      <c r="BG56" s="322" t="n"/>
      <c r="BH56" s="408" t="n"/>
      <c r="BI56" s="307" t="n"/>
      <c r="BJ56" s="408" t="n"/>
      <c r="BK56" s="340" t="n"/>
      <c r="BL56" s="820">
        <f>SUMPRODUCT(--(MOD(COLUMN($O56:$AL56),4)=MOD(COLUMN($O56)+0,4)),$O56:$AL56)
+SUMPRODUCT(--(MOD(COLUMN($AM56:$BJ56),4)=MOD(COLUMN($AM56)+0,4)),$AM56:$BJ56)</f>
        <v/>
      </c>
      <c r="BM56" s="820">
        <f>SUMPRODUCT(--(MOD(COLUMN($O56:$AL56),4)=MOD(COLUMN($O56)+0,4)),$O56:$AL56)*
$I56+SUMPRODUCT(--(MOD(COLUMN($AM56:$BJ56),4)=MOD(COLUMN($AM56)+0,4)),$AM56:$BJ56)*$I56</f>
        <v/>
      </c>
      <c r="BN56" s="822">
        <f>SUMPRODUCT(--(MOD(COLUMN($O56:$AL56),4)=MOD(COLUMN($O56)+1,4)),$O56:$AL56)
+SUMPRODUCT(--(MOD(COLUMN($AM56:$BJ56),4)=MOD(COLUMN($AM56)+1,4)),$AM56:$BJ56)</f>
        <v/>
      </c>
      <c r="BO56" s="823">
        <f>SUMPRODUCT(--(MOD(COLUMN($O56:$AL56),4)=MOD(COLUMN($O56)+1,4)),$O56:$AL56)*
$I56+SUMPRODUCT(--(MOD(COLUMN($AM56:$BJ56),4)=MOD(COLUMN($AM56)+1,4)),$AM56:$BJ56)*$I56</f>
        <v/>
      </c>
      <c r="BP56" s="824">
        <f>SUMPRODUCT(--(MOD(COLUMN($O56:$AL56),4)=MOD(COLUMN($O56)+2,4)),$O56:$AL56)
+SUMPRODUCT(--(MOD(COLUMN($AM56:$BJ56),4)=MOD(COLUMN($AM56)+2,4)),$AM56:$BJ56)</f>
        <v/>
      </c>
      <c r="BQ56" s="825">
        <f>SUMPRODUCT(--(MOD(COLUMN($O56:$AL56),4)=MOD(COLUMN($O56)+2,4)),$O56:$AL56)*
$I56+SUMPRODUCT(--(MOD(COLUMN($AM56:$BJ56),4)=MOD(COLUMN($AM56)+2,4)),$AM56:$BJ56)*$I56</f>
        <v/>
      </c>
      <c r="BR56" s="819" t="n"/>
      <c r="BS56" s="819" t="n"/>
      <c r="BT56" s="488" t="n"/>
      <c r="BU56" s="489" t="n"/>
      <c r="BV56" s="490" t="n"/>
      <c r="BW56" s="489" t="n"/>
      <c r="BX56" s="488" t="n"/>
      <c r="BY56" s="489" t="n"/>
      <c r="BZ56" s="490" t="n"/>
      <c r="CA56" s="489" t="n"/>
      <c r="CB56" s="488" t="n"/>
      <c r="CC56" s="489" t="n"/>
      <c r="CD56" s="490" t="n"/>
      <c r="CE56" s="489" t="n"/>
      <c r="CF56" s="488" t="n"/>
      <c r="CG56" s="489" t="n"/>
      <c r="CH56" s="307" t="n"/>
      <c r="CI56" s="489" t="n"/>
      <c r="CJ56" s="488" t="n"/>
      <c r="CK56" s="489" t="n"/>
      <c r="CL56" s="490" t="n"/>
      <c r="CM56" s="489" t="n"/>
      <c r="CN56" s="488" t="n"/>
      <c r="CO56" s="489" t="n"/>
      <c r="CP56" s="490" t="n"/>
      <c r="CQ56" s="489" t="n"/>
      <c r="CR56" s="488" t="n"/>
      <c r="CS56" s="489" t="n"/>
      <c r="CT56" s="490" t="n"/>
      <c r="CU56" s="489" t="n"/>
      <c r="CV56" s="488" t="n"/>
      <c r="CW56" s="489" t="n"/>
      <c r="CX56" s="490" t="n"/>
      <c r="CY56" s="489" t="n"/>
      <c r="CZ56" s="488" t="n"/>
      <c r="DA56" s="489" t="n"/>
      <c r="DB56" s="490" t="n"/>
      <c r="DC56" s="489" t="n"/>
      <c r="DD56" s="488" t="n"/>
      <c r="DE56" s="489" t="n"/>
      <c r="DF56" s="490" t="n"/>
      <c r="DG56" s="489" t="n"/>
      <c r="DH56" s="488" t="n"/>
      <c r="DI56" s="489" t="n"/>
      <c r="DJ56" s="490" t="n"/>
      <c r="DK56" s="489" t="n"/>
      <c r="DL56" s="488" t="n"/>
      <c r="DM56" s="489" t="n"/>
      <c r="DN56" s="490" t="n"/>
      <c r="DO56" s="306" t="n"/>
      <c r="DP56" s="341" t="n"/>
      <c r="DQ56" s="879" t="n"/>
      <c r="DR56" s="879">
        <f>SUMPRODUCT(--(MOD(COLUMN(BT56:CQ56),4)=MOD(COLUMN(BT56),4)),BT56:CQ56)*$I56+SUMPRODUCT(--(MOD(COLUMN(CR56:DO56),4)=MOD(COLUMN(CR56),4)),CR56:DO56)*$I56</f>
        <v/>
      </c>
      <c r="DS56" s="819" t="n"/>
      <c r="DT56" s="819" t="n"/>
      <c r="DU56" s="488" t="n"/>
      <c r="DV56" s="489" t="n"/>
      <c r="DW56" s="490" t="n"/>
      <c r="DX56" s="489" t="n"/>
      <c r="DY56" s="488" t="n"/>
      <c r="DZ56" s="489" t="n"/>
      <c r="EA56" s="490" t="n"/>
      <c r="EB56" s="489" t="n"/>
      <c r="EC56" s="488" t="n"/>
      <c r="ED56" s="489" t="n"/>
      <c r="EE56" s="490" t="n"/>
      <c r="EF56" s="489" t="n"/>
      <c r="EG56" s="488" t="n"/>
      <c r="EH56" s="489" t="n"/>
      <c r="EI56" s="307" t="n"/>
      <c r="EJ56" s="489" t="n"/>
      <c r="EK56" s="488" t="n"/>
      <c r="EL56" s="489" t="n"/>
      <c r="EM56" s="490" t="n"/>
      <c r="EN56" s="489" t="n"/>
      <c r="EO56" s="488" t="n"/>
      <c r="EP56" s="489" t="n"/>
      <c r="EQ56" s="490" t="n"/>
      <c r="ER56" s="489" t="n"/>
      <c r="ES56" s="488" t="n"/>
      <c r="ET56" s="489" t="n"/>
      <c r="EU56" s="490" t="n"/>
      <c r="EV56" s="489" t="n"/>
      <c r="EW56" s="488" t="n"/>
      <c r="EX56" s="489" t="n"/>
      <c r="EY56" s="490" t="n"/>
      <c r="EZ56" s="489" t="n"/>
      <c r="FA56" s="488" t="n"/>
      <c r="FB56" s="489" t="n"/>
      <c r="FC56" s="490" t="n"/>
      <c r="FD56" s="489" t="n"/>
      <c r="FE56" s="488" t="n"/>
      <c r="FF56" s="489" t="n"/>
      <c r="FG56" s="490" t="n"/>
      <c r="FH56" s="489" t="n"/>
      <c r="FI56" s="488" t="n"/>
      <c r="FJ56" s="489" t="n"/>
      <c r="FK56" s="490" t="n"/>
      <c r="FL56" s="489" t="n"/>
      <c r="FM56" s="488" t="n"/>
      <c r="FN56" s="489" t="n"/>
      <c r="FO56" s="490" t="n"/>
      <c r="FP56" s="306" t="n"/>
      <c r="FQ56" s="341" t="n"/>
      <c r="FR56" s="879" t="n"/>
      <c r="FS56" s="879">
        <f>SUMPRODUCT(--(MOD(COLUMN(DU56:ER56),4)=MOD(COLUMN(DU56),4)),DU56:ER56)*$I56+SUMPRODUCT(--(MOD(COLUMN(ES56:FP56),4)=MOD(COLUMN(ES56),4)),ES56:FP56)*$I56</f>
        <v/>
      </c>
      <c r="FT56" s="360" t="n"/>
    </row>
    <row r="57" outlineLevel="2" customFormat="1" s="14">
      <c r="A57" s="411" t="inlineStr">
        <is>
          <t>СТК ООО</t>
        </is>
      </c>
      <c r="B57" s="387" t="inlineStr">
        <is>
          <t>Договор не подписан</t>
        </is>
      </c>
      <c r="C57" s="541" t="inlineStr">
        <is>
          <t>ВБК РУС</t>
        </is>
      </c>
      <c r="D57" s="565" t="inlineStr">
        <is>
          <t>Прасолов, Соловьёв</t>
        </is>
      </c>
      <c r="E57" s="10">
        <f>IF(ISBLANK(G57),"",IF($A$6:$A$330=$A57,COUNTIF($A$6:A57,$A57),""))</f>
        <v/>
      </c>
      <c r="F57" s="123" t="n">
        <v>1</v>
      </c>
      <c r="G57" s="124" t="n">
        <v>9710029000</v>
      </c>
      <c r="H57" s="604" t="inlineStr">
        <is>
          <t>Воздухораспределитель с клапаном растормаживания</t>
        </is>
      </c>
      <c r="I57" s="618" t="n">
        <v>0</v>
      </c>
      <c r="J57" s="618" t="n"/>
      <c r="K57" s="882" t="n"/>
      <c r="L57" s="618" t="n"/>
      <c r="M57" s="871" t="n"/>
      <c r="N57" s="871">
        <f>IF(BP57&gt;0,1,IF(BN57&gt;0,2,))</f>
        <v/>
      </c>
      <c r="O57" s="322" t="n"/>
      <c r="P57" s="408">
        <f>SUMPRODUCT((Комплекты[Пр]=$F57)*(Комплекты[Обозначение]=$G57)*Комплекты[Кол-во]*(
((Комплекты[Комплект]=$G$54)*P$54)+
((Комплекты[Комплект]=$G$53)*P$53)))</f>
        <v/>
      </c>
      <c r="Q57" s="307" t="n">
        <v>2</v>
      </c>
      <c r="R57" s="408" t="n"/>
      <c r="S57" s="322" t="n"/>
      <c r="T57" s="408" t="n"/>
      <c r="U57" s="307" t="n"/>
      <c r="V57" s="408" t="n"/>
      <c r="W57" s="322" t="n"/>
      <c r="X57" s="408" t="n"/>
      <c r="Y57" s="307" t="n"/>
      <c r="Z57" s="408" t="n"/>
      <c r="AA57" s="322" t="n"/>
      <c r="AB57" s="408" t="n"/>
      <c r="AC57" s="307" t="n"/>
      <c r="AD57" s="408" t="n"/>
      <c r="AE57" s="322" t="n"/>
      <c r="AF57" s="408" t="n"/>
      <c r="AG57" s="307" t="n">
        <v>0</v>
      </c>
      <c r="AH57" s="408" t="n"/>
      <c r="AI57" s="322" t="n"/>
      <c r="AJ57" s="408" t="n"/>
      <c r="AK57" s="307" t="n"/>
      <c r="AL57" s="408" t="n"/>
      <c r="AM57" s="322" t="n"/>
      <c r="AN57" s="408" t="n"/>
      <c r="AO57" s="307" t="n"/>
      <c r="AP57" s="408" t="n"/>
      <c r="AQ57" s="322" t="n"/>
      <c r="AR57" s="408" t="n"/>
      <c r="AS57" s="307" t="n"/>
      <c r="AT57" s="408" t="n"/>
      <c r="AU57" s="322" t="n"/>
      <c r="AV57" s="408" t="n"/>
      <c r="AW57" s="307" t="n"/>
      <c r="AX57" s="408" t="n"/>
      <c r="AY57" s="322" t="n"/>
      <c r="AZ57" s="408" t="n"/>
      <c r="BA57" s="307" t="n"/>
      <c r="BB57" s="408" t="n"/>
      <c r="BC57" s="322" t="n"/>
      <c r="BD57" s="408" t="n"/>
      <c r="BE57" s="307" t="n"/>
      <c r="BF57" s="408" t="n"/>
      <c r="BG57" s="322" t="n"/>
      <c r="BH57" s="408" t="n"/>
      <c r="BI57" s="307" t="n"/>
      <c r="BJ57" s="408" t="n"/>
      <c r="BK57" s="340" t="n"/>
      <c r="BL57" s="820">
        <f>SUMPRODUCT(--(MOD(COLUMN($O57:$AL57),4)=MOD(COLUMN($O57)+0,4)),$O57:$AL57)
+SUMPRODUCT(--(MOD(COLUMN($AM57:$BJ57),4)=MOD(COLUMN($AM57)+0,4)),$AM57:$BJ57)</f>
        <v/>
      </c>
      <c r="BM57" s="820">
        <f>SUMPRODUCT(--(MOD(COLUMN($O57:$AL57),4)=MOD(COLUMN($O57)+0,4)),$O57:$AL57)*
$I57+SUMPRODUCT(--(MOD(COLUMN($AM57:$BJ57),4)=MOD(COLUMN($AM57)+0,4)),$AM57:$BJ57)*$I57</f>
        <v/>
      </c>
      <c r="BN57" s="822">
        <f>SUMPRODUCT(--(MOD(COLUMN($O57:$AL57),4)=MOD(COLUMN($O57)+1,4)),$O57:$AL57)
+SUMPRODUCT(--(MOD(COLUMN($AM57:$BJ57),4)=MOD(COLUMN($AM57)+1,4)),$AM57:$BJ57)</f>
        <v/>
      </c>
      <c r="BO57" s="823">
        <f>SUMPRODUCT(--(MOD(COLUMN($O57:$AL57),4)=MOD(COLUMN($O57)+1,4)),$O57:$AL57)*
$I57+SUMPRODUCT(--(MOD(COLUMN($AM57:$BJ57),4)=MOD(COLUMN($AM57)+1,4)),$AM57:$BJ57)*$I57</f>
        <v/>
      </c>
      <c r="BP57" s="824">
        <f>SUMPRODUCT(--(MOD(COLUMN($O57:$AL57),4)=MOD(COLUMN($O57)+2,4)),$O57:$AL57)
+SUMPRODUCT(--(MOD(COLUMN($AM57:$BJ57),4)=MOD(COLUMN($AM57)+2,4)),$AM57:$BJ57)</f>
        <v/>
      </c>
      <c r="BQ57" s="825">
        <f>SUMPRODUCT(--(MOD(COLUMN($O57:$AL57),4)=MOD(COLUMN($O57)+2,4)),$O57:$AL57)*
$I57+SUMPRODUCT(--(MOD(COLUMN($AM57:$BJ57),4)=MOD(COLUMN($AM57)+2,4)),$AM57:$BJ57)*$I57</f>
        <v/>
      </c>
      <c r="BR57" s="819" t="n"/>
      <c r="BS57" s="819" t="n"/>
      <c r="BT57" s="488" t="n"/>
      <c r="BU57" s="489" t="n"/>
      <c r="BV57" s="490" t="n"/>
      <c r="BW57" s="489" t="n"/>
      <c r="BX57" s="488" t="n"/>
      <c r="BY57" s="489" t="n"/>
      <c r="BZ57" s="490" t="n"/>
      <c r="CA57" s="489" t="n"/>
      <c r="CB57" s="488" t="n"/>
      <c r="CC57" s="489" t="n"/>
      <c r="CD57" s="490" t="n"/>
      <c r="CE57" s="489" t="n"/>
      <c r="CF57" s="488" t="n"/>
      <c r="CG57" s="489" t="n"/>
      <c r="CH57" s="307" t="n"/>
      <c r="CI57" s="489" t="n"/>
      <c r="CJ57" s="488" t="n"/>
      <c r="CK57" s="489" t="n"/>
      <c r="CL57" s="490" t="n"/>
      <c r="CM57" s="489" t="n"/>
      <c r="CN57" s="488" t="n"/>
      <c r="CO57" s="489" t="n"/>
      <c r="CP57" s="490" t="n"/>
      <c r="CQ57" s="489" t="n"/>
      <c r="CR57" s="488" t="n"/>
      <c r="CS57" s="489" t="n"/>
      <c r="CT57" s="490" t="n"/>
      <c r="CU57" s="489" t="n"/>
      <c r="CV57" s="488" t="n"/>
      <c r="CW57" s="489" t="n"/>
      <c r="CX57" s="490" t="n"/>
      <c r="CY57" s="489" t="n"/>
      <c r="CZ57" s="488" t="n"/>
      <c r="DA57" s="489" t="n"/>
      <c r="DB57" s="490" t="n"/>
      <c r="DC57" s="489" t="n"/>
      <c r="DD57" s="488" t="n"/>
      <c r="DE57" s="489" t="n"/>
      <c r="DF57" s="490" t="n"/>
      <c r="DG57" s="489" t="n"/>
      <c r="DH57" s="488" t="n"/>
      <c r="DI57" s="489" t="n"/>
      <c r="DJ57" s="490" t="n"/>
      <c r="DK57" s="489" t="n"/>
      <c r="DL57" s="488" t="n"/>
      <c r="DM57" s="489" t="n"/>
      <c r="DN57" s="490" t="n"/>
      <c r="DO57" s="306" t="n"/>
      <c r="DP57" s="341" t="n"/>
      <c r="DQ57" s="879" t="n"/>
      <c r="DR57" s="879">
        <f>SUMPRODUCT(--(MOD(COLUMN(BT57:CQ57),4)=MOD(COLUMN(BT57),4)),BT57:CQ57)*$I57+SUMPRODUCT(--(MOD(COLUMN(CR57:DO57),4)=MOD(COLUMN(CR57),4)),CR57:DO57)*$I57</f>
        <v/>
      </c>
      <c r="DS57" s="819" t="n"/>
      <c r="DT57" s="819" t="n"/>
      <c r="DU57" s="488" t="n"/>
      <c r="DV57" s="489" t="n"/>
      <c r="DW57" s="490" t="n"/>
      <c r="DX57" s="489" t="n"/>
      <c r="DY57" s="488" t="n"/>
      <c r="DZ57" s="489" t="n"/>
      <c r="EA57" s="490" t="n"/>
      <c r="EB57" s="489" t="n"/>
      <c r="EC57" s="488" t="n"/>
      <c r="ED57" s="489" t="n"/>
      <c r="EE57" s="490" t="n"/>
      <c r="EF57" s="489" t="n"/>
      <c r="EG57" s="488" t="n"/>
      <c r="EH57" s="489" t="n"/>
      <c r="EI57" s="307" t="n"/>
      <c r="EJ57" s="489" t="n"/>
      <c r="EK57" s="488" t="n"/>
      <c r="EL57" s="489" t="n"/>
      <c r="EM57" s="490" t="n"/>
      <c r="EN57" s="489" t="n"/>
      <c r="EO57" s="488" t="n"/>
      <c r="EP57" s="489" t="n"/>
      <c r="EQ57" s="490" t="n"/>
      <c r="ER57" s="489" t="n"/>
      <c r="ES57" s="488" t="n"/>
      <c r="ET57" s="489" t="n"/>
      <c r="EU57" s="490" t="n"/>
      <c r="EV57" s="489" t="n"/>
      <c r="EW57" s="488" t="n"/>
      <c r="EX57" s="489" t="n"/>
      <c r="EY57" s="490" t="n"/>
      <c r="EZ57" s="489" t="n"/>
      <c r="FA57" s="488" t="n"/>
      <c r="FB57" s="489" t="n"/>
      <c r="FC57" s="490" t="n"/>
      <c r="FD57" s="489" t="n"/>
      <c r="FE57" s="488" t="n"/>
      <c r="FF57" s="489" t="n"/>
      <c r="FG57" s="490" t="n"/>
      <c r="FH57" s="489" t="n"/>
      <c r="FI57" s="488" t="n"/>
      <c r="FJ57" s="489" t="n"/>
      <c r="FK57" s="490" t="n"/>
      <c r="FL57" s="489" t="n"/>
      <c r="FM57" s="488" t="n"/>
      <c r="FN57" s="489" t="n"/>
      <c r="FO57" s="490" t="n"/>
      <c r="FP57" s="306" t="n"/>
      <c r="FQ57" s="341" t="n"/>
      <c r="FR57" s="879" t="n"/>
      <c r="FS57" s="879">
        <f>SUMPRODUCT(--(MOD(COLUMN(DU57:ER57),4)=MOD(COLUMN(DU57),4)),DU57:ER57)*$I57+SUMPRODUCT(--(MOD(COLUMN(ES57:FP57),4)=MOD(COLUMN(ES57),4)),ES57:FP57)*$I57</f>
        <v/>
      </c>
      <c r="FT57" s="360" t="n"/>
    </row>
    <row r="58" outlineLevel="2" customFormat="1" s="14">
      <c r="A58" s="411" t="inlineStr">
        <is>
          <t>СТК ООО</t>
        </is>
      </c>
      <c r="B58" s="387" t="inlineStr">
        <is>
          <t>Договор не подписан</t>
        </is>
      </c>
      <c r="C58" s="541" t="inlineStr">
        <is>
          <t>ВБК РУС</t>
        </is>
      </c>
      <c r="D58" s="565" t="inlineStr">
        <is>
          <t>Прасолов, Соловьёв</t>
        </is>
      </c>
      <c r="E58" s="10">
        <f>IF(ISBLANK(G58),"",IF($A$6:$A$330=$A58,COUNTIF($A$6:A58,$A58),""))</f>
        <v/>
      </c>
      <c r="F58" s="123" t="n">
        <v>1</v>
      </c>
      <c r="G58" s="124" t="n">
        <v>4801020640</v>
      </c>
      <c r="H58" s="604" t="inlineStr">
        <is>
          <t>Электропневматический блок клапанов TEBS_4801020640</t>
        </is>
      </c>
      <c r="I58" s="618" t="n">
        <v>0</v>
      </c>
      <c r="J58" s="618" t="n"/>
      <c r="K58" s="882" t="n"/>
      <c r="L58" s="618" t="n"/>
      <c r="M58" s="871" t="n"/>
      <c r="N58" s="871">
        <f>IF(BP58&gt;0,1,IF(BN58&gt;0,2,))</f>
        <v/>
      </c>
      <c r="O58" s="322" t="n"/>
      <c r="P58" s="408">
        <f>SUMPRODUCT((Комплекты[Пр]=$F58)*(Комплекты[Обозначение]=$G58)*Комплекты[Кол-во]*(
((Комплекты[Комплект]=$G$54)*P$54)+
((Комплекты[Комплект]=$G$53)*P$53)))</f>
        <v/>
      </c>
      <c r="Q58" s="307" t="n">
        <v>2</v>
      </c>
      <c r="R58" s="408" t="n"/>
      <c r="S58" s="322" t="n"/>
      <c r="T58" s="408" t="n"/>
      <c r="U58" s="307" t="n"/>
      <c r="V58" s="408" t="n"/>
      <c r="W58" s="322" t="n"/>
      <c r="X58" s="408" t="n"/>
      <c r="Y58" s="307" t="n"/>
      <c r="Z58" s="408" t="n"/>
      <c r="AA58" s="322" t="n"/>
      <c r="AB58" s="408" t="n"/>
      <c r="AC58" s="307" t="n"/>
      <c r="AD58" s="408" t="n"/>
      <c r="AE58" s="322" t="n"/>
      <c r="AF58" s="408" t="n"/>
      <c r="AG58" s="307" t="n">
        <v>0</v>
      </c>
      <c r="AH58" s="408" t="n"/>
      <c r="AI58" s="322" t="n"/>
      <c r="AJ58" s="408" t="n"/>
      <c r="AK58" s="307" t="n"/>
      <c r="AL58" s="408" t="n"/>
      <c r="AM58" s="322" t="n"/>
      <c r="AN58" s="408" t="n"/>
      <c r="AO58" s="307" t="n"/>
      <c r="AP58" s="408" t="n"/>
      <c r="AQ58" s="322" t="n"/>
      <c r="AR58" s="408" t="n"/>
      <c r="AS58" s="307" t="n"/>
      <c r="AT58" s="408" t="n"/>
      <c r="AU58" s="322" t="n"/>
      <c r="AV58" s="408" t="n"/>
      <c r="AW58" s="307" t="n"/>
      <c r="AX58" s="408" t="n"/>
      <c r="AY58" s="322" t="n"/>
      <c r="AZ58" s="408" t="n"/>
      <c r="BA58" s="307" t="n"/>
      <c r="BB58" s="408" t="n"/>
      <c r="BC58" s="322" t="n"/>
      <c r="BD58" s="408" t="n"/>
      <c r="BE58" s="307" t="n"/>
      <c r="BF58" s="408" t="n"/>
      <c r="BG58" s="322" t="n"/>
      <c r="BH58" s="408" t="n"/>
      <c r="BI58" s="307" t="n"/>
      <c r="BJ58" s="408" t="n"/>
      <c r="BK58" s="340" t="n"/>
      <c r="BL58" s="820">
        <f>SUMPRODUCT(--(MOD(COLUMN($O58:$AL58),4)=MOD(COLUMN($O58)+0,4)),$O58:$AL58)
+SUMPRODUCT(--(MOD(COLUMN($AM58:$BJ58),4)=MOD(COLUMN($AM58)+0,4)),$AM58:$BJ58)</f>
        <v/>
      </c>
      <c r="BM58" s="820">
        <f>SUMPRODUCT(--(MOD(COLUMN($O58:$AL58),4)=MOD(COLUMN($O58)+0,4)),$O58:$AL58)*
$I58+SUMPRODUCT(--(MOD(COLUMN($AM58:$BJ58),4)=MOD(COLUMN($AM58)+0,4)),$AM58:$BJ58)*$I58</f>
        <v/>
      </c>
      <c r="BN58" s="822">
        <f>SUMPRODUCT(--(MOD(COLUMN($O58:$AL58),4)=MOD(COLUMN($O58)+1,4)),$O58:$AL58)
+SUMPRODUCT(--(MOD(COLUMN($AM58:$BJ58),4)=MOD(COLUMN($AM58)+1,4)),$AM58:$BJ58)</f>
        <v/>
      </c>
      <c r="BO58" s="823">
        <f>SUMPRODUCT(--(MOD(COLUMN($O58:$AL58),4)=MOD(COLUMN($O58)+1,4)),$O58:$AL58)*
$I58+SUMPRODUCT(--(MOD(COLUMN($AM58:$BJ58),4)=MOD(COLUMN($AM58)+1,4)),$AM58:$BJ58)*$I58</f>
        <v/>
      </c>
      <c r="BP58" s="824">
        <f>SUMPRODUCT(--(MOD(COLUMN($O58:$AL58),4)=MOD(COLUMN($O58)+2,4)),$O58:$AL58)
+SUMPRODUCT(--(MOD(COLUMN($AM58:$BJ58),4)=MOD(COLUMN($AM58)+2,4)),$AM58:$BJ58)</f>
        <v/>
      </c>
      <c r="BQ58" s="825">
        <f>SUMPRODUCT(--(MOD(COLUMN($O58:$AL58),4)=MOD(COLUMN($O58)+2,4)),$O58:$AL58)*
$I58+SUMPRODUCT(--(MOD(COLUMN($AM58:$BJ58),4)=MOD(COLUMN($AM58)+2,4)),$AM58:$BJ58)*$I58</f>
        <v/>
      </c>
      <c r="BR58" s="819" t="n"/>
      <c r="BS58" s="819" t="n"/>
      <c r="BT58" s="488" t="n"/>
      <c r="BU58" s="489" t="n"/>
      <c r="BV58" s="490" t="n"/>
      <c r="BW58" s="489" t="n"/>
      <c r="BX58" s="488" t="n"/>
      <c r="BY58" s="489" t="n"/>
      <c r="BZ58" s="490" t="n"/>
      <c r="CA58" s="489" t="n"/>
      <c r="CB58" s="488" t="n"/>
      <c r="CC58" s="489" t="n"/>
      <c r="CD58" s="490" t="n"/>
      <c r="CE58" s="489" t="n"/>
      <c r="CF58" s="488" t="n"/>
      <c r="CG58" s="489" t="n"/>
      <c r="CH58" s="307" t="n"/>
      <c r="CI58" s="489" t="n"/>
      <c r="CJ58" s="488" t="n"/>
      <c r="CK58" s="489" t="n"/>
      <c r="CL58" s="490" t="n"/>
      <c r="CM58" s="489" t="n"/>
      <c r="CN58" s="488" t="n"/>
      <c r="CO58" s="489" t="n"/>
      <c r="CP58" s="490" t="n"/>
      <c r="CQ58" s="489" t="n"/>
      <c r="CR58" s="488" t="n"/>
      <c r="CS58" s="489" t="n"/>
      <c r="CT58" s="490" t="n"/>
      <c r="CU58" s="489" t="n"/>
      <c r="CV58" s="488" t="n"/>
      <c r="CW58" s="489" t="n"/>
      <c r="CX58" s="490" t="n"/>
      <c r="CY58" s="489" t="n"/>
      <c r="CZ58" s="488" t="n"/>
      <c r="DA58" s="489" t="n"/>
      <c r="DB58" s="490" t="n"/>
      <c r="DC58" s="489" t="n"/>
      <c r="DD58" s="488" t="n"/>
      <c r="DE58" s="489" t="n"/>
      <c r="DF58" s="490" t="n"/>
      <c r="DG58" s="489" t="n"/>
      <c r="DH58" s="488" t="n"/>
      <c r="DI58" s="489" t="n"/>
      <c r="DJ58" s="490" t="n"/>
      <c r="DK58" s="489" t="n"/>
      <c r="DL58" s="488" t="n"/>
      <c r="DM58" s="489" t="n"/>
      <c r="DN58" s="490" t="n"/>
      <c r="DO58" s="306" t="n"/>
      <c r="DP58" s="341" t="n"/>
      <c r="DQ58" s="879" t="n"/>
      <c r="DR58" s="879">
        <f>SUMPRODUCT(--(MOD(COLUMN(BT58:CQ58),4)=MOD(COLUMN(BT58),4)),BT58:CQ58)*$I58+SUMPRODUCT(--(MOD(COLUMN(CR58:DO58),4)=MOD(COLUMN(CR58),4)),CR58:DO58)*$I58</f>
        <v/>
      </c>
      <c r="DS58" s="819" t="n"/>
      <c r="DT58" s="819" t="n"/>
      <c r="DU58" s="488" t="n"/>
      <c r="DV58" s="489" t="n"/>
      <c r="DW58" s="490" t="n"/>
      <c r="DX58" s="489" t="n"/>
      <c r="DY58" s="488" t="n"/>
      <c r="DZ58" s="489" t="n"/>
      <c r="EA58" s="490" t="n"/>
      <c r="EB58" s="489" t="n"/>
      <c r="EC58" s="488" t="n"/>
      <c r="ED58" s="489" t="n"/>
      <c r="EE58" s="490" t="n"/>
      <c r="EF58" s="489" t="n"/>
      <c r="EG58" s="488" t="n"/>
      <c r="EH58" s="489" t="n"/>
      <c r="EI58" s="307" t="n"/>
      <c r="EJ58" s="489" t="n"/>
      <c r="EK58" s="488" t="n"/>
      <c r="EL58" s="489" t="n"/>
      <c r="EM58" s="490" t="n"/>
      <c r="EN58" s="489" t="n"/>
      <c r="EO58" s="488" t="n"/>
      <c r="EP58" s="489" t="n"/>
      <c r="EQ58" s="490" t="n"/>
      <c r="ER58" s="489" t="n"/>
      <c r="ES58" s="488" t="n"/>
      <c r="ET58" s="489" t="n"/>
      <c r="EU58" s="490" t="n"/>
      <c r="EV58" s="489" t="n"/>
      <c r="EW58" s="488" t="n"/>
      <c r="EX58" s="489" t="n"/>
      <c r="EY58" s="490" t="n"/>
      <c r="EZ58" s="489" t="n"/>
      <c r="FA58" s="488" t="n"/>
      <c r="FB58" s="489" t="n"/>
      <c r="FC58" s="490" t="n"/>
      <c r="FD58" s="489" t="n"/>
      <c r="FE58" s="488" t="n"/>
      <c r="FF58" s="489" t="n"/>
      <c r="FG58" s="490" t="n"/>
      <c r="FH58" s="489" t="n"/>
      <c r="FI58" s="488" t="n"/>
      <c r="FJ58" s="489" t="n"/>
      <c r="FK58" s="490" t="n"/>
      <c r="FL58" s="489" t="n"/>
      <c r="FM58" s="488" t="n"/>
      <c r="FN58" s="489" t="n"/>
      <c r="FO58" s="490" t="n"/>
      <c r="FP58" s="306" t="n"/>
      <c r="FQ58" s="341" t="n"/>
      <c r="FR58" s="879" t="n"/>
      <c r="FS58" s="879">
        <f>SUMPRODUCT(--(MOD(COLUMN(DU58:ER58),4)=MOD(COLUMN(DU58),4)),DU58:ER58)*$I58+SUMPRODUCT(--(MOD(COLUMN(ES58:FP58),4)=MOD(COLUMN(ES58),4)),ES58:FP58)*$I58</f>
        <v/>
      </c>
      <c r="FT58" s="360" t="n"/>
    </row>
    <row r="59" outlineLevel="2" customFormat="1" s="14">
      <c r="A59" s="413" t="inlineStr">
        <is>
          <t>СТК ООО</t>
        </is>
      </c>
      <c r="B59" s="389" t="inlineStr">
        <is>
          <t>Договор не подписан</t>
        </is>
      </c>
      <c r="C59" s="432" t="inlineStr">
        <is>
          <t>ВБК РУС</t>
        </is>
      </c>
      <c r="D59" s="575" t="inlineStr">
        <is>
          <t>Прасолов, Соловьёв</t>
        </is>
      </c>
      <c r="E59" s="284">
        <f>IF(ISBLANK(G59),"",IF($A$6:$A$330=$A59,COUNTIF($A$6:A59,$A59),""))</f>
        <v/>
      </c>
      <c r="F59" s="330" t="n">
        <v>1</v>
      </c>
      <c r="G59" s="331" t="n">
        <v>4491731200</v>
      </c>
      <c r="H59" s="606" t="inlineStr">
        <is>
          <t>Кабель питания, 12 м</t>
        </is>
      </c>
      <c r="I59" s="619" t="n">
        <v>0</v>
      </c>
      <c r="J59" s="619" t="n"/>
      <c r="K59" s="881" t="n"/>
      <c r="L59" s="619" t="n"/>
      <c r="M59" s="871" t="n"/>
      <c r="N59" s="871">
        <f>IF(BP59&gt;0,1,IF(BN59&gt;0,2,))</f>
        <v/>
      </c>
      <c r="O59" s="322" t="n"/>
      <c r="P59" s="408">
        <f>SUMPRODUCT((Комплекты[Пр]=$F59)*(Комплекты[Обозначение]=$G59)*Комплекты[Кол-во]*(
((Комплекты[Комплект]=$G$54)*P$54)+
((Комплекты[Комплект]=$G$53)*P$53)))</f>
        <v/>
      </c>
      <c r="Q59" s="307" t="n">
        <v>2</v>
      </c>
      <c r="R59" s="408" t="n"/>
      <c r="S59" s="322" t="n"/>
      <c r="T59" s="408" t="n"/>
      <c r="U59" s="307" t="n"/>
      <c r="V59" s="408" t="n"/>
      <c r="W59" s="322" t="n"/>
      <c r="X59" s="408" t="n"/>
      <c r="Y59" s="307" t="n"/>
      <c r="Z59" s="408" t="n"/>
      <c r="AA59" s="322" t="n"/>
      <c r="AB59" s="408" t="n"/>
      <c r="AC59" s="307" t="n"/>
      <c r="AD59" s="408" t="n"/>
      <c r="AE59" s="322" t="n"/>
      <c r="AF59" s="408" t="n"/>
      <c r="AG59" s="307" t="n">
        <v>0</v>
      </c>
      <c r="AH59" s="408" t="n"/>
      <c r="AI59" s="322" t="n"/>
      <c r="AJ59" s="408" t="n"/>
      <c r="AK59" s="307" t="n"/>
      <c r="AL59" s="408" t="n"/>
      <c r="AM59" s="322" t="n"/>
      <c r="AN59" s="408" t="n"/>
      <c r="AO59" s="307" t="n"/>
      <c r="AP59" s="408" t="n"/>
      <c r="AQ59" s="322" t="n"/>
      <c r="AR59" s="408" t="n"/>
      <c r="AS59" s="307" t="n"/>
      <c r="AT59" s="408" t="n"/>
      <c r="AU59" s="322" t="n"/>
      <c r="AV59" s="408" t="n"/>
      <c r="AW59" s="307" t="n"/>
      <c r="AX59" s="408" t="n"/>
      <c r="AY59" s="322" t="n"/>
      <c r="AZ59" s="408" t="n"/>
      <c r="BA59" s="307" t="n"/>
      <c r="BB59" s="408" t="n"/>
      <c r="BC59" s="322" t="n"/>
      <c r="BD59" s="408" t="n"/>
      <c r="BE59" s="307" t="n"/>
      <c r="BF59" s="408" t="n"/>
      <c r="BG59" s="322" t="n"/>
      <c r="BH59" s="408" t="n"/>
      <c r="BI59" s="307" t="n"/>
      <c r="BJ59" s="408" t="n"/>
      <c r="BK59" s="340" t="n"/>
      <c r="BL59" s="820">
        <f>SUMPRODUCT(--(MOD(COLUMN($O59:$AL59),4)=MOD(COLUMN($O59)+0,4)),$O59:$AL59)
+SUMPRODUCT(--(MOD(COLUMN($AM59:$BJ59),4)=MOD(COLUMN($AM59)+0,4)),$AM59:$BJ59)</f>
        <v/>
      </c>
      <c r="BM59" s="820">
        <f>SUMPRODUCT(--(MOD(COLUMN($O59:$AL59),4)=MOD(COLUMN($O59)+0,4)),$O59:$AL59)*
$I59+SUMPRODUCT(--(MOD(COLUMN($AM59:$BJ59),4)=MOD(COLUMN($AM59)+0,4)),$AM59:$BJ59)*$I59</f>
        <v/>
      </c>
      <c r="BN59" s="822">
        <f>SUMPRODUCT(--(MOD(COLUMN($O59:$AL59),4)=MOD(COLUMN($O59)+1,4)),$O59:$AL59)
+SUMPRODUCT(--(MOD(COLUMN($AM59:$BJ59),4)=MOD(COLUMN($AM59)+1,4)),$AM59:$BJ59)</f>
        <v/>
      </c>
      <c r="BO59" s="823">
        <f>SUMPRODUCT(--(MOD(COLUMN($O59:$AL59),4)=MOD(COLUMN($O59)+1,4)),$O59:$AL59)*
$I59+SUMPRODUCT(--(MOD(COLUMN($AM59:$BJ59),4)=MOD(COLUMN($AM59)+1,4)),$AM59:$BJ59)*$I59</f>
        <v/>
      </c>
      <c r="BP59" s="824">
        <f>SUMPRODUCT(--(MOD(COLUMN($O59:$AL59),4)=MOD(COLUMN($O59)+2,4)),$O59:$AL59)
+SUMPRODUCT(--(MOD(COLUMN($AM59:$BJ59),4)=MOD(COLUMN($AM59)+2,4)),$AM59:$BJ59)</f>
        <v/>
      </c>
      <c r="BQ59" s="825">
        <f>SUMPRODUCT(--(MOD(COLUMN($O59:$AL59),4)=MOD(COLUMN($O59)+2,4)),$O59:$AL59)*
$I59+SUMPRODUCT(--(MOD(COLUMN($AM59:$BJ59),4)=MOD(COLUMN($AM59)+2,4)),$AM59:$BJ59)*$I59</f>
        <v/>
      </c>
      <c r="BR59" s="819" t="n"/>
      <c r="BS59" s="819" t="n"/>
      <c r="BT59" s="488" t="n"/>
      <c r="BU59" s="489" t="n"/>
      <c r="BV59" s="490" t="n"/>
      <c r="BW59" s="489" t="n"/>
      <c r="BX59" s="488" t="n"/>
      <c r="BY59" s="489" t="n"/>
      <c r="BZ59" s="490" t="n"/>
      <c r="CA59" s="489" t="n"/>
      <c r="CB59" s="488" t="n"/>
      <c r="CC59" s="489" t="n"/>
      <c r="CD59" s="490" t="n"/>
      <c r="CE59" s="489" t="n"/>
      <c r="CF59" s="488" t="n"/>
      <c r="CG59" s="489" t="n"/>
      <c r="CH59" s="307" t="n"/>
      <c r="CI59" s="489" t="n"/>
      <c r="CJ59" s="488" t="n"/>
      <c r="CK59" s="489" t="n"/>
      <c r="CL59" s="490" t="n"/>
      <c r="CM59" s="489" t="n"/>
      <c r="CN59" s="488" t="n"/>
      <c r="CO59" s="489" t="n"/>
      <c r="CP59" s="490" t="n"/>
      <c r="CQ59" s="489" t="n"/>
      <c r="CR59" s="488" t="n"/>
      <c r="CS59" s="489" t="n"/>
      <c r="CT59" s="490" t="n"/>
      <c r="CU59" s="489" t="n"/>
      <c r="CV59" s="488" t="n"/>
      <c r="CW59" s="489" t="n"/>
      <c r="CX59" s="490" t="n"/>
      <c r="CY59" s="489" t="n"/>
      <c r="CZ59" s="488" t="n"/>
      <c r="DA59" s="489" t="n"/>
      <c r="DB59" s="490" t="n"/>
      <c r="DC59" s="489" t="n"/>
      <c r="DD59" s="488" t="n"/>
      <c r="DE59" s="489" t="n"/>
      <c r="DF59" s="490" t="n"/>
      <c r="DG59" s="489" t="n"/>
      <c r="DH59" s="488" t="n"/>
      <c r="DI59" s="489" t="n"/>
      <c r="DJ59" s="490" t="n"/>
      <c r="DK59" s="489" t="n"/>
      <c r="DL59" s="488" t="n"/>
      <c r="DM59" s="489" t="n"/>
      <c r="DN59" s="490" t="n"/>
      <c r="DO59" s="306" t="n"/>
      <c r="DP59" s="341" t="n"/>
      <c r="DQ59" s="879" t="n"/>
      <c r="DR59" s="879">
        <f>SUMPRODUCT(--(MOD(COLUMN(BT59:CQ59),4)=MOD(COLUMN(BT59),4)),BT59:CQ59)*$I59+SUMPRODUCT(--(MOD(COLUMN(CR59:DO59),4)=MOD(COLUMN(CR59),4)),CR59:DO59)*$I59</f>
        <v/>
      </c>
      <c r="DS59" s="819" t="n"/>
      <c r="DT59" s="819" t="n"/>
      <c r="DU59" s="488" t="n"/>
      <c r="DV59" s="489" t="n"/>
      <c r="DW59" s="490" t="n"/>
      <c r="DX59" s="489" t="n"/>
      <c r="DY59" s="488" t="n"/>
      <c r="DZ59" s="489" t="n"/>
      <c r="EA59" s="490" t="n"/>
      <c r="EB59" s="489" t="n"/>
      <c r="EC59" s="488" t="n"/>
      <c r="ED59" s="489" t="n"/>
      <c r="EE59" s="490" t="n"/>
      <c r="EF59" s="489" t="n"/>
      <c r="EG59" s="488" t="n"/>
      <c r="EH59" s="489" t="n"/>
      <c r="EI59" s="307" t="n"/>
      <c r="EJ59" s="489" t="n"/>
      <c r="EK59" s="488" t="n"/>
      <c r="EL59" s="489" t="n"/>
      <c r="EM59" s="490" t="n"/>
      <c r="EN59" s="489" t="n"/>
      <c r="EO59" s="488" t="n"/>
      <c r="EP59" s="489" t="n"/>
      <c r="EQ59" s="490" t="n"/>
      <c r="ER59" s="489" t="n"/>
      <c r="ES59" s="488" t="n"/>
      <c r="ET59" s="489" t="n"/>
      <c r="EU59" s="490" t="n"/>
      <c r="EV59" s="489" t="n"/>
      <c r="EW59" s="488" t="n"/>
      <c r="EX59" s="489" t="n"/>
      <c r="EY59" s="490" t="n"/>
      <c r="EZ59" s="489" t="n"/>
      <c r="FA59" s="488" t="n"/>
      <c r="FB59" s="489" t="n"/>
      <c r="FC59" s="490" t="n"/>
      <c r="FD59" s="489" t="n"/>
      <c r="FE59" s="488" t="n"/>
      <c r="FF59" s="489" t="n"/>
      <c r="FG59" s="490" t="n"/>
      <c r="FH59" s="489" t="n"/>
      <c r="FI59" s="488" t="n"/>
      <c r="FJ59" s="489" t="n"/>
      <c r="FK59" s="490" t="n"/>
      <c r="FL59" s="489" t="n"/>
      <c r="FM59" s="488" t="n"/>
      <c r="FN59" s="489" t="n"/>
      <c r="FO59" s="490" t="n"/>
      <c r="FP59" s="306" t="n"/>
      <c r="FQ59" s="341" t="n"/>
      <c r="FR59" s="879" t="n"/>
      <c r="FS59" s="879">
        <f>SUMPRODUCT(--(MOD(COLUMN(DU59:ER59),4)=MOD(COLUMN(DU59),4)),DU59:ER59)*$I59+SUMPRODUCT(--(MOD(COLUMN(ES59:FP59),4)=MOD(COLUMN(ES59),4)),ES59:FP59)*$I59</f>
        <v/>
      </c>
      <c r="FT59" s="360" t="n"/>
    </row>
    <row r="60" outlineLevel="2" customFormat="1" s="14">
      <c r="A60" s="411" t="inlineStr">
        <is>
          <t>СТК ООО</t>
        </is>
      </c>
      <c r="B60" s="387" t="inlineStr">
        <is>
          <t>Договор не подписан</t>
        </is>
      </c>
      <c r="C60" s="541" t="inlineStr">
        <is>
          <t>ВБК РУС</t>
        </is>
      </c>
      <c r="D60" s="565" t="inlineStr">
        <is>
          <t>Прасолов, Соловьёв</t>
        </is>
      </c>
      <c r="E60" s="10">
        <f>IF(ISBLANK(G60),"",IF($A$6:$A$330=$A60,COUNTIF($A$6:A60,$A60),""))</f>
        <v/>
      </c>
      <c r="F60" s="123" t="n">
        <v>1</v>
      </c>
      <c r="G60" s="124" t="n">
        <v>4497230500</v>
      </c>
      <c r="H60" s="604" t="inlineStr">
        <is>
          <t>Кабель датчика, 5 м</t>
        </is>
      </c>
      <c r="I60" s="618" t="n">
        <v>0</v>
      </c>
      <c r="J60" s="618" t="n"/>
      <c r="K60" s="882" t="n"/>
      <c r="L60" s="618" t="n"/>
      <c r="M60" s="871" t="n"/>
      <c r="N60" s="871">
        <f>IF(BP60&gt;0,1,IF(BN60&gt;0,2,))</f>
        <v/>
      </c>
      <c r="O60" s="322" t="n"/>
      <c r="P60" s="408">
        <f>SUMPRODUCT((Комплекты[Пр]=$F60)*(Комплекты[Обозначение]=$G60)*Комплекты[Кол-во]*(
((Комплекты[Комплект]=$G$54)*P$54)+
((Комплекты[Комплект]=$G$53)*P$53)))</f>
        <v/>
      </c>
      <c r="Q60" s="307" t="n">
        <v>4</v>
      </c>
      <c r="R60" s="408" t="n"/>
      <c r="S60" s="322" t="n"/>
      <c r="T60" s="408" t="n"/>
      <c r="U60" s="307" t="n"/>
      <c r="V60" s="408" t="n"/>
      <c r="W60" s="322" t="n"/>
      <c r="X60" s="408" t="n"/>
      <c r="Y60" s="307" t="n"/>
      <c r="Z60" s="408" t="n"/>
      <c r="AA60" s="322" t="n"/>
      <c r="AB60" s="408" t="n"/>
      <c r="AC60" s="307" t="n"/>
      <c r="AD60" s="408" t="n"/>
      <c r="AE60" s="322" t="n"/>
      <c r="AF60" s="408" t="n"/>
      <c r="AG60" s="307" t="n">
        <v>0</v>
      </c>
      <c r="AH60" s="408" t="n"/>
      <c r="AI60" s="322" t="n"/>
      <c r="AJ60" s="408" t="n"/>
      <c r="AK60" s="307" t="n"/>
      <c r="AL60" s="408" t="n"/>
      <c r="AM60" s="322" t="n"/>
      <c r="AN60" s="408" t="n"/>
      <c r="AO60" s="307" t="n"/>
      <c r="AP60" s="408" t="n"/>
      <c r="AQ60" s="322" t="n"/>
      <c r="AR60" s="408" t="n"/>
      <c r="AS60" s="307" t="n"/>
      <c r="AT60" s="408" t="n"/>
      <c r="AU60" s="322" t="n"/>
      <c r="AV60" s="408" t="n"/>
      <c r="AW60" s="307" t="n"/>
      <c r="AX60" s="408" t="n"/>
      <c r="AY60" s="322" t="n"/>
      <c r="AZ60" s="408" t="n"/>
      <c r="BA60" s="307" t="n"/>
      <c r="BB60" s="408" t="n"/>
      <c r="BC60" s="322" t="n"/>
      <c r="BD60" s="408" t="n"/>
      <c r="BE60" s="307" t="n"/>
      <c r="BF60" s="408" t="n"/>
      <c r="BG60" s="322" t="n"/>
      <c r="BH60" s="408" t="n"/>
      <c r="BI60" s="307" t="n"/>
      <c r="BJ60" s="408" t="n"/>
      <c r="BK60" s="340" t="n"/>
      <c r="BL60" s="820">
        <f>SUMPRODUCT(--(MOD(COLUMN($O60:$AL60),4)=MOD(COLUMN($O60)+0,4)),$O60:$AL60)
+SUMPRODUCT(--(MOD(COLUMN($AM60:$BJ60),4)=MOD(COLUMN($AM60)+0,4)),$AM60:$BJ60)</f>
        <v/>
      </c>
      <c r="BM60" s="820">
        <f>SUMPRODUCT(--(MOD(COLUMN($O60:$AL60),4)=MOD(COLUMN($O60)+0,4)),$O60:$AL60)*
$I60+SUMPRODUCT(--(MOD(COLUMN($AM60:$BJ60),4)=MOD(COLUMN($AM60)+0,4)),$AM60:$BJ60)*$I60</f>
        <v/>
      </c>
      <c r="BN60" s="822">
        <f>SUMPRODUCT(--(MOD(COLUMN($O60:$AL60),4)=MOD(COLUMN($O60)+1,4)),$O60:$AL60)
+SUMPRODUCT(--(MOD(COLUMN($AM60:$BJ60),4)=MOD(COLUMN($AM60)+1,4)),$AM60:$BJ60)</f>
        <v/>
      </c>
      <c r="BO60" s="823">
        <f>SUMPRODUCT(--(MOD(COLUMN($O60:$AL60),4)=MOD(COLUMN($O60)+1,4)),$O60:$AL60)*
$I60+SUMPRODUCT(--(MOD(COLUMN($AM60:$BJ60),4)=MOD(COLUMN($AM60)+1,4)),$AM60:$BJ60)*$I60</f>
        <v/>
      </c>
      <c r="BP60" s="824">
        <f>SUMPRODUCT(--(MOD(COLUMN($O60:$AL60),4)=MOD(COLUMN($O60)+2,4)),$O60:$AL60)
+SUMPRODUCT(--(MOD(COLUMN($AM60:$BJ60),4)=MOD(COLUMN($AM60)+2,4)),$AM60:$BJ60)</f>
        <v/>
      </c>
      <c r="BQ60" s="825">
        <f>SUMPRODUCT(--(MOD(COLUMN($O60:$AL60),4)=MOD(COLUMN($O60)+2,4)),$O60:$AL60)*
$I60+SUMPRODUCT(--(MOD(COLUMN($AM60:$BJ60),4)=MOD(COLUMN($AM60)+2,4)),$AM60:$BJ60)*$I60</f>
        <v/>
      </c>
      <c r="BR60" s="819" t="n"/>
      <c r="BS60" s="819" t="n"/>
      <c r="BT60" s="488" t="n"/>
      <c r="BU60" s="489" t="n"/>
      <c r="BV60" s="490" t="n"/>
      <c r="BW60" s="489" t="n"/>
      <c r="BX60" s="488" t="n"/>
      <c r="BY60" s="489" t="n"/>
      <c r="BZ60" s="490" t="n"/>
      <c r="CA60" s="489" t="n"/>
      <c r="CB60" s="488" t="n"/>
      <c r="CC60" s="489" t="n"/>
      <c r="CD60" s="490" t="n"/>
      <c r="CE60" s="489" t="n"/>
      <c r="CF60" s="488" t="n"/>
      <c r="CG60" s="489" t="n"/>
      <c r="CH60" s="307" t="n"/>
      <c r="CI60" s="489" t="n"/>
      <c r="CJ60" s="488" t="n"/>
      <c r="CK60" s="489" t="n"/>
      <c r="CL60" s="490" t="n"/>
      <c r="CM60" s="489" t="n"/>
      <c r="CN60" s="488" t="n"/>
      <c r="CO60" s="489" t="n"/>
      <c r="CP60" s="490" t="n"/>
      <c r="CQ60" s="489" t="n"/>
      <c r="CR60" s="488" t="n"/>
      <c r="CS60" s="489" t="n"/>
      <c r="CT60" s="490" t="n"/>
      <c r="CU60" s="489" t="n"/>
      <c r="CV60" s="488" t="n"/>
      <c r="CW60" s="489" t="n"/>
      <c r="CX60" s="490" t="n"/>
      <c r="CY60" s="489" t="n"/>
      <c r="CZ60" s="488" t="n"/>
      <c r="DA60" s="489" t="n"/>
      <c r="DB60" s="490" t="n"/>
      <c r="DC60" s="489" t="n"/>
      <c r="DD60" s="488" t="n"/>
      <c r="DE60" s="489" t="n"/>
      <c r="DF60" s="490" t="n"/>
      <c r="DG60" s="489" t="n"/>
      <c r="DH60" s="488" t="n"/>
      <c r="DI60" s="489" t="n"/>
      <c r="DJ60" s="490" t="n"/>
      <c r="DK60" s="489" t="n"/>
      <c r="DL60" s="488" t="n"/>
      <c r="DM60" s="489" t="n"/>
      <c r="DN60" s="490" t="n"/>
      <c r="DO60" s="306" t="n"/>
      <c r="DP60" s="341" t="n"/>
      <c r="DQ60" s="879" t="n"/>
      <c r="DR60" s="879">
        <f>SUMPRODUCT(--(MOD(COLUMN(BT60:CQ60),4)=MOD(COLUMN(BT60),4)),BT60:CQ60)*$I60+SUMPRODUCT(--(MOD(COLUMN(CR60:DO60),4)=MOD(COLUMN(CR60),4)),CR60:DO60)*$I60</f>
        <v/>
      </c>
      <c r="DS60" s="819" t="n"/>
      <c r="DT60" s="819" t="n"/>
      <c r="DU60" s="488" t="n"/>
      <c r="DV60" s="489" t="n"/>
      <c r="DW60" s="490" t="n"/>
      <c r="DX60" s="489" t="n"/>
      <c r="DY60" s="488" t="n"/>
      <c r="DZ60" s="489" t="n"/>
      <c r="EA60" s="490" t="n"/>
      <c r="EB60" s="489" t="n"/>
      <c r="EC60" s="488" t="n"/>
      <c r="ED60" s="489" t="n"/>
      <c r="EE60" s="490" t="n"/>
      <c r="EF60" s="489" t="n"/>
      <c r="EG60" s="488" t="n"/>
      <c r="EH60" s="489" t="n"/>
      <c r="EI60" s="307" t="n"/>
      <c r="EJ60" s="489" t="n"/>
      <c r="EK60" s="488" t="n"/>
      <c r="EL60" s="489" t="n"/>
      <c r="EM60" s="490" t="n"/>
      <c r="EN60" s="489" t="n"/>
      <c r="EO60" s="488" t="n"/>
      <c r="EP60" s="489" t="n"/>
      <c r="EQ60" s="490" t="n"/>
      <c r="ER60" s="489" t="n"/>
      <c r="ES60" s="488" t="n"/>
      <c r="ET60" s="489" t="n"/>
      <c r="EU60" s="490" t="n"/>
      <c r="EV60" s="489" t="n"/>
      <c r="EW60" s="488" t="n"/>
      <c r="EX60" s="489" t="n"/>
      <c r="EY60" s="490" t="n"/>
      <c r="EZ60" s="489" t="n"/>
      <c r="FA60" s="488" t="n"/>
      <c r="FB60" s="489" t="n"/>
      <c r="FC60" s="490" t="n"/>
      <c r="FD60" s="489" t="n"/>
      <c r="FE60" s="488" t="n"/>
      <c r="FF60" s="489" t="n"/>
      <c r="FG60" s="490" t="n"/>
      <c r="FH60" s="489" t="n"/>
      <c r="FI60" s="488" t="n"/>
      <c r="FJ60" s="489" t="n"/>
      <c r="FK60" s="490" t="n"/>
      <c r="FL60" s="489" t="n"/>
      <c r="FM60" s="488" t="n"/>
      <c r="FN60" s="489" t="n"/>
      <c r="FO60" s="490" t="n"/>
      <c r="FP60" s="306" t="n"/>
      <c r="FQ60" s="341" t="n"/>
      <c r="FR60" s="879" t="n"/>
      <c r="FS60" s="879">
        <f>SUMPRODUCT(--(MOD(COLUMN(DU60:ER60),4)=MOD(COLUMN(DU60),4)),DU60:ER60)*$I60+SUMPRODUCT(--(MOD(COLUMN(ES60:FP60),4)=MOD(COLUMN(ES60),4)),ES60:FP60)*$I60</f>
        <v/>
      </c>
      <c r="FT60" s="360" t="n"/>
    </row>
    <row r="61" outlineLevel="2" customFormat="1" s="14">
      <c r="A61" s="411" t="inlineStr">
        <is>
          <t>СТК ООО</t>
        </is>
      </c>
      <c r="B61" s="387" t="inlineStr">
        <is>
          <t>Договор не подписан</t>
        </is>
      </c>
      <c r="C61" s="541" t="inlineStr">
        <is>
          <t>ВБК РУС</t>
        </is>
      </c>
      <c r="D61" s="565" t="inlineStr">
        <is>
          <t>Прасолов, Соловьёв</t>
        </is>
      </c>
      <c r="E61" s="10">
        <f>IF(ISBLANK(G61),"",IF($A$6:$A$330=$A61,COUNTIF($A$6:A61,$A61),""))</f>
        <v/>
      </c>
      <c r="F61" s="123" t="n">
        <v>1</v>
      </c>
      <c r="G61" s="124" t="n">
        <v>4640061000</v>
      </c>
      <c r="H61" s="604" t="inlineStr">
        <is>
          <t>Кран уровня пола, 5-ти портовый</t>
        </is>
      </c>
      <c r="I61" s="618" t="n">
        <v>0</v>
      </c>
      <c r="J61" s="618" t="n"/>
      <c r="K61" s="882" t="n"/>
      <c r="L61" s="618" t="n"/>
      <c r="M61" s="871" t="n"/>
      <c r="N61" s="871">
        <f>IF(BP61&gt;0,1,IF(BN61&gt;0,2,))</f>
        <v/>
      </c>
      <c r="O61" s="322" t="n"/>
      <c r="P61" s="408">
        <f>SUMPRODUCT((Комплекты[Пр]=$F61)*(Комплекты[Обозначение]=$G61)*Комплекты[Кол-во]*(
((Комплекты[Комплект]=$G$54)*P$54)+
((Комплекты[Комплект]=$G$53)*P$53)))</f>
        <v/>
      </c>
      <c r="Q61" s="307" t="n">
        <v>2</v>
      </c>
      <c r="R61" s="408" t="n"/>
      <c r="S61" s="322" t="n"/>
      <c r="T61" s="408" t="n"/>
      <c r="U61" s="307" t="n"/>
      <c r="V61" s="408" t="n"/>
      <c r="W61" s="322" t="n"/>
      <c r="X61" s="408" t="n"/>
      <c r="Y61" s="307" t="n"/>
      <c r="Z61" s="408" t="n"/>
      <c r="AA61" s="322" t="n"/>
      <c r="AB61" s="408" t="n"/>
      <c r="AC61" s="307" t="n"/>
      <c r="AD61" s="408" t="n"/>
      <c r="AE61" s="322" t="n"/>
      <c r="AF61" s="408" t="n"/>
      <c r="AG61" s="307" t="n">
        <v>0</v>
      </c>
      <c r="AH61" s="408" t="n"/>
      <c r="AI61" s="322" t="n"/>
      <c r="AJ61" s="408" t="n"/>
      <c r="AK61" s="307" t="n"/>
      <c r="AL61" s="408" t="n"/>
      <c r="AM61" s="322" t="n"/>
      <c r="AN61" s="408" t="n"/>
      <c r="AO61" s="307" t="n"/>
      <c r="AP61" s="408" t="n"/>
      <c r="AQ61" s="322" t="n"/>
      <c r="AR61" s="408" t="n"/>
      <c r="AS61" s="307" t="n"/>
      <c r="AT61" s="408" t="n"/>
      <c r="AU61" s="322" t="n"/>
      <c r="AV61" s="408" t="n"/>
      <c r="AW61" s="307" t="n"/>
      <c r="AX61" s="408" t="n"/>
      <c r="AY61" s="322" t="n"/>
      <c r="AZ61" s="408" t="n"/>
      <c r="BA61" s="307" t="n"/>
      <c r="BB61" s="408" t="n"/>
      <c r="BC61" s="322" t="n"/>
      <c r="BD61" s="408" t="n"/>
      <c r="BE61" s="307" t="n"/>
      <c r="BF61" s="408" t="n"/>
      <c r="BG61" s="322" t="n"/>
      <c r="BH61" s="408" t="n"/>
      <c r="BI61" s="307" t="n"/>
      <c r="BJ61" s="408" t="n"/>
      <c r="BK61" s="340" t="n"/>
      <c r="BL61" s="820">
        <f>SUMPRODUCT(--(MOD(COLUMN($O61:$AL61),4)=MOD(COLUMN($O61)+0,4)),$O61:$AL61)
+SUMPRODUCT(--(MOD(COLUMN($AM61:$BJ61),4)=MOD(COLUMN($AM61)+0,4)),$AM61:$BJ61)</f>
        <v/>
      </c>
      <c r="BM61" s="820">
        <f>SUMPRODUCT(--(MOD(COLUMN($O61:$AL61),4)=MOD(COLUMN($O61)+0,4)),$O61:$AL61)*
$I61+SUMPRODUCT(--(MOD(COLUMN($AM61:$BJ61),4)=MOD(COLUMN($AM61)+0,4)),$AM61:$BJ61)*$I61</f>
        <v/>
      </c>
      <c r="BN61" s="822">
        <f>SUMPRODUCT(--(MOD(COLUMN($O61:$AL61),4)=MOD(COLUMN($O61)+1,4)),$O61:$AL61)
+SUMPRODUCT(--(MOD(COLUMN($AM61:$BJ61),4)=MOD(COLUMN($AM61)+1,4)),$AM61:$BJ61)</f>
        <v/>
      </c>
      <c r="BO61" s="823">
        <f>SUMPRODUCT(--(MOD(COLUMN($O61:$AL61),4)=MOD(COLUMN($O61)+1,4)),$O61:$AL61)*
$I61+SUMPRODUCT(--(MOD(COLUMN($AM61:$BJ61),4)=MOD(COLUMN($AM61)+1,4)),$AM61:$BJ61)*$I61</f>
        <v/>
      </c>
      <c r="BP61" s="824">
        <f>SUMPRODUCT(--(MOD(COLUMN($O61:$AL61),4)=MOD(COLUMN($O61)+2,4)),$O61:$AL61)
+SUMPRODUCT(--(MOD(COLUMN($AM61:$BJ61),4)=MOD(COLUMN($AM61)+2,4)),$AM61:$BJ61)</f>
        <v/>
      </c>
      <c r="BQ61" s="825">
        <f>SUMPRODUCT(--(MOD(COLUMN($O61:$AL61),4)=MOD(COLUMN($O61)+2,4)),$O61:$AL61)*
$I61+SUMPRODUCT(--(MOD(COLUMN($AM61:$BJ61),4)=MOD(COLUMN($AM61)+2,4)),$AM61:$BJ61)*$I61</f>
        <v/>
      </c>
      <c r="BR61" s="819" t="n"/>
      <c r="BS61" s="819" t="n"/>
      <c r="BT61" s="488" t="n"/>
      <c r="BU61" s="489" t="n"/>
      <c r="BV61" s="490" t="n"/>
      <c r="BW61" s="489" t="n"/>
      <c r="BX61" s="488" t="n"/>
      <c r="BY61" s="489" t="n"/>
      <c r="BZ61" s="490" t="n"/>
      <c r="CA61" s="489" t="n"/>
      <c r="CB61" s="488" t="n"/>
      <c r="CC61" s="489" t="n"/>
      <c r="CD61" s="490" t="n"/>
      <c r="CE61" s="489" t="n"/>
      <c r="CF61" s="488" t="n"/>
      <c r="CG61" s="489" t="n"/>
      <c r="CH61" s="307" t="n"/>
      <c r="CI61" s="489" t="n"/>
      <c r="CJ61" s="488" t="n"/>
      <c r="CK61" s="489" t="n"/>
      <c r="CL61" s="490" t="n"/>
      <c r="CM61" s="489" t="n"/>
      <c r="CN61" s="488" t="n"/>
      <c r="CO61" s="489" t="n"/>
      <c r="CP61" s="490" t="n"/>
      <c r="CQ61" s="489" t="n"/>
      <c r="CR61" s="488" t="n"/>
      <c r="CS61" s="489" t="n"/>
      <c r="CT61" s="490" t="n"/>
      <c r="CU61" s="489" t="n"/>
      <c r="CV61" s="488" t="n"/>
      <c r="CW61" s="489" t="n"/>
      <c r="CX61" s="490" t="n"/>
      <c r="CY61" s="489" t="n"/>
      <c r="CZ61" s="488" t="n"/>
      <c r="DA61" s="489" t="n"/>
      <c r="DB61" s="490" t="n"/>
      <c r="DC61" s="489" t="n"/>
      <c r="DD61" s="488" t="n"/>
      <c r="DE61" s="489" t="n"/>
      <c r="DF61" s="490" t="n"/>
      <c r="DG61" s="489" t="n"/>
      <c r="DH61" s="488" t="n"/>
      <c r="DI61" s="489" t="n"/>
      <c r="DJ61" s="490" t="n"/>
      <c r="DK61" s="489" t="n"/>
      <c r="DL61" s="488" t="n"/>
      <c r="DM61" s="489" t="n"/>
      <c r="DN61" s="490" t="n"/>
      <c r="DO61" s="306" t="n"/>
      <c r="DP61" s="341" t="n"/>
      <c r="DQ61" s="879" t="n"/>
      <c r="DR61" s="879">
        <f>SUMPRODUCT(--(MOD(COLUMN(BT61:CQ61),4)=MOD(COLUMN(BT61),4)),BT61:CQ61)*$I61+SUMPRODUCT(--(MOD(COLUMN(CR61:DO61),4)=MOD(COLUMN(CR61),4)),CR61:DO61)*$I61</f>
        <v/>
      </c>
      <c r="DS61" s="819" t="n"/>
      <c r="DT61" s="819" t="n"/>
      <c r="DU61" s="488" t="n"/>
      <c r="DV61" s="489" t="n"/>
      <c r="DW61" s="490" t="n"/>
      <c r="DX61" s="489" t="n"/>
      <c r="DY61" s="488" t="n"/>
      <c r="DZ61" s="489" t="n"/>
      <c r="EA61" s="490" t="n"/>
      <c r="EB61" s="489" t="n"/>
      <c r="EC61" s="488" t="n"/>
      <c r="ED61" s="489" t="n"/>
      <c r="EE61" s="490" t="n"/>
      <c r="EF61" s="489" t="n"/>
      <c r="EG61" s="488" t="n"/>
      <c r="EH61" s="489" t="n"/>
      <c r="EI61" s="307" t="n"/>
      <c r="EJ61" s="489" t="n"/>
      <c r="EK61" s="488" t="n"/>
      <c r="EL61" s="489" t="n"/>
      <c r="EM61" s="490" t="n"/>
      <c r="EN61" s="489" t="n"/>
      <c r="EO61" s="488" t="n"/>
      <c r="EP61" s="489" t="n"/>
      <c r="EQ61" s="490" t="n"/>
      <c r="ER61" s="489" t="n"/>
      <c r="ES61" s="488" t="n"/>
      <c r="ET61" s="489" t="n"/>
      <c r="EU61" s="490" t="n"/>
      <c r="EV61" s="489" t="n"/>
      <c r="EW61" s="488" t="n"/>
      <c r="EX61" s="489" t="n"/>
      <c r="EY61" s="490" t="n"/>
      <c r="EZ61" s="489" t="n"/>
      <c r="FA61" s="488" t="n"/>
      <c r="FB61" s="489" t="n"/>
      <c r="FC61" s="490" t="n"/>
      <c r="FD61" s="489" t="n"/>
      <c r="FE61" s="488" t="n"/>
      <c r="FF61" s="489" t="n"/>
      <c r="FG61" s="490" t="n"/>
      <c r="FH61" s="489" t="n"/>
      <c r="FI61" s="488" t="n"/>
      <c r="FJ61" s="489" t="n"/>
      <c r="FK61" s="490" t="n"/>
      <c r="FL61" s="489" t="n"/>
      <c r="FM61" s="488" t="n"/>
      <c r="FN61" s="489" t="n"/>
      <c r="FO61" s="490" t="n"/>
      <c r="FP61" s="306" t="n"/>
      <c r="FQ61" s="341" t="n"/>
      <c r="FR61" s="879" t="n"/>
      <c r="FS61" s="879">
        <f>SUMPRODUCT(--(MOD(COLUMN(DU61:ER61),4)=MOD(COLUMN(DU61),4)),DU61:ER61)*$I61+SUMPRODUCT(--(MOD(COLUMN(ES61:FP61),4)=MOD(COLUMN(ES61),4)),ES61:FP61)*$I61</f>
        <v/>
      </c>
      <c r="FT61" s="360" t="n"/>
    </row>
    <row r="62" outlineLevel="2" customFormat="1" s="14">
      <c r="A62" s="411" t="inlineStr">
        <is>
          <t>СТК ООО</t>
        </is>
      </c>
      <c r="B62" s="387" t="inlineStr">
        <is>
          <t>Договор не подписан</t>
        </is>
      </c>
      <c r="C62" s="541" t="inlineStr">
        <is>
          <t>ВБК РУС</t>
        </is>
      </c>
      <c r="D62" s="565" t="inlineStr">
        <is>
          <t>Прасолов, Соловьёв</t>
        </is>
      </c>
      <c r="E62" s="10">
        <f>IF(ISBLANK(G62),"",IF($A$6:$A$330=$A62,COUNTIF($A$6:A62,$A62),""))</f>
        <v/>
      </c>
      <c r="F62" s="123" t="n">
        <v>1</v>
      </c>
      <c r="G62" s="124" t="n">
        <v>4630320200</v>
      </c>
      <c r="H62" s="604" t="inlineStr">
        <is>
          <t>Кран ручного управления</t>
        </is>
      </c>
      <c r="I62" s="618" t="n">
        <v>0</v>
      </c>
      <c r="J62" s="618" t="n"/>
      <c r="K62" s="882" t="n"/>
      <c r="L62" s="618" t="n"/>
      <c r="M62" s="871" t="n"/>
      <c r="N62" s="871">
        <f>IF(BP62&gt;0,1,IF(BN62&gt;0,2,))</f>
        <v/>
      </c>
      <c r="O62" s="322" t="n"/>
      <c r="P62" s="408">
        <f>SUMPRODUCT((Комплекты[Пр]=$F62)*(Комплекты[Обозначение]=$G62)*Комплекты[Кол-во]*(
((Комплекты[Комплект]=$G$54)*P$54)+
((Комплекты[Комплект]=$G$53)*P$53)))</f>
        <v/>
      </c>
      <c r="Q62" s="307" t="n">
        <v>2</v>
      </c>
      <c r="R62" s="408" t="n"/>
      <c r="S62" s="322" t="n"/>
      <c r="T62" s="408" t="n"/>
      <c r="U62" s="307" t="n"/>
      <c r="V62" s="408" t="n"/>
      <c r="W62" s="322" t="n"/>
      <c r="X62" s="408" t="n"/>
      <c r="Y62" s="307" t="n"/>
      <c r="Z62" s="408" t="n"/>
      <c r="AA62" s="322" t="n"/>
      <c r="AB62" s="408" t="n"/>
      <c r="AC62" s="307" t="n"/>
      <c r="AD62" s="408" t="n"/>
      <c r="AE62" s="322" t="n"/>
      <c r="AF62" s="408" t="n"/>
      <c r="AG62" s="307" t="n">
        <v>0</v>
      </c>
      <c r="AH62" s="408" t="n"/>
      <c r="AI62" s="322" t="n"/>
      <c r="AJ62" s="408" t="n"/>
      <c r="AK62" s="307" t="n"/>
      <c r="AL62" s="408" t="n"/>
      <c r="AM62" s="322" t="n"/>
      <c r="AN62" s="408" t="n"/>
      <c r="AO62" s="307" t="n"/>
      <c r="AP62" s="408" t="n"/>
      <c r="AQ62" s="322" t="n"/>
      <c r="AR62" s="408" t="n"/>
      <c r="AS62" s="307" t="n"/>
      <c r="AT62" s="408" t="n"/>
      <c r="AU62" s="322" t="n"/>
      <c r="AV62" s="408" t="n"/>
      <c r="AW62" s="307" t="n"/>
      <c r="AX62" s="408" t="n"/>
      <c r="AY62" s="322" t="n"/>
      <c r="AZ62" s="408" t="n"/>
      <c r="BA62" s="307" t="n"/>
      <c r="BB62" s="408" t="n"/>
      <c r="BC62" s="322" t="n"/>
      <c r="BD62" s="408" t="n"/>
      <c r="BE62" s="307" t="n"/>
      <c r="BF62" s="408" t="n"/>
      <c r="BG62" s="322" t="n"/>
      <c r="BH62" s="408" t="n"/>
      <c r="BI62" s="307" t="n"/>
      <c r="BJ62" s="408" t="n"/>
      <c r="BK62" s="340" t="n"/>
      <c r="BL62" s="820">
        <f>SUMPRODUCT(--(MOD(COLUMN($O62:$AL62),4)=MOD(COLUMN($O62)+0,4)),$O62:$AL62)
+SUMPRODUCT(--(MOD(COLUMN($AM62:$BJ62),4)=MOD(COLUMN($AM62)+0,4)),$AM62:$BJ62)</f>
        <v/>
      </c>
      <c r="BM62" s="820">
        <f>SUMPRODUCT(--(MOD(COLUMN($O62:$AL62),4)=MOD(COLUMN($O62)+0,4)),$O62:$AL62)*
$I62+SUMPRODUCT(--(MOD(COLUMN($AM62:$BJ62),4)=MOD(COLUMN($AM62)+0,4)),$AM62:$BJ62)*$I62</f>
        <v/>
      </c>
      <c r="BN62" s="822">
        <f>SUMPRODUCT(--(MOD(COLUMN($O62:$AL62),4)=MOD(COLUMN($O62)+1,4)),$O62:$AL62)
+SUMPRODUCT(--(MOD(COLUMN($AM62:$BJ62),4)=MOD(COLUMN($AM62)+1,4)),$AM62:$BJ62)</f>
        <v/>
      </c>
      <c r="BO62" s="823">
        <f>SUMPRODUCT(--(MOD(COLUMN($O62:$AL62),4)=MOD(COLUMN($O62)+1,4)),$O62:$AL62)*
$I62+SUMPRODUCT(--(MOD(COLUMN($AM62:$BJ62),4)=MOD(COLUMN($AM62)+1,4)),$AM62:$BJ62)*$I62</f>
        <v/>
      </c>
      <c r="BP62" s="824">
        <f>SUMPRODUCT(--(MOD(COLUMN($O62:$AL62),4)=MOD(COLUMN($O62)+2,4)),$O62:$AL62)
+SUMPRODUCT(--(MOD(COLUMN($AM62:$BJ62),4)=MOD(COLUMN($AM62)+2,4)),$AM62:$BJ62)</f>
        <v/>
      </c>
      <c r="BQ62" s="825">
        <f>SUMPRODUCT(--(MOD(COLUMN($O62:$AL62),4)=MOD(COLUMN($O62)+2,4)),$O62:$AL62)*
$I62+SUMPRODUCT(--(MOD(COLUMN($AM62:$BJ62),4)=MOD(COLUMN($AM62)+2,4)),$AM62:$BJ62)*$I62</f>
        <v/>
      </c>
      <c r="BR62" s="819" t="n"/>
      <c r="BS62" s="819" t="n"/>
      <c r="BT62" s="488" t="n"/>
      <c r="BU62" s="489" t="n"/>
      <c r="BV62" s="490" t="n"/>
      <c r="BW62" s="489" t="n"/>
      <c r="BX62" s="488" t="n"/>
      <c r="BY62" s="489" t="n"/>
      <c r="BZ62" s="490" t="n"/>
      <c r="CA62" s="489" t="n"/>
      <c r="CB62" s="488" t="n"/>
      <c r="CC62" s="489" t="n"/>
      <c r="CD62" s="490" t="n"/>
      <c r="CE62" s="489" t="n"/>
      <c r="CF62" s="488" t="n"/>
      <c r="CG62" s="489" t="n"/>
      <c r="CH62" s="307" t="n"/>
      <c r="CI62" s="489" t="n"/>
      <c r="CJ62" s="488" t="n"/>
      <c r="CK62" s="489" t="n"/>
      <c r="CL62" s="490" t="n"/>
      <c r="CM62" s="489" t="n"/>
      <c r="CN62" s="488" t="n"/>
      <c r="CO62" s="489" t="n"/>
      <c r="CP62" s="490" t="n"/>
      <c r="CQ62" s="489" t="n"/>
      <c r="CR62" s="488" t="n"/>
      <c r="CS62" s="489" t="n"/>
      <c r="CT62" s="490" t="n"/>
      <c r="CU62" s="489" t="n"/>
      <c r="CV62" s="488" t="n"/>
      <c r="CW62" s="489" t="n"/>
      <c r="CX62" s="490" t="n"/>
      <c r="CY62" s="489" t="n"/>
      <c r="CZ62" s="488" t="n"/>
      <c r="DA62" s="489" t="n"/>
      <c r="DB62" s="490" t="n"/>
      <c r="DC62" s="489" t="n"/>
      <c r="DD62" s="488" t="n"/>
      <c r="DE62" s="489" t="n"/>
      <c r="DF62" s="490" t="n"/>
      <c r="DG62" s="489" t="n"/>
      <c r="DH62" s="488" t="n"/>
      <c r="DI62" s="489" t="n"/>
      <c r="DJ62" s="490" t="n"/>
      <c r="DK62" s="489" t="n"/>
      <c r="DL62" s="488" t="n"/>
      <c r="DM62" s="489" t="n"/>
      <c r="DN62" s="490" t="n"/>
      <c r="DO62" s="306" t="n"/>
      <c r="DP62" s="341" t="n"/>
      <c r="DQ62" s="879" t="n"/>
      <c r="DR62" s="879">
        <f>SUMPRODUCT(--(MOD(COLUMN(BT62:CQ62),4)=MOD(COLUMN(BT62),4)),BT62:CQ62)*$I62+SUMPRODUCT(--(MOD(COLUMN(CR62:DO62),4)=MOD(COLUMN(CR62),4)),CR62:DO62)*$I62</f>
        <v/>
      </c>
      <c r="DS62" s="819" t="n"/>
      <c r="DT62" s="819" t="n"/>
      <c r="DU62" s="488" t="n"/>
      <c r="DV62" s="489" t="n"/>
      <c r="DW62" s="490" t="n"/>
      <c r="DX62" s="489" t="n"/>
      <c r="DY62" s="488" t="n"/>
      <c r="DZ62" s="489" t="n"/>
      <c r="EA62" s="490" t="n"/>
      <c r="EB62" s="489" t="n"/>
      <c r="EC62" s="488" t="n"/>
      <c r="ED62" s="489" t="n"/>
      <c r="EE62" s="490" t="n"/>
      <c r="EF62" s="489" t="n"/>
      <c r="EG62" s="488" t="n"/>
      <c r="EH62" s="489" t="n"/>
      <c r="EI62" s="307" t="n"/>
      <c r="EJ62" s="489" t="n"/>
      <c r="EK62" s="488" t="n"/>
      <c r="EL62" s="489" t="n"/>
      <c r="EM62" s="490" t="n"/>
      <c r="EN62" s="489" t="n"/>
      <c r="EO62" s="488" t="n"/>
      <c r="EP62" s="489" t="n"/>
      <c r="EQ62" s="490" t="n"/>
      <c r="ER62" s="489" t="n"/>
      <c r="ES62" s="488" t="n"/>
      <c r="ET62" s="489" t="n"/>
      <c r="EU62" s="490" t="n"/>
      <c r="EV62" s="489" t="n"/>
      <c r="EW62" s="488" t="n"/>
      <c r="EX62" s="489" t="n"/>
      <c r="EY62" s="490" t="n"/>
      <c r="EZ62" s="489" t="n"/>
      <c r="FA62" s="488" t="n"/>
      <c r="FB62" s="489" t="n"/>
      <c r="FC62" s="490" t="n"/>
      <c r="FD62" s="489" t="n"/>
      <c r="FE62" s="488" t="n"/>
      <c r="FF62" s="489" t="n"/>
      <c r="FG62" s="490" t="n"/>
      <c r="FH62" s="489" t="n"/>
      <c r="FI62" s="488" t="n"/>
      <c r="FJ62" s="489" t="n"/>
      <c r="FK62" s="490" t="n"/>
      <c r="FL62" s="489" t="n"/>
      <c r="FM62" s="488" t="n"/>
      <c r="FN62" s="489" t="n"/>
      <c r="FO62" s="490" t="n"/>
      <c r="FP62" s="306" t="n"/>
      <c r="FQ62" s="341" t="n"/>
      <c r="FR62" s="879" t="n"/>
      <c r="FS62" s="879">
        <f>SUMPRODUCT(--(MOD(COLUMN(DU62:ER62),4)=MOD(COLUMN(DU62),4)),DU62:ER62)*$I62+SUMPRODUCT(--(MOD(COLUMN(ES62:FP62),4)=MOD(COLUMN(ES62),4)),ES62:FP62)*$I62</f>
        <v/>
      </c>
      <c r="FT62" s="360" t="n"/>
    </row>
    <row r="63" outlineLevel="2" customFormat="1" s="14">
      <c r="A63" s="411" t="inlineStr">
        <is>
          <t>СТК ООО</t>
        </is>
      </c>
      <c r="B63" s="387" t="inlineStr">
        <is>
          <t>Договор не подписан</t>
        </is>
      </c>
      <c r="C63" s="541" t="inlineStr">
        <is>
          <t>ВБК РУС</t>
        </is>
      </c>
      <c r="D63" s="565" t="inlineStr">
        <is>
          <t>Прасолов, Соловьёв</t>
        </is>
      </c>
      <c r="E63" s="10">
        <f>IF(ISBLANK(G63),"",IF($A$6:$A$330=$A63,COUNTIF($A$6:A63,$A63),""))</f>
        <v/>
      </c>
      <c r="F63" s="123" t="n">
        <v>1</v>
      </c>
      <c r="G63" s="124" t="n">
        <v>4334010030</v>
      </c>
      <c r="H63" s="604" t="inlineStr">
        <is>
          <t>Упругий элемент</t>
        </is>
      </c>
      <c r="I63" s="618" t="n">
        <v>0</v>
      </c>
      <c r="J63" s="618" t="n"/>
      <c r="K63" s="882" t="n"/>
      <c r="L63" s="618" t="n"/>
      <c r="M63" s="871" t="n"/>
      <c r="N63" s="871">
        <f>IF(BP63&gt;0,1,IF(BN63&gt;0,2,))</f>
        <v/>
      </c>
      <c r="O63" s="322" t="n"/>
      <c r="P63" s="408">
        <f>SUMPRODUCT((Комплекты[Пр]=$F63)*(Комплекты[Обозначение]=$G63)*Комплекты[Кол-во]*(
((Комплекты[Комплект]=$G$54)*P$54)+
((Комплекты[Комплект]=$G$53)*P$53)))</f>
        <v/>
      </c>
      <c r="Q63" s="307" t="n">
        <v>2</v>
      </c>
      <c r="R63" s="408" t="n"/>
      <c r="S63" s="322" t="n"/>
      <c r="T63" s="408" t="n"/>
      <c r="U63" s="307" t="n"/>
      <c r="V63" s="408" t="n"/>
      <c r="W63" s="322" t="n"/>
      <c r="X63" s="408" t="n"/>
      <c r="Y63" s="307" t="n"/>
      <c r="Z63" s="408" t="n"/>
      <c r="AA63" s="322" t="n"/>
      <c r="AB63" s="408" t="n"/>
      <c r="AC63" s="307" t="n"/>
      <c r="AD63" s="408" t="n"/>
      <c r="AE63" s="322" t="n"/>
      <c r="AF63" s="408" t="n"/>
      <c r="AG63" s="307" t="n">
        <v>0</v>
      </c>
      <c r="AH63" s="408" t="n"/>
      <c r="AI63" s="322" t="n"/>
      <c r="AJ63" s="408" t="n"/>
      <c r="AK63" s="307" t="n"/>
      <c r="AL63" s="408" t="n"/>
      <c r="AM63" s="322" t="n"/>
      <c r="AN63" s="408" t="n"/>
      <c r="AO63" s="307" t="n"/>
      <c r="AP63" s="408" t="n"/>
      <c r="AQ63" s="322" t="n"/>
      <c r="AR63" s="408" t="n"/>
      <c r="AS63" s="307" t="n"/>
      <c r="AT63" s="408" t="n"/>
      <c r="AU63" s="322" t="n"/>
      <c r="AV63" s="408" t="n"/>
      <c r="AW63" s="307" t="n"/>
      <c r="AX63" s="408" t="n"/>
      <c r="AY63" s="322" t="n"/>
      <c r="AZ63" s="408" t="n"/>
      <c r="BA63" s="307" t="n"/>
      <c r="BB63" s="408" t="n"/>
      <c r="BC63" s="322" t="n"/>
      <c r="BD63" s="408" t="n"/>
      <c r="BE63" s="307" t="n"/>
      <c r="BF63" s="408" t="n"/>
      <c r="BG63" s="322" t="n"/>
      <c r="BH63" s="408" t="n"/>
      <c r="BI63" s="307" t="n"/>
      <c r="BJ63" s="408" t="n"/>
      <c r="BK63" s="340" t="n"/>
      <c r="BL63" s="820">
        <f>SUMPRODUCT(--(MOD(COLUMN($O63:$AL63),4)=MOD(COLUMN($O63)+0,4)),$O63:$AL63)
+SUMPRODUCT(--(MOD(COLUMN($AM63:$BJ63),4)=MOD(COLUMN($AM63)+0,4)),$AM63:$BJ63)</f>
        <v/>
      </c>
      <c r="BM63" s="820">
        <f>SUMPRODUCT(--(MOD(COLUMN($O63:$AL63),4)=MOD(COLUMN($O63)+0,4)),$O63:$AL63)*
$I63+SUMPRODUCT(--(MOD(COLUMN($AM63:$BJ63),4)=MOD(COLUMN($AM63)+0,4)),$AM63:$BJ63)*$I63</f>
        <v/>
      </c>
      <c r="BN63" s="822">
        <f>SUMPRODUCT(--(MOD(COLUMN($O63:$AL63),4)=MOD(COLUMN($O63)+1,4)),$O63:$AL63)
+SUMPRODUCT(--(MOD(COLUMN($AM63:$BJ63),4)=MOD(COLUMN($AM63)+1,4)),$AM63:$BJ63)</f>
        <v/>
      </c>
      <c r="BO63" s="823">
        <f>SUMPRODUCT(--(MOD(COLUMN($O63:$AL63),4)=MOD(COLUMN($O63)+1,4)),$O63:$AL63)*
$I63+SUMPRODUCT(--(MOD(COLUMN($AM63:$BJ63),4)=MOD(COLUMN($AM63)+1,4)),$AM63:$BJ63)*$I63</f>
        <v/>
      </c>
      <c r="BP63" s="824">
        <f>SUMPRODUCT(--(MOD(COLUMN($O63:$AL63),4)=MOD(COLUMN($O63)+2,4)),$O63:$AL63)
+SUMPRODUCT(--(MOD(COLUMN($AM63:$BJ63),4)=MOD(COLUMN($AM63)+2,4)),$AM63:$BJ63)</f>
        <v/>
      </c>
      <c r="BQ63" s="825">
        <f>SUMPRODUCT(--(MOD(COLUMN($O63:$AL63),4)=MOD(COLUMN($O63)+2,4)),$O63:$AL63)*
$I63+SUMPRODUCT(--(MOD(COLUMN($AM63:$BJ63),4)=MOD(COLUMN($AM63)+2,4)),$AM63:$BJ63)*$I63</f>
        <v/>
      </c>
      <c r="BR63" s="819" t="n"/>
      <c r="BS63" s="819" t="n"/>
      <c r="BT63" s="488" t="n"/>
      <c r="BU63" s="489" t="n"/>
      <c r="BV63" s="490" t="n"/>
      <c r="BW63" s="489" t="n"/>
      <c r="BX63" s="488" t="n"/>
      <c r="BY63" s="489" t="n"/>
      <c r="BZ63" s="490" t="n"/>
      <c r="CA63" s="489" t="n"/>
      <c r="CB63" s="488" t="n"/>
      <c r="CC63" s="489" t="n"/>
      <c r="CD63" s="490" t="n"/>
      <c r="CE63" s="489" t="n"/>
      <c r="CF63" s="488" t="n"/>
      <c r="CG63" s="489" t="n"/>
      <c r="CH63" s="307" t="n"/>
      <c r="CI63" s="489" t="n"/>
      <c r="CJ63" s="488" t="n"/>
      <c r="CK63" s="489" t="n"/>
      <c r="CL63" s="490" t="n"/>
      <c r="CM63" s="489" t="n"/>
      <c r="CN63" s="488" t="n"/>
      <c r="CO63" s="489" t="n"/>
      <c r="CP63" s="490" t="n"/>
      <c r="CQ63" s="489" t="n"/>
      <c r="CR63" s="488" t="n"/>
      <c r="CS63" s="489" t="n"/>
      <c r="CT63" s="490" t="n"/>
      <c r="CU63" s="489" t="n"/>
      <c r="CV63" s="488" t="n"/>
      <c r="CW63" s="489" t="n"/>
      <c r="CX63" s="490" t="n"/>
      <c r="CY63" s="489" t="n"/>
      <c r="CZ63" s="488" t="n"/>
      <c r="DA63" s="489" t="n"/>
      <c r="DB63" s="490" t="n"/>
      <c r="DC63" s="489" t="n"/>
      <c r="DD63" s="488" t="n"/>
      <c r="DE63" s="489" t="n"/>
      <c r="DF63" s="490" t="n"/>
      <c r="DG63" s="489" t="n"/>
      <c r="DH63" s="488" t="n"/>
      <c r="DI63" s="489" t="n"/>
      <c r="DJ63" s="490" t="n"/>
      <c r="DK63" s="489" t="n"/>
      <c r="DL63" s="488" t="n"/>
      <c r="DM63" s="489" t="n"/>
      <c r="DN63" s="490" t="n"/>
      <c r="DO63" s="306" t="n"/>
      <c r="DP63" s="341" t="n"/>
      <c r="DQ63" s="879" t="n"/>
      <c r="DR63" s="879">
        <f>SUMPRODUCT(--(MOD(COLUMN(BT63:CQ63),4)=MOD(COLUMN(BT63),4)),BT63:CQ63)*$I63+SUMPRODUCT(--(MOD(COLUMN(CR63:DO63),4)=MOD(COLUMN(CR63),4)),CR63:DO63)*$I63</f>
        <v/>
      </c>
      <c r="DS63" s="819" t="n"/>
      <c r="DT63" s="819" t="n"/>
      <c r="DU63" s="488" t="n"/>
      <c r="DV63" s="489" t="n"/>
      <c r="DW63" s="490" t="n"/>
      <c r="DX63" s="489" t="n"/>
      <c r="DY63" s="488" t="n"/>
      <c r="DZ63" s="489" t="n"/>
      <c r="EA63" s="490" t="n"/>
      <c r="EB63" s="489" t="n"/>
      <c r="EC63" s="488" t="n"/>
      <c r="ED63" s="489" t="n"/>
      <c r="EE63" s="490" t="n"/>
      <c r="EF63" s="489" t="n"/>
      <c r="EG63" s="488" t="n"/>
      <c r="EH63" s="489" t="n"/>
      <c r="EI63" s="307" t="n"/>
      <c r="EJ63" s="489" t="n"/>
      <c r="EK63" s="488" t="n"/>
      <c r="EL63" s="489" t="n"/>
      <c r="EM63" s="490" t="n"/>
      <c r="EN63" s="489" t="n"/>
      <c r="EO63" s="488" t="n"/>
      <c r="EP63" s="489" t="n"/>
      <c r="EQ63" s="490" t="n"/>
      <c r="ER63" s="489" t="n"/>
      <c r="ES63" s="488" t="n"/>
      <c r="ET63" s="489" t="n"/>
      <c r="EU63" s="490" t="n"/>
      <c r="EV63" s="489" t="n"/>
      <c r="EW63" s="488" t="n"/>
      <c r="EX63" s="489" t="n"/>
      <c r="EY63" s="490" t="n"/>
      <c r="EZ63" s="489" t="n"/>
      <c r="FA63" s="488" t="n"/>
      <c r="FB63" s="489" t="n"/>
      <c r="FC63" s="490" t="n"/>
      <c r="FD63" s="489" t="n"/>
      <c r="FE63" s="488" t="n"/>
      <c r="FF63" s="489" t="n"/>
      <c r="FG63" s="490" t="n"/>
      <c r="FH63" s="489" t="n"/>
      <c r="FI63" s="488" t="n"/>
      <c r="FJ63" s="489" t="n"/>
      <c r="FK63" s="490" t="n"/>
      <c r="FL63" s="489" t="n"/>
      <c r="FM63" s="488" t="n"/>
      <c r="FN63" s="489" t="n"/>
      <c r="FO63" s="490" t="n"/>
      <c r="FP63" s="306" t="n"/>
      <c r="FQ63" s="341" t="n"/>
      <c r="FR63" s="879" t="n"/>
      <c r="FS63" s="879">
        <f>SUMPRODUCT(--(MOD(COLUMN(DU63:ER63),4)=MOD(COLUMN(DU63),4)),DU63:ER63)*$I63+SUMPRODUCT(--(MOD(COLUMN(ES63:FP63),4)=MOD(COLUMN(ES63),4)),ES63:FP63)*$I63</f>
        <v/>
      </c>
      <c r="FT63" s="360" t="n"/>
    </row>
    <row r="64" outlineLevel="2" customFormat="1" s="14">
      <c r="A64" s="413" t="inlineStr">
        <is>
          <t>СТК ООО</t>
        </is>
      </c>
      <c r="B64" s="389" t="inlineStr">
        <is>
          <t>Договор не подписан</t>
        </is>
      </c>
      <c r="C64" s="432" t="inlineStr">
        <is>
          <t>ВБК РУС</t>
        </is>
      </c>
      <c r="D64" s="575" t="inlineStr">
        <is>
          <t>Прасолов, Соловьёв</t>
        </is>
      </c>
      <c r="E64" s="284">
        <f>IF(ISBLANK(G64),"",IF($A$6:$A$330=$A64,COUNTIF($A$6:A64,$A64),""))</f>
        <v/>
      </c>
      <c r="F64" s="318" t="n">
        <v>1</v>
      </c>
      <c r="G64" s="319" t="n">
        <v>4494430600</v>
      </c>
      <c r="H64" s="603" t="inlineStr">
        <is>
          <t>Кабель клапана управления подъемом оси, 6 м</t>
        </is>
      </c>
      <c r="I64" s="619" t="n">
        <v>0</v>
      </c>
      <c r="J64" s="619" t="n"/>
      <c r="K64" s="881" t="n"/>
      <c r="L64" s="619" t="n"/>
      <c r="M64" s="871" t="n"/>
      <c r="N64" s="871">
        <f>IF(BP64&gt;0,1,IF(BN64&gt;0,2,))</f>
        <v/>
      </c>
      <c r="O64" s="322" t="n"/>
      <c r="P64" s="408">
        <f>SUMPRODUCT((Комплекты[Пр]=$F64)*(Комплекты[Обозначение]=$G64)*Комплекты[Кол-во]*(
((Комплекты[Комплект]=$G$54)*P$54)+
((Комплекты[Комплект]=$G$53)*P$53)))</f>
        <v/>
      </c>
      <c r="Q64" s="307">
        <f>SUMPRODUCT((Комплекты[Пр]=$F64)*(Комплекты[Обозначение]=$G64)*Комплекты[Кол-во]*(
((Комплекты[Комплект]=$G$54)*Q$54)+
((Комплекты[Комплект]=$G$53)*Q$53)))</f>
        <v/>
      </c>
      <c r="R64" s="408" t="n"/>
      <c r="S64" s="322" t="n"/>
      <c r="T64" s="408" t="n"/>
      <c r="U64" s="307" t="n"/>
      <c r="V64" s="408" t="n"/>
      <c r="W64" s="322" t="n"/>
      <c r="X64" s="408" t="n"/>
      <c r="Y64" s="307" t="n"/>
      <c r="Z64" s="408" t="n"/>
      <c r="AA64" s="322" t="n"/>
      <c r="AB64" s="408" t="n"/>
      <c r="AC64" s="307" t="n"/>
      <c r="AD64" s="408" t="n"/>
      <c r="AE64" s="322" t="n"/>
      <c r="AF64" s="408" t="n"/>
      <c r="AG64" s="307" t="n">
        <v>0</v>
      </c>
      <c r="AH64" s="408" t="n"/>
      <c r="AI64" s="322" t="n"/>
      <c r="AJ64" s="408" t="n"/>
      <c r="AK64" s="307" t="n"/>
      <c r="AL64" s="408" t="n"/>
      <c r="AM64" s="322" t="n"/>
      <c r="AN64" s="408" t="n"/>
      <c r="AO64" s="307" t="n"/>
      <c r="AP64" s="408" t="n"/>
      <c r="AQ64" s="322" t="n"/>
      <c r="AR64" s="408" t="n"/>
      <c r="AS64" s="307" t="n"/>
      <c r="AT64" s="408" t="n"/>
      <c r="AU64" s="322" t="n"/>
      <c r="AV64" s="408" t="n"/>
      <c r="AW64" s="307" t="n"/>
      <c r="AX64" s="408" t="n"/>
      <c r="AY64" s="322" t="n"/>
      <c r="AZ64" s="408" t="n"/>
      <c r="BA64" s="307" t="n"/>
      <c r="BB64" s="408" t="n"/>
      <c r="BC64" s="322" t="n"/>
      <c r="BD64" s="408" t="n"/>
      <c r="BE64" s="307" t="n"/>
      <c r="BF64" s="408" t="n"/>
      <c r="BG64" s="322" t="n"/>
      <c r="BH64" s="408" t="n"/>
      <c r="BI64" s="307" t="n"/>
      <c r="BJ64" s="408" t="n"/>
      <c r="BK64" s="340" t="n"/>
      <c r="BL64" s="820">
        <f>SUMPRODUCT(--(MOD(COLUMN($O64:$AL64),4)=MOD(COLUMN($O64)+0,4)),$O64:$AL64)
+SUMPRODUCT(--(MOD(COLUMN($AM64:$BJ64),4)=MOD(COLUMN($AM64)+0,4)),$AM64:$BJ64)</f>
        <v/>
      </c>
      <c r="BM64" s="820">
        <f>SUMPRODUCT(--(MOD(COLUMN($O64:$AL64),4)=MOD(COLUMN($O64)+0,4)),$O64:$AL64)*
$I64+SUMPRODUCT(--(MOD(COLUMN($AM64:$BJ64),4)=MOD(COLUMN($AM64)+0,4)),$AM64:$BJ64)*$I64</f>
        <v/>
      </c>
      <c r="BN64" s="822">
        <f>SUMPRODUCT(--(MOD(COLUMN($O64:$AL64),4)=MOD(COLUMN($O64)+1,4)),$O64:$AL64)
+SUMPRODUCT(--(MOD(COLUMN($AM64:$BJ64),4)=MOD(COLUMN($AM64)+1,4)),$AM64:$BJ64)</f>
        <v/>
      </c>
      <c r="BO64" s="823">
        <f>SUMPRODUCT(--(MOD(COLUMN($O64:$AL64),4)=MOD(COLUMN($O64)+1,4)),$O64:$AL64)*
$I64+SUMPRODUCT(--(MOD(COLUMN($AM64:$BJ64),4)=MOD(COLUMN($AM64)+1,4)),$AM64:$BJ64)*$I64</f>
        <v/>
      </c>
      <c r="BP64" s="824">
        <f>SUMPRODUCT(--(MOD(COLUMN($O64:$AL64),4)=MOD(COLUMN($O64)+2,4)),$O64:$AL64)
+SUMPRODUCT(--(MOD(COLUMN($AM64:$BJ64),4)=MOD(COLUMN($AM64)+2,4)),$AM64:$BJ64)</f>
        <v/>
      </c>
      <c r="BQ64" s="825">
        <f>SUMPRODUCT(--(MOD(COLUMN($O64:$AL64),4)=MOD(COLUMN($O64)+2,4)),$O64:$AL64)*
$I64+SUMPRODUCT(--(MOD(COLUMN($AM64:$BJ64),4)=MOD(COLUMN($AM64)+2,4)),$AM64:$BJ64)*$I64</f>
        <v/>
      </c>
      <c r="BR64" s="819" t="n"/>
      <c r="BS64" s="819" t="n"/>
      <c r="BT64" s="488" t="n"/>
      <c r="BU64" s="489" t="n"/>
      <c r="BV64" s="490" t="n"/>
      <c r="BW64" s="489" t="n"/>
      <c r="BX64" s="488" t="n"/>
      <c r="BY64" s="489" t="n"/>
      <c r="BZ64" s="490" t="n"/>
      <c r="CA64" s="489" t="n"/>
      <c r="CB64" s="488" t="n"/>
      <c r="CC64" s="489" t="n"/>
      <c r="CD64" s="490" t="n"/>
      <c r="CE64" s="489" t="n"/>
      <c r="CF64" s="488" t="n"/>
      <c r="CG64" s="489" t="n"/>
      <c r="CH64" s="307" t="n"/>
      <c r="CI64" s="489" t="n"/>
      <c r="CJ64" s="488" t="n"/>
      <c r="CK64" s="489" t="n"/>
      <c r="CL64" s="490" t="n"/>
      <c r="CM64" s="489" t="n"/>
      <c r="CN64" s="488" t="n"/>
      <c r="CO64" s="489" t="n"/>
      <c r="CP64" s="490" t="n"/>
      <c r="CQ64" s="489" t="n"/>
      <c r="CR64" s="488" t="n"/>
      <c r="CS64" s="489" t="n"/>
      <c r="CT64" s="490" t="n"/>
      <c r="CU64" s="489" t="n"/>
      <c r="CV64" s="488" t="n"/>
      <c r="CW64" s="489" t="n"/>
      <c r="CX64" s="490" t="n"/>
      <c r="CY64" s="489" t="n"/>
      <c r="CZ64" s="488" t="n"/>
      <c r="DA64" s="489" t="n"/>
      <c r="DB64" s="490" t="n"/>
      <c r="DC64" s="489" t="n"/>
      <c r="DD64" s="488" t="n"/>
      <c r="DE64" s="489" t="n"/>
      <c r="DF64" s="490" t="n"/>
      <c r="DG64" s="489" t="n"/>
      <c r="DH64" s="488" t="n"/>
      <c r="DI64" s="489" t="n"/>
      <c r="DJ64" s="490" t="n"/>
      <c r="DK64" s="489" t="n"/>
      <c r="DL64" s="488" t="n"/>
      <c r="DM64" s="489" t="n"/>
      <c r="DN64" s="490" t="n"/>
      <c r="DO64" s="306" t="n"/>
      <c r="DP64" s="341" t="n"/>
      <c r="DQ64" s="879" t="n"/>
      <c r="DR64" s="879">
        <f>SUMPRODUCT(--(MOD(COLUMN(BT64:CQ64),4)=MOD(COLUMN(BT64),4)),BT64:CQ64)*$I64+SUMPRODUCT(--(MOD(COLUMN(CR64:DO64),4)=MOD(COLUMN(CR64),4)),CR64:DO64)*$I64</f>
        <v/>
      </c>
      <c r="DS64" s="819" t="n"/>
      <c r="DT64" s="819" t="n"/>
      <c r="DU64" s="488" t="n"/>
      <c r="DV64" s="489" t="n"/>
      <c r="DW64" s="490" t="n"/>
      <c r="DX64" s="489" t="n"/>
      <c r="DY64" s="488" t="n"/>
      <c r="DZ64" s="489" t="n"/>
      <c r="EA64" s="490" t="n"/>
      <c r="EB64" s="489" t="n"/>
      <c r="EC64" s="488" t="n"/>
      <c r="ED64" s="489" t="n"/>
      <c r="EE64" s="490" t="n"/>
      <c r="EF64" s="489" t="n"/>
      <c r="EG64" s="488" t="n"/>
      <c r="EH64" s="489" t="n"/>
      <c r="EI64" s="307" t="n"/>
      <c r="EJ64" s="489" t="n"/>
      <c r="EK64" s="488" t="n"/>
      <c r="EL64" s="489" t="n"/>
      <c r="EM64" s="490" t="n"/>
      <c r="EN64" s="489" t="n"/>
      <c r="EO64" s="488" t="n"/>
      <c r="EP64" s="489" t="n"/>
      <c r="EQ64" s="490" t="n"/>
      <c r="ER64" s="489" t="n"/>
      <c r="ES64" s="488" t="n"/>
      <c r="ET64" s="489" t="n"/>
      <c r="EU64" s="490" t="n"/>
      <c r="EV64" s="489" t="n"/>
      <c r="EW64" s="488" t="n"/>
      <c r="EX64" s="489" t="n"/>
      <c r="EY64" s="490" t="n"/>
      <c r="EZ64" s="489" t="n"/>
      <c r="FA64" s="488" t="n"/>
      <c r="FB64" s="489" t="n"/>
      <c r="FC64" s="490" t="n"/>
      <c r="FD64" s="489" t="n"/>
      <c r="FE64" s="488" t="n"/>
      <c r="FF64" s="489" t="n"/>
      <c r="FG64" s="490" t="n"/>
      <c r="FH64" s="489" t="n"/>
      <c r="FI64" s="488" t="n"/>
      <c r="FJ64" s="489" t="n"/>
      <c r="FK64" s="490" t="n"/>
      <c r="FL64" s="489" t="n"/>
      <c r="FM64" s="488" t="n"/>
      <c r="FN64" s="489" t="n"/>
      <c r="FO64" s="490" t="n"/>
      <c r="FP64" s="306" t="n"/>
      <c r="FQ64" s="341" t="n"/>
      <c r="FR64" s="879" t="n"/>
      <c r="FS64" s="879">
        <f>SUMPRODUCT(--(MOD(COLUMN(DU64:ER64),4)=MOD(COLUMN(DU64),4)),DU64:ER64)*$I64+SUMPRODUCT(--(MOD(COLUMN(ES64:FP64),4)=MOD(COLUMN(ES64),4)),ES64:FP64)*$I64</f>
        <v/>
      </c>
      <c r="FT64" s="360" t="n"/>
    </row>
    <row r="65" outlineLevel="2" customFormat="1" s="14">
      <c r="A65" s="413" t="inlineStr">
        <is>
          <t>СТК ООО</t>
        </is>
      </c>
      <c r="B65" s="389" t="inlineStr">
        <is>
          <t>Договор не подписан</t>
        </is>
      </c>
      <c r="C65" s="432" t="inlineStr">
        <is>
          <t>ВБК РУС</t>
        </is>
      </c>
      <c r="D65" s="575" t="inlineStr">
        <is>
          <t>Прасолов, Соловьёв</t>
        </is>
      </c>
      <c r="E65" s="284">
        <f>IF(ISBLANK(G65),"",IF($A$6:$A$330=$A65,COUNTIF($A$6:A65,$A65),""))</f>
        <v/>
      </c>
      <c r="F65" s="318" t="n">
        <v>1</v>
      </c>
      <c r="G65" s="319" t="n">
        <v>4630840310</v>
      </c>
      <c r="H65" s="603" t="inlineStr">
        <is>
          <t>Клапан управления подъемом оси (LACV)</t>
        </is>
      </c>
      <c r="I65" s="619" t="n">
        <v>0</v>
      </c>
      <c r="J65" s="619" t="n"/>
      <c r="K65" s="881" t="n"/>
      <c r="L65" s="619" t="n"/>
      <c r="M65" s="871" t="n"/>
      <c r="N65" s="871">
        <f>IF(BP65&gt;0,1,IF(BN65&gt;0,2,))</f>
        <v/>
      </c>
      <c r="O65" s="322" t="n"/>
      <c r="P65" s="408">
        <f>SUMPRODUCT((Комплекты[Пр]=$F65)*(Комплекты[Обозначение]=$G65)*Комплекты[Кол-во]*(
((Комплекты[Комплект]=$G$54)*P$54)+
((Комплекты[Комплект]=$G$53)*P$53)))</f>
        <v/>
      </c>
      <c r="Q65" s="307">
        <f>SUMPRODUCT((Комплекты[Пр]=$F65)*(Комплекты[Обозначение]=$G65)*Комплекты[Кол-во]*(
((Комплекты[Комплект]=$G$54)*Q$54)+
((Комплекты[Комплект]=$G$53)*Q$53)))</f>
        <v/>
      </c>
      <c r="R65" s="408" t="n"/>
      <c r="S65" s="322" t="n"/>
      <c r="T65" s="408" t="n"/>
      <c r="U65" s="307" t="n"/>
      <c r="V65" s="408" t="n"/>
      <c r="W65" s="322" t="n"/>
      <c r="X65" s="408" t="n"/>
      <c r="Y65" s="307" t="n"/>
      <c r="Z65" s="408" t="n"/>
      <c r="AA65" s="322" t="n"/>
      <c r="AB65" s="408" t="n"/>
      <c r="AC65" s="307" t="n"/>
      <c r="AD65" s="408" t="n"/>
      <c r="AE65" s="322" t="n"/>
      <c r="AF65" s="408" t="n"/>
      <c r="AG65" s="307" t="n">
        <v>0</v>
      </c>
      <c r="AH65" s="408" t="n"/>
      <c r="AI65" s="322" t="n"/>
      <c r="AJ65" s="408" t="n"/>
      <c r="AK65" s="307" t="n"/>
      <c r="AL65" s="408" t="n"/>
      <c r="AM65" s="322" t="n"/>
      <c r="AN65" s="408" t="n"/>
      <c r="AO65" s="307" t="n"/>
      <c r="AP65" s="408" t="n"/>
      <c r="AQ65" s="322" t="n"/>
      <c r="AR65" s="408" t="n"/>
      <c r="AS65" s="307" t="n"/>
      <c r="AT65" s="408" t="n"/>
      <c r="AU65" s="322" t="n"/>
      <c r="AV65" s="408" t="n"/>
      <c r="AW65" s="307" t="n"/>
      <c r="AX65" s="408" t="n"/>
      <c r="AY65" s="322" t="n"/>
      <c r="AZ65" s="408" t="n"/>
      <c r="BA65" s="307" t="n"/>
      <c r="BB65" s="408" t="n"/>
      <c r="BC65" s="322" t="n"/>
      <c r="BD65" s="408" t="n"/>
      <c r="BE65" s="307" t="n"/>
      <c r="BF65" s="408" t="n"/>
      <c r="BG65" s="322" t="n"/>
      <c r="BH65" s="408" t="n"/>
      <c r="BI65" s="307" t="n"/>
      <c r="BJ65" s="408" t="n"/>
      <c r="BK65" s="340" t="n"/>
      <c r="BL65" s="820">
        <f>SUMPRODUCT(--(MOD(COLUMN($O65:$AL65),4)=MOD(COLUMN($O65)+0,4)),$O65:$AL65)
+SUMPRODUCT(--(MOD(COLUMN($AM65:$BJ65),4)=MOD(COLUMN($AM65)+0,4)),$AM65:$BJ65)</f>
        <v/>
      </c>
      <c r="BM65" s="820">
        <f>SUMPRODUCT(--(MOD(COLUMN($O65:$AL65),4)=MOD(COLUMN($O65)+0,4)),$O65:$AL65)*
$I65+SUMPRODUCT(--(MOD(COLUMN($AM65:$BJ65),4)=MOD(COLUMN($AM65)+0,4)),$AM65:$BJ65)*$I65</f>
        <v/>
      </c>
      <c r="BN65" s="822">
        <f>SUMPRODUCT(--(MOD(COLUMN($O65:$AL65),4)=MOD(COLUMN($O65)+1,4)),$O65:$AL65)
+SUMPRODUCT(--(MOD(COLUMN($AM65:$BJ65),4)=MOD(COLUMN($AM65)+1,4)),$AM65:$BJ65)</f>
        <v/>
      </c>
      <c r="BO65" s="823">
        <f>SUMPRODUCT(--(MOD(COLUMN($O65:$AL65),4)=MOD(COLUMN($O65)+1,4)),$O65:$AL65)*
$I65+SUMPRODUCT(--(MOD(COLUMN($AM65:$BJ65),4)=MOD(COLUMN($AM65)+1,4)),$AM65:$BJ65)*$I65</f>
        <v/>
      </c>
      <c r="BP65" s="824">
        <f>SUMPRODUCT(--(MOD(COLUMN($O65:$AL65),4)=MOD(COLUMN($O65)+2,4)),$O65:$AL65)
+SUMPRODUCT(--(MOD(COLUMN($AM65:$BJ65),4)=MOD(COLUMN($AM65)+2,4)),$AM65:$BJ65)</f>
        <v/>
      </c>
      <c r="BQ65" s="825">
        <f>SUMPRODUCT(--(MOD(COLUMN($O65:$AL65),4)=MOD(COLUMN($O65)+2,4)),$O65:$AL65)*
$I65+SUMPRODUCT(--(MOD(COLUMN($AM65:$BJ65),4)=MOD(COLUMN($AM65)+2,4)),$AM65:$BJ65)*$I65</f>
        <v/>
      </c>
      <c r="BR65" s="819" t="n"/>
      <c r="BS65" s="819" t="n"/>
      <c r="BT65" s="488" t="n"/>
      <c r="BU65" s="489" t="n"/>
      <c r="BV65" s="490" t="n"/>
      <c r="BW65" s="489" t="n"/>
      <c r="BX65" s="488" t="n"/>
      <c r="BY65" s="489" t="n"/>
      <c r="BZ65" s="490" t="n"/>
      <c r="CA65" s="489" t="n"/>
      <c r="CB65" s="488" t="n"/>
      <c r="CC65" s="489" t="n"/>
      <c r="CD65" s="490" t="n"/>
      <c r="CE65" s="489" t="n"/>
      <c r="CF65" s="488" t="n"/>
      <c r="CG65" s="489" t="n"/>
      <c r="CH65" s="307" t="n"/>
      <c r="CI65" s="489" t="n"/>
      <c r="CJ65" s="488" t="n"/>
      <c r="CK65" s="489" t="n"/>
      <c r="CL65" s="490" t="n"/>
      <c r="CM65" s="489" t="n"/>
      <c r="CN65" s="488" t="n"/>
      <c r="CO65" s="489" t="n"/>
      <c r="CP65" s="490" t="n"/>
      <c r="CQ65" s="489" t="n"/>
      <c r="CR65" s="488" t="n"/>
      <c r="CS65" s="489" t="n"/>
      <c r="CT65" s="490" t="n"/>
      <c r="CU65" s="489" t="n"/>
      <c r="CV65" s="488" t="n"/>
      <c r="CW65" s="489" t="n"/>
      <c r="CX65" s="490" t="n"/>
      <c r="CY65" s="489" t="n"/>
      <c r="CZ65" s="488" t="n"/>
      <c r="DA65" s="489" t="n"/>
      <c r="DB65" s="490" t="n"/>
      <c r="DC65" s="489" t="n"/>
      <c r="DD65" s="488" t="n"/>
      <c r="DE65" s="489" t="n"/>
      <c r="DF65" s="490" t="n"/>
      <c r="DG65" s="489" t="n"/>
      <c r="DH65" s="488" t="n"/>
      <c r="DI65" s="489" t="n"/>
      <c r="DJ65" s="490" t="n"/>
      <c r="DK65" s="489" t="n"/>
      <c r="DL65" s="488" t="n"/>
      <c r="DM65" s="489" t="n"/>
      <c r="DN65" s="490" t="n"/>
      <c r="DO65" s="306" t="n"/>
      <c r="DP65" s="341" t="n"/>
      <c r="DQ65" s="879" t="n"/>
      <c r="DR65" s="879">
        <f>SUMPRODUCT(--(MOD(COLUMN(BT65:CQ65),4)=MOD(COLUMN(BT65),4)),BT65:CQ65)*$I65+SUMPRODUCT(--(MOD(COLUMN(CR65:DO65),4)=MOD(COLUMN(CR65),4)),CR65:DO65)*$I65</f>
        <v/>
      </c>
      <c r="DS65" s="819" t="n"/>
      <c r="DT65" s="819" t="n"/>
      <c r="DU65" s="488" t="n"/>
      <c r="DV65" s="489" t="n"/>
      <c r="DW65" s="490" t="n"/>
      <c r="DX65" s="489" t="n"/>
      <c r="DY65" s="488" t="n"/>
      <c r="DZ65" s="489" t="n"/>
      <c r="EA65" s="490" t="n"/>
      <c r="EB65" s="489" t="n"/>
      <c r="EC65" s="488" t="n"/>
      <c r="ED65" s="489" t="n"/>
      <c r="EE65" s="490" t="n"/>
      <c r="EF65" s="489" t="n"/>
      <c r="EG65" s="488" t="n"/>
      <c r="EH65" s="489" t="n"/>
      <c r="EI65" s="307" t="n"/>
      <c r="EJ65" s="489" t="n"/>
      <c r="EK65" s="488" t="n"/>
      <c r="EL65" s="489" t="n"/>
      <c r="EM65" s="490" t="n"/>
      <c r="EN65" s="489" t="n"/>
      <c r="EO65" s="488" t="n"/>
      <c r="EP65" s="489" t="n"/>
      <c r="EQ65" s="490" t="n"/>
      <c r="ER65" s="489" t="n"/>
      <c r="ES65" s="488" t="n"/>
      <c r="ET65" s="489" t="n"/>
      <c r="EU65" s="490" t="n"/>
      <c r="EV65" s="489" t="n"/>
      <c r="EW65" s="488" t="n"/>
      <c r="EX65" s="489" t="n"/>
      <c r="EY65" s="490" t="n"/>
      <c r="EZ65" s="489" t="n"/>
      <c r="FA65" s="488" t="n"/>
      <c r="FB65" s="489" t="n"/>
      <c r="FC65" s="490" t="n"/>
      <c r="FD65" s="489" t="n"/>
      <c r="FE65" s="488" t="n"/>
      <c r="FF65" s="489" t="n"/>
      <c r="FG65" s="490" t="n"/>
      <c r="FH65" s="489" t="n"/>
      <c r="FI65" s="488" t="n"/>
      <c r="FJ65" s="489" t="n"/>
      <c r="FK65" s="490" t="n"/>
      <c r="FL65" s="489" t="n"/>
      <c r="FM65" s="488" t="n"/>
      <c r="FN65" s="489" t="n"/>
      <c r="FO65" s="490" t="n"/>
      <c r="FP65" s="306" t="n"/>
      <c r="FQ65" s="341" t="n"/>
      <c r="FR65" s="879" t="n"/>
      <c r="FS65" s="879">
        <f>SUMPRODUCT(--(MOD(COLUMN(DU65:ER65),4)=MOD(COLUMN(DU65),4)),DU65:ER65)*$I65+SUMPRODUCT(--(MOD(COLUMN(ES65:FP65),4)=MOD(COLUMN(ES65),4)),ES65:FP65)*$I65</f>
        <v/>
      </c>
      <c r="FT65" s="360" t="n"/>
    </row>
    <row r="66" outlineLevel="2" customFormat="1" s="14">
      <c r="A66" s="411" t="inlineStr">
        <is>
          <t>СТК ООО</t>
        </is>
      </c>
      <c r="B66" s="387" t="n"/>
      <c r="C66" s="541" t="n"/>
      <c r="D66" s="565" t="n"/>
      <c r="E66" s="13">
        <f>IF(ISBLANK(G66),"",IF($A$6:$A$330=$A66,COUNTIF($A$6:A66,$A66),""))</f>
        <v/>
      </c>
      <c r="F66" s="13" t="n"/>
      <c r="G66" s="111" t="n"/>
      <c r="H66" s="607" t="inlineStr">
        <is>
          <t>Итого</t>
        </is>
      </c>
      <c r="I66" s="617" t="n"/>
      <c r="J66" s="616" t="n"/>
      <c r="K66" s="870" t="n"/>
      <c r="L66" s="616" t="n"/>
      <c r="M66" s="871" t="n"/>
      <c r="N66" s="871">
        <f>IF(BP66&gt;0,1,IF(BN66&gt;0,2,))</f>
        <v/>
      </c>
      <c r="O66" s="322" t="n"/>
      <c r="P66" s="408" t="n"/>
      <c r="Q66" s="307" t="n"/>
      <c r="R66" s="408" t="n"/>
      <c r="S66" s="322" t="n"/>
      <c r="T66" s="408" t="n"/>
      <c r="U66" s="307" t="n"/>
      <c r="V66" s="408" t="n"/>
      <c r="W66" s="322" t="n"/>
      <c r="X66" s="408" t="n"/>
      <c r="Y66" s="307" t="n"/>
      <c r="Z66" s="408" t="n"/>
      <c r="AA66" s="322" t="n"/>
      <c r="AB66" s="408" t="n"/>
      <c r="AC66" s="307" t="n"/>
      <c r="AD66" s="408" t="n"/>
      <c r="AE66" s="322" t="n"/>
      <c r="AF66" s="408" t="n"/>
      <c r="AG66" s="307" t="n"/>
      <c r="AH66" s="408" t="n"/>
      <c r="AI66" s="322" t="n"/>
      <c r="AJ66" s="408" t="n"/>
      <c r="AK66" s="307" t="n"/>
      <c r="AL66" s="408" t="n"/>
      <c r="AM66" s="322" t="n"/>
      <c r="AN66" s="408" t="n"/>
      <c r="AO66" s="307" t="n"/>
      <c r="AP66" s="408" t="n"/>
      <c r="AQ66" s="322" t="n"/>
      <c r="AR66" s="408" t="n"/>
      <c r="AS66" s="307" t="n"/>
      <c r="AT66" s="408" t="n"/>
      <c r="AU66" s="322" t="n"/>
      <c r="AV66" s="408" t="n"/>
      <c r="AW66" s="307" t="n"/>
      <c r="AX66" s="408" t="n"/>
      <c r="AY66" s="322" t="n"/>
      <c r="AZ66" s="408" t="n"/>
      <c r="BA66" s="307" t="n"/>
      <c r="BB66" s="408" t="n"/>
      <c r="BC66" s="322" t="n"/>
      <c r="BD66" s="408" t="n"/>
      <c r="BE66" s="307" t="n"/>
      <c r="BF66" s="408" t="n"/>
      <c r="BG66" s="322" t="n"/>
      <c r="BH66" s="408" t="n"/>
      <c r="BI66" s="307" t="n"/>
      <c r="BJ66" s="408" t="n"/>
      <c r="BK66" s="340" t="n"/>
      <c r="BL66" s="820">
        <f>SUMPRODUCT(--(MOD(COLUMN($O66:$AL66),4)=MOD(COLUMN($O66)+0,4)),$O66:$AL66)
+SUMPRODUCT(--(MOD(COLUMN($AM66:$BJ66),4)=MOD(COLUMN($AM66)+0,4)),$AM66:$BJ66)</f>
        <v/>
      </c>
      <c r="BM66" s="820">
        <f>SUMPRODUCT(--(MOD(COLUMN($O66:$AL66),4)=MOD(COLUMN($O66)+0,4)),$O66:$AL66)*
$I66+SUMPRODUCT(--(MOD(COLUMN($AM66:$BJ66),4)=MOD(COLUMN($AM66)+0,4)),$AM66:$BJ66)*$I66</f>
        <v/>
      </c>
      <c r="BN66" s="822">
        <f>SUMPRODUCT(--(MOD(COLUMN($O66:$AL66),4)=MOD(COLUMN($O66)+1,4)),$O66:$AL66)
+SUMPRODUCT(--(MOD(COLUMN($AM66:$BJ66),4)=MOD(COLUMN($AM66)+1,4)),$AM66:$BJ66)</f>
        <v/>
      </c>
      <c r="BO66" s="823">
        <f>SUMPRODUCT(--(MOD(COLUMN($O66:$AL66),4)=MOD(COLUMN($O66)+1,4)),$O66:$AL66)*
$I66+SUMPRODUCT(--(MOD(COLUMN($AM66:$BJ66),4)=MOD(COLUMN($AM66)+1,4)),$AM66:$BJ66)*$I66</f>
        <v/>
      </c>
      <c r="BP66" s="824">
        <f>SUMPRODUCT(--(MOD(COLUMN($O66:$AL66),4)=MOD(COLUMN($O66)+2,4)),$O66:$AL66)
+SUMPRODUCT(--(MOD(COLUMN($AM66:$BJ66),4)=MOD(COLUMN($AM66)+2,4)),$AM66:$BJ66)</f>
        <v/>
      </c>
      <c r="BQ66" s="825">
        <f>SUMPRODUCT(--(MOD(COLUMN($O66:$AL66),4)=MOD(COLUMN($O66)+2,4)),$O66:$AL66)*
$I66+SUMPRODUCT(--(MOD(COLUMN($AM66:$BJ66),4)=MOD(COLUMN($AM66)+2,4)),$AM66:$BJ66)*$I66</f>
        <v/>
      </c>
      <c r="BR66" s="819" t="n"/>
      <c r="BS66" s="819" t="n"/>
      <c r="BT66" s="488" t="n"/>
      <c r="BU66" s="489" t="n"/>
      <c r="BV66" s="490" t="n"/>
      <c r="BW66" s="489" t="n"/>
      <c r="BX66" s="488" t="n"/>
      <c r="BY66" s="489" t="n"/>
      <c r="BZ66" s="490" t="n"/>
      <c r="CA66" s="489" t="n"/>
      <c r="CB66" s="488" t="n"/>
      <c r="CC66" s="489" t="n"/>
      <c r="CD66" s="490" t="n"/>
      <c r="CE66" s="489" t="n"/>
      <c r="CF66" s="488" t="n"/>
      <c r="CG66" s="489" t="n"/>
      <c r="CH66" s="307" t="n"/>
      <c r="CI66" s="489" t="n"/>
      <c r="CJ66" s="488" t="n"/>
      <c r="CK66" s="489" t="n"/>
      <c r="CL66" s="490" t="n"/>
      <c r="CM66" s="489" t="n"/>
      <c r="CN66" s="488" t="n"/>
      <c r="CO66" s="489" t="n"/>
      <c r="CP66" s="490" t="n"/>
      <c r="CQ66" s="489" t="n"/>
      <c r="CR66" s="488" t="n"/>
      <c r="CS66" s="489" t="n"/>
      <c r="CT66" s="490" t="n"/>
      <c r="CU66" s="489" t="n"/>
      <c r="CV66" s="488" t="n"/>
      <c r="CW66" s="489" t="n"/>
      <c r="CX66" s="490" t="n"/>
      <c r="CY66" s="489" t="n"/>
      <c r="CZ66" s="488" t="n"/>
      <c r="DA66" s="489" t="n"/>
      <c r="DB66" s="490" t="n"/>
      <c r="DC66" s="489" t="n"/>
      <c r="DD66" s="488" t="n"/>
      <c r="DE66" s="489" t="n"/>
      <c r="DF66" s="490" t="n"/>
      <c r="DG66" s="489" t="n"/>
      <c r="DH66" s="488" t="n"/>
      <c r="DI66" s="489" t="n"/>
      <c r="DJ66" s="490" t="n"/>
      <c r="DK66" s="489" t="n"/>
      <c r="DL66" s="488" t="n"/>
      <c r="DM66" s="489" t="n"/>
      <c r="DN66" s="490" t="n"/>
      <c r="DO66" s="306" t="n"/>
      <c r="DP66" s="341" t="n"/>
      <c r="DQ66" s="879" t="n"/>
      <c r="DR66" s="879">
        <f>SUMPRODUCT(--(MOD(COLUMN(BT66:CQ66),4)=MOD(COLUMN(BT66),4)),BT66:CQ66)*$I66+SUMPRODUCT(--(MOD(COLUMN(CR66:DO66),4)=MOD(COLUMN(CR66),4)),CR66:DO66)*$I66</f>
        <v/>
      </c>
      <c r="DS66" s="819" t="n"/>
      <c r="DT66" s="819" t="n"/>
      <c r="DU66" s="488" t="n"/>
      <c r="DV66" s="489" t="n"/>
      <c r="DW66" s="490" t="n"/>
      <c r="DX66" s="489" t="n"/>
      <c r="DY66" s="488" t="n"/>
      <c r="DZ66" s="489" t="n"/>
      <c r="EA66" s="490" t="n"/>
      <c r="EB66" s="489" t="n"/>
      <c r="EC66" s="488" t="n"/>
      <c r="ED66" s="489" t="n"/>
      <c r="EE66" s="490" t="n"/>
      <c r="EF66" s="489" t="n"/>
      <c r="EG66" s="488" t="n"/>
      <c r="EH66" s="489" t="n"/>
      <c r="EI66" s="307" t="n"/>
      <c r="EJ66" s="489" t="n"/>
      <c r="EK66" s="488" t="n"/>
      <c r="EL66" s="489" t="n"/>
      <c r="EM66" s="490" t="n"/>
      <c r="EN66" s="489" t="n"/>
      <c r="EO66" s="488" t="n"/>
      <c r="EP66" s="489" t="n"/>
      <c r="EQ66" s="490" t="n"/>
      <c r="ER66" s="489" t="n"/>
      <c r="ES66" s="488" t="n"/>
      <c r="ET66" s="489" t="n"/>
      <c r="EU66" s="490" t="n"/>
      <c r="EV66" s="489" t="n"/>
      <c r="EW66" s="488" t="n"/>
      <c r="EX66" s="489" t="n"/>
      <c r="EY66" s="490" t="n"/>
      <c r="EZ66" s="489" t="n"/>
      <c r="FA66" s="488" t="n"/>
      <c r="FB66" s="489" t="n"/>
      <c r="FC66" s="490" t="n"/>
      <c r="FD66" s="489" t="n"/>
      <c r="FE66" s="488" t="n"/>
      <c r="FF66" s="489" t="n"/>
      <c r="FG66" s="490" t="n"/>
      <c r="FH66" s="489" t="n"/>
      <c r="FI66" s="488" t="n"/>
      <c r="FJ66" s="489" t="n"/>
      <c r="FK66" s="490" t="n"/>
      <c r="FL66" s="489" t="n"/>
      <c r="FM66" s="488" t="n"/>
      <c r="FN66" s="489" t="n"/>
      <c r="FO66" s="490" t="n"/>
      <c r="FP66" s="306" t="n"/>
      <c r="FQ66" s="341" t="n"/>
      <c r="FR66" s="879" t="n"/>
      <c r="FS66" s="879">
        <f>SUMPRODUCT(--(MOD(COLUMN(DU66:ER66),4)=MOD(COLUMN(DU66),4)),DU66:ER66)*$I66+SUMPRODUCT(--(MOD(COLUMN(ES66:FP66),4)=MOD(COLUMN(ES66),4)),ES66:FP66)*$I66</f>
        <v/>
      </c>
      <c r="FT66" s="360" t="n"/>
    </row>
    <row r="67" outlineLevel="1" customFormat="1" s="116">
      <c r="A67" s="46" t="inlineStr">
        <is>
          <t>СТК ООО</t>
        </is>
      </c>
      <c r="B67" s="388" t="n"/>
      <c r="C67" s="650" t="n"/>
      <c r="D67" s="651" t="n"/>
      <c r="E67" s="118">
        <f>IF(ISBLANK(G67),"",IF($A$6:$A$330=$A67,COUNTIF($A$6:A67,$A67),""))</f>
        <v/>
      </c>
      <c r="F67" s="117" t="n"/>
      <c r="G67" s="119" t="n"/>
      <c r="H67" s="608" t="n"/>
      <c r="I67" s="620" t="n"/>
      <c r="J67" s="620" t="n"/>
      <c r="K67" s="120" t="n"/>
      <c r="L67" s="620">
        <f>IF(K67="RUB",J67/ЮАНЬ,IF(K67="EUR",J67*ЕВРО/ЮАНЬ,""))</f>
        <v/>
      </c>
      <c r="M67" s="873" t="n"/>
      <c r="N67" s="871">
        <f>IF(BP67&gt;0,1,IF(BN67&gt;0,2,))</f>
        <v/>
      </c>
      <c r="O67" s="121" t="n"/>
      <c r="P67" s="121" t="n"/>
      <c r="Q67" s="121" t="n"/>
      <c r="R67" s="121" t="n"/>
      <c r="S67" s="121" t="n"/>
      <c r="T67" s="121" t="n"/>
      <c r="U67" s="121" t="n"/>
      <c r="V67" s="121" t="n"/>
      <c r="W67" s="121" t="n"/>
      <c r="X67" s="121" t="n"/>
      <c r="Y67" s="121" t="n"/>
      <c r="Z67" s="121" t="n"/>
      <c r="AA67" s="121" t="n"/>
      <c r="AB67" s="121" t="n"/>
      <c r="AC67" s="121" t="n"/>
      <c r="AD67" s="121" t="n"/>
      <c r="AE67" s="121" t="n"/>
      <c r="AF67" s="121" t="n"/>
      <c r="AG67" s="121" t="n"/>
      <c r="AH67" s="121" t="n"/>
      <c r="AI67" s="121" t="n"/>
      <c r="AJ67" s="121" t="n"/>
      <c r="AK67" s="121" t="n"/>
      <c r="AL67" s="121" t="n"/>
      <c r="AM67" s="121" t="n"/>
      <c r="AN67" s="121" t="n"/>
      <c r="AO67" s="121" t="n"/>
      <c r="AP67" s="121" t="n"/>
      <c r="AQ67" s="121" t="n"/>
      <c r="AR67" s="121" t="n"/>
      <c r="AS67" s="121" t="n"/>
      <c r="AT67" s="121" t="n"/>
      <c r="AU67" s="121" t="n"/>
      <c r="AV67" s="121" t="n"/>
      <c r="AW67" s="121" t="n"/>
      <c r="AX67" s="121" t="n"/>
      <c r="AY67" s="121" t="n"/>
      <c r="AZ67" s="121" t="n"/>
      <c r="BA67" s="121" t="n"/>
      <c r="BB67" s="121" t="n"/>
      <c r="BC67" s="121" t="n"/>
      <c r="BD67" s="121" t="n"/>
      <c r="BE67" s="121" t="n"/>
      <c r="BF67" s="121" t="n"/>
      <c r="BG67" s="121" t="n"/>
      <c r="BH67" s="121" t="n"/>
      <c r="BI67" s="121" t="n"/>
      <c r="BJ67" s="121" t="n"/>
      <c r="BK67" s="356" t="n"/>
      <c r="BL67" s="814">
        <f>SUMPRODUCT(--(MOD(COLUMN($O67:$AL67),4)=MOD(COLUMN($O67)+0,4)),$O67:$AL67)
+SUMPRODUCT(--(MOD(COLUMN($AM67:$BJ67),4)=MOD(COLUMN($AM67)+0,4)),$AM67:$BJ67)</f>
        <v/>
      </c>
      <c r="BM67" s="814">
        <f>SUMPRODUCT(--(MOD(COLUMN($O67:$AL67),4)=MOD(COLUMN($O67)+0,4)),$O67:$AL67)*
$I67+SUMPRODUCT(--(MOD(COLUMN($AM67:$BJ67),4)=MOD(COLUMN($AM67)+0,4)),$AM67:$BJ67)*$I67</f>
        <v/>
      </c>
      <c r="BN67" s="814">
        <f>SUMPRODUCT(--(MOD(COLUMN($O67:$AL67),4)=MOD(COLUMN($O67)+1,4)),$O67:$AL67)
+SUMPRODUCT(--(MOD(COLUMN($AM67:$BJ67),4)=MOD(COLUMN($AM67)+1,4)),$AM67:$BJ67)</f>
        <v/>
      </c>
      <c r="BO67" s="814">
        <f>SUMPRODUCT(--(MOD(COLUMN($O67:$AL67),4)=MOD(COLUMN($O67)+1,4)),$O67:$AL67)*
$I67+SUMPRODUCT(--(MOD(COLUMN($AM67:$BJ67),4)=MOD(COLUMN($AM67)+1,4)),$AM67:$BJ67)*$I67</f>
        <v/>
      </c>
      <c r="BP67" s="814">
        <f>SUMPRODUCT(--(MOD(COLUMN($O67:$AL67),4)=MOD(COLUMN($O67)+2,4)),$O67:$AL67)
+SUMPRODUCT(--(MOD(COLUMN($AM67:$BJ67),4)=MOD(COLUMN($AM67)+2,4)),$AM67:$BJ67)</f>
        <v/>
      </c>
      <c r="BQ67" s="814">
        <f>SUMPRODUCT(--(MOD(COLUMN($O67:$AL67),4)=MOD(COLUMN($O67)+2,4)),$O67:$AL67)*
$I67+SUMPRODUCT(--(MOD(COLUMN($AM67:$BJ67),4)=MOD(COLUMN($AM67)+2,4)),$AM67:$BJ67)*$I67</f>
        <v/>
      </c>
      <c r="BR67" s="51" t="n"/>
      <c r="BS67" s="335" t="n"/>
      <c r="BT67" s="121" t="n"/>
      <c r="BU67" s="121" t="n"/>
      <c r="BV67" s="121" t="n"/>
      <c r="BW67" s="121" t="n"/>
      <c r="BX67" s="121" t="n"/>
      <c r="BY67" s="121" t="n"/>
      <c r="BZ67" s="121" t="n"/>
      <c r="CA67" s="121" t="n"/>
      <c r="CB67" s="121" t="n"/>
      <c r="CC67" s="121" t="n"/>
      <c r="CD67" s="121" t="n"/>
      <c r="CE67" s="121" t="n"/>
      <c r="CF67" s="121" t="n"/>
      <c r="CG67" s="121" t="n"/>
      <c r="CH67" s="121" t="n"/>
      <c r="CI67" s="121" t="n"/>
      <c r="CJ67" s="121" t="n"/>
      <c r="CK67" s="121" t="n"/>
      <c r="CL67" s="121" t="n"/>
      <c r="CM67" s="121" t="n"/>
      <c r="CN67" s="121" t="n"/>
      <c r="CO67" s="121" t="n"/>
      <c r="CP67" s="121" t="n"/>
      <c r="CQ67" s="121" t="n"/>
      <c r="CR67" s="121" t="n"/>
      <c r="CS67" s="121" t="n"/>
      <c r="CT67" s="121" t="n"/>
      <c r="CU67" s="121" t="n"/>
      <c r="CV67" s="121" t="n"/>
      <c r="CW67" s="121" t="n"/>
      <c r="CX67" s="121" t="n"/>
      <c r="CY67" s="121" t="n"/>
      <c r="CZ67" s="121" t="n"/>
      <c r="DA67" s="121" t="n"/>
      <c r="DB67" s="121" t="n"/>
      <c r="DC67" s="121" t="n"/>
      <c r="DD67" s="121" t="n"/>
      <c r="DE67" s="121" t="n"/>
      <c r="DF67" s="121" t="n"/>
      <c r="DG67" s="121" t="n"/>
      <c r="DH67" s="121" t="n"/>
      <c r="DI67" s="121" t="n"/>
      <c r="DJ67" s="121" t="n"/>
      <c r="DK67" s="121" t="n"/>
      <c r="DL67" s="121" t="n"/>
      <c r="DM67" s="121" t="n"/>
      <c r="DN67" s="121" t="n"/>
      <c r="DO67" s="121" t="n"/>
      <c r="DP67" s="356" t="n"/>
      <c r="DQ67" s="814">
        <f>SUMPRODUCT(--(MOD(COLUMN(BT67:CQ67),4)=MOD(COLUMN(BT67),4)),BT67:CQ67)+SUMPRODUCT(--(MOD(COLUMN(CR67:DO67),4)=MOD(COLUMN(CR67),4)),CR67:DO67)</f>
        <v/>
      </c>
      <c r="DR67" s="814">
        <f>SUMPRODUCT(--(MOD(COLUMN(BT67:CQ67),4)=MOD(COLUMN(BT67),4)),BT67:CQ67)*$I67+SUMPRODUCT(--(MOD(COLUMN(CR67:DO67),4)=MOD(COLUMN(CR67),4)),CR67:DO67)*$I67</f>
        <v/>
      </c>
      <c r="DS67" s="51" t="n"/>
      <c r="DT67" s="335" t="n"/>
      <c r="DU67" s="121" t="n"/>
      <c r="DV67" s="121" t="n"/>
      <c r="DW67" s="121" t="n"/>
      <c r="DX67" s="121" t="n"/>
      <c r="DY67" s="121" t="n"/>
      <c r="DZ67" s="121" t="n"/>
      <c r="EA67" s="121" t="n"/>
      <c r="EB67" s="121" t="n"/>
      <c r="EC67" s="121" t="n"/>
      <c r="ED67" s="121" t="n"/>
      <c r="EE67" s="121" t="n"/>
      <c r="EF67" s="121" t="n"/>
      <c r="EG67" s="121" t="n"/>
      <c r="EH67" s="121" t="n"/>
      <c r="EI67" s="121" t="n"/>
      <c r="EJ67" s="121" t="n"/>
      <c r="EK67" s="121" t="n"/>
      <c r="EL67" s="121" t="n"/>
      <c r="EM67" s="121" t="n"/>
      <c r="EN67" s="121" t="n"/>
      <c r="EO67" s="121" t="n"/>
      <c r="EP67" s="121" t="n"/>
      <c r="EQ67" s="121" t="n"/>
      <c r="ER67" s="121" t="n"/>
      <c r="ES67" s="121" t="n"/>
      <c r="ET67" s="121" t="n"/>
      <c r="EU67" s="121" t="n"/>
      <c r="EV67" s="121" t="n"/>
      <c r="EW67" s="121" t="n"/>
      <c r="EX67" s="121" t="n"/>
      <c r="EY67" s="121" t="n"/>
      <c r="EZ67" s="121" t="n"/>
      <c r="FA67" s="121" t="n"/>
      <c r="FB67" s="121" t="n"/>
      <c r="FC67" s="121" t="n"/>
      <c r="FD67" s="121" t="n"/>
      <c r="FE67" s="121" t="n"/>
      <c r="FF67" s="121" t="n"/>
      <c r="FG67" s="121" t="n"/>
      <c r="FH67" s="121" t="n"/>
      <c r="FI67" s="121" t="n"/>
      <c r="FJ67" s="121" t="n"/>
      <c r="FK67" s="121" t="n"/>
      <c r="FL67" s="121" t="n"/>
      <c r="FM67" s="121" t="n"/>
      <c r="FN67" s="121" t="n"/>
      <c r="FO67" s="121" t="n"/>
      <c r="FP67" s="121" t="n"/>
      <c r="FQ67" s="356" t="n"/>
      <c r="FR67" s="814">
        <f>SUMPRODUCT(--(MOD(COLUMN(DU67:ER67),4)=MOD(COLUMN(DU67),4)),DU67:ER67)+SUMPRODUCT(--(MOD(COLUMN(ES67:FP67),4)=MOD(COLUMN(ES67),4)),ES67:FP67)</f>
        <v/>
      </c>
      <c r="FS67" s="814">
        <f>SUMPRODUCT(--(MOD(COLUMN(DU67:ER67),4)=MOD(COLUMN(DU67),4)),DU67:ER67)*$I67+SUMPRODUCT(--(MOD(COLUMN(ES67:FP67),4)=MOD(COLUMN(ES67),4)),ES67:FP67)*$I67</f>
        <v/>
      </c>
      <c r="FT67" s="343" t="n"/>
    </row>
    <row r="68" outlineLevel="2" customFormat="1" s="14">
      <c r="A68" s="418" t="inlineStr">
        <is>
          <t>ПРИЦЕПНАЯ ТЕХНИКА ООО</t>
        </is>
      </c>
      <c r="B68" s="387" t="inlineStr">
        <is>
          <t>Договор не подписан</t>
        </is>
      </c>
      <c r="C68" s="541" t="inlineStr">
        <is>
          <t>ВБК РУС</t>
        </is>
      </c>
      <c r="D68" s="565" t="inlineStr">
        <is>
          <t>Прасолов, Соловьёв</t>
        </is>
      </c>
      <c r="E68" s="10">
        <f>IF(ISBLANK(G68),"",IF($A$6:$A$330=$A68,COUNTIF($A$6:A68,$A68),""))</f>
        <v/>
      </c>
      <c r="F68" s="10" t="n">
        <v>2</v>
      </c>
      <c r="G68" s="55" t="n">
        <v>9630010510</v>
      </c>
      <c r="H68" s="54" t="inlineStr">
        <is>
          <t>Клапан растормаживания сдвоенный</t>
        </is>
      </c>
      <c r="I68" s="617">
        <f>J68/ЮАНЬ_2025_08_29</f>
        <v/>
      </c>
      <c r="J68" s="617">
        <f>9684/НДС_20</f>
        <v/>
      </c>
      <c r="K68" s="872" t="inlineStr">
        <is>
          <t>RUB</t>
        </is>
      </c>
      <c r="L68" s="617">
        <f>IF(K68="RUB",J68/ЮАНЬ,IF(K68="EUR",J68*ЕВРО/ЮАНЬ,""))</f>
        <v/>
      </c>
      <c r="M68" s="873" t="n"/>
      <c r="N68" s="871">
        <f>IF(BP68&gt;0,1,IF(BN68&gt;0,2,))</f>
        <v/>
      </c>
      <c r="O68" s="23" t="n"/>
      <c r="P68" s="24" t="n"/>
      <c r="Q68" s="25" t="n"/>
      <c r="R68" s="24" t="n"/>
      <c r="S68" s="23" t="n"/>
      <c r="T68" s="24" t="n"/>
      <c r="U68" s="25" t="n"/>
      <c r="V68" s="24" t="n"/>
      <c r="W68" s="23" t="n"/>
      <c r="X68" s="24" t="n"/>
      <c r="Y68" s="25" t="n"/>
      <c r="Z68" s="24" t="n"/>
      <c r="AA68" s="23" t="n"/>
      <c r="AB68" s="24" t="n"/>
      <c r="AC68" s="25" t="n"/>
      <c r="AD68" s="24" t="n"/>
      <c r="AE68" s="23" t="n"/>
      <c r="AF68" s="24" t="n"/>
      <c r="AG68" s="25" t="n">
        <v>1</v>
      </c>
      <c r="AH68" s="24" t="n"/>
      <c r="AI68" s="23" t="n"/>
      <c r="AJ68" s="24" t="n"/>
      <c r="AK68" s="25" t="n"/>
      <c r="AL68" s="24" t="n"/>
      <c r="AM68" s="23" t="n"/>
      <c r="AN68" s="24" t="n"/>
      <c r="AO68" s="25" t="n"/>
      <c r="AP68" s="24" t="n"/>
      <c r="AQ68" s="23" t="n"/>
      <c r="AR68" s="24" t="n"/>
      <c r="AS68" s="25" t="n"/>
      <c r="AT68" s="24" t="n"/>
      <c r="AU68" s="23" t="n"/>
      <c r="AV68" s="24" t="n"/>
      <c r="AW68" s="25" t="n"/>
      <c r="AX68" s="24" t="n"/>
      <c r="AY68" s="23" t="n"/>
      <c r="AZ68" s="24" t="n"/>
      <c r="BA68" s="25" t="n"/>
      <c r="BB68" s="24" t="n"/>
      <c r="BC68" s="23" t="n"/>
      <c r="BD68" s="24" t="n"/>
      <c r="BE68" s="25" t="n"/>
      <c r="BF68" s="24" t="n"/>
      <c r="BG68" s="23" t="n"/>
      <c r="BH68" s="24" t="n"/>
      <c r="BI68" s="25" t="n"/>
      <c r="BJ68" s="24" t="n"/>
      <c r="BK68" s="340" t="n"/>
      <c r="BL68" s="803">
        <f>SUMPRODUCT(--(MOD(COLUMN($O68:$AL68),4)=MOD(COLUMN($O68)+0,4)),$O68:$AL68)
+SUMPRODUCT(--(MOD(COLUMN($AM68:$BJ68),4)=MOD(COLUMN($AM68)+0,4)),$AM68:$BJ68)</f>
        <v/>
      </c>
      <c r="BM68" s="803">
        <f>SUMPRODUCT(--(MOD(COLUMN($O68:$AL68),4)=MOD(COLUMN($O68)+0,4)),$O68:$AL68)*
$I68+SUMPRODUCT(--(MOD(COLUMN($AM68:$BJ68),4)=MOD(COLUMN($AM68)+0,4)),$AM68:$BJ68)*$I68</f>
        <v/>
      </c>
      <c r="BN68" s="805">
        <f>SUMPRODUCT(--(MOD(COLUMN($O68:$AL68),4)=MOD(COLUMN($O68)+1,4)),$O68:$AL68)
+SUMPRODUCT(--(MOD(COLUMN($AM68:$BJ68),4)=MOD(COLUMN($AM68)+1,4)),$AM68:$BJ68)</f>
        <v/>
      </c>
      <c r="BO68" s="806">
        <f>SUMPRODUCT(--(MOD(COLUMN($O68:$AL68),4)=MOD(COLUMN($O68)+1,4)),$O68:$AL68)*
$I68+SUMPRODUCT(--(MOD(COLUMN($AM68:$BJ68),4)=MOD(COLUMN($AM68)+1,4)),$AM68:$BJ68)*$I68</f>
        <v/>
      </c>
      <c r="BP68" s="807">
        <f>SUMPRODUCT(--(MOD(COLUMN($O68:$AL68),4)=MOD(COLUMN($O68)+2,4)),$O68:$AL68)
+SUMPRODUCT(--(MOD(COLUMN($AM68:$BJ68),4)=MOD(COLUMN($AM68)+2,4)),$AM68:$BJ68)</f>
        <v/>
      </c>
      <c r="BQ68" s="808">
        <f>SUMPRODUCT(--(MOD(COLUMN($O68:$AL68),4)=MOD(COLUMN($O68)+2,4)),$O68:$AL68)*
$I68+SUMPRODUCT(--(MOD(COLUMN($AM68:$BJ68),4)=MOD(COLUMN($AM68)+2,4)),$AM68:$BJ68)*$I68</f>
        <v/>
      </c>
      <c r="BR68" s="801" t="n"/>
      <c r="BS68" s="819" t="n"/>
      <c r="BT68" s="23" t="n"/>
      <c r="BU68" s="24" t="n"/>
      <c r="BV68" s="25" t="n"/>
      <c r="BW68" s="24" t="n"/>
      <c r="BX68" s="23" t="n"/>
      <c r="BY68" s="24" t="n"/>
      <c r="BZ68" s="25" t="n"/>
      <c r="CA68" s="24" t="n"/>
      <c r="CB68" s="23" t="n"/>
      <c r="CC68" s="24" t="n"/>
      <c r="CD68" s="25" t="n"/>
      <c r="CE68" s="24" t="n"/>
      <c r="CF68" s="23" t="n"/>
      <c r="CG68" s="24" t="n"/>
      <c r="CH68" s="25" t="n"/>
      <c r="CI68" s="24" t="n"/>
      <c r="CJ68" s="23" t="n"/>
      <c r="CK68" s="24" t="n"/>
      <c r="CL68" s="25" t="n"/>
      <c r="CM68" s="24" t="n"/>
      <c r="CN68" s="23" t="n"/>
      <c r="CO68" s="24" t="n"/>
      <c r="CP68" s="25" t="n"/>
      <c r="CQ68" s="24" t="n"/>
      <c r="CR68" s="23" t="n"/>
      <c r="CS68" s="24" t="n"/>
      <c r="CT68" s="25" t="n"/>
      <c r="CU68" s="24" t="n"/>
      <c r="CV68" s="23" t="n"/>
      <c r="CW68" s="24" t="n"/>
      <c r="CX68" s="25" t="n"/>
      <c r="CY68" s="24" t="n"/>
      <c r="CZ68" s="23" t="n"/>
      <c r="DA68" s="24" t="n"/>
      <c r="DB68" s="25" t="n"/>
      <c r="DC68" s="24" t="n"/>
      <c r="DD68" s="23" t="n"/>
      <c r="DE68" s="24" t="n"/>
      <c r="DF68" s="25" t="n"/>
      <c r="DG68" s="24" t="n"/>
      <c r="DH68" s="23" t="n"/>
      <c r="DI68" s="24" t="n"/>
      <c r="DJ68" s="25" t="n"/>
      <c r="DK68" s="24" t="n"/>
      <c r="DL68" s="23" t="n"/>
      <c r="DM68" s="24" t="n"/>
      <c r="DN68" s="25" t="n"/>
      <c r="DO68" s="24" t="n"/>
      <c r="DP68" s="340" t="n"/>
      <c r="DQ68" s="803">
        <f>SUMPRODUCT(--(MOD(COLUMN(BT68:CQ68),4)=MOD(COLUMN(BT68),4)),BT68:CQ68)+SUMPRODUCT(--(MOD(COLUMN(CR68:DO68),4)=MOD(COLUMN(CR68),4)),CR68:DO68)</f>
        <v/>
      </c>
      <c r="DR68" s="803">
        <f>SUMPRODUCT(--(MOD(COLUMN(BT68:CQ68),4)=MOD(COLUMN(BT68),4)),BT68:CQ68)*$I68+SUMPRODUCT(--(MOD(COLUMN(CR68:DO68),4)=MOD(COLUMN(CR68),4)),CR68:DO68)*$I68</f>
        <v/>
      </c>
      <c r="DS68" s="801" t="n"/>
      <c r="DT68" s="819" t="n"/>
      <c r="DU68" s="23" t="n"/>
      <c r="DV68" s="24" t="n"/>
      <c r="DW68" s="25" t="n"/>
      <c r="DX68" s="24" t="n"/>
      <c r="DY68" s="23" t="n"/>
      <c r="DZ68" s="24" t="n"/>
      <c r="EA68" s="25" t="n"/>
      <c r="EB68" s="24" t="n"/>
      <c r="EC68" s="23" t="n"/>
      <c r="ED68" s="24" t="n"/>
      <c r="EE68" s="25" t="n"/>
      <c r="EF68" s="24" t="n"/>
      <c r="EG68" s="23" t="n"/>
      <c r="EH68" s="24" t="n"/>
      <c r="EI68" s="25" t="n"/>
      <c r="EJ68" s="24" t="n"/>
      <c r="EK68" s="23" t="n"/>
      <c r="EL68" s="24" t="n"/>
      <c r="EM68" s="25" t="n"/>
      <c r="EN68" s="24" t="n"/>
      <c r="EO68" s="23" t="n"/>
      <c r="EP68" s="24" t="n"/>
      <c r="EQ68" s="25" t="n"/>
      <c r="ER68" s="24" t="n"/>
      <c r="ES68" s="23" t="n"/>
      <c r="ET68" s="24" t="n"/>
      <c r="EU68" s="25" t="n"/>
      <c r="EV68" s="24" t="n"/>
      <c r="EW68" s="23" t="n"/>
      <c r="EX68" s="24" t="n"/>
      <c r="EY68" s="25" t="n"/>
      <c r="EZ68" s="24" t="n"/>
      <c r="FA68" s="23" t="n"/>
      <c r="FB68" s="24" t="n"/>
      <c r="FC68" s="25" t="n"/>
      <c r="FD68" s="24" t="n"/>
      <c r="FE68" s="23" t="n"/>
      <c r="FF68" s="24" t="n"/>
      <c r="FG68" s="25" t="n"/>
      <c r="FH68" s="24" t="n"/>
      <c r="FI68" s="23" t="n"/>
      <c r="FJ68" s="24" t="n"/>
      <c r="FK68" s="25" t="n"/>
      <c r="FL68" s="24" t="n"/>
      <c r="FM68" s="23" t="n"/>
      <c r="FN68" s="24" t="n"/>
      <c r="FO68" s="25" t="n"/>
      <c r="FP68" s="24" t="n"/>
      <c r="FQ68" s="340" t="n"/>
      <c r="FR68" s="803">
        <f>SUMPRODUCT(--(MOD(COLUMN(DU68:ER68),4)=MOD(COLUMN(DU68),4)),DU68:ER68)+SUMPRODUCT(--(MOD(COLUMN(ES68:FP68),4)=MOD(COLUMN(ES68),4)),ES68:FP68)</f>
        <v/>
      </c>
      <c r="FS68" s="803">
        <f>SUMPRODUCT(--(MOD(COLUMN(DU68:ER68),4)=MOD(COLUMN(DU68),4)),DU68:ER68)*$I68+SUMPRODUCT(--(MOD(COLUMN(ES68:FP68),4)=MOD(COLUMN(ES68),4)),ES68:FP68)*$I68</f>
        <v/>
      </c>
      <c r="FT68" s="360" t="n"/>
    </row>
    <row r="69" outlineLevel="2" customFormat="1" s="14">
      <c r="A69" s="418" t="inlineStr">
        <is>
          <t>ПРИЦЕПНАЯ ТЕХНИКА ООО</t>
        </is>
      </c>
      <c r="B69" s="387" t="inlineStr">
        <is>
          <t>Договор не подписан</t>
        </is>
      </c>
      <c r="C69" s="541" t="inlineStr">
        <is>
          <t>ВБК РУС</t>
        </is>
      </c>
      <c r="D69" s="565" t="inlineStr">
        <is>
          <t>Прасолов, Соловьёв</t>
        </is>
      </c>
      <c r="E69" s="10">
        <f>IF(ISBLANK(G69),"",IF($A$6:$A$330=$A69,COUNTIF($A$6:A69,$A69),""))</f>
        <v/>
      </c>
      <c r="F69" s="10" t="n">
        <v>2</v>
      </c>
      <c r="G69" s="55" t="n">
        <v>9735000510</v>
      </c>
      <c r="H69" s="54" t="inlineStr">
        <is>
          <t>Клапан быстрого растормаживания энергоакк.</t>
        </is>
      </c>
      <c r="I69" s="617">
        <f>J69/ЮАНЬ_2025_08_29</f>
        <v/>
      </c>
      <c r="J69" s="617">
        <f>4761/НДС_20</f>
        <v/>
      </c>
      <c r="K69" s="872" t="inlineStr">
        <is>
          <t>RUB</t>
        </is>
      </c>
      <c r="L69" s="617">
        <f>IF(K69="RUB",J69/ЮАНЬ,IF(K69="EUR",J69*ЕВРО/ЮАНЬ,""))</f>
        <v/>
      </c>
      <c r="M69" s="873" t="n"/>
      <c r="N69" s="871">
        <f>IF(BP69&gt;0,1,IF(BN69&gt;0,2,))</f>
        <v/>
      </c>
      <c r="O69" s="23" t="n"/>
      <c r="P69" s="24" t="n"/>
      <c r="Q69" s="25" t="n"/>
      <c r="R69" s="24" t="n"/>
      <c r="S69" s="23" t="n"/>
      <c r="T69" s="24" t="n"/>
      <c r="U69" s="25" t="n"/>
      <c r="V69" s="24" t="n"/>
      <c r="W69" s="23" t="n"/>
      <c r="X69" s="24" t="n"/>
      <c r="Y69" s="25" t="n"/>
      <c r="Z69" s="24" t="n"/>
      <c r="AA69" s="23" t="n"/>
      <c r="AB69" s="24" t="n"/>
      <c r="AC69" s="25" t="n"/>
      <c r="AD69" s="24" t="n"/>
      <c r="AE69" s="23" t="n"/>
      <c r="AF69" s="24" t="n"/>
      <c r="AG69" s="25" t="n"/>
      <c r="AH69" s="24" t="n"/>
      <c r="AI69" s="23" t="n"/>
      <c r="AJ69" s="24" t="n"/>
      <c r="AK69" s="25" t="n"/>
      <c r="AL69" s="24" t="n"/>
      <c r="AM69" s="23" t="n"/>
      <c r="AN69" s="24" t="n"/>
      <c r="AO69" s="25" t="n"/>
      <c r="AP69" s="24" t="n"/>
      <c r="AQ69" s="23" t="n"/>
      <c r="AR69" s="24" t="n"/>
      <c r="AS69" s="25" t="n"/>
      <c r="AT69" s="24" t="n"/>
      <c r="AU69" s="23" t="n"/>
      <c r="AV69" s="24" t="n"/>
      <c r="AW69" s="25" t="n"/>
      <c r="AX69" s="24" t="n"/>
      <c r="AY69" s="23" t="n"/>
      <c r="AZ69" s="24" t="n"/>
      <c r="BA69" s="25" t="n"/>
      <c r="BB69" s="24" t="n"/>
      <c r="BC69" s="23" t="n"/>
      <c r="BD69" s="24" t="n"/>
      <c r="BE69" s="25" t="n"/>
      <c r="BF69" s="24" t="n"/>
      <c r="BG69" s="23" t="n"/>
      <c r="BH69" s="24" t="n"/>
      <c r="BI69" s="25" t="n"/>
      <c r="BJ69" s="24" t="n"/>
      <c r="BK69" s="340" t="n"/>
      <c r="BL69" s="803">
        <f>SUMPRODUCT(--(MOD(COLUMN($O69:$AL69),4)=MOD(COLUMN($O69)+0,4)),$O69:$AL69)
+SUMPRODUCT(--(MOD(COLUMN($AM69:$BJ69),4)=MOD(COLUMN($AM69)+0,4)),$AM69:$BJ69)</f>
        <v/>
      </c>
      <c r="BM69" s="803">
        <f>SUMPRODUCT(--(MOD(COLUMN($O69:$AL69),4)=MOD(COLUMN($O69)+0,4)),$O69:$AL69)*
$I69+SUMPRODUCT(--(MOD(COLUMN($AM69:$BJ69),4)=MOD(COLUMN($AM69)+0,4)),$AM69:$BJ69)*$I69</f>
        <v/>
      </c>
      <c r="BN69" s="805">
        <f>SUMPRODUCT(--(MOD(COLUMN($O69:$AL69),4)=MOD(COLUMN($O69)+1,4)),$O69:$AL69)
+SUMPRODUCT(--(MOD(COLUMN($AM69:$BJ69),4)=MOD(COLUMN($AM69)+1,4)),$AM69:$BJ69)</f>
        <v/>
      </c>
      <c r="BO69" s="806">
        <f>SUMPRODUCT(--(MOD(COLUMN($O69:$AL69),4)=MOD(COLUMN($O69)+1,4)),$O69:$AL69)*
$I69+SUMPRODUCT(--(MOD(COLUMN($AM69:$BJ69),4)=MOD(COLUMN($AM69)+1,4)),$AM69:$BJ69)*$I69</f>
        <v/>
      </c>
      <c r="BP69" s="807">
        <f>SUMPRODUCT(--(MOD(COLUMN($O69:$AL69),4)=MOD(COLUMN($O69)+2,4)),$O69:$AL69)
+SUMPRODUCT(--(MOD(COLUMN($AM69:$BJ69),4)=MOD(COLUMN($AM69)+2,4)),$AM69:$BJ69)</f>
        <v/>
      </c>
      <c r="BQ69" s="808">
        <f>SUMPRODUCT(--(MOD(COLUMN($O69:$AL69),4)=MOD(COLUMN($O69)+2,4)),$O69:$AL69)*
$I69+SUMPRODUCT(--(MOD(COLUMN($AM69:$BJ69),4)=MOD(COLUMN($AM69)+2,4)),$AM69:$BJ69)*$I69</f>
        <v/>
      </c>
      <c r="BR69" s="801" t="n"/>
      <c r="BS69" s="819" t="n"/>
      <c r="BT69" s="23" t="n"/>
      <c r="BU69" s="24" t="n"/>
      <c r="BV69" s="25" t="n"/>
      <c r="BW69" s="24" t="n"/>
      <c r="BX69" s="23" t="n"/>
      <c r="BY69" s="24" t="n"/>
      <c r="BZ69" s="25" t="n"/>
      <c r="CA69" s="24" t="n"/>
      <c r="CB69" s="23" t="n"/>
      <c r="CC69" s="24" t="n"/>
      <c r="CD69" s="25" t="n"/>
      <c r="CE69" s="24" t="n"/>
      <c r="CF69" s="23" t="n"/>
      <c r="CG69" s="24" t="n"/>
      <c r="CH69" s="25" t="n"/>
      <c r="CI69" s="24" t="n"/>
      <c r="CJ69" s="23" t="n"/>
      <c r="CK69" s="24" t="n"/>
      <c r="CL69" s="25" t="n"/>
      <c r="CM69" s="24" t="n"/>
      <c r="CN69" s="23" t="n"/>
      <c r="CO69" s="24" t="n"/>
      <c r="CP69" s="25" t="n"/>
      <c r="CQ69" s="24" t="n"/>
      <c r="CR69" s="23" t="n"/>
      <c r="CS69" s="24" t="n"/>
      <c r="CT69" s="25" t="n"/>
      <c r="CU69" s="24" t="n"/>
      <c r="CV69" s="23" t="n"/>
      <c r="CW69" s="24" t="n"/>
      <c r="CX69" s="25" t="n"/>
      <c r="CY69" s="24" t="n"/>
      <c r="CZ69" s="23" t="n"/>
      <c r="DA69" s="24" t="n"/>
      <c r="DB69" s="25" t="n"/>
      <c r="DC69" s="24" t="n"/>
      <c r="DD69" s="23" t="n"/>
      <c r="DE69" s="24" t="n"/>
      <c r="DF69" s="25" t="n"/>
      <c r="DG69" s="24" t="n"/>
      <c r="DH69" s="23" t="n"/>
      <c r="DI69" s="24" t="n"/>
      <c r="DJ69" s="25" t="n"/>
      <c r="DK69" s="24" t="n"/>
      <c r="DL69" s="23" t="n"/>
      <c r="DM69" s="24" t="n"/>
      <c r="DN69" s="25" t="n"/>
      <c r="DO69" s="24" t="n"/>
      <c r="DP69" s="340" t="n"/>
      <c r="DQ69" s="803">
        <f>SUMPRODUCT(--(MOD(COLUMN(BT69:CQ69),4)=MOD(COLUMN(BT69),4)),BT69:CQ69)+SUMPRODUCT(--(MOD(COLUMN(CR69:DO69),4)=MOD(COLUMN(CR69),4)),CR69:DO69)</f>
        <v/>
      </c>
      <c r="DR69" s="803">
        <f>SUMPRODUCT(--(MOD(COLUMN(BT69:CQ69),4)=MOD(COLUMN(BT69),4)),BT69:CQ69)*$I69+SUMPRODUCT(--(MOD(COLUMN(CR69:DO69),4)=MOD(COLUMN(CR69),4)),CR69:DO69)*$I69</f>
        <v/>
      </c>
      <c r="DS69" s="801" t="n"/>
      <c r="DT69" s="819" t="n"/>
      <c r="DU69" s="23" t="n"/>
      <c r="DV69" s="24" t="n"/>
      <c r="DW69" s="25" t="n"/>
      <c r="DX69" s="24" t="n"/>
      <c r="DY69" s="23" t="n"/>
      <c r="DZ69" s="24" t="n"/>
      <c r="EA69" s="25" t="n"/>
      <c r="EB69" s="24" t="n"/>
      <c r="EC69" s="23" t="n"/>
      <c r="ED69" s="24" t="n"/>
      <c r="EE69" s="25" t="n"/>
      <c r="EF69" s="24" t="n"/>
      <c r="EG69" s="23" t="n"/>
      <c r="EH69" s="24" t="n"/>
      <c r="EI69" s="25" t="n"/>
      <c r="EJ69" s="24" t="n"/>
      <c r="EK69" s="23" t="n"/>
      <c r="EL69" s="24" t="n"/>
      <c r="EM69" s="25" t="n"/>
      <c r="EN69" s="24" t="n"/>
      <c r="EO69" s="23" t="n"/>
      <c r="EP69" s="24" t="n"/>
      <c r="EQ69" s="25" t="n"/>
      <c r="ER69" s="24" t="n"/>
      <c r="ES69" s="23" t="n"/>
      <c r="ET69" s="24" t="n"/>
      <c r="EU69" s="25" t="n"/>
      <c r="EV69" s="24" t="n"/>
      <c r="EW69" s="23" t="n"/>
      <c r="EX69" s="24" t="n"/>
      <c r="EY69" s="25" t="n"/>
      <c r="EZ69" s="24" t="n"/>
      <c r="FA69" s="23" t="n"/>
      <c r="FB69" s="24" t="n"/>
      <c r="FC69" s="25" t="n"/>
      <c r="FD69" s="24" t="n"/>
      <c r="FE69" s="23" t="n"/>
      <c r="FF69" s="24" t="n"/>
      <c r="FG69" s="25" t="n"/>
      <c r="FH69" s="24" t="n"/>
      <c r="FI69" s="23" t="n"/>
      <c r="FJ69" s="24" t="n"/>
      <c r="FK69" s="25" t="n"/>
      <c r="FL69" s="24" t="n"/>
      <c r="FM69" s="23" t="n"/>
      <c r="FN69" s="24" t="n"/>
      <c r="FO69" s="25" t="n"/>
      <c r="FP69" s="24" t="n"/>
      <c r="FQ69" s="340" t="n"/>
      <c r="FR69" s="803">
        <f>SUMPRODUCT(--(MOD(COLUMN(DU69:ER69),4)=MOD(COLUMN(DU69),4)),DU69:ER69)+SUMPRODUCT(--(MOD(COLUMN(ES69:FP69),4)=MOD(COLUMN(ES69),4)),ES69:FP69)</f>
        <v/>
      </c>
      <c r="FS69" s="803">
        <f>SUMPRODUCT(--(MOD(COLUMN(DU69:ER69),4)=MOD(COLUMN(DU69),4)),DU69:ER69)*$I69+SUMPRODUCT(--(MOD(COLUMN(ES69:FP69),4)=MOD(COLUMN(ES69),4)),ES69:FP69)*$I69</f>
        <v/>
      </c>
      <c r="FT69" s="360" t="n"/>
    </row>
    <row r="70" outlineLevel="2" customFormat="1" s="14">
      <c r="A70" s="421" t="inlineStr">
        <is>
          <t>ПРИЦЕПНАЯ ТЕХНИКА ООО</t>
        </is>
      </c>
      <c r="B70" s="389" t="inlineStr">
        <is>
          <t>Договор не подписан</t>
        </is>
      </c>
      <c r="C70" s="432" t="inlineStr">
        <is>
          <t>ВБК РУС</t>
        </is>
      </c>
      <c r="D70" s="575" t="inlineStr">
        <is>
          <t>Прасолов, Соловьёв</t>
        </is>
      </c>
      <c r="E70" s="284">
        <f>IF(ISBLANK(G70),"",IF($A$6:$A$330=$A70,COUNTIF($A$6:A70,$A70),""))</f>
        <v/>
      </c>
      <c r="F70" s="284" t="n">
        <v>2</v>
      </c>
      <c r="G70" s="304" t="n">
        <v>4640061000</v>
      </c>
      <c r="H70" s="602" t="inlineStr">
        <is>
          <t>Кран уровня пола</t>
        </is>
      </c>
      <c r="I70" s="616">
        <f>J70/ЮАНЬ_2025_08_29</f>
        <v/>
      </c>
      <c r="J70" s="616">
        <f>11224.32/НДС</f>
        <v/>
      </c>
      <c r="K70" s="870" t="inlineStr">
        <is>
          <t>RUB</t>
        </is>
      </c>
      <c r="L70" s="616">
        <f>IF(K70="RUB",J70/ЮАНЬ,IF(K70="EUR",J70*ЕВРО/ЮАНЬ,""))</f>
        <v/>
      </c>
      <c r="M70" s="871" t="n"/>
      <c r="N70" s="871">
        <f>IF(BP70&gt;0,1,IF(BN70&gt;0,2,))</f>
        <v/>
      </c>
      <c r="O70" s="322" t="n"/>
      <c r="P70" s="408" t="n"/>
      <c r="Q70" s="307" t="n"/>
      <c r="R70" s="408" t="n"/>
      <c r="S70" s="322" t="n"/>
      <c r="T70" s="408" t="n"/>
      <c r="U70" s="307" t="n"/>
      <c r="V70" s="408" t="n"/>
      <c r="W70" s="322" t="n"/>
      <c r="X70" s="408" t="n"/>
      <c r="Y70" s="307" t="n"/>
      <c r="Z70" s="408" t="n"/>
      <c r="AA70" s="322" t="n"/>
      <c r="AB70" s="408" t="n"/>
      <c r="AC70" s="307" t="n"/>
      <c r="AD70" s="408" t="n"/>
      <c r="AE70" s="322" t="n"/>
      <c r="AF70" s="408">
        <f>1</f>
        <v/>
      </c>
      <c r="AG70" s="307" t="n">
        <v>1</v>
      </c>
      <c r="AH70" s="408" t="n"/>
      <c r="AI70" s="322" t="n"/>
      <c r="AJ70" s="408" t="n"/>
      <c r="AK70" s="307" t="n"/>
      <c r="AL70" s="408" t="n"/>
      <c r="AM70" s="322" t="n"/>
      <c r="AN70" s="408" t="n"/>
      <c r="AO70" s="307" t="n"/>
      <c r="AP70" s="408" t="n"/>
      <c r="AQ70" s="322" t="n"/>
      <c r="AR70" s="408" t="n"/>
      <c r="AS70" s="307" t="n"/>
      <c r="AT70" s="408" t="n"/>
      <c r="AU70" s="322" t="n"/>
      <c r="AV70" s="408" t="n"/>
      <c r="AW70" s="307" t="n"/>
      <c r="AX70" s="408" t="n"/>
      <c r="AY70" s="322" t="n"/>
      <c r="AZ70" s="408" t="n"/>
      <c r="BA70" s="307" t="n"/>
      <c r="BB70" s="408" t="n"/>
      <c r="BC70" s="322" t="n"/>
      <c r="BD70" s="408" t="n"/>
      <c r="BE70" s="307" t="n"/>
      <c r="BF70" s="408" t="n"/>
      <c r="BG70" s="322" t="n"/>
      <c r="BH70" s="408" t="n"/>
      <c r="BI70" s="307" t="n"/>
      <c r="BJ70" s="408" t="n"/>
      <c r="BK70" s="340" t="n"/>
      <c r="BL70" s="820">
        <f>SUMPRODUCT(--(MOD(COLUMN($O70:$AL70),4)=MOD(COLUMN($O70)+0,4)),$O70:$AL70)
+SUMPRODUCT(--(MOD(COLUMN($AM70:$BJ70),4)=MOD(COLUMN($AM70)+0,4)),$AM70:$BJ70)</f>
        <v/>
      </c>
      <c r="BM70" s="820">
        <f>SUMPRODUCT(--(MOD(COLUMN($O70:$AL70),4)=MOD(COLUMN($O70)+0,4)),$O70:$AL70)*
$I70+SUMPRODUCT(--(MOD(COLUMN($AM70:$BJ70),4)=MOD(COLUMN($AM70)+0,4)),$AM70:$BJ70)*$I70</f>
        <v/>
      </c>
      <c r="BN70" s="822">
        <f>SUMPRODUCT(--(MOD(COLUMN($O70:$AL70),4)=MOD(COLUMN($O70)+1,4)),$O70:$AL70)
+SUMPRODUCT(--(MOD(COLUMN($AM70:$BJ70),4)=MOD(COLUMN($AM70)+1,4)),$AM70:$BJ70)</f>
        <v/>
      </c>
      <c r="BO70" s="823">
        <f>SUMPRODUCT(--(MOD(COLUMN($O70:$AL70),4)=MOD(COLUMN($O70)+1,4)),$O70:$AL70)*
$I70+SUMPRODUCT(--(MOD(COLUMN($AM70:$BJ70),4)=MOD(COLUMN($AM70)+1,4)),$AM70:$BJ70)*$I70</f>
        <v/>
      </c>
      <c r="BP70" s="824">
        <f>SUMPRODUCT(--(MOD(COLUMN($O70:$AL70),4)=MOD(COLUMN($O70)+2,4)),$O70:$AL70)
+SUMPRODUCT(--(MOD(COLUMN($AM70:$BJ70),4)=MOD(COLUMN($AM70)+2,4)),$AM70:$BJ70)</f>
        <v/>
      </c>
      <c r="BQ70" s="825">
        <f>SUMPRODUCT(--(MOD(COLUMN($O70:$AL70),4)=MOD(COLUMN($O70)+2,4)),$O70:$AL70)*
$I70+SUMPRODUCT(--(MOD(COLUMN($AM70:$BJ70),4)=MOD(COLUMN($AM70)+2,4)),$AM70:$BJ70)*$I70</f>
        <v/>
      </c>
      <c r="BR70" s="819" t="n"/>
      <c r="BS70" s="819" t="n"/>
      <c r="BT70" s="322" t="n"/>
      <c r="BU70" s="408" t="n"/>
      <c r="BV70" s="307" t="n"/>
      <c r="BW70" s="408" t="n"/>
      <c r="BX70" s="322" t="n"/>
      <c r="BY70" s="408" t="n"/>
      <c r="BZ70" s="307" t="n"/>
      <c r="CA70" s="408" t="n"/>
      <c r="CB70" s="322" t="n"/>
      <c r="CC70" s="408" t="n"/>
      <c r="CD70" s="307" t="n"/>
      <c r="CE70" s="408" t="n"/>
      <c r="CF70" s="322" t="n"/>
      <c r="CG70" s="408" t="n"/>
      <c r="CH70" s="307" t="n"/>
      <c r="CI70" s="408" t="n"/>
      <c r="CJ70" s="322" t="n"/>
      <c r="CK70" s="408" t="n"/>
      <c r="CL70" s="307" t="n"/>
      <c r="CM70" s="408" t="n"/>
      <c r="CN70" s="322" t="n"/>
      <c r="CO70" s="408" t="n"/>
      <c r="CP70" s="307" t="n"/>
      <c r="CQ70" s="408" t="n"/>
      <c r="CR70" s="322" t="n"/>
      <c r="CS70" s="408" t="n"/>
      <c r="CT70" s="307" t="n"/>
      <c r="CU70" s="408" t="n"/>
      <c r="CV70" s="322" t="n"/>
      <c r="CW70" s="408" t="n"/>
      <c r="CX70" s="307" t="n"/>
      <c r="CY70" s="408" t="n"/>
      <c r="CZ70" s="322" t="n"/>
      <c r="DA70" s="408" t="n"/>
      <c r="DB70" s="307" t="n"/>
      <c r="DC70" s="408" t="n"/>
      <c r="DD70" s="322" t="n"/>
      <c r="DE70" s="408" t="n"/>
      <c r="DF70" s="307" t="n"/>
      <c r="DG70" s="408" t="n"/>
      <c r="DH70" s="322" t="n"/>
      <c r="DI70" s="408" t="n"/>
      <c r="DJ70" s="307" t="n"/>
      <c r="DK70" s="408" t="n"/>
      <c r="DL70" s="322" t="n"/>
      <c r="DM70" s="408" t="n"/>
      <c r="DN70" s="307" t="n"/>
      <c r="DO70" s="408" t="n"/>
      <c r="DP70" s="340" t="n"/>
      <c r="DQ70" s="820" t="n"/>
      <c r="DR70" s="820" t="n"/>
      <c r="DS70" s="819" t="n"/>
      <c r="DT70" s="819" t="n"/>
      <c r="DU70" s="322" t="n"/>
      <c r="DV70" s="408" t="n"/>
      <c r="DW70" s="307" t="n"/>
      <c r="DX70" s="408" t="n"/>
      <c r="DY70" s="322" t="n"/>
      <c r="DZ70" s="408" t="n"/>
      <c r="EA70" s="307" t="n"/>
      <c r="EB70" s="408" t="n"/>
      <c r="EC70" s="322" t="n"/>
      <c r="ED70" s="408" t="n"/>
      <c r="EE70" s="307" t="n"/>
      <c r="EF70" s="408" t="n"/>
      <c r="EG70" s="322" t="n"/>
      <c r="EH70" s="408" t="n"/>
      <c r="EI70" s="307" t="n"/>
      <c r="EJ70" s="408" t="n"/>
      <c r="EK70" s="322" t="n"/>
      <c r="EL70" s="408" t="n"/>
      <c r="EM70" s="307" t="n"/>
      <c r="EN70" s="408" t="n"/>
      <c r="EO70" s="322" t="n"/>
      <c r="EP70" s="408" t="n"/>
      <c r="EQ70" s="307" t="n"/>
      <c r="ER70" s="408" t="n"/>
      <c r="ES70" s="322" t="n"/>
      <c r="ET70" s="408" t="n"/>
      <c r="EU70" s="307" t="n"/>
      <c r="EV70" s="408" t="n"/>
      <c r="EW70" s="322" t="n"/>
      <c r="EX70" s="408" t="n"/>
      <c r="EY70" s="307" t="n"/>
      <c r="EZ70" s="408" t="n"/>
      <c r="FA70" s="322" t="n"/>
      <c r="FB70" s="408" t="n"/>
      <c r="FC70" s="307" t="n"/>
      <c r="FD70" s="408" t="n"/>
      <c r="FE70" s="322" t="n"/>
      <c r="FF70" s="408" t="n"/>
      <c r="FG70" s="307" t="n"/>
      <c r="FH70" s="408" t="n"/>
      <c r="FI70" s="322" t="n"/>
      <c r="FJ70" s="408" t="n"/>
      <c r="FK70" s="307" t="n"/>
      <c r="FL70" s="408" t="n"/>
      <c r="FM70" s="322" t="n"/>
      <c r="FN70" s="408" t="n"/>
      <c r="FO70" s="307" t="n"/>
      <c r="FP70" s="408" t="n"/>
      <c r="FQ70" s="340" t="n"/>
      <c r="FR70" s="820" t="n"/>
      <c r="FS70" s="820" t="n"/>
      <c r="FT70" s="360" t="n"/>
    </row>
    <row r="71" outlineLevel="2" customFormat="1" s="14">
      <c r="A71" s="421" t="inlineStr">
        <is>
          <t>ПРИЦЕПНАЯ ТЕХНИКА ООО</t>
        </is>
      </c>
      <c r="B71" s="389" t="inlineStr">
        <is>
          <t>Договор не подписан</t>
        </is>
      </c>
      <c r="C71" s="432" t="inlineStr">
        <is>
          <t>ВБК РУС</t>
        </is>
      </c>
      <c r="D71" s="575" t="inlineStr">
        <is>
          <t>Прасолов, Соловьёв</t>
        </is>
      </c>
      <c r="E71" s="284">
        <f>IF(ISBLANK(G71),"",IF($A$6:$A$330=$A71,COUNTIF($A$6:A71,$A71),""))</f>
        <v/>
      </c>
      <c r="F71" s="284" t="n">
        <v>2</v>
      </c>
      <c r="G71" s="304" t="n">
        <v>4630320200</v>
      </c>
      <c r="H71" s="602" t="inlineStr">
        <is>
          <t>Кран ручного управления</t>
        </is>
      </c>
      <c r="I71" s="616">
        <f>J71/ЮАНЬ_2025_08_29</f>
        <v/>
      </c>
      <c r="J71" s="616">
        <f>11830.48/НДС</f>
        <v/>
      </c>
      <c r="K71" s="870" t="inlineStr">
        <is>
          <t>RUB</t>
        </is>
      </c>
      <c r="L71" s="616">
        <f>IF(K71="RUB",J71/ЮАНЬ,IF(K71="EUR",J71*ЕВРО/ЮАНЬ,""))</f>
        <v/>
      </c>
      <c r="M71" s="871" t="n"/>
      <c r="N71" s="871">
        <f>IF(BP71&gt;0,1,IF(BN71&gt;0,2,))</f>
        <v/>
      </c>
      <c r="O71" s="322" t="n"/>
      <c r="P71" s="408" t="n"/>
      <c r="Q71" s="307" t="n"/>
      <c r="R71" s="408" t="n"/>
      <c r="S71" s="322" t="n"/>
      <c r="T71" s="408" t="n"/>
      <c r="U71" s="307" t="n"/>
      <c r="V71" s="408" t="n"/>
      <c r="W71" s="322" t="n"/>
      <c r="X71" s="408" t="n"/>
      <c r="Y71" s="307" t="n"/>
      <c r="Z71" s="408" t="n"/>
      <c r="AA71" s="322" t="n"/>
      <c r="AB71" s="408" t="n"/>
      <c r="AC71" s="307" t="n"/>
      <c r="AD71" s="408" t="n"/>
      <c r="AE71" s="322" t="n"/>
      <c r="AF71" s="408">
        <f>1</f>
        <v/>
      </c>
      <c r="AG71" s="307" t="n">
        <v>1</v>
      </c>
      <c r="AH71" s="408" t="n"/>
      <c r="AI71" s="322" t="n"/>
      <c r="AJ71" s="408" t="n"/>
      <c r="AK71" s="307" t="n"/>
      <c r="AL71" s="408" t="n"/>
      <c r="AM71" s="322" t="n"/>
      <c r="AN71" s="408" t="n"/>
      <c r="AO71" s="307" t="n"/>
      <c r="AP71" s="408" t="n"/>
      <c r="AQ71" s="322" t="n"/>
      <c r="AR71" s="408" t="n"/>
      <c r="AS71" s="307" t="n"/>
      <c r="AT71" s="408" t="n"/>
      <c r="AU71" s="322" t="n"/>
      <c r="AV71" s="408" t="n"/>
      <c r="AW71" s="307" t="n"/>
      <c r="AX71" s="408" t="n"/>
      <c r="AY71" s="322" t="n"/>
      <c r="AZ71" s="408" t="n"/>
      <c r="BA71" s="307" t="n"/>
      <c r="BB71" s="408" t="n"/>
      <c r="BC71" s="322" t="n"/>
      <c r="BD71" s="408" t="n"/>
      <c r="BE71" s="307" t="n"/>
      <c r="BF71" s="408" t="n"/>
      <c r="BG71" s="322" t="n"/>
      <c r="BH71" s="408" t="n"/>
      <c r="BI71" s="307" t="n"/>
      <c r="BJ71" s="408" t="n"/>
      <c r="BK71" s="340" t="n"/>
      <c r="BL71" s="820">
        <f>SUMPRODUCT(--(MOD(COLUMN($O71:$AL71),4)=MOD(COLUMN($O71)+0,4)),$O71:$AL71)
+SUMPRODUCT(--(MOD(COLUMN($AM71:$BJ71),4)=MOD(COLUMN($AM71)+0,4)),$AM71:$BJ71)</f>
        <v/>
      </c>
      <c r="BM71" s="820">
        <f>SUMPRODUCT(--(MOD(COLUMN($O71:$AL71),4)=MOD(COLUMN($O71)+0,4)),$O71:$AL71)*
$I71+SUMPRODUCT(--(MOD(COLUMN($AM71:$BJ71),4)=MOD(COLUMN($AM71)+0,4)),$AM71:$BJ71)*$I71</f>
        <v/>
      </c>
      <c r="BN71" s="822">
        <f>SUMPRODUCT(--(MOD(COLUMN($O71:$AL71),4)=MOD(COLUMN($O71)+1,4)),$O71:$AL71)
+SUMPRODUCT(--(MOD(COLUMN($AM71:$BJ71),4)=MOD(COLUMN($AM71)+1,4)),$AM71:$BJ71)</f>
        <v/>
      </c>
      <c r="BO71" s="823">
        <f>SUMPRODUCT(--(MOD(COLUMN($O71:$AL71),4)=MOD(COLUMN($O71)+1,4)),$O71:$AL71)*
$I71+SUMPRODUCT(--(MOD(COLUMN($AM71:$BJ71),4)=MOD(COLUMN($AM71)+1,4)),$AM71:$BJ71)*$I71</f>
        <v/>
      </c>
      <c r="BP71" s="824">
        <f>SUMPRODUCT(--(MOD(COLUMN($O71:$AL71),4)=MOD(COLUMN($O71)+2,4)),$O71:$AL71)
+SUMPRODUCT(--(MOD(COLUMN($AM71:$BJ71),4)=MOD(COLUMN($AM71)+2,4)),$AM71:$BJ71)</f>
        <v/>
      </c>
      <c r="BQ71" s="825">
        <f>SUMPRODUCT(--(MOD(COLUMN($O71:$AL71),4)=MOD(COLUMN($O71)+2,4)),$O71:$AL71)*
$I71+SUMPRODUCT(--(MOD(COLUMN($AM71:$BJ71),4)=MOD(COLUMN($AM71)+2,4)),$AM71:$BJ71)*$I71</f>
        <v/>
      </c>
      <c r="BR71" s="819" t="n"/>
      <c r="BS71" s="819" t="n"/>
      <c r="BT71" s="322" t="n"/>
      <c r="BU71" s="408" t="n"/>
      <c r="BV71" s="307" t="n"/>
      <c r="BW71" s="408" t="n"/>
      <c r="BX71" s="322" t="n"/>
      <c r="BY71" s="408" t="n"/>
      <c r="BZ71" s="307" t="n"/>
      <c r="CA71" s="408" t="n"/>
      <c r="CB71" s="322" t="n"/>
      <c r="CC71" s="408" t="n"/>
      <c r="CD71" s="307" t="n"/>
      <c r="CE71" s="408" t="n"/>
      <c r="CF71" s="322" t="n"/>
      <c r="CG71" s="408" t="n"/>
      <c r="CH71" s="307" t="n"/>
      <c r="CI71" s="408" t="n"/>
      <c r="CJ71" s="322" t="n"/>
      <c r="CK71" s="408" t="n"/>
      <c r="CL71" s="307" t="n"/>
      <c r="CM71" s="408" t="n"/>
      <c r="CN71" s="322" t="n"/>
      <c r="CO71" s="408" t="n"/>
      <c r="CP71" s="307" t="n"/>
      <c r="CQ71" s="408" t="n"/>
      <c r="CR71" s="322" t="n"/>
      <c r="CS71" s="408" t="n"/>
      <c r="CT71" s="307" t="n"/>
      <c r="CU71" s="408" t="n"/>
      <c r="CV71" s="322" t="n"/>
      <c r="CW71" s="408" t="n"/>
      <c r="CX71" s="307" t="n"/>
      <c r="CY71" s="408" t="n"/>
      <c r="CZ71" s="322" t="n"/>
      <c r="DA71" s="408" t="n"/>
      <c r="DB71" s="307" t="n"/>
      <c r="DC71" s="408" t="n"/>
      <c r="DD71" s="322" t="n"/>
      <c r="DE71" s="408" t="n"/>
      <c r="DF71" s="307" t="n"/>
      <c r="DG71" s="408" t="n"/>
      <c r="DH71" s="322" t="n"/>
      <c r="DI71" s="408" t="n"/>
      <c r="DJ71" s="307" t="n"/>
      <c r="DK71" s="408" t="n"/>
      <c r="DL71" s="322" t="n"/>
      <c r="DM71" s="408" t="n"/>
      <c r="DN71" s="307" t="n"/>
      <c r="DO71" s="408" t="n"/>
      <c r="DP71" s="340" t="n"/>
      <c r="DQ71" s="820" t="n"/>
      <c r="DR71" s="820" t="n"/>
      <c r="DS71" s="819" t="n"/>
      <c r="DT71" s="819" t="n"/>
      <c r="DU71" s="322" t="n"/>
      <c r="DV71" s="408" t="n"/>
      <c r="DW71" s="307" t="n"/>
      <c r="DX71" s="408" t="n"/>
      <c r="DY71" s="322" t="n"/>
      <c r="DZ71" s="408" t="n"/>
      <c r="EA71" s="307" t="n"/>
      <c r="EB71" s="408" t="n"/>
      <c r="EC71" s="322" t="n"/>
      <c r="ED71" s="408" t="n"/>
      <c r="EE71" s="307" t="n"/>
      <c r="EF71" s="408" t="n"/>
      <c r="EG71" s="322" t="n"/>
      <c r="EH71" s="408" t="n"/>
      <c r="EI71" s="307" t="n"/>
      <c r="EJ71" s="408" t="n"/>
      <c r="EK71" s="322" t="n"/>
      <c r="EL71" s="408" t="n"/>
      <c r="EM71" s="307" t="n"/>
      <c r="EN71" s="408" t="n"/>
      <c r="EO71" s="322" t="n"/>
      <c r="EP71" s="408" t="n"/>
      <c r="EQ71" s="307" t="n"/>
      <c r="ER71" s="408" t="n"/>
      <c r="ES71" s="322" t="n"/>
      <c r="ET71" s="408" t="n"/>
      <c r="EU71" s="307" t="n"/>
      <c r="EV71" s="408" t="n"/>
      <c r="EW71" s="322" t="n"/>
      <c r="EX71" s="408" t="n"/>
      <c r="EY71" s="307" t="n"/>
      <c r="EZ71" s="408" t="n"/>
      <c r="FA71" s="322" t="n"/>
      <c r="FB71" s="408" t="n"/>
      <c r="FC71" s="307" t="n"/>
      <c r="FD71" s="408" t="n"/>
      <c r="FE71" s="322" t="n"/>
      <c r="FF71" s="408" t="n"/>
      <c r="FG71" s="307" t="n"/>
      <c r="FH71" s="408" t="n"/>
      <c r="FI71" s="322" t="n"/>
      <c r="FJ71" s="408" t="n"/>
      <c r="FK71" s="307" t="n"/>
      <c r="FL71" s="408" t="n"/>
      <c r="FM71" s="322" t="n"/>
      <c r="FN71" s="408" t="n"/>
      <c r="FO71" s="307" t="n"/>
      <c r="FP71" s="408" t="n"/>
      <c r="FQ71" s="340" t="n"/>
      <c r="FR71" s="820" t="n"/>
      <c r="FS71" s="820" t="n"/>
      <c r="FT71" s="360" t="n"/>
    </row>
    <row r="72" outlineLevel="2" customFormat="1" s="14">
      <c r="A72" s="421" t="inlineStr">
        <is>
          <t>ПРИЦЕПНАЯ ТЕХНИКА ООО</t>
        </is>
      </c>
      <c r="B72" s="389" t="inlineStr">
        <is>
          <t>Договор не подписан</t>
        </is>
      </c>
      <c r="C72" s="432" t="inlineStr">
        <is>
          <t>ВБК РУС</t>
        </is>
      </c>
      <c r="D72" s="575" t="inlineStr">
        <is>
          <t>Прасолов, Соловьёв</t>
        </is>
      </c>
      <c r="E72" s="284">
        <f>IF(ISBLANK(G72),"",IF($A$6:$A$330=$A72,COUNTIF($A$6:A72,$A72),""))</f>
        <v/>
      </c>
      <c r="F72" s="284" t="n">
        <v>2</v>
      </c>
      <c r="G72" s="304" t="n">
        <v>4334010030</v>
      </c>
      <c r="H72" s="602" t="inlineStr">
        <is>
          <t>Упругий элемент</t>
        </is>
      </c>
      <c r="I72" s="616">
        <f>J72/ЮАНЬ_2025_08_29</f>
        <v/>
      </c>
      <c r="J72" s="616">
        <f>945.2/НДС</f>
        <v/>
      </c>
      <c r="K72" s="870" t="inlineStr">
        <is>
          <t>RUB</t>
        </is>
      </c>
      <c r="L72" s="616">
        <f>IF(K72="RUB",J72/ЮАНЬ,IF(K72="EUR",J72*ЕВРО/ЮАНЬ,""))</f>
        <v/>
      </c>
      <c r="M72" s="871" t="n"/>
      <c r="N72" s="871">
        <f>IF(BP72&gt;0,1,IF(BN72&gt;0,2,))</f>
        <v/>
      </c>
      <c r="O72" s="322" t="n"/>
      <c r="P72" s="408" t="n"/>
      <c r="Q72" s="307" t="n"/>
      <c r="R72" s="408" t="n"/>
      <c r="S72" s="322" t="n"/>
      <c r="T72" s="408" t="n"/>
      <c r="U72" s="307" t="n"/>
      <c r="V72" s="408" t="n"/>
      <c r="W72" s="322" t="n"/>
      <c r="X72" s="408" t="n"/>
      <c r="Y72" s="307" t="n"/>
      <c r="Z72" s="408" t="n"/>
      <c r="AA72" s="322" t="n"/>
      <c r="AB72" s="408" t="n"/>
      <c r="AC72" s="307" t="n"/>
      <c r="AD72" s="408" t="n"/>
      <c r="AE72" s="322" t="n"/>
      <c r="AF72" s="408">
        <f>1</f>
        <v/>
      </c>
      <c r="AG72" s="307" t="n">
        <v>1</v>
      </c>
      <c r="AH72" s="408" t="n"/>
      <c r="AI72" s="322" t="n"/>
      <c r="AJ72" s="408" t="n"/>
      <c r="AK72" s="307" t="n"/>
      <c r="AL72" s="408" t="n"/>
      <c r="AM72" s="322" t="n"/>
      <c r="AN72" s="408" t="n"/>
      <c r="AO72" s="307" t="n"/>
      <c r="AP72" s="408" t="n"/>
      <c r="AQ72" s="322" t="n"/>
      <c r="AR72" s="408" t="n"/>
      <c r="AS72" s="307" t="n"/>
      <c r="AT72" s="408" t="n"/>
      <c r="AU72" s="322" t="n"/>
      <c r="AV72" s="408" t="n"/>
      <c r="AW72" s="307" t="n"/>
      <c r="AX72" s="408" t="n"/>
      <c r="AY72" s="322" t="n"/>
      <c r="AZ72" s="408" t="n"/>
      <c r="BA72" s="307" t="n"/>
      <c r="BB72" s="408" t="n"/>
      <c r="BC72" s="322" t="n"/>
      <c r="BD72" s="408" t="n"/>
      <c r="BE72" s="307" t="n"/>
      <c r="BF72" s="408" t="n"/>
      <c r="BG72" s="322" t="n"/>
      <c r="BH72" s="408" t="n"/>
      <c r="BI72" s="307" t="n"/>
      <c r="BJ72" s="408" t="n"/>
      <c r="BK72" s="340" t="n"/>
      <c r="BL72" s="820">
        <f>SUMPRODUCT(--(MOD(COLUMN($O72:$AL72),4)=MOD(COLUMN($O72)+0,4)),$O72:$AL72)
+SUMPRODUCT(--(MOD(COLUMN($AM72:$BJ72),4)=MOD(COLUMN($AM72)+0,4)),$AM72:$BJ72)</f>
        <v/>
      </c>
      <c r="BM72" s="820">
        <f>SUMPRODUCT(--(MOD(COLUMN($O72:$AL72),4)=MOD(COLUMN($O72)+0,4)),$O72:$AL72)*
$I72+SUMPRODUCT(--(MOD(COLUMN($AM72:$BJ72),4)=MOD(COLUMN($AM72)+0,4)),$AM72:$BJ72)*$I72</f>
        <v/>
      </c>
      <c r="BN72" s="822">
        <f>SUMPRODUCT(--(MOD(COLUMN($O72:$AL72),4)=MOD(COLUMN($O72)+1,4)),$O72:$AL72)
+SUMPRODUCT(--(MOD(COLUMN($AM72:$BJ72),4)=MOD(COLUMN($AM72)+1,4)),$AM72:$BJ72)</f>
        <v/>
      </c>
      <c r="BO72" s="823">
        <f>SUMPRODUCT(--(MOD(COLUMN($O72:$AL72),4)=MOD(COLUMN($O72)+1,4)),$O72:$AL72)*
$I72+SUMPRODUCT(--(MOD(COLUMN($AM72:$BJ72),4)=MOD(COLUMN($AM72)+1,4)),$AM72:$BJ72)*$I72</f>
        <v/>
      </c>
      <c r="BP72" s="824">
        <f>SUMPRODUCT(--(MOD(COLUMN($O72:$AL72),4)=MOD(COLUMN($O72)+2,4)),$O72:$AL72)
+SUMPRODUCT(--(MOD(COLUMN($AM72:$BJ72),4)=MOD(COLUMN($AM72)+2,4)),$AM72:$BJ72)</f>
        <v/>
      </c>
      <c r="BQ72" s="825">
        <f>SUMPRODUCT(--(MOD(COLUMN($O72:$AL72),4)=MOD(COLUMN($O72)+2,4)),$O72:$AL72)*
$I72+SUMPRODUCT(--(MOD(COLUMN($AM72:$BJ72),4)=MOD(COLUMN($AM72)+2,4)),$AM72:$BJ72)*$I72</f>
        <v/>
      </c>
      <c r="BR72" s="819" t="n"/>
      <c r="BS72" s="819" t="n"/>
      <c r="BT72" s="322" t="n"/>
      <c r="BU72" s="408" t="n"/>
      <c r="BV72" s="307" t="n"/>
      <c r="BW72" s="408" t="n"/>
      <c r="BX72" s="322" t="n"/>
      <c r="BY72" s="408" t="n"/>
      <c r="BZ72" s="307" t="n"/>
      <c r="CA72" s="408" t="n"/>
      <c r="CB72" s="322" t="n"/>
      <c r="CC72" s="408" t="n"/>
      <c r="CD72" s="307" t="n"/>
      <c r="CE72" s="408" t="n"/>
      <c r="CF72" s="322" t="n"/>
      <c r="CG72" s="408" t="n"/>
      <c r="CH72" s="307" t="n"/>
      <c r="CI72" s="408" t="n"/>
      <c r="CJ72" s="322" t="n"/>
      <c r="CK72" s="408" t="n"/>
      <c r="CL72" s="307" t="n"/>
      <c r="CM72" s="408" t="n"/>
      <c r="CN72" s="322" t="n"/>
      <c r="CO72" s="408" t="n"/>
      <c r="CP72" s="307" t="n"/>
      <c r="CQ72" s="408" t="n"/>
      <c r="CR72" s="322" t="n"/>
      <c r="CS72" s="408" t="n"/>
      <c r="CT72" s="307" t="n"/>
      <c r="CU72" s="408" t="n"/>
      <c r="CV72" s="322" t="n"/>
      <c r="CW72" s="408" t="n"/>
      <c r="CX72" s="307" t="n"/>
      <c r="CY72" s="408" t="n"/>
      <c r="CZ72" s="322" t="n"/>
      <c r="DA72" s="408" t="n"/>
      <c r="DB72" s="307" t="n"/>
      <c r="DC72" s="408" t="n"/>
      <c r="DD72" s="322" t="n"/>
      <c r="DE72" s="408" t="n"/>
      <c r="DF72" s="307" t="n"/>
      <c r="DG72" s="408" t="n"/>
      <c r="DH72" s="322" t="n"/>
      <c r="DI72" s="408" t="n"/>
      <c r="DJ72" s="307" t="n"/>
      <c r="DK72" s="408" t="n"/>
      <c r="DL72" s="322" t="n"/>
      <c r="DM72" s="408" t="n"/>
      <c r="DN72" s="307" t="n"/>
      <c r="DO72" s="408" t="n"/>
      <c r="DP72" s="340" t="n"/>
      <c r="DQ72" s="820" t="n"/>
      <c r="DR72" s="820" t="n"/>
      <c r="DS72" s="819" t="n"/>
      <c r="DT72" s="819" t="n"/>
      <c r="DU72" s="322" t="n"/>
      <c r="DV72" s="408" t="n"/>
      <c r="DW72" s="307" t="n"/>
      <c r="DX72" s="408" t="n"/>
      <c r="DY72" s="322" t="n"/>
      <c r="DZ72" s="408" t="n"/>
      <c r="EA72" s="307" t="n"/>
      <c r="EB72" s="408" t="n"/>
      <c r="EC72" s="322" t="n"/>
      <c r="ED72" s="408" t="n"/>
      <c r="EE72" s="307" t="n"/>
      <c r="EF72" s="408" t="n"/>
      <c r="EG72" s="322" t="n"/>
      <c r="EH72" s="408" t="n"/>
      <c r="EI72" s="307" t="n"/>
      <c r="EJ72" s="408" t="n"/>
      <c r="EK72" s="322" t="n"/>
      <c r="EL72" s="408" t="n"/>
      <c r="EM72" s="307" t="n"/>
      <c r="EN72" s="408" t="n"/>
      <c r="EO72" s="322" t="n"/>
      <c r="EP72" s="408" t="n"/>
      <c r="EQ72" s="307" t="n"/>
      <c r="ER72" s="408" t="n"/>
      <c r="ES72" s="322" t="n"/>
      <c r="ET72" s="408" t="n"/>
      <c r="EU72" s="307" t="n"/>
      <c r="EV72" s="408" t="n"/>
      <c r="EW72" s="322" t="n"/>
      <c r="EX72" s="408" t="n"/>
      <c r="EY72" s="307" t="n"/>
      <c r="EZ72" s="408" t="n"/>
      <c r="FA72" s="322" t="n"/>
      <c r="FB72" s="408" t="n"/>
      <c r="FC72" s="307" t="n"/>
      <c r="FD72" s="408" t="n"/>
      <c r="FE72" s="322" t="n"/>
      <c r="FF72" s="408" t="n"/>
      <c r="FG72" s="307" t="n"/>
      <c r="FH72" s="408" t="n"/>
      <c r="FI72" s="322" t="n"/>
      <c r="FJ72" s="408" t="n"/>
      <c r="FK72" s="307" t="n"/>
      <c r="FL72" s="408" t="n"/>
      <c r="FM72" s="322" t="n"/>
      <c r="FN72" s="408" t="n"/>
      <c r="FO72" s="307" t="n"/>
      <c r="FP72" s="408" t="n"/>
      <c r="FQ72" s="340" t="n"/>
      <c r="FR72" s="820" t="n"/>
      <c r="FS72" s="820" t="n"/>
      <c r="FT72" s="360" t="n"/>
    </row>
    <row r="73" outlineLevel="2" customFormat="1" s="14">
      <c r="A73" s="421" t="inlineStr">
        <is>
          <t>ПРИЦЕПНАЯ ТЕХНИКА ООО</t>
        </is>
      </c>
      <c r="B73" s="389" t="inlineStr">
        <is>
          <t>Договор не подписан</t>
        </is>
      </c>
      <c r="C73" s="432" t="inlineStr">
        <is>
          <t>ВБК РУС</t>
        </is>
      </c>
      <c r="D73" s="575" t="inlineStr">
        <is>
          <t>Прасолов, Соловьёв</t>
        </is>
      </c>
      <c r="E73" s="284">
        <f>IF(ISBLANK(G73),"",IF($A$6:$A$330=$A73,COUNTIF($A$6:A73,$A73),""))</f>
        <v/>
      </c>
      <c r="F73" s="284" t="n">
        <v>1</v>
      </c>
      <c r="G73" s="304" t="n">
        <v>4494430400</v>
      </c>
      <c r="H73" s="602" t="inlineStr">
        <is>
          <t>Кабель клапана управления подъемом оси, 4 м</t>
        </is>
      </c>
      <c r="I73" s="616">
        <f>194.18/НДС</f>
        <v/>
      </c>
      <c r="J73" s="616" t="n"/>
      <c r="K73" s="870" t="n"/>
      <c r="L73" s="616" t="n"/>
      <c r="M73" s="871" t="n"/>
      <c r="N73" s="871">
        <f>IF(BP73&gt;0,1,IF(BN73&gt;0,2,))</f>
        <v/>
      </c>
      <c r="O73" s="322" t="n"/>
      <c r="P73" s="408" t="n"/>
      <c r="Q73" s="307" t="n"/>
      <c r="R73" s="408" t="n"/>
      <c r="S73" s="322" t="n"/>
      <c r="T73" s="408">
        <f>2</f>
        <v/>
      </c>
      <c r="U73" s="307" t="n">
        <v>2</v>
      </c>
      <c r="V73" s="408" t="n"/>
      <c r="W73" s="322" t="n"/>
      <c r="X73" s="408" t="n"/>
      <c r="Y73" s="307" t="n"/>
      <c r="Z73" s="408" t="n"/>
      <c r="AA73" s="322" t="n"/>
      <c r="AB73" s="408" t="n"/>
      <c r="AC73" s="307" t="n"/>
      <c r="AD73" s="408" t="n"/>
      <c r="AE73" s="322" t="n"/>
      <c r="AF73" s="408" t="n"/>
      <c r="AG73" s="307" t="n"/>
      <c r="AH73" s="408" t="n"/>
      <c r="AI73" s="322" t="n"/>
      <c r="AJ73" s="408" t="n"/>
      <c r="AK73" s="307" t="n"/>
      <c r="AL73" s="408" t="n"/>
      <c r="AM73" s="322" t="n"/>
      <c r="AN73" s="408" t="n"/>
      <c r="AO73" s="307" t="n"/>
      <c r="AP73" s="408" t="n"/>
      <c r="AQ73" s="322" t="n"/>
      <c r="AR73" s="408" t="n"/>
      <c r="AS73" s="307" t="n"/>
      <c r="AT73" s="408" t="n"/>
      <c r="AU73" s="322" t="n"/>
      <c r="AV73" s="408" t="n"/>
      <c r="AW73" s="307" t="n"/>
      <c r="AX73" s="408" t="n"/>
      <c r="AY73" s="322" t="n"/>
      <c r="AZ73" s="408" t="n"/>
      <c r="BA73" s="307" t="n"/>
      <c r="BB73" s="408" t="n"/>
      <c r="BC73" s="322" t="n"/>
      <c r="BD73" s="408" t="n"/>
      <c r="BE73" s="307" t="n"/>
      <c r="BF73" s="408" t="n"/>
      <c r="BG73" s="322" t="n"/>
      <c r="BH73" s="408" t="n"/>
      <c r="BI73" s="307" t="n"/>
      <c r="BJ73" s="408" t="n"/>
      <c r="BK73" s="340" t="n"/>
      <c r="BL73" s="820">
        <f>SUMPRODUCT(--(MOD(COLUMN($O73:$AL73),4)=MOD(COLUMN($O73)+0,4)),$O73:$AL73)
+SUMPRODUCT(--(MOD(COLUMN($AM73:$BJ73),4)=MOD(COLUMN($AM73)+0,4)),$AM73:$BJ73)</f>
        <v/>
      </c>
      <c r="BM73" s="820">
        <f>SUMPRODUCT(--(MOD(COLUMN($O73:$AL73),4)=MOD(COLUMN($O73)+0,4)),$O73:$AL73)*
$I73+SUMPRODUCT(--(MOD(COLUMN($AM73:$BJ73),4)=MOD(COLUMN($AM73)+0,4)),$AM73:$BJ73)*$I73</f>
        <v/>
      </c>
      <c r="BN73" s="822">
        <f>SUMPRODUCT(--(MOD(COLUMN($O73:$AL73),4)=MOD(COLUMN($O73)+1,4)),$O73:$AL73)
+SUMPRODUCT(--(MOD(COLUMN($AM73:$BJ73),4)=MOD(COLUMN($AM73)+1,4)),$AM73:$BJ73)</f>
        <v/>
      </c>
      <c r="BO73" s="823">
        <f>SUMPRODUCT(--(MOD(COLUMN($O73:$AL73),4)=MOD(COLUMN($O73)+1,4)),$O73:$AL73)*
$I73+SUMPRODUCT(--(MOD(COLUMN($AM73:$BJ73),4)=MOD(COLUMN($AM73)+1,4)),$AM73:$BJ73)*$I73</f>
        <v/>
      </c>
      <c r="BP73" s="824">
        <f>SUMPRODUCT(--(MOD(COLUMN($O73:$AL73),4)=MOD(COLUMN($O73)+2,4)),$O73:$AL73)
+SUMPRODUCT(--(MOD(COLUMN($AM73:$BJ73),4)=MOD(COLUMN($AM73)+2,4)),$AM73:$BJ73)</f>
        <v/>
      </c>
      <c r="BQ73" s="825">
        <f>SUMPRODUCT(--(MOD(COLUMN($O73:$AL73),4)=MOD(COLUMN($O73)+2,4)),$O73:$AL73)*
$I73+SUMPRODUCT(--(MOD(COLUMN($AM73:$BJ73),4)=MOD(COLUMN($AM73)+2,4)),$AM73:$BJ73)*$I73</f>
        <v/>
      </c>
      <c r="BR73" s="819" t="n"/>
      <c r="BS73" s="819" t="n"/>
      <c r="BT73" s="322" t="n"/>
      <c r="BU73" s="408" t="n"/>
      <c r="BV73" s="307" t="n"/>
      <c r="BW73" s="408" t="n"/>
      <c r="BX73" s="322" t="n"/>
      <c r="BY73" s="408" t="n"/>
      <c r="BZ73" s="307" t="n"/>
      <c r="CA73" s="408" t="n"/>
      <c r="CB73" s="322" t="n"/>
      <c r="CC73" s="408" t="n"/>
      <c r="CD73" s="307" t="n"/>
      <c r="CE73" s="408" t="n"/>
      <c r="CF73" s="322" t="n"/>
      <c r="CG73" s="408" t="n"/>
      <c r="CH73" s="307" t="n"/>
      <c r="CI73" s="408" t="n"/>
      <c r="CJ73" s="322" t="n"/>
      <c r="CK73" s="408" t="n"/>
      <c r="CL73" s="307" t="n"/>
      <c r="CM73" s="408" t="n"/>
      <c r="CN73" s="322" t="n"/>
      <c r="CO73" s="408" t="n"/>
      <c r="CP73" s="307" t="n"/>
      <c r="CQ73" s="408" t="n"/>
      <c r="CR73" s="322" t="n"/>
      <c r="CS73" s="408" t="n"/>
      <c r="CT73" s="307" t="n"/>
      <c r="CU73" s="408" t="n"/>
      <c r="CV73" s="322" t="n"/>
      <c r="CW73" s="408" t="n"/>
      <c r="CX73" s="307" t="n"/>
      <c r="CY73" s="408" t="n"/>
      <c r="CZ73" s="322" t="n"/>
      <c r="DA73" s="408" t="n"/>
      <c r="DB73" s="307" t="n"/>
      <c r="DC73" s="408" t="n"/>
      <c r="DD73" s="322" t="n"/>
      <c r="DE73" s="408" t="n"/>
      <c r="DF73" s="307" t="n"/>
      <c r="DG73" s="408" t="n"/>
      <c r="DH73" s="322" t="n"/>
      <c r="DI73" s="408" t="n"/>
      <c r="DJ73" s="307" t="n"/>
      <c r="DK73" s="408" t="n"/>
      <c r="DL73" s="322" t="n"/>
      <c r="DM73" s="408" t="n"/>
      <c r="DN73" s="307" t="n"/>
      <c r="DO73" s="408" t="n"/>
      <c r="DP73" s="340" t="n"/>
      <c r="DQ73" s="820" t="n"/>
      <c r="DR73" s="820">
        <f>SUMPRODUCT(--(MOD(COLUMN(BT73:CQ73),4)=MOD(COLUMN(BT73),4)),BT73:CQ73)*$I73+SUMPRODUCT(--(MOD(COLUMN(CR73:DO73),4)=MOD(COLUMN(CR73),4)),CR73:DO73)*$I73</f>
        <v/>
      </c>
      <c r="DS73" s="819" t="n"/>
      <c r="DT73" s="819" t="n"/>
      <c r="DU73" s="322" t="n"/>
      <c r="DV73" s="408" t="n"/>
      <c r="DW73" s="307" t="n"/>
      <c r="DX73" s="408" t="n"/>
      <c r="DY73" s="322" t="n"/>
      <c r="DZ73" s="408" t="n"/>
      <c r="EA73" s="307" t="n"/>
      <c r="EB73" s="408" t="n"/>
      <c r="EC73" s="322" t="n"/>
      <c r="ED73" s="408" t="n"/>
      <c r="EE73" s="307" t="n"/>
      <c r="EF73" s="408" t="n"/>
      <c r="EG73" s="322" t="n"/>
      <c r="EH73" s="408" t="n"/>
      <c r="EI73" s="307" t="n"/>
      <c r="EJ73" s="408" t="n"/>
      <c r="EK73" s="322" t="n"/>
      <c r="EL73" s="408" t="n"/>
      <c r="EM73" s="307" t="n"/>
      <c r="EN73" s="408" t="n"/>
      <c r="EO73" s="322" t="n"/>
      <c r="EP73" s="408" t="n"/>
      <c r="EQ73" s="307" t="n"/>
      <c r="ER73" s="408" t="n"/>
      <c r="ES73" s="322" t="n"/>
      <c r="ET73" s="408" t="n"/>
      <c r="EU73" s="307" t="n"/>
      <c r="EV73" s="408" t="n"/>
      <c r="EW73" s="322" t="n"/>
      <c r="EX73" s="408" t="n"/>
      <c r="EY73" s="307" t="n"/>
      <c r="EZ73" s="408" t="n"/>
      <c r="FA73" s="322" t="n"/>
      <c r="FB73" s="408" t="n"/>
      <c r="FC73" s="307" t="n"/>
      <c r="FD73" s="408" t="n"/>
      <c r="FE73" s="322" t="n"/>
      <c r="FF73" s="408" t="n"/>
      <c r="FG73" s="307" t="n"/>
      <c r="FH73" s="408" t="n"/>
      <c r="FI73" s="322" t="n"/>
      <c r="FJ73" s="408" t="n"/>
      <c r="FK73" s="307" t="n"/>
      <c r="FL73" s="408" t="n"/>
      <c r="FM73" s="322" t="n"/>
      <c r="FN73" s="408" t="n"/>
      <c r="FO73" s="307" t="n"/>
      <c r="FP73" s="408" t="n"/>
      <c r="FQ73" s="340" t="n"/>
      <c r="FR73" s="820" t="n"/>
      <c r="FS73" s="820">
        <f>SUMPRODUCT(--(MOD(COLUMN(DU73:ER73),4)=MOD(COLUMN(DU73),4)),DU73:ER73)*$I73+SUMPRODUCT(--(MOD(COLUMN(ES73:FP73),4)=MOD(COLUMN(ES73),4)),ES73:FP73)*$I73</f>
        <v/>
      </c>
      <c r="FT73" s="360" t="n"/>
    </row>
    <row r="74" outlineLevel="2" customFormat="1" s="14">
      <c r="A74" s="421" t="inlineStr">
        <is>
          <t>ПРИЦЕПНАЯ ТЕХНИКА ООО</t>
        </is>
      </c>
      <c r="B74" s="389" t="inlineStr">
        <is>
          <t>Договор не подписан</t>
        </is>
      </c>
      <c r="C74" s="432" t="inlineStr">
        <is>
          <t>ВБК РУС</t>
        </is>
      </c>
      <c r="D74" s="575" t="inlineStr">
        <is>
          <t>Прасолов, Соловьёв</t>
        </is>
      </c>
      <c r="E74" s="284">
        <f>IF(ISBLANK(G74),"",IF($A$6:$A$330=$A74,COUNTIF($A$6:A74,$A74),""))</f>
        <v/>
      </c>
      <c r="F74" s="284" t="n">
        <v>2</v>
      </c>
      <c r="G74" s="304" t="n">
        <v>4497120300</v>
      </c>
      <c r="H74" s="602" t="inlineStr">
        <is>
          <t>Кабель-удлинитель датчика ABS, 3 м</t>
        </is>
      </c>
      <c r="I74" s="616">
        <f>J74/ЮАНЬ_2025_08_29</f>
        <v/>
      </c>
      <c r="J74" s="616">
        <f>1000/НДС</f>
        <v/>
      </c>
      <c r="K74" s="870" t="inlineStr">
        <is>
          <t>RUB</t>
        </is>
      </c>
      <c r="L74" s="616">
        <f>IF(K74="RUB",J74/ЮАНЬ,IF(K74="EUR",J74*ЕВРО/ЮАНЬ,""))</f>
        <v/>
      </c>
      <c r="M74" s="871" t="n"/>
      <c r="N74" s="871">
        <f>IF(BP74&gt;0,1,IF(BN74&gt;0,2,))</f>
        <v/>
      </c>
      <c r="O74" s="322" t="n"/>
      <c r="P74" s="408" t="n"/>
      <c r="Q74" s="307" t="n"/>
      <c r="R74" s="408" t="n"/>
      <c r="S74" s="322" t="n"/>
      <c r="T74" s="408" t="n"/>
      <c r="U74" s="307" t="n"/>
      <c r="V74" s="408" t="n"/>
      <c r="W74" s="322" t="n"/>
      <c r="X74" s="408" t="n"/>
      <c r="Y74" s="307" t="n"/>
      <c r="Z74" s="408" t="n"/>
      <c r="AA74" s="322" t="n"/>
      <c r="AB74" s="408" t="n"/>
      <c r="AC74" s="307" t="n"/>
      <c r="AD74" s="408" t="n"/>
      <c r="AE74" s="322" t="n"/>
      <c r="AF74" s="408">
        <f>4</f>
        <v/>
      </c>
      <c r="AG74" s="307" t="n">
        <v>4</v>
      </c>
      <c r="AH74" s="408" t="n"/>
      <c r="AI74" s="322" t="n"/>
      <c r="AJ74" s="408" t="n"/>
      <c r="AK74" s="307" t="n"/>
      <c r="AL74" s="408" t="n"/>
      <c r="AM74" s="322" t="n"/>
      <c r="AN74" s="408" t="n"/>
      <c r="AO74" s="307" t="n"/>
      <c r="AP74" s="408" t="n"/>
      <c r="AQ74" s="322" t="n"/>
      <c r="AR74" s="408" t="n"/>
      <c r="AS74" s="307" t="n"/>
      <c r="AT74" s="408" t="n"/>
      <c r="AU74" s="322" t="n"/>
      <c r="AV74" s="408" t="n"/>
      <c r="AW74" s="307" t="n"/>
      <c r="AX74" s="408" t="n"/>
      <c r="AY74" s="322" t="n"/>
      <c r="AZ74" s="408" t="n"/>
      <c r="BA74" s="307" t="n"/>
      <c r="BB74" s="408" t="n"/>
      <c r="BC74" s="322" t="n"/>
      <c r="BD74" s="408" t="n"/>
      <c r="BE74" s="307" t="n"/>
      <c r="BF74" s="408" t="n"/>
      <c r="BG74" s="322" t="n"/>
      <c r="BH74" s="408" t="n"/>
      <c r="BI74" s="307" t="n"/>
      <c r="BJ74" s="408" t="n"/>
      <c r="BK74" s="340" t="n"/>
      <c r="BL74" s="820">
        <f>SUMPRODUCT(--(MOD(COLUMN($O74:$AL74),4)=MOD(COLUMN($O74)+0,4)),$O74:$AL74)
+SUMPRODUCT(--(MOD(COLUMN($AM74:$BJ74),4)=MOD(COLUMN($AM74)+0,4)),$AM74:$BJ74)</f>
        <v/>
      </c>
      <c r="BM74" s="820">
        <f>SUMPRODUCT(--(MOD(COLUMN($O74:$AL74),4)=MOD(COLUMN($O74)+0,4)),$O74:$AL74)*
$I74+SUMPRODUCT(--(MOD(COLUMN($AM74:$BJ74),4)=MOD(COLUMN($AM74)+0,4)),$AM74:$BJ74)*$I74</f>
        <v/>
      </c>
      <c r="BN74" s="822">
        <f>SUMPRODUCT(--(MOD(COLUMN($O74:$AL74),4)=MOD(COLUMN($O74)+1,4)),$O74:$AL74)
+SUMPRODUCT(--(MOD(COLUMN($AM74:$BJ74),4)=MOD(COLUMN($AM74)+1,4)),$AM74:$BJ74)</f>
        <v/>
      </c>
      <c r="BO74" s="823">
        <f>SUMPRODUCT(--(MOD(COLUMN($O74:$AL74),4)=MOD(COLUMN($O74)+1,4)),$O74:$AL74)*
$I74+SUMPRODUCT(--(MOD(COLUMN($AM74:$BJ74),4)=MOD(COLUMN($AM74)+1,4)),$AM74:$BJ74)*$I74</f>
        <v/>
      </c>
      <c r="BP74" s="824">
        <f>SUMPRODUCT(--(MOD(COLUMN($O74:$AL74),4)=MOD(COLUMN($O74)+2,4)),$O74:$AL74)
+SUMPRODUCT(--(MOD(COLUMN($AM74:$BJ74),4)=MOD(COLUMN($AM74)+2,4)),$AM74:$BJ74)</f>
        <v/>
      </c>
      <c r="BQ74" s="825">
        <f>SUMPRODUCT(--(MOD(COLUMN($O74:$AL74),4)=MOD(COLUMN($O74)+2,4)),$O74:$AL74)*
$I74+SUMPRODUCT(--(MOD(COLUMN($AM74:$BJ74),4)=MOD(COLUMN($AM74)+2,4)),$AM74:$BJ74)*$I74</f>
        <v/>
      </c>
      <c r="BR74" s="819" t="n"/>
      <c r="BS74" s="819" t="n"/>
      <c r="BT74" s="322" t="n"/>
      <c r="BU74" s="408" t="n"/>
      <c r="BV74" s="307" t="n"/>
      <c r="BW74" s="408" t="n"/>
      <c r="BX74" s="322" t="n"/>
      <c r="BY74" s="408" t="n"/>
      <c r="BZ74" s="307" t="n"/>
      <c r="CA74" s="408" t="n"/>
      <c r="CB74" s="322" t="n"/>
      <c r="CC74" s="408" t="n"/>
      <c r="CD74" s="307" t="n"/>
      <c r="CE74" s="408" t="n"/>
      <c r="CF74" s="322" t="n"/>
      <c r="CG74" s="408" t="n"/>
      <c r="CH74" s="307" t="n"/>
      <c r="CI74" s="408" t="n"/>
      <c r="CJ74" s="322" t="n"/>
      <c r="CK74" s="408" t="n"/>
      <c r="CL74" s="307" t="n"/>
      <c r="CM74" s="408" t="n"/>
      <c r="CN74" s="322" t="n"/>
      <c r="CO74" s="408" t="n"/>
      <c r="CP74" s="307" t="n"/>
      <c r="CQ74" s="408" t="n"/>
      <c r="CR74" s="322" t="n"/>
      <c r="CS74" s="408" t="n"/>
      <c r="CT74" s="307" t="n"/>
      <c r="CU74" s="408" t="n"/>
      <c r="CV74" s="322" t="n"/>
      <c r="CW74" s="408" t="n"/>
      <c r="CX74" s="307" t="n"/>
      <c r="CY74" s="408" t="n"/>
      <c r="CZ74" s="322" t="n"/>
      <c r="DA74" s="408" t="n"/>
      <c r="DB74" s="307" t="n"/>
      <c r="DC74" s="408" t="n"/>
      <c r="DD74" s="322" t="n"/>
      <c r="DE74" s="408" t="n"/>
      <c r="DF74" s="307" t="n"/>
      <c r="DG74" s="408" t="n"/>
      <c r="DH74" s="322" t="n"/>
      <c r="DI74" s="408" t="n"/>
      <c r="DJ74" s="307" t="n"/>
      <c r="DK74" s="408" t="n"/>
      <c r="DL74" s="322" t="n"/>
      <c r="DM74" s="408" t="n"/>
      <c r="DN74" s="307" t="n"/>
      <c r="DO74" s="408" t="n"/>
      <c r="DP74" s="340" t="n"/>
      <c r="DQ74" s="820" t="n"/>
      <c r="DR74" s="820" t="n"/>
      <c r="DS74" s="819" t="n"/>
      <c r="DT74" s="819" t="n"/>
      <c r="DU74" s="322" t="n"/>
      <c r="DV74" s="408" t="n"/>
      <c r="DW74" s="307" t="n"/>
      <c r="DX74" s="408" t="n"/>
      <c r="DY74" s="322" t="n"/>
      <c r="DZ74" s="408" t="n"/>
      <c r="EA74" s="307" t="n"/>
      <c r="EB74" s="408" t="n"/>
      <c r="EC74" s="322" t="n"/>
      <c r="ED74" s="408" t="n"/>
      <c r="EE74" s="307" t="n"/>
      <c r="EF74" s="408" t="n"/>
      <c r="EG74" s="322" t="n"/>
      <c r="EH74" s="408" t="n"/>
      <c r="EI74" s="307" t="n"/>
      <c r="EJ74" s="408" t="n"/>
      <c r="EK74" s="322" t="n"/>
      <c r="EL74" s="408" t="n"/>
      <c r="EM74" s="307" t="n"/>
      <c r="EN74" s="408" t="n"/>
      <c r="EO74" s="322" t="n"/>
      <c r="EP74" s="408" t="n"/>
      <c r="EQ74" s="307" t="n"/>
      <c r="ER74" s="408" t="n"/>
      <c r="ES74" s="322" t="n"/>
      <c r="ET74" s="408" t="n"/>
      <c r="EU74" s="307" t="n"/>
      <c r="EV74" s="408" t="n"/>
      <c r="EW74" s="322" t="n"/>
      <c r="EX74" s="408" t="n"/>
      <c r="EY74" s="307" t="n"/>
      <c r="EZ74" s="408" t="n"/>
      <c r="FA74" s="322" t="n"/>
      <c r="FB74" s="408" t="n"/>
      <c r="FC74" s="307" t="n"/>
      <c r="FD74" s="408" t="n"/>
      <c r="FE74" s="322" t="n"/>
      <c r="FF74" s="408" t="n"/>
      <c r="FG74" s="307" t="n"/>
      <c r="FH74" s="408" t="n"/>
      <c r="FI74" s="322" t="n"/>
      <c r="FJ74" s="408" t="n"/>
      <c r="FK74" s="307" t="n"/>
      <c r="FL74" s="408" t="n"/>
      <c r="FM74" s="322" t="n"/>
      <c r="FN74" s="408" t="n"/>
      <c r="FO74" s="307" t="n"/>
      <c r="FP74" s="408" t="n"/>
      <c r="FQ74" s="340" t="n"/>
      <c r="FR74" s="820" t="n"/>
      <c r="FS74" s="820" t="n"/>
      <c r="FT74" s="360" t="n"/>
    </row>
    <row r="75" outlineLevel="2" customFormat="1" s="14">
      <c r="A75" s="420" t="inlineStr">
        <is>
          <t>ПРИЦЕПНАЯ ТЕХНИКА ООО</t>
        </is>
      </c>
      <c r="B75" s="444" t="inlineStr">
        <is>
          <t>Договор не подписан</t>
        </is>
      </c>
      <c r="C75" s="587" t="inlineStr">
        <is>
          <t>ВБК РУС</t>
        </is>
      </c>
      <c r="D75" s="580" t="inlineStr">
        <is>
          <t>Прасолов, Соловьёв</t>
        </is>
      </c>
      <c r="E75" s="414">
        <f>IF(ISBLANK(G75),"",IF($A$6:$A$330=$A75,COUNTIF($A$6:A75,$A75),""))</f>
        <v/>
      </c>
      <c r="F75" s="284" t="n">
        <v>1</v>
      </c>
      <c r="G75" s="304" t="n">
        <v>4497230300</v>
      </c>
      <c r="H75" s="602" t="inlineStr">
        <is>
          <t>Кабель датчика АБС, 3 м</t>
        </is>
      </c>
      <c r="I75" s="616">
        <f>144/НДС_20</f>
        <v/>
      </c>
      <c r="J75" s="616" t="n"/>
      <c r="K75" s="870" t="n"/>
      <c r="L75" s="616">
        <f>IF(K75="RUB",J75/ЮАНЬ,IF(K75="EUR",J75*ЕВРО/ЮАНЬ,""))</f>
        <v/>
      </c>
      <c r="M75" s="871" t="n"/>
      <c r="N75" s="871">
        <f>IF(BP75&gt;0,1,IF(BN75&gt;0,2,))</f>
        <v/>
      </c>
      <c r="O75" s="322" t="n"/>
      <c r="P75" s="408" t="n"/>
      <c r="Q75" s="307" t="n"/>
      <c r="R75" s="408" t="n"/>
      <c r="S75" s="322" t="n"/>
      <c r="T75" s="408" t="n"/>
      <c r="U75" s="307" t="n">
        <v>2</v>
      </c>
      <c r="V75" s="408" t="n"/>
      <c r="W75" s="322" t="n"/>
      <c r="X75" s="408" t="n"/>
      <c r="Y75" s="307" t="n"/>
      <c r="Z75" s="408" t="n"/>
      <c r="AA75" s="322" t="n"/>
      <c r="AB75" s="408" t="n"/>
      <c r="AC75" s="307" t="n">
        <v>0</v>
      </c>
      <c r="AD75" s="408" t="n"/>
      <c r="AE75" s="322" t="n"/>
      <c r="AF75" s="408" t="n"/>
      <c r="AG75" s="307" t="n">
        <v>4</v>
      </c>
      <c r="AH75" s="408" t="n"/>
      <c r="AI75" s="322" t="n"/>
      <c r="AJ75" s="408" t="n"/>
      <c r="AK75" s="307" t="n"/>
      <c r="AL75" s="408" t="n"/>
      <c r="AM75" s="322" t="n"/>
      <c r="AN75" s="408" t="n"/>
      <c r="AO75" s="307" t="n"/>
      <c r="AP75" s="408" t="n"/>
      <c r="AQ75" s="322" t="n"/>
      <c r="AR75" s="408" t="n"/>
      <c r="AS75" s="307" t="n"/>
      <c r="AT75" s="408" t="n"/>
      <c r="AU75" s="322" t="n"/>
      <c r="AV75" s="408" t="n"/>
      <c r="AW75" s="307" t="n"/>
      <c r="AX75" s="408" t="n"/>
      <c r="AY75" s="322" t="n"/>
      <c r="AZ75" s="408" t="n"/>
      <c r="BA75" s="307" t="n"/>
      <c r="BB75" s="408" t="n"/>
      <c r="BC75" s="322" t="n"/>
      <c r="BD75" s="408" t="n"/>
      <c r="BE75" s="307" t="n"/>
      <c r="BF75" s="408" t="n"/>
      <c r="BG75" s="322" t="n"/>
      <c r="BH75" s="408" t="n"/>
      <c r="BI75" s="307" t="n"/>
      <c r="BJ75" s="408" t="n"/>
      <c r="BK75" s="340" t="n"/>
      <c r="BL75" s="820">
        <f>SUMPRODUCT(--(MOD(COLUMN($O75:$AL75),4)=MOD(COLUMN($O75)+0,4)),$O75:$AL75)
+SUMPRODUCT(--(MOD(COLUMN($AM75:$BJ75),4)=MOD(COLUMN($AM75)+0,4)),$AM75:$BJ75)</f>
        <v/>
      </c>
      <c r="BM75" s="820">
        <f>SUMPRODUCT(--(MOD(COLUMN($O75:$AL75),4)=MOD(COLUMN($O75)+0,4)),$O75:$AL75)*
$I75+SUMPRODUCT(--(MOD(COLUMN($AM75:$BJ75),4)=MOD(COLUMN($AM75)+0,4)),$AM75:$BJ75)*$I75</f>
        <v/>
      </c>
      <c r="BN75" s="822">
        <f>SUMPRODUCT(--(MOD(COLUMN($O75:$AL75),4)=MOD(COLUMN($O75)+1,4)),$O75:$AL75)
+SUMPRODUCT(--(MOD(COLUMN($AM75:$BJ75),4)=MOD(COLUMN($AM75)+1,4)),$AM75:$BJ75)</f>
        <v/>
      </c>
      <c r="BO75" s="823">
        <f>SUMPRODUCT(--(MOD(COLUMN($O75:$AL75),4)=MOD(COLUMN($O75)+1,4)),$O75:$AL75)*
$I75+SUMPRODUCT(--(MOD(COLUMN($AM75:$BJ75),4)=MOD(COLUMN($AM75)+1,4)),$AM75:$BJ75)*$I75</f>
        <v/>
      </c>
      <c r="BP75" s="824">
        <f>SUMPRODUCT(--(MOD(COLUMN($O75:$AL75),4)=MOD(COLUMN($O75)+2,4)),$O75:$AL75)
+SUMPRODUCT(--(MOD(COLUMN($AM75:$BJ75),4)=MOD(COLUMN($AM75)+2,4)),$AM75:$BJ75)</f>
        <v/>
      </c>
      <c r="BQ75" s="825">
        <f>SUMPRODUCT(--(MOD(COLUMN($O75:$AL75),4)=MOD(COLUMN($O75)+2,4)),$O75:$AL75)*
$I75+SUMPRODUCT(--(MOD(COLUMN($AM75:$BJ75),4)=MOD(COLUMN($AM75)+2,4)),$AM75:$BJ75)*$I75</f>
        <v/>
      </c>
      <c r="BR75" s="819" t="n"/>
      <c r="BS75" s="819" t="n"/>
      <c r="BT75" s="322" t="n"/>
      <c r="BU75" s="408" t="n"/>
      <c r="BV75" s="307" t="n"/>
      <c r="BW75" s="408" t="n"/>
      <c r="BX75" s="322" t="n"/>
      <c r="BY75" s="408" t="n"/>
      <c r="BZ75" s="307" t="n"/>
      <c r="CA75" s="408" t="n"/>
      <c r="CB75" s="322" t="n"/>
      <c r="CC75" s="408" t="n"/>
      <c r="CD75" s="307" t="n"/>
      <c r="CE75" s="408" t="n"/>
      <c r="CF75" s="322" t="n"/>
      <c r="CG75" s="408" t="n"/>
      <c r="CH75" s="307" t="n"/>
      <c r="CI75" s="408" t="n"/>
      <c r="CJ75" s="322" t="n"/>
      <c r="CK75" s="408" t="n"/>
      <c r="CL75" s="307" t="n"/>
      <c r="CM75" s="408" t="n"/>
      <c r="CN75" s="322" t="n"/>
      <c r="CO75" s="408" t="n"/>
      <c r="CP75" s="307" t="n"/>
      <c r="CQ75" s="408" t="n"/>
      <c r="CR75" s="322" t="n"/>
      <c r="CS75" s="408" t="n"/>
      <c r="CT75" s="307" t="n"/>
      <c r="CU75" s="408" t="n"/>
      <c r="CV75" s="322" t="n"/>
      <c r="CW75" s="408" t="n"/>
      <c r="CX75" s="307" t="n"/>
      <c r="CY75" s="408" t="n"/>
      <c r="CZ75" s="322" t="n"/>
      <c r="DA75" s="408" t="n"/>
      <c r="DB75" s="307" t="n"/>
      <c r="DC75" s="408" t="n"/>
      <c r="DD75" s="322" t="n"/>
      <c r="DE75" s="408" t="n"/>
      <c r="DF75" s="307" t="n"/>
      <c r="DG75" s="408" t="n"/>
      <c r="DH75" s="322" t="n"/>
      <c r="DI75" s="408" t="n"/>
      <c r="DJ75" s="307" t="n"/>
      <c r="DK75" s="408" t="n"/>
      <c r="DL75" s="322" t="n"/>
      <c r="DM75" s="408" t="n"/>
      <c r="DN75" s="307" t="n"/>
      <c r="DO75" s="408" t="n"/>
      <c r="DP75" s="340" t="n"/>
      <c r="DQ75" s="820">
        <f>SUMPRODUCT(--(MOD(COLUMN(BT75:CQ75),4)=MOD(COLUMN(BT75),4)),BT75:CQ75)+SUMPRODUCT(--(MOD(COLUMN(CR75:DO75),4)=MOD(COLUMN(CR75),4)),CR75:DO75)</f>
        <v/>
      </c>
      <c r="DR75" s="820">
        <f>SUMPRODUCT(--(MOD(COLUMN(BT75:CQ75),4)=MOD(COLUMN(BT75),4)),BT75:CQ75)*$I75+SUMPRODUCT(--(MOD(COLUMN(CR75:DO75),4)=MOD(COLUMN(CR75),4)),CR75:DO75)*$I75</f>
        <v/>
      </c>
      <c r="DS75" s="819" t="n"/>
      <c r="DT75" s="819" t="n"/>
      <c r="DU75" s="322" t="n"/>
      <c r="DV75" s="408" t="n"/>
      <c r="DW75" s="307" t="n"/>
      <c r="DX75" s="408" t="n"/>
      <c r="DY75" s="322" t="n"/>
      <c r="DZ75" s="408" t="n"/>
      <c r="EA75" s="307" t="n"/>
      <c r="EB75" s="408" t="n"/>
      <c r="EC75" s="322" t="n"/>
      <c r="ED75" s="408" t="n"/>
      <c r="EE75" s="307" t="n"/>
      <c r="EF75" s="408" t="n"/>
      <c r="EG75" s="322" t="n"/>
      <c r="EH75" s="408" t="n"/>
      <c r="EI75" s="307" t="n"/>
      <c r="EJ75" s="408" t="n"/>
      <c r="EK75" s="322" t="n"/>
      <c r="EL75" s="408" t="n"/>
      <c r="EM75" s="307" t="n"/>
      <c r="EN75" s="408" t="n"/>
      <c r="EO75" s="322" t="n"/>
      <c r="EP75" s="408" t="n"/>
      <c r="EQ75" s="307" t="n"/>
      <c r="ER75" s="408" t="n"/>
      <c r="ES75" s="322" t="n"/>
      <c r="ET75" s="408" t="n"/>
      <c r="EU75" s="307" t="n"/>
      <c r="EV75" s="408" t="n"/>
      <c r="EW75" s="322" t="n"/>
      <c r="EX75" s="408" t="n"/>
      <c r="EY75" s="307" t="n"/>
      <c r="EZ75" s="408" t="n"/>
      <c r="FA75" s="322" t="n"/>
      <c r="FB75" s="408" t="n"/>
      <c r="FC75" s="307" t="n"/>
      <c r="FD75" s="408" t="n"/>
      <c r="FE75" s="322" t="n"/>
      <c r="FF75" s="408" t="n"/>
      <c r="FG75" s="307" t="n"/>
      <c r="FH75" s="408" t="n"/>
      <c r="FI75" s="322" t="n"/>
      <c r="FJ75" s="408" t="n"/>
      <c r="FK75" s="307" t="n"/>
      <c r="FL75" s="408" t="n"/>
      <c r="FM75" s="322" t="n"/>
      <c r="FN75" s="408" t="n"/>
      <c r="FO75" s="307" t="n"/>
      <c r="FP75" s="408" t="n"/>
      <c r="FQ75" s="340" t="n"/>
      <c r="FR75" s="820">
        <f>SUMPRODUCT(--(MOD(COLUMN(DU75:ER75),4)=MOD(COLUMN(DU75),4)),DU75:ER75)+SUMPRODUCT(--(MOD(COLUMN(ES75:FP75),4)=MOD(COLUMN(ES75),4)),ES75:FP75)</f>
        <v/>
      </c>
      <c r="FS75" s="820">
        <f>SUMPRODUCT(--(MOD(COLUMN(DU75:ER75),4)=MOD(COLUMN(DU75),4)),DU75:ER75)*$I75+SUMPRODUCT(--(MOD(COLUMN(ES75:FP75),4)=MOD(COLUMN(ES75),4)),ES75:FP75)*$I75</f>
        <v/>
      </c>
      <c r="FT75" s="360" t="n"/>
    </row>
    <row r="76" outlineLevel="2" customFormat="1" s="14">
      <c r="A76" s="421" t="inlineStr">
        <is>
          <t>ПРИЦЕПНАЯ ТЕХНИКА ООО</t>
        </is>
      </c>
      <c r="B76" s="389" t="inlineStr">
        <is>
          <t>Договор не подписан</t>
        </is>
      </c>
      <c r="C76" s="432" t="inlineStr">
        <is>
          <t>ВБК РУС</t>
        </is>
      </c>
      <c r="D76" s="575" t="inlineStr">
        <is>
          <t>Прасолов, Соловьёв</t>
        </is>
      </c>
      <c r="E76" s="284">
        <f>IF(ISBLANK(G76),"",IF($A$6:$A$330=$A76,COUNTIF($A$6:A76,$A76),""))</f>
        <v/>
      </c>
      <c r="F76" s="284" t="n">
        <v>1</v>
      </c>
      <c r="G76" s="304" t="n">
        <v>4497230800</v>
      </c>
      <c r="H76" s="602" t="inlineStr">
        <is>
          <t>Кабель датчика АБС, 8 м</t>
        </is>
      </c>
      <c r="I76" s="616">
        <f>256.2/НДС</f>
        <v/>
      </c>
      <c r="J76" s="616" t="n"/>
      <c r="K76" s="870" t="n"/>
      <c r="L76" s="616">
        <f>IF(K76="RUB",J76/ЮАНЬ,IF(K76="EUR",J76*ЕВРО/ЮАНЬ,""))</f>
        <v/>
      </c>
      <c r="M76" s="871" t="n"/>
      <c r="N76" s="871">
        <f>IF(BP76&gt;0,1,IF(BN76&gt;0,2,))</f>
        <v/>
      </c>
      <c r="O76" s="322" t="n"/>
      <c r="P76" s="408" t="n"/>
      <c r="Q76" s="307" t="n"/>
      <c r="R76" s="408" t="n"/>
      <c r="S76" s="322" t="n"/>
      <c r="T76" s="408">
        <f>2</f>
        <v/>
      </c>
      <c r="U76" s="307" t="n">
        <v>2</v>
      </c>
      <c r="V76" s="408" t="n"/>
      <c r="W76" s="322" t="n"/>
      <c r="X76" s="408" t="n"/>
      <c r="Y76" s="307" t="n"/>
      <c r="Z76" s="408" t="n"/>
      <c r="AA76" s="322" t="n"/>
      <c r="AB76" s="408" t="n"/>
      <c r="AC76" s="307" t="n"/>
      <c r="AD76" s="408" t="n"/>
      <c r="AE76" s="322" t="n"/>
      <c r="AF76" s="408" t="n"/>
      <c r="AG76" s="307" t="n"/>
      <c r="AH76" s="408" t="n"/>
      <c r="AI76" s="322" t="n"/>
      <c r="AJ76" s="408" t="n"/>
      <c r="AK76" s="307" t="n"/>
      <c r="AL76" s="408" t="n"/>
      <c r="AM76" s="322" t="n"/>
      <c r="AN76" s="408" t="n"/>
      <c r="AO76" s="307" t="n"/>
      <c r="AP76" s="408" t="n"/>
      <c r="AQ76" s="322" t="n"/>
      <c r="AR76" s="408" t="n"/>
      <c r="AS76" s="307" t="n"/>
      <c r="AT76" s="408" t="n"/>
      <c r="AU76" s="322" t="n"/>
      <c r="AV76" s="408" t="n"/>
      <c r="AW76" s="307" t="n"/>
      <c r="AX76" s="408" t="n"/>
      <c r="AY76" s="322" t="n"/>
      <c r="AZ76" s="408" t="n"/>
      <c r="BA76" s="307" t="n"/>
      <c r="BB76" s="408" t="n"/>
      <c r="BC76" s="322" t="n"/>
      <c r="BD76" s="408" t="n"/>
      <c r="BE76" s="307" t="n"/>
      <c r="BF76" s="408" t="n"/>
      <c r="BG76" s="322" t="n"/>
      <c r="BH76" s="408" t="n"/>
      <c r="BI76" s="307" t="n"/>
      <c r="BJ76" s="408" t="n"/>
      <c r="BK76" s="340" t="n"/>
      <c r="BL76" s="820">
        <f>SUMPRODUCT(--(MOD(COLUMN($O76:$AL76),4)=MOD(COLUMN($O76)+0,4)),$O76:$AL76)
+SUMPRODUCT(--(MOD(COLUMN($AM76:$BJ76),4)=MOD(COLUMN($AM76)+0,4)),$AM76:$BJ76)</f>
        <v/>
      </c>
      <c r="BM76" s="820">
        <f>SUMPRODUCT(--(MOD(COLUMN($O76:$AL76),4)=MOD(COLUMN($O76)+0,4)),$O76:$AL76)*$I76
+SUMPRODUCT(--(MOD(COLUMN($AM76:$BJ76),4)=MOD(COLUMN($AM76)+0,4)),$AM76:$BJ76)*$I76</f>
        <v/>
      </c>
      <c r="BN76" s="822">
        <f>SUMPRODUCT(--(MOD(COLUMN($O76:$AL76),4)=MOD(COLUMN($O76)+1,4)),$O76:$AL76)
+SUMPRODUCT(--(MOD(COLUMN($AM76:$BJ76),4)=MOD(COLUMN($AM76)+1,4)),$AM76:$BJ76)</f>
        <v/>
      </c>
      <c r="BO76" s="823">
        <f>SUMPRODUCT(--(MOD(COLUMN($O76:$AL76),4)=MOD(COLUMN($O76)+1,4)),$O76:$AL76)*$I76
+SUMPRODUCT(--(MOD(COLUMN($AM76:$BJ76),4)=MOD(COLUMN($AM76)+1,4)),$AM76:$BJ76)*$I76</f>
        <v/>
      </c>
      <c r="BP76" s="824">
        <f>SUMPRODUCT(--(MOD(COLUMN($O76:$AL76),4)=MOD(COLUMN($O76)+2,4)),$O76:$AL76)
+SUMPRODUCT(--(MOD(COLUMN($AM76:$BJ76),4)=MOD(COLUMN($AM76)+2,4)),$AM76:$BJ76)</f>
        <v/>
      </c>
      <c r="BQ76" s="825">
        <f>SUMPRODUCT(--(MOD(COLUMN($O76:$AL76),4)=MOD(COLUMN($O76)+2,4)),$O76:$AL76)*$I76
+SUMPRODUCT(--(MOD(COLUMN($AM76:$BJ76),4)=MOD(COLUMN($AM76)+2,4)),$AM76:$BJ76)*$I76</f>
        <v/>
      </c>
      <c r="BR76" s="819" t="n"/>
      <c r="BS76" s="819" t="n"/>
      <c r="BT76" s="322" t="n"/>
      <c r="BU76" s="408" t="n"/>
      <c r="BV76" s="307" t="n"/>
      <c r="BW76" s="408" t="n"/>
      <c r="BX76" s="322" t="n"/>
      <c r="BY76" s="408" t="n"/>
      <c r="BZ76" s="307" t="n"/>
      <c r="CA76" s="408" t="n"/>
      <c r="CB76" s="322" t="n"/>
      <c r="CC76" s="408" t="n"/>
      <c r="CD76" s="307" t="n"/>
      <c r="CE76" s="408" t="n"/>
      <c r="CF76" s="322" t="n"/>
      <c r="CG76" s="408" t="n"/>
      <c r="CH76" s="307" t="n"/>
      <c r="CI76" s="408" t="n"/>
      <c r="CJ76" s="322" t="n"/>
      <c r="CK76" s="408" t="n"/>
      <c r="CL76" s="307" t="n"/>
      <c r="CM76" s="408" t="n"/>
      <c r="CN76" s="322" t="n"/>
      <c r="CO76" s="408" t="n"/>
      <c r="CP76" s="307" t="n"/>
      <c r="CQ76" s="408" t="n"/>
      <c r="CR76" s="322" t="n"/>
      <c r="CS76" s="408" t="n"/>
      <c r="CT76" s="307" t="n"/>
      <c r="CU76" s="408" t="n"/>
      <c r="CV76" s="322" t="n"/>
      <c r="CW76" s="408" t="n"/>
      <c r="CX76" s="307" t="n"/>
      <c r="CY76" s="408" t="n"/>
      <c r="CZ76" s="322" t="n"/>
      <c r="DA76" s="408" t="n"/>
      <c r="DB76" s="307" t="n"/>
      <c r="DC76" s="408" t="n"/>
      <c r="DD76" s="322" t="n"/>
      <c r="DE76" s="408" t="n"/>
      <c r="DF76" s="307" t="n"/>
      <c r="DG76" s="408" t="n"/>
      <c r="DH76" s="322" t="n"/>
      <c r="DI76" s="408" t="n"/>
      <c r="DJ76" s="307" t="n"/>
      <c r="DK76" s="408" t="n"/>
      <c r="DL76" s="322" t="n"/>
      <c r="DM76" s="408" t="n"/>
      <c r="DN76" s="307" t="n"/>
      <c r="DO76" s="408" t="n"/>
      <c r="DP76" s="340" t="n"/>
      <c r="DQ76" s="820" t="n"/>
      <c r="DR76" s="820">
        <f>SUMPRODUCT(--(MOD(COLUMN(BT76:CQ76),4)=MOD(COLUMN(BT76),4)),BT76:CQ76)*$I76+SUMPRODUCT(--(MOD(COLUMN(CR76:DO76),4)=MOD(COLUMN(CR76),4)),CR76:DO76)*$I76</f>
        <v/>
      </c>
      <c r="DS76" s="819" t="n"/>
      <c r="DT76" s="819" t="n"/>
      <c r="DU76" s="322" t="n"/>
      <c r="DV76" s="408" t="n"/>
      <c r="DW76" s="307" t="n"/>
      <c r="DX76" s="408" t="n"/>
      <c r="DY76" s="322" t="n"/>
      <c r="DZ76" s="408" t="n"/>
      <c r="EA76" s="307" t="n"/>
      <c r="EB76" s="408" t="n"/>
      <c r="EC76" s="322" t="n"/>
      <c r="ED76" s="408" t="n"/>
      <c r="EE76" s="307" t="n"/>
      <c r="EF76" s="408" t="n"/>
      <c r="EG76" s="322" t="n"/>
      <c r="EH76" s="408" t="n"/>
      <c r="EI76" s="307" t="n"/>
      <c r="EJ76" s="408" t="n"/>
      <c r="EK76" s="322" t="n"/>
      <c r="EL76" s="408" t="n"/>
      <c r="EM76" s="307" t="n"/>
      <c r="EN76" s="408" t="n"/>
      <c r="EO76" s="322" t="n"/>
      <c r="EP76" s="408" t="n"/>
      <c r="EQ76" s="307" t="n"/>
      <c r="ER76" s="408" t="n"/>
      <c r="ES76" s="322" t="n"/>
      <c r="ET76" s="408" t="n"/>
      <c r="EU76" s="307" t="n"/>
      <c r="EV76" s="408" t="n"/>
      <c r="EW76" s="322" t="n"/>
      <c r="EX76" s="408" t="n"/>
      <c r="EY76" s="307" t="n"/>
      <c r="EZ76" s="408" t="n"/>
      <c r="FA76" s="322" t="n"/>
      <c r="FB76" s="408" t="n"/>
      <c r="FC76" s="307" t="n"/>
      <c r="FD76" s="408" t="n"/>
      <c r="FE76" s="322" t="n"/>
      <c r="FF76" s="408" t="n"/>
      <c r="FG76" s="307" t="n"/>
      <c r="FH76" s="408" t="n"/>
      <c r="FI76" s="322" t="n"/>
      <c r="FJ76" s="408" t="n"/>
      <c r="FK76" s="307" t="n"/>
      <c r="FL76" s="408" t="n"/>
      <c r="FM76" s="322" t="n"/>
      <c r="FN76" s="408" t="n"/>
      <c r="FO76" s="307" t="n"/>
      <c r="FP76" s="408" t="n"/>
      <c r="FQ76" s="340" t="n"/>
      <c r="FR76" s="820" t="n"/>
      <c r="FS76" s="820">
        <f>SUMPRODUCT(--(MOD(COLUMN(DU76:ER76),4)=MOD(COLUMN(DU76),4)),DU76:ER76)*$I76+SUMPRODUCT(--(MOD(COLUMN(ES76:FP76),4)=MOD(COLUMN(ES76),4)),ES76:FP76)*$I76</f>
        <v/>
      </c>
      <c r="FT76" s="360" t="n"/>
    </row>
    <row r="77" outlineLevel="2" ht="28.8" customFormat="1" customHeight="1" s="574">
      <c r="A77" s="678" t="inlineStr">
        <is>
          <t>ПРИЦЕПНАЯ ТЕХНИКА ООО</t>
        </is>
      </c>
      <c r="B77" s="679" t="inlineStr">
        <is>
          <t>Договор не подписан</t>
        </is>
      </c>
      <c r="C77" s="693" t="inlineStr">
        <is>
          <t>ВБК РУС</t>
        </is>
      </c>
      <c r="D77" s="679" t="inlineStr">
        <is>
          <t>Прасолов, Соловьёв</t>
        </is>
      </c>
      <c r="E77" s="680">
        <f>IF(ISBLANK(G77),"",IF($A$6:$A$330=$A77,COUNTIF($A$6:A77,$A77),""))</f>
        <v/>
      </c>
      <c r="F77" s="681" t="inlineStr">
        <is>
          <t>S</t>
        </is>
      </c>
      <c r="G77" s="694" t="inlineStr">
        <is>
          <t>Арт_TEBS_2-2_12_W_-1</t>
        </is>
      </c>
      <c r="H77" s="695" t="inlineStr">
        <is>
          <t>Комплект "TEBS WABCO 2S/2M базовый 12 м" -1 (ВБК РУС)</t>
        </is>
      </c>
      <c r="I77" s="682">
        <f>J77/ЮАНЬ_2025_08_29</f>
        <v/>
      </c>
      <c r="J77" s="682">
        <f>160000/НДС_20</f>
        <v/>
      </c>
      <c r="K77" s="883" t="inlineStr">
        <is>
          <t>RUB</t>
        </is>
      </c>
      <c r="L77" s="697">
        <f>IF(K77="RUB",J77/ЮАНЬ,IF(K77="EUR",J77*ЕВРО/ЮАНЬ,""))</f>
        <v/>
      </c>
      <c r="M77" s="875" t="n"/>
      <c r="N77" s="813">
        <f>IF(BP77&gt;0,1,IF(BN77&gt;0,2,))</f>
        <v/>
      </c>
      <c r="O77" s="569" t="n"/>
      <c r="P77" s="570" t="n"/>
      <c r="Q77" s="571" t="n"/>
      <c r="R77" s="570" t="n"/>
      <c r="S77" s="569" t="n"/>
      <c r="T77" s="570" t="n"/>
      <c r="U77" s="571" t="n"/>
      <c r="V77" s="570" t="n"/>
      <c r="W77" s="569" t="n"/>
      <c r="X77" s="570" t="n"/>
      <c r="Y77" s="571" t="n"/>
      <c r="Z77" s="570" t="n"/>
      <c r="AA77" s="569" t="n"/>
      <c r="AB77" s="570" t="n"/>
      <c r="AC77" s="571" t="n"/>
      <c r="AD77" s="570" t="n"/>
      <c r="AE77" s="569" t="n"/>
      <c r="AF77" s="570" t="n"/>
      <c r="AG77" s="571" t="n"/>
      <c r="AH77" s="570" t="n"/>
      <c r="AI77" s="569" t="n"/>
      <c r="AJ77" s="570" t="n"/>
      <c r="AK77" s="571" t="n"/>
      <c r="AL77" s="570" t="n"/>
      <c r="AM77" s="569" t="n"/>
      <c r="AN77" s="570" t="n"/>
      <c r="AO77" s="571" t="n"/>
      <c r="AP77" s="570" t="n"/>
      <c r="AQ77" s="569" t="n"/>
      <c r="AR77" s="570" t="n"/>
      <c r="AS77" s="571" t="n"/>
      <c r="AT77" s="570" t="n"/>
      <c r="AU77" s="569" t="n"/>
      <c r="AV77" s="570" t="n"/>
      <c r="AW77" s="571" t="n"/>
      <c r="AX77" s="570" t="n"/>
      <c r="AY77" s="569" t="n"/>
      <c r="AZ77" s="570" t="n"/>
      <c r="BA77" s="571" t="n"/>
      <c r="BB77" s="570" t="n"/>
      <c r="BC77" s="569" t="n"/>
      <c r="BD77" s="570" t="n"/>
      <c r="BE77" s="571" t="n"/>
      <c r="BF77" s="570" t="n"/>
      <c r="BG77" s="569" t="n"/>
      <c r="BH77" s="570" t="n"/>
      <c r="BI77" s="571" t="n"/>
      <c r="BJ77" s="570" t="n"/>
      <c r="BK77" s="572" t="n"/>
      <c r="BL77" s="803">
        <f>SUMPRODUCT(--(MOD(COLUMN($O77:$AL77),4)=MOD(COLUMN($O77)+0,4)),$O77:$AL77)
+SUMPRODUCT(--(MOD(COLUMN($AM77:$BJ77),4)=MOD(COLUMN($AM77)+0,4)),$AM77:$BJ77)</f>
        <v/>
      </c>
      <c r="BM77" s="803">
        <f>SUMPRODUCT(--(MOD(COLUMN($O77:$AL77),4)=MOD(COLUMN($O77)+0,4)),$O77:$AL77)*
$I77+SUMPRODUCT(--(MOD(COLUMN($AM77:$BJ77),4)=MOD(COLUMN($AM77)+0,4)),$AM77:$BJ77)*$I77</f>
        <v/>
      </c>
      <c r="BN77" s="805">
        <f>SUMPRODUCT(--(MOD(COLUMN($O77:$AL77),4)=MOD(COLUMN($O77)+1,4)),$O77:$AL77)
+SUMPRODUCT(--(MOD(COLUMN($AM77:$BJ77),4)=MOD(COLUMN($AM77)+1,4)),$AM77:$BJ77)</f>
        <v/>
      </c>
      <c r="BO77" s="806">
        <f>SUMPRODUCT(--(MOD(COLUMN($O77:$AL77),4)=MOD(COLUMN($O77)+1,4)),$O77:$AL77)*
$I77+SUMPRODUCT(--(MOD(COLUMN($AM77:$BJ77),4)=MOD(COLUMN($AM77)+1,4)),$AM77:$BJ77)*$I77</f>
        <v/>
      </c>
      <c r="BP77" s="807">
        <f>SUMPRODUCT(--(MOD(COLUMN($O77:$AL77),4)=MOD(COLUMN($O77)+2,4)),$O77:$AL77)
+SUMPRODUCT(--(MOD(COLUMN($AM77:$BJ77),4)=MOD(COLUMN($AM77)+2,4)),$AM77:$BJ77)</f>
        <v/>
      </c>
      <c r="BQ77" s="808">
        <f>SUMPRODUCT(--(MOD(COLUMN($O77:$AL77),4)=MOD(COLUMN($O77)+2,4)),$O77:$AL77)*
$I77+SUMPRODUCT(--(MOD(COLUMN($AM77:$BJ77),4)=MOD(COLUMN($AM77)+2,4)),$AM77:$BJ77)*$I77</f>
        <v/>
      </c>
      <c r="BR77" s="801" t="n"/>
      <c r="BS77" s="819" t="n"/>
      <c r="BT77" s="569" t="n"/>
      <c r="BU77" s="570" t="n"/>
      <c r="BV77" s="571" t="n"/>
      <c r="BW77" s="570" t="n"/>
      <c r="BX77" s="569" t="n"/>
      <c r="BY77" s="570" t="n"/>
      <c r="BZ77" s="571" t="n"/>
      <c r="CA77" s="570" t="n"/>
      <c r="CB77" s="569" t="n"/>
      <c r="CC77" s="570" t="n"/>
      <c r="CD77" s="571" t="n"/>
      <c r="CE77" s="570" t="n"/>
      <c r="CF77" s="569" t="n"/>
      <c r="CG77" s="570" t="n"/>
      <c r="CH77" s="571" t="n"/>
      <c r="CI77" s="570" t="n"/>
      <c r="CJ77" s="569" t="n"/>
      <c r="CK77" s="570" t="n"/>
      <c r="CL77" s="571" t="n"/>
      <c r="CM77" s="570" t="n"/>
      <c r="CN77" s="569" t="n"/>
      <c r="CO77" s="570" t="n"/>
      <c r="CP77" s="571" t="n"/>
      <c r="CQ77" s="570" t="n"/>
      <c r="CR77" s="569" t="n"/>
      <c r="CS77" s="570" t="n"/>
      <c r="CT77" s="571" t="n"/>
      <c r="CU77" s="570" t="n"/>
      <c r="CV77" s="569" t="n"/>
      <c r="CW77" s="570" t="n"/>
      <c r="CX77" s="571" t="n"/>
      <c r="CY77" s="570" t="n"/>
      <c r="CZ77" s="569" t="n"/>
      <c r="DA77" s="570" t="n"/>
      <c r="DB77" s="571" t="n"/>
      <c r="DC77" s="570" t="n"/>
      <c r="DD77" s="569" t="n"/>
      <c r="DE77" s="570" t="n"/>
      <c r="DF77" s="571" t="n"/>
      <c r="DG77" s="570" t="n"/>
      <c r="DH77" s="569" t="n"/>
      <c r="DI77" s="570" t="n"/>
      <c r="DJ77" s="571" t="n"/>
      <c r="DK77" s="570" t="n"/>
      <c r="DL77" s="569" t="n"/>
      <c r="DM77" s="570" t="n"/>
      <c r="DN77" s="571" t="n"/>
      <c r="DO77" s="570" t="n"/>
      <c r="DP77" s="572" t="n"/>
      <c r="DQ77" s="803">
        <f>SUMPRODUCT(--(MOD(COLUMN(BT77:CQ77),4)=MOD(COLUMN(BT77),4)),BT77:CQ77)+SUMPRODUCT(--(MOD(COLUMN(CR77:DO77),4)=MOD(COLUMN(CR77),4)),CR77:DO77)</f>
        <v/>
      </c>
      <c r="DR77" s="803">
        <f>SUMPRODUCT(--(MOD(COLUMN(BT77:CQ77),4)=MOD(COLUMN(BT77),4)),BT77:CQ77)*$I77+SUMPRODUCT(--(MOD(COLUMN(CR77:DO77),4)=MOD(COLUMN(CR77),4)),CR77:DO77)*$I77</f>
        <v/>
      </c>
      <c r="DS77" s="801" t="n"/>
      <c r="DT77" s="819" t="n"/>
      <c r="DU77" s="569" t="n"/>
      <c r="DV77" s="570" t="n"/>
      <c r="DW77" s="571" t="n"/>
      <c r="DX77" s="570" t="n"/>
      <c r="DY77" s="569" t="n"/>
      <c r="DZ77" s="570" t="n"/>
      <c r="EA77" s="571" t="n"/>
      <c r="EB77" s="570" t="n"/>
      <c r="EC77" s="569" t="n"/>
      <c r="ED77" s="570" t="n"/>
      <c r="EE77" s="571" t="n"/>
      <c r="EF77" s="570" t="n"/>
      <c r="EG77" s="569" t="n"/>
      <c r="EH77" s="570" t="n"/>
      <c r="EI77" s="571" t="n"/>
      <c r="EJ77" s="570" t="n"/>
      <c r="EK77" s="569" t="n"/>
      <c r="EL77" s="570" t="n"/>
      <c r="EM77" s="571" t="n"/>
      <c r="EN77" s="570" t="n"/>
      <c r="EO77" s="569" t="n"/>
      <c r="EP77" s="570" t="n"/>
      <c r="EQ77" s="571" t="n"/>
      <c r="ER77" s="570" t="n"/>
      <c r="ES77" s="569" t="n"/>
      <c r="ET77" s="570" t="n"/>
      <c r="EU77" s="571" t="n"/>
      <c r="EV77" s="570" t="n"/>
      <c r="EW77" s="569" t="n"/>
      <c r="EX77" s="570" t="n"/>
      <c r="EY77" s="571" t="n"/>
      <c r="EZ77" s="570" t="n"/>
      <c r="FA77" s="569" t="n"/>
      <c r="FB77" s="570" t="n"/>
      <c r="FC77" s="571" t="n"/>
      <c r="FD77" s="570" t="n"/>
      <c r="FE77" s="569" t="n"/>
      <c r="FF77" s="570" t="n"/>
      <c r="FG77" s="571" t="n"/>
      <c r="FH77" s="570" t="n"/>
      <c r="FI77" s="569" t="n"/>
      <c r="FJ77" s="570" t="n"/>
      <c r="FK77" s="571" t="n"/>
      <c r="FL77" s="570" t="n"/>
      <c r="FM77" s="569" t="n"/>
      <c r="FN77" s="570" t="n"/>
      <c r="FO77" s="571" t="n"/>
      <c r="FP77" s="570" t="n"/>
      <c r="FQ77" s="572" t="n"/>
      <c r="FR77" s="803">
        <f>SUMPRODUCT(--(MOD(COLUMN(DU77:ER77),4)=MOD(COLUMN(DU77),4)),DU77:ER77)+SUMPRODUCT(--(MOD(COLUMN(ES77:FP77),4)=MOD(COLUMN(ES77),4)),ES77:FP77)</f>
        <v/>
      </c>
      <c r="FS77" s="803">
        <f>SUMPRODUCT(--(MOD(COLUMN(DU77:ER77),4)=MOD(COLUMN(DU77),4)),DU77:ER77)*$I77+SUMPRODUCT(--(MOD(COLUMN(ES77:FP77),4)=MOD(COLUMN(ES77),4)),ES77:FP77)*$I77</f>
        <v/>
      </c>
      <c r="FT77" s="573" t="n"/>
    </row>
    <row r="78" outlineLevel="2" customFormat="1" s="574">
      <c r="A78" s="399" t="inlineStr">
        <is>
          <t>ПРИЦЕПНАЯ ТЕХНИКА ООО</t>
        </is>
      </c>
      <c r="B78" s="575" t="inlineStr">
        <is>
          <t>Договор не подписан</t>
        </is>
      </c>
      <c r="C78" s="432" t="inlineStr">
        <is>
          <t>ВБК РУС</t>
        </is>
      </c>
      <c r="D78" s="575" t="inlineStr">
        <is>
          <t>Прасолов, Соловьёв</t>
        </is>
      </c>
      <c r="E78" s="576">
        <f>IF(ISBLANK(G78),"",IF($A$6:$A$330=$A78,COUNTIF($A$6:A78,$A78),""))</f>
        <v/>
      </c>
      <c r="F78" s="567" t="inlineStr">
        <is>
          <t>S</t>
        </is>
      </c>
      <c r="G78" s="319" t="n">
        <v>4441000530</v>
      </c>
      <c r="H78" s="603" t="inlineStr">
        <is>
          <t>Комплект "TEBS W 2S/2M (12 м)"</t>
        </is>
      </c>
      <c r="I78" s="619">
        <f>J78/ЮАНЬ_2025_08_29</f>
        <v/>
      </c>
      <c r="J78" s="619">
        <f>162000/НДС</f>
        <v/>
      </c>
      <c r="K78" s="884" t="inlineStr">
        <is>
          <t>RUB</t>
        </is>
      </c>
      <c r="L78" s="642">
        <f>IF(K78="RUB",J78/ЮАНЬ,IF(K78="EUR",J78*ЕВРО/ЮАНЬ,""))</f>
        <v/>
      </c>
      <c r="M78" s="813" t="n"/>
      <c r="N78" s="813">
        <f>IF(BP78&gt;0,1,IF(BN78&gt;0,2,))</f>
        <v/>
      </c>
      <c r="O78" s="578" t="n"/>
      <c r="P78" s="498" t="n"/>
      <c r="Q78" s="579" t="n"/>
      <c r="R78" s="498" t="n"/>
      <c r="S78" s="578" t="n"/>
      <c r="T78" s="498">
        <f>1</f>
        <v/>
      </c>
      <c r="U78" s="579" t="n">
        <v>1</v>
      </c>
      <c r="V78" s="498" t="n"/>
      <c r="W78" s="578" t="n"/>
      <c r="X78" s="498" t="n"/>
      <c r="Y78" s="579" t="n"/>
      <c r="Z78" s="498" t="n"/>
      <c r="AA78" s="578" t="n"/>
      <c r="AB78" s="498" t="n"/>
      <c r="AC78" s="579" t="n"/>
      <c r="AD78" s="498" t="n"/>
      <c r="AE78" s="578" t="n"/>
      <c r="AF78" s="498" t="n"/>
      <c r="AG78" s="579" t="n"/>
      <c r="AH78" s="498" t="n"/>
      <c r="AI78" s="578" t="n"/>
      <c r="AJ78" s="498" t="n"/>
      <c r="AK78" s="579" t="n"/>
      <c r="AL78" s="498" t="n"/>
      <c r="AM78" s="578" t="n"/>
      <c r="AN78" s="498" t="n"/>
      <c r="AO78" s="579" t="n"/>
      <c r="AP78" s="498" t="n"/>
      <c r="AQ78" s="578" t="n"/>
      <c r="AR78" s="498" t="n"/>
      <c r="AS78" s="579" t="n"/>
      <c r="AT78" s="498" t="n"/>
      <c r="AU78" s="578" t="n"/>
      <c r="AV78" s="498" t="n"/>
      <c r="AW78" s="579" t="n"/>
      <c r="AX78" s="498" t="n"/>
      <c r="AY78" s="578" t="n"/>
      <c r="AZ78" s="498" t="n"/>
      <c r="BA78" s="579" t="n"/>
      <c r="BB78" s="498" t="n"/>
      <c r="BC78" s="578" t="n"/>
      <c r="BD78" s="498" t="n"/>
      <c r="BE78" s="579" t="n"/>
      <c r="BF78" s="498" t="n"/>
      <c r="BG78" s="578" t="n"/>
      <c r="BH78" s="498" t="n"/>
      <c r="BI78" s="579" t="n"/>
      <c r="BJ78" s="498" t="n"/>
      <c r="BK78" s="572" t="n"/>
      <c r="BL78" s="820">
        <f>SUMPRODUCT(--(MOD(COLUMN($O78:$AL78),4)=MOD(COLUMN($O78)+0,4)),$O78:$AL78)
+SUMPRODUCT(--(MOD(COLUMN($AM78:$BJ78),4)=MOD(COLUMN($AM78)+0,4)),$AM78:$BJ78)</f>
        <v/>
      </c>
      <c r="BM78" s="820">
        <f>SUMPRODUCT(--(MOD(COLUMN($O78:$AL78),4)=MOD(COLUMN($O78)+0,4)),$O78:$AL78)*
$I78+SUMPRODUCT(--(MOD(COLUMN($AM78:$BJ78),4)=MOD(COLUMN($AM78)+0,4)),$AM78:$BJ78)*$I78</f>
        <v/>
      </c>
      <c r="BN78" s="822">
        <f>SUMPRODUCT(--(MOD(COLUMN($O78:$AL78),4)=MOD(COLUMN($O78)+1,4)),$O78:$AL78)
+SUMPRODUCT(--(MOD(COLUMN($AM78:$BJ78),4)=MOD(COLUMN($AM78)+1,4)),$AM78:$BJ78)</f>
        <v/>
      </c>
      <c r="BO78" s="823">
        <f>SUMPRODUCT(--(MOD(COLUMN($O78:$AL78),4)=MOD(COLUMN($O78)+1,4)),$O78:$AL78)*
$I78+SUMPRODUCT(--(MOD(COLUMN($AM78:$BJ78),4)=MOD(COLUMN($AM78)+1,4)),$AM78:$BJ78)*$I78</f>
        <v/>
      </c>
      <c r="BP78" s="824">
        <f>SUMPRODUCT(--(MOD(COLUMN($O78:$AL78),4)=MOD(COLUMN($O78)+2,4)),$O78:$AL78)
+SUMPRODUCT(--(MOD(COLUMN($AM78:$BJ78),4)=MOD(COLUMN($AM78)+2,4)),$AM78:$BJ78)</f>
        <v/>
      </c>
      <c r="BQ78" s="825">
        <f>SUMPRODUCT(--(MOD(COLUMN($O78:$AL78),4)=MOD(COLUMN($O78)+2,4)),$O78:$AL78)*
$I78+SUMPRODUCT(--(MOD(COLUMN($AM78:$BJ78),4)=MOD(COLUMN($AM78)+2,4)),$AM78:$BJ78)*$I78</f>
        <v/>
      </c>
      <c r="BR78" s="819" t="n"/>
      <c r="BS78" s="819" t="n"/>
      <c r="BT78" s="578" t="n"/>
      <c r="BU78" s="498" t="n"/>
      <c r="BV78" s="579" t="n"/>
      <c r="BW78" s="498" t="n"/>
      <c r="BX78" s="578" t="n"/>
      <c r="BY78" s="498" t="n"/>
      <c r="BZ78" s="579" t="n"/>
      <c r="CA78" s="498" t="n"/>
      <c r="CB78" s="578" t="n"/>
      <c r="CC78" s="498" t="n"/>
      <c r="CD78" s="579" t="n"/>
      <c r="CE78" s="498" t="n"/>
      <c r="CF78" s="578" t="n"/>
      <c r="CG78" s="498" t="n"/>
      <c r="CH78" s="579" t="n"/>
      <c r="CI78" s="498" t="n"/>
      <c r="CJ78" s="578" t="n"/>
      <c r="CK78" s="498" t="n"/>
      <c r="CL78" s="579" t="n"/>
      <c r="CM78" s="498" t="n"/>
      <c r="CN78" s="578" t="n"/>
      <c r="CO78" s="498" t="n"/>
      <c r="CP78" s="579" t="n"/>
      <c r="CQ78" s="498" t="n"/>
      <c r="CR78" s="578" t="n"/>
      <c r="CS78" s="498" t="n"/>
      <c r="CT78" s="579" t="n"/>
      <c r="CU78" s="498" t="n"/>
      <c r="CV78" s="578" t="n"/>
      <c r="CW78" s="498" t="n"/>
      <c r="CX78" s="579" t="n"/>
      <c r="CY78" s="498" t="n"/>
      <c r="CZ78" s="578" t="n"/>
      <c r="DA78" s="498" t="n"/>
      <c r="DB78" s="579" t="n"/>
      <c r="DC78" s="498" t="n"/>
      <c r="DD78" s="578" t="n"/>
      <c r="DE78" s="498" t="n"/>
      <c r="DF78" s="579" t="n"/>
      <c r="DG78" s="498" t="n"/>
      <c r="DH78" s="578" t="n"/>
      <c r="DI78" s="498" t="n"/>
      <c r="DJ78" s="579" t="n"/>
      <c r="DK78" s="498" t="n"/>
      <c r="DL78" s="578" t="n"/>
      <c r="DM78" s="498" t="n"/>
      <c r="DN78" s="579" t="n"/>
      <c r="DO78" s="498" t="n"/>
      <c r="DP78" s="572" t="n"/>
      <c r="DQ78" s="820" t="n"/>
      <c r="DR78" s="820">
        <f>SUMPRODUCT(--(MOD(COLUMN(BT78:CQ78),4)=MOD(COLUMN(BT78),4)),BT78:CQ78)*$I78+SUMPRODUCT(--(MOD(COLUMN(CR78:DO78),4)=MOD(COLUMN(CR78),4)),CR78:DO78)*$I78</f>
        <v/>
      </c>
      <c r="DS78" s="819" t="n"/>
      <c r="DT78" s="819" t="n"/>
      <c r="DU78" s="578" t="n"/>
      <c r="DV78" s="498" t="n"/>
      <c r="DW78" s="579" t="n"/>
      <c r="DX78" s="498" t="n"/>
      <c r="DY78" s="578" t="n"/>
      <c r="DZ78" s="498" t="n"/>
      <c r="EA78" s="579" t="n"/>
      <c r="EB78" s="498" t="n"/>
      <c r="EC78" s="578" t="n"/>
      <c r="ED78" s="498" t="n"/>
      <c r="EE78" s="579" t="n"/>
      <c r="EF78" s="498" t="n"/>
      <c r="EG78" s="578" t="n"/>
      <c r="EH78" s="498" t="n"/>
      <c r="EI78" s="579" t="n"/>
      <c r="EJ78" s="498" t="n"/>
      <c r="EK78" s="578" t="n"/>
      <c r="EL78" s="498" t="n"/>
      <c r="EM78" s="579" t="n"/>
      <c r="EN78" s="498" t="n"/>
      <c r="EO78" s="578" t="n"/>
      <c r="EP78" s="498" t="n"/>
      <c r="EQ78" s="579" t="n"/>
      <c r="ER78" s="498" t="n"/>
      <c r="ES78" s="578" t="n"/>
      <c r="ET78" s="498" t="n"/>
      <c r="EU78" s="579" t="n"/>
      <c r="EV78" s="498" t="n"/>
      <c r="EW78" s="578" t="n"/>
      <c r="EX78" s="498" t="n"/>
      <c r="EY78" s="579" t="n"/>
      <c r="EZ78" s="498" t="n"/>
      <c r="FA78" s="578" t="n"/>
      <c r="FB78" s="498" t="n"/>
      <c r="FC78" s="579" t="n"/>
      <c r="FD78" s="498" t="n"/>
      <c r="FE78" s="578" t="n"/>
      <c r="FF78" s="498" t="n"/>
      <c r="FG78" s="579" t="n"/>
      <c r="FH78" s="498" t="n"/>
      <c r="FI78" s="578" t="n"/>
      <c r="FJ78" s="498" t="n"/>
      <c r="FK78" s="579" t="n"/>
      <c r="FL78" s="498" t="n"/>
      <c r="FM78" s="578" t="n"/>
      <c r="FN78" s="498" t="n"/>
      <c r="FO78" s="579" t="n"/>
      <c r="FP78" s="498" t="n"/>
      <c r="FQ78" s="572" t="n"/>
      <c r="FR78" s="820" t="n"/>
      <c r="FS78" s="820">
        <f>SUMPRODUCT(--(MOD(COLUMN(DU78:ER78),4)=MOD(COLUMN(DU78),4)),DU78:ER78)*$I78+SUMPRODUCT(--(MOD(COLUMN(ES78:FP78),4)=MOD(COLUMN(ES78),4)),ES78:FP78)*$I78</f>
        <v/>
      </c>
      <c r="FT78" s="573" t="n"/>
    </row>
    <row r="79" outlineLevel="2" customFormat="1" s="574">
      <c r="A79" s="399" t="inlineStr">
        <is>
          <t>ПРИЦЕПНАЯ ТЕХНИКА ООО</t>
        </is>
      </c>
      <c r="B79" s="575" t="inlineStr">
        <is>
          <t>Договор не подписан</t>
        </is>
      </c>
      <c r="C79" s="432" t="inlineStr">
        <is>
          <t>ВБК РУС</t>
        </is>
      </c>
      <c r="D79" s="575" t="inlineStr">
        <is>
          <t>Прасолов, Соловьёв</t>
        </is>
      </c>
      <c r="E79" s="576">
        <f>IF(ISBLANK(G79),"",IF($A$6:$A$330=$A79,COUNTIF($A$6:A79,$A79),""))</f>
        <v/>
      </c>
      <c r="F79" s="567" t="inlineStr">
        <is>
          <t>S</t>
        </is>
      </c>
      <c r="G79" s="319" t="n">
        <v>4441000180</v>
      </c>
      <c r="H79" s="603" t="inlineStr">
        <is>
          <t>Комплект базовый "TEBS W 4S/2M (12 м)"</t>
        </is>
      </c>
      <c r="I79" s="619">
        <f>J79/ЮАНЬ_2025_08_29</f>
        <v/>
      </c>
      <c r="J79" s="619">
        <f>167000/НДС</f>
        <v/>
      </c>
      <c r="K79" s="884" t="inlineStr">
        <is>
          <t>RUB</t>
        </is>
      </c>
      <c r="L79" s="642">
        <f>IF(K79="RUB",J79/ЮАНЬ,IF(K79="EUR",J79*ЕВРО/ЮАНЬ,""))</f>
        <v/>
      </c>
      <c r="M79" s="813" t="n"/>
      <c r="N79" s="813">
        <f>IF(BP79&gt;0,1,IF(BN79&gt;0,2,))</f>
        <v/>
      </c>
      <c r="O79" s="578" t="n"/>
      <c r="P79" s="498" t="n"/>
      <c r="Q79" s="579" t="n"/>
      <c r="R79" s="498" t="n"/>
      <c r="S79" s="578" t="n"/>
      <c r="T79" s="498" t="n"/>
      <c r="U79" s="579" t="n"/>
      <c r="V79" s="498" t="n"/>
      <c r="W79" s="578" t="n"/>
      <c r="X79" s="498" t="n"/>
      <c r="Y79" s="579" t="n"/>
      <c r="Z79" s="498" t="n"/>
      <c r="AA79" s="578" t="n"/>
      <c r="AB79" s="498" t="n"/>
      <c r="AC79" s="579" t="n"/>
      <c r="AD79" s="498" t="n"/>
      <c r="AE79" s="578" t="n"/>
      <c r="AF79" s="498">
        <f>1</f>
        <v/>
      </c>
      <c r="AG79" s="579" t="n">
        <v>0</v>
      </c>
      <c r="AH79" s="498" t="n"/>
      <c r="AI79" s="578" t="n"/>
      <c r="AJ79" s="498" t="n"/>
      <c r="AK79" s="579" t="n"/>
      <c r="AL79" s="498" t="n"/>
      <c r="AM79" s="578" t="n"/>
      <c r="AN79" s="498" t="n"/>
      <c r="AO79" s="579" t="n"/>
      <c r="AP79" s="498" t="n"/>
      <c r="AQ79" s="578" t="n"/>
      <c r="AR79" s="498" t="n"/>
      <c r="AS79" s="579" t="n"/>
      <c r="AT79" s="498" t="n"/>
      <c r="AU79" s="578" t="n"/>
      <c r="AV79" s="498" t="n"/>
      <c r="AW79" s="579" t="n"/>
      <c r="AX79" s="498" t="n"/>
      <c r="AY79" s="578" t="n"/>
      <c r="AZ79" s="498" t="n"/>
      <c r="BA79" s="579" t="n"/>
      <c r="BB79" s="498" t="n"/>
      <c r="BC79" s="578" t="n"/>
      <c r="BD79" s="498" t="n"/>
      <c r="BE79" s="579" t="n"/>
      <c r="BF79" s="498" t="n"/>
      <c r="BG79" s="578" t="n"/>
      <c r="BH79" s="498" t="n"/>
      <c r="BI79" s="579" t="n"/>
      <c r="BJ79" s="498" t="n"/>
      <c r="BK79" s="572" t="n"/>
      <c r="BL79" s="820">
        <f>SUMPRODUCT(--(MOD(COLUMN($O79:$AL79),4)=MOD(COLUMN($O79)+0,4)),$O79:$AL79)
+SUMPRODUCT(--(MOD(COLUMN($AM79:$BJ79),4)=MOD(COLUMN($AM79)+0,4)),$AM79:$BJ79)</f>
        <v/>
      </c>
      <c r="BM79" s="820">
        <f>SUMPRODUCT(--(MOD(COLUMN($O79:$AL79),4)=MOD(COLUMN($O79)+0,4)),$O79:$AL79)*
$I79+SUMPRODUCT(--(MOD(COLUMN($AM79:$BJ79),4)=MOD(COLUMN($AM79)+0,4)),$AM79:$BJ79)*$I79</f>
        <v/>
      </c>
      <c r="BN79" s="822">
        <f>SUMPRODUCT(--(MOD(COLUMN($O79:$AL79),4)=MOD(COLUMN($O79)+1,4)),$O79:$AL79)
+SUMPRODUCT(--(MOD(COLUMN($AM79:$BJ79),4)=MOD(COLUMN($AM79)+1,4)),$AM79:$BJ79)</f>
        <v/>
      </c>
      <c r="BO79" s="823">
        <f>SUMPRODUCT(--(MOD(COLUMN($O79:$AL79),4)=MOD(COLUMN($O79)+1,4)),$O79:$AL79)*
$I79+SUMPRODUCT(--(MOD(COLUMN($AM79:$BJ79),4)=MOD(COLUMN($AM79)+1,4)),$AM79:$BJ79)*$I79</f>
        <v/>
      </c>
      <c r="BP79" s="824">
        <f>SUMPRODUCT(--(MOD(COLUMN($O79:$AL79),4)=MOD(COLUMN($O79)+2,4)),$O79:$AL79)
+SUMPRODUCT(--(MOD(COLUMN($AM79:$BJ79),4)=MOD(COLUMN($AM79)+2,4)),$AM79:$BJ79)</f>
        <v/>
      </c>
      <c r="BQ79" s="825">
        <f>SUMPRODUCT(--(MOD(COLUMN($O79:$AL79),4)=MOD(COLUMN($O79)+2,4)),$O79:$AL79)*
$I79+SUMPRODUCT(--(MOD(COLUMN($AM79:$BJ79),4)=MOD(COLUMN($AM79)+2,4)),$AM79:$BJ79)*$I79</f>
        <v/>
      </c>
      <c r="BR79" s="819" t="n"/>
      <c r="BS79" s="819" t="n"/>
      <c r="BT79" s="578" t="n"/>
      <c r="BU79" s="498" t="n"/>
      <c r="BV79" s="579" t="n"/>
      <c r="BW79" s="498" t="n"/>
      <c r="BX79" s="578" t="n"/>
      <c r="BY79" s="498" t="n"/>
      <c r="BZ79" s="579" t="n"/>
      <c r="CA79" s="498" t="n"/>
      <c r="CB79" s="578" t="n"/>
      <c r="CC79" s="498" t="n"/>
      <c r="CD79" s="579" t="n"/>
      <c r="CE79" s="498" t="n"/>
      <c r="CF79" s="578" t="n"/>
      <c r="CG79" s="498" t="n"/>
      <c r="CH79" s="579" t="n"/>
      <c r="CI79" s="498" t="n"/>
      <c r="CJ79" s="578" t="n"/>
      <c r="CK79" s="498" t="n"/>
      <c r="CL79" s="579" t="n"/>
      <c r="CM79" s="498" t="n"/>
      <c r="CN79" s="578" t="n"/>
      <c r="CO79" s="498" t="n"/>
      <c r="CP79" s="579" t="n"/>
      <c r="CQ79" s="498" t="n"/>
      <c r="CR79" s="578" t="n"/>
      <c r="CS79" s="498" t="n"/>
      <c r="CT79" s="579" t="n"/>
      <c r="CU79" s="498" t="n"/>
      <c r="CV79" s="578" t="n"/>
      <c r="CW79" s="498" t="n"/>
      <c r="CX79" s="579" t="n"/>
      <c r="CY79" s="498" t="n"/>
      <c r="CZ79" s="578" t="n"/>
      <c r="DA79" s="498" t="n"/>
      <c r="DB79" s="579" t="n"/>
      <c r="DC79" s="498" t="n"/>
      <c r="DD79" s="578" t="n"/>
      <c r="DE79" s="498" t="n"/>
      <c r="DF79" s="579" t="n"/>
      <c r="DG79" s="498" t="n"/>
      <c r="DH79" s="578" t="n"/>
      <c r="DI79" s="498" t="n"/>
      <c r="DJ79" s="579" t="n"/>
      <c r="DK79" s="498" t="n"/>
      <c r="DL79" s="578" t="n"/>
      <c r="DM79" s="498" t="n"/>
      <c r="DN79" s="579" t="n"/>
      <c r="DO79" s="498" t="n"/>
      <c r="DP79" s="572" t="n"/>
      <c r="DQ79" s="820" t="n"/>
      <c r="DR79" s="820" t="n"/>
      <c r="DS79" s="819" t="n"/>
      <c r="DT79" s="819" t="n"/>
      <c r="DU79" s="578" t="n"/>
      <c r="DV79" s="498" t="n"/>
      <c r="DW79" s="579" t="n"/>
      <c r="DX79" s="498" t="n"/>
      <c r="DY79" s="578" t="n"/>
      <c r="DZ79" s="498" t="n"/>
      <c r="EA79" s="579" t="n"/>
      <c r="EB79" s="498" t="n"/>
      <c r="EC79" s="578" t="n"/>
      <c r="ED79" s="498" t="n"/>
      <c r="EE79" s="579" t="n"/>
      <c r="EF79" s="498" t="n"/>
      <c r="EG79" s="578" t="n"/>
      <c r="EH79" s="498" t="n"/>
      <c r="EI79" s="579" t="n"/>
      <c r="EJ79" s="498" t="n"/>
      <c r="EK79" s="578" t="n"/>
      <c r="EL79" s="498" t="n"/>
      <c r="EM79" s="579" t="n"/>
      <c r="EN79" s="498" t="n"/>
      <c r="EO79" s="578" t="n"/>
      <c r="EP79" s="498" t="n"/>
      <c r="EQ79" s="579" t="n"/>
      <c r="ER79" s="498" t="n"/>
      <c r="ES79" s="578" t="n"/>
      <c r="ET79" s="498" t="n"/>
      <c r="EU79" s="579" t="n"/>
      <c r="EV79" s="498" t="n"/>
      <c r="EW79" s="578" t="n"/>
      <c r="EX79" s="498" t="n"/>
      <c r="EY79" s="579" t="n"/>
      <c r="EZ79" s="498" t="n"/>
      <c r="FA79" s="578" t="n"/>
      <c r="FB79" s="498" t="n"/>
      <c r="FC79" s="579" t="n"/>
      <c r="FD79" s="498" t="n"/>
      <c r="FE79" s="578" t="n"/>
      <c r="FF79" s="498" t="n"/>
      <c r="FG79" s="579" t="n"/>
      <c r="FH79" s="498" t="n"/>
      <c r="FI79" s="578" t="n"/>
      <c r="FJ79" s="498" t="n"/>
      <c r="FK79" s="579" t="n"/>
      <c r="FL79" s="498" t="n"/>
      <c r="FM79" s="578" t="n"/>
      <c r="FN79" s="498" t="n"/>
      <c r="FO79" s="579" t="n"/>
      <c r="FP79" s="498" t="n"/>
      <c r="FQ79" s="572" t="n"/>
      <c r="FR79" s="820" t="n"/>
      <c r="FS79" s="820" t="n"/>
      <c r="FT79" s="573" t="n"/>
    </row>
    <row r="80" outlineLevel="2" customFormat="1" s="574">
      <c r="A80" s="586" t="inlineStr">
        <is>
          <t>ПРИЦЕПНАЯ ТЕХНИКА ООО</t>
        </is>
      </c>
      <c r="B80" s="580" t="inlineStr">
        <is>
          <t>Договор не подписан</t>
        </is>
      </c>
      <c r="C80" s="587" t="inlineStr">
        <is>
          <t>ВБК РУС</t>
        </is>
      </c>
      <c r="D80" s="580" t="inlineStr">
        <is>
          <t>Прасолов, Соловьёв</t>
        </is>
      </c>
      <c r="E80" s="588">
        <f>IF(ISBLANK(G80),"",IF($A$6:$A$330=$A80,COUNTIF($A$6:A80,$A80),""))</f>
        <v/>
      </c>
      <c r="F80" s="577" t="inlineStr">
        <is>
          <t>S</t>
        </is>
      </c>
      <c r="G80" s="319" t="n">
        <v>4441000200</v>
      </c>
      <c r="H80" s="603" t="inlineStr">
        <is>
          <t>Комплект "CAN-Репитер W (40 м)"</t>
        </is>
      </c>
      <c r="I80" s="619">
        <f>IF(K80="RUB",J80/ЮАНЬ_2025_08_29,IF(K80="EUR",J80*ЕВРО_2025_08_29/ЮАНЬ_2025_08_29,""))</f>
        <v/>
      </c>
      <c r="J80" s="619">
        <f>1601.25/НДС</f>
        <v/>
      </c>
      <c r="K80" s="884" t="inlineStr">
        <is>
          <t>EUR</t>
        </is>
      </c>
      <c r="L80" s="642">
        <f>IF(K80="RUB",J80/ЮАНЬ,IF(K80="EUR",J80*ЕВРО/ЮАНЬ,""))</f>
        <v/>
      </c>
      <c r="M80" s="813" t="n"/>
      <c r="N80" s="813">
        <f>IF(BP80&gt;0,1,IF(BN80&gt;0,2,))</f>
        <v/>
      </c>
      <c r="O80" s="578" t="n"/>
      <c r="P80" s="498" t="n"/>
      <c r="Q80" s="579" t="n"/>
      <c r="R80" s="498" t="n"/>
      <c r="S80" s="578" t="n"/>
      <c r="T80" s="498">
        <f>1</f>
        <v/>
      </c>
      <c r="U80" s="579" t="n">
        <v>1</v>
      </c>
      <c r="V80" s="498" t="n"/>
      <c r="W80" s="578" t="n"/>
      <c r="X80" s="498" t="n"/>
      <c r="Y80" s="579" t="n"/>
      <c r="Z80" s="498" t="n"/>
      <c r="AA80" s="578" t="n"/>
      <c r="AB80" s="498" t="n"/>
      <c r="AC80" s="579" t="n"/>
      <c r="AD80" s="498" t="n"/>
      <c r="AE80" s="578" t="n"/>
      <c r="AF80" s="498" t="n"/>
      <c r="AG80" s="579" t="n"/>
      <c r="AH80" s="498" t="n"/>
      <c r="AI80" s="578" t="n"/>
      <c r="AJ80" s="498" t="n"/>
      <c r="AK80" s="579" t="n"/>
      <c r="AL80" s="498" t="n"/>
      <c r="AM80" s="578" t="n"/>
      <c r="AN80" s="498" t="n"/>
      <c r="AO80" s="579" t="n"/>
      <c r="AP80" s="498" t="n"/>
      <c r="AQ80" s="578" t="n"/>
      <c r="AR80" s="498" t="n"/>
      <c r="AS80" s="579" t="n"/>
      <c r="AT80" s="498" t="n"/>
      <c r="AU80" s="578" t="n"/>
      <c r="AV80" s="498" t="n"/>
      <c r="AW80" s="579" t="n"/>
      <c r="AX80" s="498" t="n"/>
      <c r="AY80" s="578" t="n"/>
      <c r="AZ80" s="498" t="n"/>
      <c r="BA80" s="579" t="n"/>
      <c r="BB80" s="498" t="n"/>
      <c r="BC80" s="578" t="n"/>
      <c r="BD80" s="498" t="n"/>
      <c r="BE80" s="579" t="n"/>
      <c r="BF80" s="498" t="n"/>
      <c r="BG80" s="578" t="n"/>
      <c r="BH80" s="498" t="n"/>
      <c r="BI80" s="579" t="n"/>
      <c r="BJ80" s="498" t="n"/>
      <c r="BK80" s="572" t="n"/>
      <c r="BL80" s="820">
        <f>SUMPRODUCT(--(MOD(COLUMN($O80:$AL80),4)=MOD(COLUMN($O80)+0,4)),$O80:$AL80)
+SUMPRODUCT(--(MOD(COLUMN($AM80:$BJ80),4)=MOD(COLUMN($AM80)+0,4)),$AM80:$BJ80)</f>
        <v/>
      </c>
      <c r="BM80" s="820">
        <f>SUMPRODUCT(--(MOD(COLUMN($O80:$AL80),4)=MOD(COLUMN($O80)+0,4)),$O80:$AL80)*
$I80+SUMPRODUCT(--(MOD(COLUMN($AM80:$BJ80),4)=MOD(COLUMN($AM80)+0,4)),$AM80:$BJ80)*$I80</f>
        <v/>
      </c>
      <c r="BN80" s="822">
        <f>SUMPRODUCT(--(MOD(COLUMN($O80:$AL80),4)=MOD(COLUMN($O80)+1,4)),$O80:$AL80)
+SUMPRODUCT(--(MOD(COLUMN($AM80:$BJ80),4)=MOD(COLUMN($AM80)+1,4)),$AM80:$BJ80)</f>
        <v/>
      </c>
      <c r="BO80" s="823">
        <f>SUMPRODUCT(--(MOD(COLUMN($O80:$AL80),4)=MOD(COLUMN($O80)+1,4)),$O80:$AL80)*
$I80+SUMPRODUCT(--(MOD(COLUMN($AM80:$BJ80),4)=MOD(COLUMN($AM80)+1,4)),$AM80:$BJ80)*$I80</f>
        <v/>
      </c>
      <c r="BP80" s="824">
        <f>SUMPRODUCT(--(MOD(COLUMN($O80:$AL80),4)=MOD(COLUMN($O80)+2,4)),$O80:$AL80)
+SUMPRODUCT(--(MOD(COLUMN($AM80:$BJ80),4)=MOD(COLUMN($AM80)+2,4)),$AM80:$BJ80)</f>
        <v/>
      </c>
      <c r="BQ80" s="825">
        <f>SUMPRODUCT(--(MOD(COLUMN($O80:$AL80),4)=MOD(COLUMN($O80)+2,4)),$O80:$AL80)*
$I80+SUMPRODUCT(--(MOD(COLUMN($AM80:$BJ80),4)=MOD(COLUMN($AM80)+2,4)),$AM80:$BJ80)*$I80</f>
        <v/>
      </c>
      <c r="BR80" s="819" t="n"/>
      <c r="BS80" s="819" t="n"/>
      <c r="BT80" s="578" t="n"/>
      <c r="BU80" s="498" t="n"/>
      <c r="BV80" s="579" t="n"/>
      <c r="BW80" s="498" t="n"/>
      <c r="BX80" s="578" t="n"/>
      <c r="BY80" s="498" t="n"/>
      <c r="BZ80" s="579" t="n"/>
      <c r="CA80" s="498" t="n"/>
      <c r="CB80" s="578" t="n"/>
      <c r="CC80" s="498" t="n"/>
      <c r="CD80" s="579" t="n"/>
      <c r="CE80" s="498" t="n"/>
      <c r="CF80" s="578" t="n"/>
      <c r="CG80" s="498" t="n"/>
      <c r="CH80" s="579" t="n"/>
      <c r="CI80" s="498" t="n"/>
      <c r="CJ80" s="578" t="n"/>
      <c r="CK80" s="498" t="n"/>
      <c r="CL80" s="579" t="n"/>
      <c r="CM80" s="498" t="n"/>
      <c r="CN80" s="578" t="n"/>
      <c r="CO80" s="498" t="n"/>
      <c r="CP80" s="579" t="n"/>
      <c r="CQ80" s="498" t="n"/>
      <c r="CR80" s="578" t="n"/>
      <c r="CS80" s="498" t="n"/>
      <c r="CT80" s="579" t="n"/>
      <c r="CU80" s="498" t="n"/>
      <c r="CV80" s="578" t="n"/>
      <c r="CW80" s="498" t="n"/>
      <c r="CX80" s="579" t="n"/>
      <c r="CY80" s="498" t="n"/>
      <c r="CZ80" s="578" t="n"/>
      <c r="DA80" s="498" t="n"/>
      <c r="DB80" s="579" t="n"/>
      <c r="DC80" s="498" t="n"/>
      <c r="DD80" s="578" t="n"/>
      <c r="DE80" s="498" t="n"/>
      <c r="DF80" s="579" t="n"/>
      <c r="DG80" s="498" t="n"/>
      <c r="DH80" s="578" t="n"/>
      <c r="DI80" s="498" t="n"/>
      <c r="DJ80" s="579" t="n"/>
      <c r="DK80" s="498" t="n"/>
      <c r="DL80" s="578" t="n"/>
      <c r="DM80" s="498" t="n"/>
      <c r="DN80" s="579" t="n"/>
      <c r="DO80" s="498" t="n"/>
      <c r="DP80" s="572" t="n"/>
      <c r="DQ80" s="820">
        <f>SUMPRODUCT(--(MOD(COLUMN(BT80:CQ80),4)=MOD(COLUMN(BT80),4)),BT80:CQ80)+SUMPRODUCT(--(MOD(COLUMN(CR80:DO80),4)=MOD(COLUMN(CR80),4)),CR80:DO80)</f>
        <v/>
      </c>
      <c r="DR80" s="820">
        <f>SUMPRODUCT(--(MOD(COLUMN(BT80:CQ80),4)=MOD(COLUMN(BT80),4)),BT80:CQ80)*$I80+SUMPRODUCT(--(MOD(COLUMN(CR80:DO80),4)=MOD(COLUMN(CR80),4)),CR80:DO80)*$I80</f>
        <v/>
      </c>
      <c r="DS80" s="819" t="n"/>
      <c r="DT80" s="819" t="n"/>
      <c r="DU80" s="578" t="n"/>
      <c r="DV80" s="498" t="n"/>
      <c r="DW80" s="579" t="n"/>
      <c r="DX80" s="498" t="n"/>
      <c r="DY80" s="578" t="n"/>
      <c r="DZ80" s="498" t="n"/>
      <c r="EA80" s="579" t="n"/>
      <c r="EB80" s="498" t="n"/>
      <c r="EC80" s="578" t="n"/>
      <c r="ED80" s="498" t="n"/>
      <c r="EE80" s="579" t="n"/>
      <c r="EF80" s="498" t="n"/>
      <c r="EG80" s="578" t="n"/>
      <c r="EH80" s="498" t="n"/>
      <c r="EI80" s="579" t="n"/>
      <c r="EJ80" s="498" t="n"/>
      <c r="EK80" s="578" t="n"/>
      <c r="EL80" s="498" t="n"/>
      <c r="EM80" s="579" t="n"/>
      <c r="EN80" s="498" t="n"/>
      <c r="EO80" s="578" t="n"/>
      <c r="EP80" s="498" t="n"/>
      <c r="EQ80" s="579" t="n"/>
      <c r="ER80" s="498" t="n"/>
      <c r="ES80" s="578" t="n"/>
      <c r="ET80" s="498" t="n"/>
      <c r="EU80" s="579" t="n"/>
      <c r="EV80" s="498" t="n"/>
      <c r="EW80" s="578" t="n"/>
      <c r="EX80" s="498" t="n"/>
      <c r="EY80" s="579" t="n"/>
      <c r="EZ80" s="498" t="n"/>
      <c r="FA80" s="578" t="n"/>
      <c r="FB80" s="498" t="n"/>
      <c r="FC80" s="579" t="n"/>
      <c r="FD80" s="498" t="n"/>
      <c r="FE80" s="578" t="n"/>
      <c r="FF80" s="498" t="n"/>
      <c r="FG80" s="579" t="n"/>
      <c r="FH80" s="498" t="n"/>
      <c r="FI80" s="578" t="n"/>
      <c r="FJ80" s="498" t="n"/>
      <c r="FK80" s="579" t="n"/>
      <c r="FL80" s="498" t="n"/>
      <c r="FM80" s="578" t="n"/>
      <c r="FN80" s="498" t="n"/>
      <c r="FO80" s="579" t="n"/>
      <c r="FP80" s="498" t="n"/>
      <c r="FQ80" s="572" t="n"/>
      <c r="FR80" s="820">
        <f>SUMPRODUCT(--(MOD(COLUMN(DU80:ER80),4)=MOD(COLUMN(DU80),4)),DU80:ER80)+SUMPRODUCT(--(MOD(COLUMN(ES80:FP80),4)=MOD(COLUMN(ES80),4)),ES80:FP80)</f>
        <v/>
      </c>
      <c r="FS80" s="820">
        <f>SUMPRODUCT(--(MOD(COLUMN(DU80:ER80),4)=MOD(COLUMN(DU80),4)),DU80:ER80)*$I80+SUMPRODUCT(--(MOD(COLUMN(ES80:FP80),4)=MOD(COLUMN(ES80),4)),ES80:FP80)*$I80</f>
        <v/>
      </c>
      <c r="FT80" s="573" t="n"/>
    </row>
    <row r="81" outlineLevel="2" customFormat="1" s="574">
      <c r="A81" s="399" t="inlineStr">
        <is>
          <t>ПРИЦЕПНАЯ ТЕХНИКА ООО</t>
        </is>
      </c>
      <c r="B81" s="575" t="inlineStr">
        <is>
          <t>Договор не подписан</t>
        </is>
      </c>
      <c r="C81" s="432" t="inlineStr">
        <is>
          <t>ВБК РУС</t>
        </is>
      </c>
      <c r="D81" s="575" t="inlineStr">
        <is>
          <t>Прасолов, Соловьёв</t>
        </is>
      </c>
      <c r="E81" s="576">
        <f>IF(ISBLANK(G81),"",IF($A$6:$A$330=$A81,COUNTIF($A$6:A81,$A81),""))</f>
        <v/>
      </c>
      <c r="F81" s="577" t="inlineStr">
        <is>
          <t>S</t>
        </is>
      </c>
      <c r="G81" s="319" t="n">
        <v>4441000550</v>
      </c>
      <c r="H81" s="603" t="inlineStr">
        <is>
          <t>Комплект системы контроля "OptiLink W"</t>
        </is>
      </c>
      <c r="I81" s="619">
        <f>J81/ЮАНЬ_2025_08_29</f>
        <v/>
      </c>
      <c r="J81" s="619">
        <f>25000/НДС</f>
        <v/>
      </c>
      <c r="K81" s="884" t="inlineStr">
        <is>
          <t>RUB</t>
        </is>
      </c>
      <c r="L81" s="642">
        <f>IF(K81="RUB",J81/ЮАНЬ,IF(K81="EUR",J81*ЕВРО/ЮАНЬ,""))</f>
        <v/>
      </c>
      <c r="M81" s="813" t="n"/>
      <c r="N81" s="813">
        <f>IF(BP81&gt;0,1,IF(BN81&gt;0,2,))</f>
        <v/>
      </c>
      <c r="O81" s="578" t="n"/>
      <c r="P81" s="498" t="n"/>
      <c r="Q81" s="579" t="n"/>
      <c r="R81" s="498" t="n"/>
      <c r="S81" s="578" t="n"/>
      <c r="T81" s="498" t="n"/>
      <c r="U81" s="579" t="n"/>
      <c r="V81" s="498" t="n"/>
      <c r="W81" s="578" t="n"/>
      <c r="X81" s="498" t="n"/>
      <c r="Y81" s="579" t="n"/>
      <c r="Z81" s="498" t="n"/>
      <c r="AA81" s="578" t="n"/>
      <c r="AB81" s="498" t="n"/>
      <c r="AC81" s="579" t="n"/>
      <c r="AD81" s="498" t="n"/>
      <c r="AE81" s="578" t="n"/>
      <c r="AF81" s="498" t="n"/>
      <c r="AG81" s="579" t="n"/>
      <c r="AH81" s="498" t="n"/>
      <c r="AI81" s="578" t="n"/>
      <c r="AJ81" s="498" t="n"/>
      <c r="AK81" s="579" t="n"/>
      <c r="AL81" s="498" t="n"/>
      <c r="AM81" s="578" t="n"/>
      <c r="AN81" s="498" t="n"/>
      <c r="AO81" s="579" t="n"/>
      <c r="AP81" s="498" t="n"/>
      <c r="AQ81" s="578" t="n"/>
      <c r="AR81" s="498" t="n"/>
      <c r="AS81" s="579" t="n"/>
      <c r="AT81" s="498" t="n"/>
      <c r="AU81" s="578" t="n"/>
      <c r="AV81" s="498" t="n"/>
      <c r="AW81" s="579" t="n"/>
      <c r="AX81" s="498" t="n"/>
      <c r="AY81" s="578" t="n"/>
      <c r="AZ81" s="498" t="n"/>
      <c r="BA81" s="579" t="n"/>
      <c r="BB81" s="498" t="n"/>
      <c r="BC81" s="578" t="n"/>
      <c r="BD81" s="498" t="n"/>
      <c r="BE81" s="579" t="n"/>
      <c r="BF81" s="498" t="n"/>
      <c r="BG81" s="578" t="n"/>
      <c r="BH81" s="498" t="n"/>
      <c r="BI81" s="579" t="n"/>
      <c r="BJ81" s="498" t="n"/>
      <c r="BK81" s="572" t="n"/>
      <c r="BL81" s="820">
        <f>SUMPRODUCT(--(MOD(COLUMN($O81:$AL81),4)=MOD(COLUMN($O81)+0,4)),$O81:$AL81)
+SUMPRODUCT(--(MOD(COLUMN($AM81:$BJ81),4)=MOD(COLUMN($AM81)+0,4)),$AM81:$BJ81)</f>
        <v/>
      </c>
      <c r="BM81" s="820">
        <f>SUMPRODUCT(--(MOD(COLUMN($O81:$AL81),4)=MOD(COLUMN($O81)+0,4)),$O81:$AL81)*
$I81+SUMPRODUCT(--(MOD(COLUMN($AM81:$BJ81),4)=MOD(COLUMN($AM81)+0,4)),$AM81:$BJ81)*$I81</f>
        <v/>
      </c>
      <c r="BN81" s="822">
        <f>SUMPRODUCT(--(MOD(COLUMN($O81:$AL81),4)=MOD(COLUMN($O81)+1,4)),$O81:$AL81)
+SUMPRODUCT(--(MOD(COLUMN($AM81:$BJ81),4)=MOD(COLUMN($AM81)+1,4)),$AM81:$BJ81)</f>
        <v/>
      </c>
      <c r="BO81" s="823">
        <f>SUMPRODUCT(--(MOD(COLUMN($O81:$AL81),4)=MOD(COLUMN($O81)+1,4)),$O81:$AL81)*
$I81+SUMPRODUCT(--(MOD(COLUMN($AM81:$BJ81),4)=MOD(COLUMN($AM81)+1,4)),$AM81:$BJ81)*$I81</f>
        <v/>
      </c>
      <c r="BP81" s="824">
        <f>SUMPRODUCT(--(MOD(COLUMN($O81:$AL81),4)=MOD(COLUMN($O81)+2,4)),$O81:$AL81)
+SUMPRODUCT(--(MOD(COLUMN($AM81:$BJ81),4)=MOD(COLUMN($AM81)+2,4)),$AM81:$BJ81)</f>
        <v/>
      </c>
      <c r="BQ81" s="825">
        <f>SUMPRODUCT(--(MOD(COLUMN($O81:$AL81),4)=MOD(COLUMN($O81)+2,4)),$O81:$AL81)*
$I81+SUMPRODUCT(--(MOD(COLUMN($AM81:$BJ81),4)=MOD(COLUMN($AM81)+2,4)),$AM81:$BJ81)*$I81</f>
        <v/>
      </c>
      <c r="BR81" s="819" t="n"/>
      <c r="BS81" s="819" t="n"/>
      <c r="BT81" s="578" t="n"/>
      <c r="BU81" s="498" t="n"/>
      <c r="BV81" s="579" t="n"/>
      <c r="BW81" s="498" t="n"/>
      <c r="BX81" s="578" t="n"/>
      <c r="BY81" s="498" t="n"/>
      <c r="BZ81" s="579" t="n"/>
      <c r="CA81" s="498" t="n"/>
      <c r="CB81" s="578" t="n"/>
      <c r="CC81" s="498" t="n"/>
      <c r="CD81" s="579" t="n"/>
      <c r="CE81" s="498" t="n"/>
      <c r="CF81" s="578" t="n"/>
      <c r="CG81" s="498" t="n"/>
      <c r="CH81" s="579" t="n"/>
      <c r="CI81" s="498" t="n"/>
      <c r="CJ81" s="578" t="n"/>
      <c r="CK81" s="498" t="n"/>
      <c r="CL81" s="579" t="n"/>
      <c r="CM81" s="498" t="n"/>
      <c r="CN81" s="578" t="n"/>
      <c r="CO81" s="498" t="n"/>
      <c r="CP81" s="579" t="n"/>
      <c r="CQ81" s="498" t="n"/>
      <c r="CR81" s="578" t="n"/>
      <c r="CS81" s="498" t="n"/>
      <c r="CT81" s="579" t="n"/>
      <c r="CU81" s="498" t="n"/>
      <c r="CV81" s="578" t="n"/>
      <c r="CW81" s="498" t="n"/>
      <c r="CX81" s="579" t="n"/>
      <c r="CY81" s="498" t="n"/>
      <c r="CZ81" s="578" t="n"/>
      <c r="DA81" s="498" t="n"/>
      <c r="DB81" s="579" t="n"/>
      <c r="DC81" s="498" t="n"/>
      <c r="DD81" s="578" t="n"/>
      <c r="DE81" s="498" t="n"/>
      <c r="DF81" s="579" t="n"/>
      <c r="DG81" s="498" t="n"/>
      <c r="DH81" s="578" t="n"/>
      <c r="DI81" s="498" t="n"/>
      <c r="DJ81" s="579" t="n"/>
      <c r="DK81" s="498" t="n"/>
      <c r="DL81" s="578" t="n"/>
      <c r="DM81" s="498" t="n"/>
      <c r="DN81" s="579" t="n"/>
      <c r="DO81" s="498" t="n"/>
      <c r="DP81" s="572" t="n"/>
      <c r="DQ81" s="820" t="n"/>
      <c r="DR81" s="820" t="n"/>
      <c r="DS81" s="819" t="n"/>
      <c r="DT81" s="819" t="n"/>
      <c r="DU81" s="578" t="n"/>
      <c r="DV81" s="498" t="n"/>
      <c r="DW81" s="579" t="n"/>
      <c r="DX81" s="498" t="n"/>
      <c r="DY81" s="578" t="n"/>
      <c r="DZ81" s="498" t="n"/>
      <c r="EA81" s="579" t="n"/>
      <c r="EB81" s="498" t="n"/>
      <c r="EC81" s="578" t="n"/>
      <c r="ED81" s="498" t="n"/>
      <c r="EE81" s="579" t="n"/>
      <c r="EF81" s="498" t="n"/>
      <c r="EG81" s="578" t="n"/>
      <c r="EH81" s="498" t="n"/>
      <c r="EI81" s="579" t="n"/>
      <c r="EJ81" s="498" t="n"/>
      <c r="EK81" s="578" t="n"/>
      <c r="EL81" s="498" t="n"/>
      <c r="EM81" s="579" t="n"/>
      <c r="EN81" s="498" t="n"/>
      <c r="EO81" s="578" t="n"/>
      <c r="EP81" s="498" t="n"/>
      <c r="EQ81" s="579" t="n"/>
      <c r="ER81" s="498" t="n"/>
      <c r="ES81" s="578" t="n"/>
      <c r="ET81" s="498" t="n"/>
      <c r="EU81" s="579" t="n"/>
      <c r="EV81" s="498" t="n"/>
      <c r="EW81" s="578" t="n"/>
      <c r="EX81" s="498" t="n"/>
      <c r="EY81" s="579" t="n"/>
      <c r="EZ81" s="498" t="n"/>
      <c r="FA81" s="578" t="n"/>
      <c r="FB81" s="498" t="n"/>
      <c r="FC81" s="579" t="n"/>
      <c r="FD81" s="498" t="n"/>
      <c r="FE81" s="578" t="n"/>
      <c r="FF81" s="498" t="n"/>
      <c r="FG81" s="579" t="n"/>
      <c r="FH81" s="498" t="n"/>
      <c r="FI81" s="578" t="n"/>
      <c r="FJ81" s="498" t="n"/>
      <c r="FK81" s="579" t="n"/>
      <c r="FL81" s="498" t="n"/>
      <c r="FM81" s="578" t="n"/>
      <c r="FN81" s="498" t="n"/>
      <c r="FO81" s="579" t="n"/>
      <c r="FP81" s="498" t="n"/>
      <c r="FQ81" s="572" t="n"/>
      <c r="FR81" s="820" t="n"/>
      <c r="FS81" s="820" t="n"/>
      <c r="FT81" s="573" t="n"/>
    </row>
    <row r="82" outlineLevel="2" customFormat="1" s="14">
      <c r="A82" s="418" t="inlineStr">
        <is>
          <t>ПРИЦЕПНАЯ ТЕХНИКА ООО</t>
        </is>
      </c>
      <c r="B82" s="387" t="inlineStr">
        <is>
          <t>Договор не подписан</t>
        </is>
      </c>
      <c r="C82" s="541" t="inlineStr">
        <is>
          <t>ВБК РУС</t>
        </is>
      </c>
      <c r="D82" s="565" t="inlineStr">
        <is>
          <t>Прасолов, Соловьёв</t>
        </is>
      </c>
      <c r="E82" s="412">
        <f>IF(ISBLANK(G82),"",IF($A$6:$A$330=$A82,COUNTIF($A$6:A82,$A82),""))</f>
        <v/>
      </c>
      <c r="F82" s="669" t="n">
        <v>2</v>
      </c>
      <c r="G82" s="124" t="n">
        <v>9522010010</v>
      </c>
      <c r="H82" s="604" t="inlineStr">
        <is>
          <t>Головка соединительная</t>
        </is>
      </c>
      <c r="I82" s="618" t="n">
        <v>0</v>
      </c>
      <c r="J82" s="618" t="n"/>
      <c r="K82" s="874" t="n"/>
      <c r="L82" s="618">
        <f>IF(K82="RUB",J82/ЮАНЬ,IF(K82="EUR",J82*ЕВРО/ЮАНЬ,""))</f>
        <v/>
      </c>
      <c r="M82" s="873" t="n"/>
      <c r="N82" s="871">
        <f>IF(BP82&gt;0,1,IF(BN82&gt;0,2,))</f>
        <v/>
      </c>
      <c r="O82" s="23" t="n"/>
      <c r="P82" s="24" t="n"/>
      <c r="Q82" s="25" t="n"/>
      <c r="R82" s="24" t="n"/>
      <c r="S82" s="23" t="n"/>
      <c r="T82" s="24">
        <f>SUMPRODUCT((Комплекты[Пр]=$F82)*(Комплекты[Обозначение]=$G82)*Комплекты[Кол-во]*(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82" s="25" t="n">
        <v>1</v>
      </c>
      <c r="V82" s="24" t="n"/>
      <c r="W82" s="23" t="n"/>
      <c r="X82" s="24" t="n"/>
      <c r="Y82" s="25" t="n"/>
      <c r="Z82" s="24" t="n"/>
      <c r="AA82" s="23" t="n"/>
      <c r="AB82" s="24" t="n"/>
      <c r="AC82" s="25" t="n"/>
      <c r="AD82" s="24" t="n"/>
      <c r="AE82" s="23" t="n"/>
      <c r="AF82" s="24">
        <f>SUMPRODUCT((Комплекты[Пр]=$F82)*(Комплекты[Обозначение]=$G82)*Комплекты[Кол-во]*(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82" s="25" t="n">
        <v>1</v>
      </c>
      <c r="AH82" s="24" t="n"/>
      <c r="AI82" s="23" t="n"/>
      <c r="AJ82" s="24" t="n"/>
      <c r="AK82" s="25" t="n"/>
      <c r="AL82" s="24" t="n"/>
      <c r="AM82" s="23" t="n"/>
      <c r="AN82" s="24" t="n"/>
      <c r="AO82" s="25" t="n"/>
      <c r="AP82" s="24" t="n"/>
      <c r="AQ82" s="23" t="n"/>
      <c r="AR82" s="24" t="n"/>
      <c r="AS82" s="25" t="n"/>
      <c r="AT82" s="24" t="n"/>
      <c r="AU82" s="23" t="n"/>
      <c r="AV82" s="24" t="n"/>
      <c r="AW82" s="25" t="n"/>
      <c r="AX82" s="24" t="n"/>
      <c r="AY82" s="23" t="n"/>
      <c r="AZ82" s="24" t="n"/>
      <c r="BA82" s="25" t="n"/>
      <c r="BB82" s="24" t="n"/>
      <c r="BC82" s="23" t="n"/>
      <c r="BD82" s="24" t="n"/>
      <c r="BE82" s="25" t="n"/>
      <c r="BF82" s="24" t="n"/>
      <c r="BG82" s="23" t="n"/>
      <c r="BH82" s="24" t="n"/>
      <c r="BI82" s="25" t="n"/>
      <c r="BJ82" s="24" t="n"/>
      <c r="BK82" s="340" t="n"/>
      <c r="BL82" s="803">
        <f>SUMPRODUCT(--(MOD(COLUMN($O82:$AL82),4)=MOD(COLUMN($O82)+0,4)),$O82:$AL82)
+SUMPRODUCT(--(MOD(COLUMN($AM82:$BJ82),4)=MOD(COLUMN($AM82)+0,4)),$AM82:$BJ82)</f>
        <v/>
      </c>
      <c r="BM82" s="803">
        <f>SUMPRODUCT(--(MOD(COLUMN($O82:$AL82),4)=MOD(COLUMN($O82)+0,4)),$O82:$AL82)*
$I82+SUMPRODUCT(--(MOD(COLUMN($AM82:$BJ82),4)=MOD(COLUMN($AM82)+0,4)),$AM82:$BJ82)*$I82</f>
        <v/>
      </c>
      <c r="BN82" s="805">
        <f>SUMPRODUCT(--(MOD(COLUMN($O82:$AL82),4)=MOD(COLUMN($O82)+1,4)),$O82:$AL82)
+SUMPRODUCT(--(MOD(COLUMN($AM82:$BJ82),4)=MOD(COLUMN($AM82)+1,4)),$AM82:$BJ82)</f>
        <v/>
      </c>
      <c r="BO82" s="806">
        <f>SUMPRODUCT(--(MOD(COLUMN($O82:$AL82),4)=MOD(COLUMN($O82)+1,4)),$O82:$AL82)*
$I82+SUMPRODUCT(--(MOD(COLUMN($AM82:$BJ82),4)=MOD(COLUMN($AM82)+1,4)),$AM82:$BJ82)*$I82</f>
        <v/>
      </c>
      <c r="BP82" s="807">
        <f>SUMPRODUCT(--(MOD(COLUMN($O82:$AL82),4)=MOD(COLUMN($O82)+2,4)),$O82:$AL82)
+SUMPRODUCT(--(MOD(COLUMN($AM82:$BJ82),4)=MOD(COLUMN($AM82)+2,4)),$AM82:$BJ82)</f>
        <v/>
      </c>
      <c r="BQ82" s="808">
        <f>SUMPRODUCT(--(MOD(COLUMN($O82:$AL82),4)=MOD(COLUMN($O82)+2,4)),$O82:$AL82)*
$I82+SUMPRODUCT(--(MOD(COLUMN($AM82:$BJ82),4)=MOD(COLUMN($AM82)+2,4)),$AM82:$BJ82)*$I82</f>
        <v/>
      </c>
      <c r="BR82" s="801" t="n"/>
      <c r="BS82" s="819" t="n"/>
      <c r="BT82" s="23" t="n"/>
      <c r="BU82" s="24" t="n"/>
      <c r="BV82" s="25" t="n"/>
      <c r="BW82" s="24" t="n"/>
      <c r="BX82" s="23" t="n"/>
      <c r="BY82" s="24" t="n"/>
      <c r="BZ82" s="25" t="n"/>
      <c r="CA82" s="24" t="n"/>
      <c r="CB82" s="23" t="n"/>
      <c r="CC82" s="24" t="n"/>
      <c r="CD82" s="25" t="n"/>
      <c r="CE82" s="24" t="n"/>
      <c r="CF82" s="23" t="n"/>
      <c r="CG82" s="24" t="n"/>
      <c r="CH82" s="25" t="n"/>
      <c r="CI82" s="24" t="n"/>
      <c r="CJ82" s="23" t="n"/>
      <c r="CK82" s="24" t="n"/>
      <c r="CL82" s="25" t="n"/>
      <c r="CM82" s="24" t="n"/>
      <c r="CN82" s="23" t="n"/>
      <c r="CO82" s="24" t="n"/>
      <c r="CP82" s="25" t="n"/>
      <c r="CQ82" s="24" t="n"/>
      <c r="CR82" s="23" t="n"/>
      <c r="CS82" s="24" t="n"/>
      <c r="CT82" s="25" t="n"/>
      <c r="CU82" s="24" t="n"/>
      <c r="CV82" s="23" t="n"/>
      <c r="CW82" s="24" t="n"/>
      <c r="CX82" s="25" t="n"/>
      <c r="CY82" s="24" t="n"/>
      <c r="CZ82" s="23" t="n"/>
      <c r="DA82" s="24" t="n"/>
      <c r="DB82" s="25" t="n"/>
      <c r="DC82" s="24" t="n"/>
      <c r="DD82" s="23" t="n"/>
      <c r="DE82" s="24" t="n"/>
      <c r="DF82" s="25" t="n"/>
      <c r="DG82" s="24" t="n"/>
      <c r="DH82" s="23" t="n"/>
      <c r="DI82" s="24" t="n"/>
      <c r="DJ82" s="25" t="n"/>
      <c r="DK82" s="24" t="n"/>
      <c r="DL82" s="23" t="n"/>
      <c r="DM82" s="24" t="n"/>
      <c r="DN82" s="25" t="n"/>
      <c r="DO82" s="24" t="n"/>
      <c r="DP82" s="340" t="n"/>
      <c r="DQ82" s="803">
        <f>SUMPRODUCT(--(MOD(COLUMN(BT82:CQ82),4)=MOD(COLUMN(BT82),4)),BT82:CQ82)+SUMPRODUCT(--(MOD(COLUMN(CR82:DO82),4)=MOD(COLUMN(CR82),4)),CR82:DO82)</f>
        <v/>
      </c>
      <c r="DR82" s="803">
        <f>SUMPRODUCT(--(MOD(COLUMN(BT82:CQ82),4)=MOD(COLUMN(BT82),4)),BT82:CQ82)*$I82+SUMPRODUCT(--(MOD(COLUMN(CR82:DO82),4)=MOD(COLUMN(CR82),4)),CR82:DO82)*$I82</f>
        <v/>
      </c>
      <c r="DS82" s="801" t="n"/>
      <c r="DT82" s="819" t="n"/>
      <c r="DU82" s="23" t="n"/>
      <c r="DV82" s="24" t="n"/>
      <c r="DW82" s="25" t="n"/>
      <c r="DX82" s="24" t="n"/>
      <c r="DY82" s="23" t="n"/>
      <c r="DZ82" s="24" t="n"/>
      <c r="EA82" s="25" t="n"/>
      <c r="EB82" s="24" t="n"/>
      <c r="EC82" s="23" t="n"/>
      <c r="ED82" s="24" t="n"/>
      <c r="EE82" s="25" t="n"/>
      <c r="EF82" s="24" t="n"/>
      <c r="EG82" s="23" t="n"/>
      <c r="EH82" s="24" t="n"/>
      <c r="EI82" s="25" t="n"/>
      <c r="EJ82" s="24" t="n"/>
      <c r="EK82" s="23" t="n"/>
      <c r="EL82" s="24" t="n"/>
      <c r="EM82" s="25" t="n"/>
      <c r="EN82" s="24" t="n"/>
      <c r="EO82" s="23" t="n"/>
      <c r="EP82" s="24" t="n"/>
      <c r="EQ82" s="25" t="n"/>
      <c r="ER82" s="24" t="n"/>
      <c r="ES82" s="23" t="n"/>
      <c r="ET82" s="24" t="n"/>
      <c r="EU82" s="25" t="n"/>
      <c r="EV82" s="24" t="n"/>
      <c r="EW82" s="23" t="n"/>
      <c r="EX82" s="24" t="n"/>
      <c r="EY82" s="25" t="n"/>
      <c r="EZ82" s="24" t="n"/>
      <c r="FA82" s="23" t="n"/>
      <c r="FB82" s="24" t="n"/>
      <c r="FC82" s="25" t="n"/>
      <c r="FD82" s="24" t="n"/>
      <c r="FE82" s="23" t="n"/>
      <c r="FF82" s="24" t="n"/>
      <c r="FG82" s="25" t="n"/>
      <c r="FH82" s="24" t="n"/>
      <c r="FI82" s="23" t="n"/>
      <c r="FJ82" s="24" t="n"/>
      <c r="FK82" s="25" t="n"/>
      <c r="FL82" s="24" t="n"/>
      <c r="FM82" s="23" t="n"/>
      <c r="FN82" s="24" t="n"/>
      <c r="FO82" s="25" t="n"/>
      <c r="FP82" s="24" t="n"/>
      <c r="FQ82" s="340" t="n"/>
      <c r="FR82" s="803">
        <f>SUMPRODUCT(--(MOD(COLUMN(DU82:ER82),4)=MOD(COLUMN(DU82),4)),DU82:ER82)+SUMPRODUCT(--(MOD(COLUMN(ES82:FP82),4)=MOD(COLUMN(ES82),4)),ES82:FP82)</f>
        <v/>
      </c>
      <c r="FS82" s="803">
        <f>SUMPRODUCT(--(MOD(COLUMN(DU82:ER82),4)=MOD(COLUMN(DU82),4)),DU82:ER82)*$I82+SUMPRODUCT(--(MOD(COLUMN(ES82:FP82),4)=MOD(COLUMN(ES82),4)),ES82:FP82)*$I82</f>
        <v/>
      </c>
      <c r="FT82" s="360" t="n"/>
    </row>
    <row r="83" outlineLevel="2" customFormat="1" s="14">
      <c r="A83" s="418" t="inlineStr">
        <is>
          <t>ПРИЦЕПНАЯ ТЕХНИКА ООО</t>
        </is>
      </c>
      <c r="B83" s="387" t="inlineStr">
        <is>
          <t>Договор не подписан</t>
        </is>
      </c>
      <c r="C83" s="541" t="inlineStr">
        <is>
          <t>ВБК РУС</t>
        </is>
      </c>
      <c r="D83" s="565" t="inlineStr">
        <is>
          <t>Прасолов, Соловьёв</t>
        </is>
      </c>
      <c r="E83" s="412">
        <f>IF(ISBLANK(G83),"",IF($A$6:$A$330=$A83,COUNTIF($A$6:A83,$A83),""))</f>
        <v/>
      </c>
      <c r="F83" s="669" t="n">
        <v>2</v>
      </c>
      <c r="G83" s="124" t="n">
        <v>9522010020</v>
      </c>
      <c r="H83" s="604" t="inlineStr">
        <is>
          <t>Головка соединительная</t>
        </is>
      </c>
      <c r="I83" s="618" t="n">
        <v>0</v>
      </c>
      <c r="J83" s="618" t="n"/>
      <c r="K83" s="874" t="n"/>
      <c r="L83" s="618">
        <f>IF(K83="RUB",J83/ЮАНЬ,IF(K83="EUR",J83*ЕВРО/ЮАНЬ,""))</f>
        <v/>
      </c>
      <c r="M83" s="873" t="n"/>
      <c r="N83" s="871">
        <f>IF(BP83&gt;0,1,IF(BN83&gt;0,2,))</f>
        <v/>
      </c>
      <c r="O83" s="23" t="n"/>
      <c r="P83" s="24" t="n"/>
      <c r="Q83" s="25" t="n"/>
      <c r="R83" s="24" t="n"/>
      <c r="S83" s="23" t="n"/>
      <c r="T83" s="24">
        <f>SUMPRODUCT((Комплекты[Пр]=$F83)*(Комплекты[Обозначение]=$G83)*Комплекты[Кол-во]*(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83" s="25" t="n">
        <v>1</v>
      </c>
      <c r="V83" s="24" t="n"/>
      <c r="W83" s="23" t="n"/>
      <c r="X83" s="24" t="n"/>
      <c r="Y83" s="25" t="n"/>
      <c r="Z83" s="24" t="n"/>
      <c r="AA83" s="23" t="n"/>
      <c r="AB83" s="24" t="n"/>
      <c r="AC83" s="25" t="n"/>
      <c r="AD83" s="24" t="n"/>
      <c r="AE83" s="23" t="n"/>
      <c r="AF83" s="24">
        <f>SUMPRODUCT((Комплекты[Пр]=$F83)*(Комплекты[Обозначение]=$G83)*Комплекты[Кол-во]*(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83" s="25" t="n">
        <v>1</v>
      </c>
      <c r="AH83" s="24" t="n"/>
      <c r="AI83" s="23" t="n"/>
      <c r="AJ83" s="24" t="n"/>
      <c r="AK83" s="25" t="n"/>
      <c r="AL83" s="24" t="n"/>
      <c r="AM83" s="23" t="n"/>
      <c r="AN83" s="24" t="n"/>
      <c r="AO83" s="25" t="n"/>
      <c r="AP83" s="24" t="n"/>
      <c r="AQ83" s="23" t="n"/>
      <c r="AR83" s="24" t="n"/>
      <c r="AS83" s="25" t="n"/>
      <c r="AT83" s="24" t="n"/>
      <c r="AU83" s="23" t="n"/>
      <c r="AV83" s="24" t="n"/>
      <c r="AW83" s="25" t="n"/>
      <c r="AX83" s="24" t="n"/>
      <c r="AY83" s="23" t="n"/>
      <c r="AZ83" s="24" t="n"/>
      <c r="BA83" s="25" t="n"/>
      <c r="BB83" s="24" t="n"/>
      <c r="BC83" s="23" t="n"/>
      <c r="BD83" s="24" t="n"/>
      <c r="BE83" s="25" t="n"/>
      <c r="BF83" s="24" t="n"/>
      <c r="BG83" s="23" t="n"/>
      <c r="BH83" s="24" t="n"/>
      <c r="BI83" s="25" t="n"/>
      <c r="BJ83" s="24" t="n"/>
      <c r="BK83" s="340" t="n"/>
      <c r="BL83" s="803">
        <f>SUMPRODUCT(--(MOD(COLUMN($O83:$AL83),4)=MOD(COLUMN($O83)+0,4)),$O83:$AL83)
+SUMPRODUCT(--(MOD(COLUMN($AM83:$BJ83),4)=MOD(COLUMN($AM83)+0,4)),$AM83:$BJ83)</f>
        <v/>
      </c>
      <c r="BM83" s="803">
        <f>SUMPRODUCT(--(MOD(COLUMN($O83:$AL83),4)=MOD(COLUMN($O83)+0,4)),$O83:$AL83)*
$I83+SUMPRODUCT(--(MOD(COLUMN($AM83:$BJ83),4)=MOD(COLUMN($AM83)+0,4)),$AM83:$BJ83)*$I83</f>
        <v/>
      </c>
      <c r="BN83" s="805">
        <f>SUMPRODUCT(--(MOD(COLUMN($O83:$AL83),4)=MOD(COLUMN($O83)+1,4)),$O83:$AL83)
+SUMPRODUCT(--(MOD(COLUMN($AM83:$BJ83),4)=MOD(COLUMN($AM83)+1,4)),$AM83:$BJ83)</f>
        <v/>
      </c>
      <c r="BO83" s="806">
        <f>SUMPRODUCT(--(MOD(COLUMN($O83:$AL83),4)=MOD(COLUMN($O83)+1,4)),$O83:$AL83)*
$I83+SUMPRODUCT(--(MOD(COLUMN($AM83:$BJ83),4)=MOD(COLUMN($AM83)+1,4)),$AM83:$BJ83)*$I83</f>
        <v/>
      </c>
      <c r="BP83" s="807">
        <f>SUMPRODUCT(--(MOD(COLUMN($O83:$AL83),4)=MOD(COLUMN($O83)+2,4)),$O83:$AL83)
+SUMPRODUCT(--(MOD(COLUMN($AM83:$BJ83),4)=MOD(COLUMN($AM83)+2,4)),$AM83:$BJ83)</f>
        <v/>
      </c>
      <c r="BQ83" s="808">
        <f>SUMPRODUCT(--(MOD(COLUMN($O83:$AL83),4)=MOD(COLUMN($O83)+2,4)),$O83:$AL83)*
$I83+SUMPRODUCT(--(MOD(COLUMN($AM83:$BJ83),4)=MOD(COLUMN($AM83)+2,4)),$AM83:$BJ83)*$I83</f>
        <v/>
      </c>
      <c r="BR83" s="801" t="n"/>
      <c r="BS83" s="819" t="n"/>
      <c r="BT83" s="23" t="n"/>
      <c r="BU83" s="24" t="n"/>
      <c r="BV83" s="25" t="n"/>
      <c r="BW83" s="24" t="n"/>
      <c r="BX83" s="23" t="n"/>
      <c r="BY83" s="24" t="n"/>
      <c r="BZ83" s="25" t="n"/>
      <c r="CA83" s="24" t="n"/>
      <c r="CB83" s="23" t="n"/>
      <c r="CC83" s="24" t="n"/>
      <c r="CD83" s="25" t="n"/>
      <c r="CE83" s="24" t="n"/>
      <c r="CF83" s="23" t="n"/>
      <c r="CG83" s="24" t="n"/>
      <c r="CH83" s="25" t="n"/>
      <c r="CI83" s="24" t="n"/>
      <c r="CJ83" s="23" t="n"/>
      <c r="CK83" s="24" t="n"/>
      <c r="CL83" s="25" t="n"/>
      <c r="CM83" s="24" t="n"/>
      <c r="CN83" s="23" t="n"/>
      <c r="CO83" s="24" t="n"/>
      <c r="CP83" s="25" t="n"/>
      <c r="CQ83" s="24" t="n"/>
      <c r="CR83" s="23" t="n"/>
      <c r="CS83" s="24" t="n"/>
      <c r="CT83" s="25" t="n"/>
      <c r="CU83" s="24" t="n"/>
      <c r="CV83" s="23" t="n"/>
      <c r="CW83" s="24" t="n"/>
      <c r="CX83" s="25" t="n"/>
      <c r="CY83" s="24" t="n"/>
      <c r="CZ83" s="23" t="n"/>
      <c r="DA83" s="24" t="n"/>
      <c r="DB83" s="25" t="n"/>
      <c r="DC83" s="24" t="n"/>
      <c r="DD83" s="23" t="n"/>
      <c r="DE83" s="24" t="n"/>
      <c r="DF83" s="25" t="n"/>
      <c r="DG83" s="24" t="n"/>
      <c r="DH83" s="23" t="n"/>
      <c r="DI83" s="24" t="n"/>
      <c r="DJ83" s="25" t="n"/>
      <c r="DK83" s="24" t="n"/>
      <c r="DL83" s="23" t="n"/>
      <c r="DM83" s="24" t="n"/>
      <c r="DN83" s="25" t="n"/>
      <c r="DO83" s="24" t="n"/>
      <c r="DP83" s="340" t="n"/>
      <c r="DQ83" s="803">
        <f>SUMPRODUCT(--(MOD(COLUMN(BT83:CQ83),4)=MOD(COLUMN(BT83),4)),BT83:CQ83)+SUMPRODUCT(--(MOD(COLUMN(CR83:DO83),4)=MOD(COLUMN(CR83),4)),CR83:DO83)</f>
        <v/>
      </c>
      <c r="DR83" s="803">
        <f>SUMPRODUCT(--(MOD(COLUMN(BT83:CQ83),4)=MOD(COLUMN(BT83),4)),BT83:CQ83)*$I83+SUMPRODUCT(--(MOD(COLUMN(CR83:DO83),4)=MOD(COLUMN(CR83),4)),CR83:DO83)*$I83</f>
        <v/>
      </c>
      <c r="DS83" s="801" t="n"/>
      <c r="DT83" s="819" t="n"/>
      <c r="DU83" s="23" t="n"/>
      <c r="DV83" s="24" t="n"/>
      <c r="DW83" s="25" t="n"/>
      <c r="DX83" s="24" t="n"/>
      <c r="DY83" s="23" t="n"/>
      <c r="DZ83" s="24" t="n"/>
      <c r="EA83" s="25" t="n"/>
      <c r="EB83" s="24" t="n"/>
      <c r="EC83" s="23" t="n"/>
      <c r="ED83" s="24" t="n"/>
      <c r="EE83" s="25" t="n"/>
      <c r="EF83" s="24" t="n"/>
      <c r="EG83" s="23" t="n"/>
      <c r="EH83" s="24" t="n"/>
      <c r="EI83" s="25" t="n"/>
      <c r="EJ83" s="24" t="n"/>
      <c r="EK83" s="23" t="n"/>
      <c r="EL83" s="24" t="n"/>
      <c r="EM83" s="25" t="n"/>
      <c r="EN83" s="24" t="n"/>
      <c r="EO83" s="23" t="n"/>
      <c r="EP83" s="24" t="n"/>
      <c r="EQ83" s="25" t="n"/>
      <c r="ER83" s="24" t="n"/>
      <c r="ES83" s="23" t="n"/>
      <c r="ET83" s="24" t="n"/>
      <c r="EU83" s="25" t="n"/>
      <c r="EV83" s="24" t="n"/>
      <c r="EW83" s="23" t="n"/>
      <c r="EX83" s="24" t="n"/>
      <c r="EY83" s="25" t="n"/>
      <c r="EZ83" s="24" t="n"/>
      <c r="FA83" s="23" t="n"/>
      <c r="FB83" s="24" t="n"/>
      <c r="FC83" s="25" t="n"/>
      <c r="FD83" s="24" t="n"/>
      <c r="FE83" s="23" t="n"/>
      <c r="FF83" s="24" t="n"/>
      <c r="FG83" s="25" t="n"/>
      <c r="FH83" s="24" t="n"/>
      <c r="FI83" s="23" t="n"/>
      <c r="FJ83" s="24" t="n"/>
      <c r="FK83" s="25" t="n"/>
      <c r="FL83" s="24" t="n"/>
      <c r="FM83" s="23" t="n"/>
      <c r="FN83" s="24" t="n"/>
      <c r="FO83" s="25" t="n"/>
      <c r="FP83" s="24" t="n"/>
      <c r="FQ83" s="340" t="n"/>
      <c r="FR83" s="803">
        <f>SUMPRODUCT(--(MOD(COLUMN(DU83:ER83),4)=MOD(COLUMN(DU83),4)),DU83:ER83)+SUMPRODUCT(--(MOD(COLUMN(ES83:FP83),4)=MOD(COLUMN(ES83),4)),ES83:FP83)</f>
        <v/>
      </c>
      <c r="FS83" s="803">
        <f>SUMPRODUCT(--(MOD(COLUMN(DU83:ER83),4)=MOD(COLUMN(DU83),4)),DU83:ER83)*$I83+SUMPRODUCT(--(MOD(COLUMN(ES83:FP83),4)=MOD(COLUMN(ES83),4)),ES83:FP83)*$I83</f>
        <v/>
      </c>
      <c r="FT83" s="360" t="n"/>
    </row>
    <row r="84" outlineLevel="2" customFormat="1" s="14">
      <c r="A84" s="418" t="inlineStr">
        <is>
          <t>ПРИЦЕПНАЯ ТЕХНИКА ООО</t>
        </is>
      </c>
      <c r="B84" s="387" t="inlineStr">
        <is>
          <t>Договор не подписан</t>
        </is>
      </c>
      <c r="C84" s="541" t="inlineStr">
        <is>
          <t>ВБК РУС</t>
        </is>
      </c>
      <c r="D84" s="565" t="inlineStr">
        <is>
          <t>Прасолов, Соловьёв</t>
        </is>
      </c>
      <c r="E84" s="412">
        <f>IF(ISBLANK(G84),"",IF($A$6:$A$330=$A84,COUNTIF($A$6:A84,$A84),""))</f>
        <v/>
      </c>
      <c r="F84" s="669" t="n">
        <v>2</v>
      </c>
      <c r="G84" s="124" t="n">
        <v>4801020640</v>
      </c>
      <c r="H84" s="604" t="inlineStr">
        <is>
          <t>Блок TEBS-E, 4s3m Premium</t>
        </is>
      </c>
      <c r="I84" s="618" t="n">
        <v>0</v>
      </c>
      <c r="J84" s="618" t="n"/>
      <c r="K84" s="874" t="n"/>
      <c r="L84" s="618">
        <f>IF(K84="RUB",J84/ЮАНЬ,IF(K84="EUR",J84*ЕВРО/ЮАНЬ,""))</f>
        <v/>
      </c>
      <c r="M84" s="873" t="n"/>
      <c r="N84" s="871">
        <f>IF(BP84&gt;0,1,IF(BN84&gt;0,2,))</f>
        <v/>
      </c>
      <c r="O84" s="23" t="n"/>
      <c r="P84" s="24" t="n"/>
      <c r="Q84" s="25" t="n"/>
      <c r="R84" s="24" t="n"/>
      <c r="S84" s="23" t="n"/>
      <c r="T84" s="24">
        <f>SUMPRODUCT((Комплекты[Пр]=$F84)*(Комплекты[Обозначение]=$G84)*Комплекты[Кол-во]*(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84" s="25" t="n">
        <v>1</v>
      </c>
      <c r="V84" s="24" t="n"/>
      <c r="W84" s="23" t="n"/>
      <c r="X84" s="24" t="n"/>
      <c r="Y84" s="25" t="n"/>
      <c r="Z84" s="24" t="n"/>
      <c r="AA84" s="23" t="n"/>
      <c r="AB84" s="24" t="n"/>
      <c r="AC84" s="25" t="n"/>
      <c r="AD84" s="24" t="n"/>
      <c r="AE84" s="23" t="n"/>
      <c r="AF84" s="24">
        <f>SUMPRODUCT((Комплекты[Пр]=$F84)*(Комплекты[Обозначение]=$G84)*Комплекты[Кол-во]*(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84" s="25" t="n">
        <v>1</v>
      </c>
      <c r="AH84" s="24" t="n"/>
      <c r="AI84" s="23" t="n"/>
      <c r="AJ84" s="24" t="n"/>
      <c r="AK84" s="25" t="n"/>
      <c r="AL84" s="24" t="n"/>
      <c r="AM84" s="23" t="n"/>
      <c r="AN84" s="24" t="n"/>
      <c r="AO84" s="25" t="n"/>
      <c r="AP84" s="24" t="n"/>
      <c r="AQ84" s="23" t="n"/>
      <c r="AR84" s="24" t="n"/>
      <c r="AS84" s="25" t="n"/>
      <c r="AT84" s="24" t="n"/>
      <c r="AU84" s="23" t="n"/>
      <c r="AV84" s="24" t="n"/>
      <c r="AW84" s="25" t="n"/>
      <c r="AX84" s="24" t="n"/>
      <c r="AY84" s="23" t="n"/>
      <c r="AZ84" s="24" t="n"/>
      <c r="BA84" s="25" t="n"/>
      <c r="BB84" s="24" t="n"/>
      <c r="BC84" s="23" t="n"/>
      <c r="BD84" s="24" t="n"/>
      <c r="BE84" s="25" t="n"/>
      <c r="BF84" s="24" t="n"/>
      <c r="BG84" s="23" t="n"/>
      <c r="BH84" s="24" t="n"/>
      <c r="BI84" s="25" t="n"/>
      <c r="BJ84" s="24" t="n"/>
      <c r="BK84" s="340" t="n"/>
      <c r="BL84" s="803">
        <f>SUMPRODUCT(--(MOD(COLUMN($O84:$AL84),4)=MOD(COLUMN($O84)+0,4)),$O84:$AL84)
+SUMPRODUCT(--(MOD(COLUMN($AM84:$BJ84),4)=MOD(COLUMN($AM84)+0,4)),$AM84:$BJ84)</f>
        <v/>
      </c>
      <c r="BM84" s="803">
        <f>SUMPRODUCT(--(MOD(COLUMN($O84:$AL84),4)=MOD(COLUMN($O84)+0,4)),$O84:$AL84)*
$I84+SUMPRODUCT(--(MOD(COLUMN($AM84:$BJ84),4)=MOD(COLUMN($AM84)+0,4)),$AM84:$BJ84)*$I84</f>
        <v/>
      </c>
      <c r="BN84" s="805">
        <f>SUMPRODUCT(--(MOD(COLUMN($O84:$AL84),4)=MOD(COLUMN($O84)+1,4)),$O84:$AL84)
+SUMPRODUCT(--(MOD(COLUMN($AM84:$BJ84),4)=MOD(COLUMN($AM84)+1,4)),$AM84:$BJ84)</f>
        <v/>
      </c>
      <c r="BO84" s="806">
        <f>SUMPRODUCT(--(MOD(COLUMN($O84:$AL84),4)=MOD(COLUMN($O84)+1,4)),$O84:$AL84)*
$I84+SUMPRODUCT(--(MOD(COLUMN($AM84:$BJ84),4)=MOD(COLUMN($AM84)+1,4)),$AM84:$BJ84)*$I84</f>
        <v/>
      </c>
      <c r="BP84" s="807">
        <f>SUMPRODUCT(--(MOD(COLUMN($O84:$AL84),4)=MOD(COLUMN($O84)+2,4)),$O84:$AL84)
+SUMPRODUCT(--(MOD(COLUMN($AM84:$BJ84),4)=MOD(COLUMN($AM84)+2,4)),$AM84:$BJ84)</f>
        <v/>
      </c>
      <c r="BQ84" s="808">
        <f>SUMPRODUCT(--(MOD(COLUMN($O84:$AL84),4)=MOD(COLUMN($O84)+2,4)),$O84:$AL84)*
$I84+SUMPRODUCT(--(MOD(COLUMN($AM84:$BJ84),4)=MOD(COLUMN($AM84)+2,4)),$AM84:$BJ84)*$I84</f>
        <v/>
      </c>
      <c r="BR84" s="801" t="n"/>
      <c r="BS84" s="819" t="n"/>
      <c r="BT84" s="23" t="n"/>
      <c r="BU84" s="24" t="n"/>
      <c r="BV84" s="25" t="n"/>
      <c r="BW84" s="24" t="n"/>
      <c r="BX84" s="23" t="n"/>
      <c r="BY84" s="24" t="n"/>
      <c r="BZ84" s="25" t="n"/>
      <c r="CA84" s="24" t="n"/>
      <c r="CB84" s="23" t="n"/>
      <c r="CC84" s="24" t="n"/>
      <c r="CD84" s="25" t="n"/>
      <c r="CE84" s="24" t="n"/>
      <c r="CF84" s="23" t="n"/>
      <c r="CG84" s="24" t="n"/>
      <c r="CH84" s="25" t="n"/>
      <c r="CI84" s="24" t="n"/>
      <c r="CJ84" s="23" t="n"/>
      <c r="CK84" s="24" t="n"/>
      <c r="CL84" s="25" t="n"/>
      <c r="CM84" s="24" t="n"/>
      <c r="CN84" s="23" t="n"/>
      <c r="CO84" s="24" t="n"/>
      <c r="CP84" s="25" t="n"/>
      <c r="CQ84" s="24" t="n"/>
      <c r="CR84" s="23" t="n"/>
      <c r="CS84" s="24" t="n"/>
      <c r="CT84" s="25" t="n"/>
      <c r="CU84" s="24" t="n"/>
      <c r="CV84" s="23" t="n"/>
      <c r="CW84" s="24" t="n"/>
      <c r="CX84" s="25" t="n"/>
      <c r="CY84" s="24" t="n"/>
      <c r="CZ84" s="23" t="n"/>
      <c r="DA84" s="24" t="n"/>
      <c r="DB84" s="25" t="n"/>
      <c r="DC84" s="24" t="n"/>
      <c r="DD84" s="23" t="n"/>
      <c r="DE84" s="24" t="n"/>
      <c r="DF84" s="25" t="n"/>
      <c r="DG84" s="24" t="n"/>
      <c r="DH84" s="23" t="n"/>
      <c r="DI84" s="24" t="n"/>
      <c r="DJ84" s="25" t="n"/>
      <c r="DK84" s="24" t="n"/>
      <c r="DL84" s="23" t="n"/>
      <c r="DM84" s="24" t="n"/>
      <c r="DN84" s="25" t="n"/>
      <c r="DO84" s="24" t="n"/>
      <c r="DP84" s="340" t="n"/>
      <c r="DQ84" s="803">
        <f>SUMPRODUCT(--(MOD(COLUMN(BT84:CQ84),4)=MOD(COLUMN(BT84),4)),BT84:CQ84)+SUMPRODUCT(--(MOD(COLUMN(CR84:DO84),4)=MOD(COLUMN(CR84),4)),CR84:DO84)</f>
        <v/>
      </c>
      <c r="DR84" s="803">
        <f>SUMPRODUCT(--(MOD(COLUMN(BT84:CQ84),4)=MOD(COLUMN(BT84),4)),BT84:CQ84)*$I84+SUMPRODUCT(--(MOD(COLUMN(CR84:DO84),4)=MOD(COLUMN(CR84),4)),CR84:DO84)*$I84</f>
        <v/>
      </c>
      <c r="DS84" s="801" t="n"/>
      <c r="DT84" s="819" t="n"/>
      <c r="DU84" s="23" t="n"/>
      <c r="DV84" s="24" t="n"/>
      <c r="DW84" s="25" t="n"/>
      <c r="DX84" s="24" t="n"/>
      <c r="DY84" s="23" t="n"/>
      <c r="DZ84" s="24" t="n"/>
      <c r="EA84" s="25" t="n"/>
      <c r="EB84" s="24" t="n"/>
      <c r="EC84" s="23" t="n"/>
      <c r="ED84" s="24" t="n"/>
      <c r="EE84" s="25" t="n"/>
      <c r="EF84" s="24" t="n"/>
      <c r="EG84" s="23" t="n"/>
      <c r="EH84" s="24" t="n"/>
      <c r="EI84" s="25" t="n"/>
      <c r="EJ84" s="24" t="n"/>
      <c r="EK84" s="23" t="n"/>
      <c r="EL84" s="24" t="n"/>
      <c r="EM84" s="25" t="n"/>
      <c r="EN84" s="24" t="n"/>
      <c r="EO84" s="23" t="n"/>
      <c r="EP84" s="24" t="n"/>
      <c r="EQ84" s="25" t="n"/>
      <c r="ER84" s="24" t="n"/>
      <c r="ES84" s="23" t="n"/>
      <c r="ET84" s="24" t="n"/>
      <c r="EU84" s="25" t="n"/>
      <c r="EV84" s="24" t="n"/>
      <c r="EW84" s="23" t="n"/>
      <c r="EX84" s="24" t="n"/>
      <c r="EY84" s="25" t="n"/>
      <c r="EZ84" s="24" t="n"/>
      <c r="FA84" s="23" t="n"/>
      <c r="FB84" s="24" t="n"/>
      <c r="FC84" s="25" t="n"/>
      <c r="FD84" s="24" t="n"/>
      <c r="FE84" s="23" t="n"/>
      <c r="FF84" s="24" t="n"/>
      <c r="FG84" s="25" t="n"/>
      <c r="FH84" s="24" t="n"/>
      <c r="FI84" s="23" t="n"/>
      <c r="FJ84" s="24" t="n"/>
      <c r="FK84" s="25" t="n"/>
      <c r="FL84" s="24" t="n"/>
      <c r="FM84" s="23" t="n"/>
      <c r="FN84" s="24" t="n"/>
      <c r="FO84" s="25" t="n"/>
      <c r="FP84" s="24" t="n"/>
      <c r="FQ84" s="340" t="n"/>
      <c r="FR84" s="803">
        <f>SUMPRODUCT(--(MOD(COLUMN(DU84:ER84),4)=MOD(COLUMN(DU84),4)),DU84:ER84)+SUMPRODUCT(--(MOD(COLUMN(ES84:FP84),4)=MOD(COLUMN(ES84),4)),ES84:FP84)</f>
        <v/>
      </c>
      <c r="FS84" s="803">
        <f>SUMPRODUCT(--(MOD(COLUMN(DU84:ER84),4)=MOD(COLUMN(DU84),4)),DU84:ER84)*$I84+SUMPRODUCT(--(MOD(COLUMN(ES84:FP84),4)=MOD(COLUMN(ES84),4)),ES84:FP84)*$I84</f>
        <v/>
      </c>
      <c r="FT84" s="360" t="n"/>
    </row>
    <row r="85" outlineLevel="2" customFormat="1" s="14">
      <c r="A85" s="418" t="inlineStr">
        <is>
          <t>ПРИЦЕПНАЯ ТЕХНИКА ООО</t>
        </is>
      </c>
      <c r="B85" s="387" t="inlineStr">
        <is>
          <t>Договор не подписан</t>
        </is>
      </c>
      <c r="C85" s="541" t="inlineStr">
        <is>
          <t>ВБК РУС</t>
        </is>
      </c>
      <c r="D85" s="565" t="inlineStr">
        <is>
          <t>Прасолов, Соловьёв</t>
        </is>
      </c>
      <c r="E85" s="412">
        <f>IF(ISBLANK(G85),"",IF($A$6:$A$330=$A85,COUNTIF($A$6:A85,$A85),""))</f>
        <v/>
      </c>
      <c r="F85" s="669" t="n">
        <v>2</v>
      </c>
      <c r="G85" s="124" t="n">
        <v>4491731200</v>
      </c>
      <c r="H85" s="604" t="inlineStr">
        <is>
          <t>Кабель питания, 12 м</t>
        </is>
      </c>
      <c r="I85" s="618" t="n">
        <v>0</v>
      </c>
      <c r="J85" s="618" t="n"/>
      <c r="K85" s="874" t="n"/>
      <c r="L85" s="618">
        <f>IF(K85="RUB",J85/ЮАНЬ,IF(K85="EUR",J85*ЕВРО/ЮАНЬ,""))</f>
        <v/>
      </c>
      <c r="M85" s="873" t="n"/>
      <c r="N85" s="871">
        <f>IF(BP85&gt;0,1,IF(BN85&gt;0,2,))</f>
        <v/>
      </c>
      <c r="O85" s="23" t="n"/>
      <c r="P85" s="24" t="n"/>
      <c r="Q85" s="25" t="n"/>
      <c r="R85" s="24" t="n"/>
      <c r="S85" s="23" t="n"/>
      <c r="T85" s="24">
        <f>SUMPRODUCT((Комплекты[Пр]=$F85)*(Комплекты[Обозначение]=$G85)*Комплекты[Кол-во]*(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85" s="25" t="n">
        <v>1</v>
      </c>
      <c r="V85" s="24" t="n"/>
      <c r="W85" s="23" t="n"/>
      <c r="X85" s="24" t="n"/>
      <c r="Y85" s="25" t="n"/>
      <c r="Z85" s="24" t="n"/>
      <c r="AA85" s="23" t="n"/>
      <c r="AB85" s="24" t="n"/>
      <c r="AC85" s="25" t="n"/>
      <c r="AD85" s="24" t="n"/>
      <c r="AE85" s="23" t="n"/>
      <c r="AF85" s="24">
        <f>SUMPRODUCT((Комплекты[Пр]=$F85)*(Комплекты[Обозначение]=$G85)*Комплекты[Кол-во]*(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85" s="25" t="n">
        <v>1</v>
      </c>
      <c r="AH85" s="24" t="n"/>
      <c r="AI85" s="23" t="n"/>
      <c r="AJ85" s="24" t="n"/>
      <c r="AK85" s="25" t="n"/>
      <c r="AL85" s="24" t="n"/>
      <c r="AM85" s="23" t="n"/>
      <c r="AN85" s="24" t="n"/>
      <c r="AO85" s="25" t="n"/>
      <c r="AP85" s="24" t="n"/>
      <c r="AQ85" s="23" t="n"/>
      <c r="AR85" s="24" t="n"/>
      <c r="AS85" s="25" t="n"/>
      <c r="AT85" s="24" t="n"/>
      <c r="AU85" s="23" t="n"/>
      <c r="AV85" s="24" t="n"/>
      <c r="AW85" s="25" t="n"/>
      <c r="AX85" s="24" t="n"/>
      <c r="AY85" s="23" t="n"/>
      <c r="AZ85" s="24" t="n"/>
      <c r="BA85" s="25" t="n"/>
      <c r="BB85" s="24" t="n"/>
      <c r="BC85" s="23" t="n"/>
      <c r="BD85" s="24" t="n"/>
      <c r="BE85" s="25" t="n"/>
      <c r="BF85" s="24" t="n"/>
      <c r="BG85" s="23" t="n"/>
      <c r="BH85" s="24" t="n"/>
      <c r="BI85" s="25" t="n"/>
      <c r="BJ85" s="24" t="n"/>
      <c r="BK85" s="340" t="n"/>
      <c r="BL85" s="803">
        <f>SUMPRODUCT(--(MOD(COLUMN($O85:$AL85),4)=MOD(COLUMN($O85)+0,4)),$O85:$AL85)
+SUMPRODUCT(--(MOD(COLUMN($AM85:$BJ85),4)=MOD(COLUMN($AM85)+0,4)),$AM85:$BJ85)</f>
        <v/>
      </c>
      <c r="BM85" s="803">
        <f>SUMPRODUCT(--(MOD(COLUMN($O85:$AL85),4)=MOD(COLUMN($O85)+0,4)),$O85:$AL85)*
$I85+SUMPRODUCT(--(MOD(COLUMN($AM85:$BJ85),4)=MOD(COLUMN($AM85)+0,4)),$AM85:$BJ85)*$I85</f>
        <v/>
      </c>
      <c r="BN85" s="805">
        <f>SUMPRODUCT(--(MOD(COLUMN($O85:$AL85),4)=MOD(COLUMN($O85)+1,4)),$O85:$AL85)
+SUMPRODUCT(--(MOD(COLUMN($AM85:$BJ85),4)=MOD(COLUMN($AM85)+1,4)),$AM85:$BJ85)</f>
        <v/>
      </c>
      <c r="BO85" s="806">
        <f>SUMPRODUCT(--(MOD(COLUMN($O85:$AL85),4)=MOD(COLUMN($O85)+1,4)),$O85:$AL85)*
$I85+SUMPRODUCT(--(MOD(COLUMN($AM85:$BJ85),4)=MOD(COLUMN($AM85)+1,4)),$AM85:$BJ85)*$I85</f>
        <v/>
      </c>
      <c r="BP85" s="807">
        <f>SUMPRODUCT(--(MOD(COLUMN($O85:$AL85),4)=MOD(COLUMN($O85)+2,4)),$O85:$AL85)
+SUMPRODUCT(--(MOD(COLUMN($AM85:$BJ85),4)=MOD(COLUMN($AM85)+2,4)),$AM85:$BJ85)</f>
        <v/>
      </c>
      <c r="BQ85" s="808">
        <f>SUMPRODUCT(--(MOD(COLUMN($O85:$AL85),4)=MOD(COLUMN($O85)+2,4)),$O85:$AL85)*
$I85+SUMPRODUCT(--(MOD(COLUMN($AM85:$BJ85),4)=MOD(COLUMN($AM85)+2,4)),$AM85:$BJ85)*$I85</f>
        <v/>
      </c>
      <c r="BR85" s="801" t="n"/>
      <c r="BS85" s="819" t="n"/>
      <c r="BT85" s="23" t="n"/>
      <c r="BU85" s="24" t="n"/>
      <c r="BV85" s="25" t="n"/>
      <c r="BW85" s="24" t="n"/>
      <c r="BX85" s="23" t="n"/>
      <c r="BY85" s="24" t="n"/>
      <c r="BZ85" s="25" t="n"/>
      <c r="CA85" s="24" t="n"/>
      <c r="CB85" s="23" t="n"/>
      <c r="CC85" s="24" t="n"/>
      <c r="CD85" s="25" t="n"/>
      <c r="CE85" s="24" t="n"/>
      <c r="CF85" s="23" t="n"/>
      <c r="CG85" s="24" t="n"/>
      <c r="CH85" s="25" t="n"/>
      <c r="CI85" s="24" t="n"/>
      <c r="CJ85" s="23" t="n"/>
      <c r="CK85" s="24" t="n"/>
      <c r="CL85" s="25" t="n"/>
      <c r="CM85" s="24" t="n"/>
      <c r="CN85" s="23" t="n"/>
      <c r="CO85" s="24" t="n"/>
      <c r="CP85" s="25" t="n"/>
      <c r="CQ85" s="24" t="n"/>
      <c r="CR85" s="23" t="n"/>
      <c r="CS85" s="24" t="n"/>
      <c r="CT85" s="25" t="n"/>
      <c r="CU85" s="24" t="n"/>
      <c r="CV85" s="23" t="n"/>
      <c r="CW85" s="24" t="n"/>
      <c r="CX85" s="25" t="n"/>
      <c r="CY85" s="24" t="n"/>
      <c r="CZ85" s="23" t="n"/>
      <c r="DA85" s="24" t="n"/>
      <c r="DB85" s="25" t="n"/>
      <c r="DC85" s="24" t="n"/>
      <c r="DD85" s="23" t="n"/>
      <c r="DE85" s="24" t="n"/>
      <c r="DF85" s="25" t="n"/>
      <c r="DG85" s="24" t="n"/>
      <c r="DH85" s="23" t="n"/>
      <c r="DI85" s="24" t="n"/>
      <c r="DJ85" s="25" t="n"/>
      <c r="DK85" s="24" t="n"/>
      <c r="DL85" s="23" t="n"/>
      <c r="DM85" s="24" t="n"/>
      <c r="DN85" s="25" t="n"/>
      <c r="DO85" s="24" t="n"/>
      <c r="DP85" s="340" t="n"/>
      <c r="DQ85" s="803">
        <f>SUMPRODUCT(--(MOD(COLUMN(BT85:CQ85),4)=MOD(COLUMN(BT85),4)),BT85:CQ85)+SUMPRODUCT(--(MOD(COLUMN(CR85:DO85),4)=MOD(COLUMN(CR85),4)),CR85:DO85)</f>
        <v/>
      </c>
      <c r="DR85" s="803">
        <f>SUMPRODUCT(--(MOD(COLUMN(BT85:CQ85),4)=MOD(COLUMN(BT85),4)),BT85:CQ85)*$I85+SUMPRODUCT(--(MOD(COLUMN(CR85:DO85),4)=MOD(COLUMN(CR85),4)),CR85:DO85)*$I85</f>
        <v/>
      </c>
      <c r="DS85" s="801" t="n"/>
      <c r="DT85" s="819" t="n"/>
      <c r="DU85" s="23" t="n"/>
      <c r="DV85" s="24" t="n"/>
      <c r="DW85" s="25" t="n"/>
      <c r="DX85" s="24" t="n"/>
      <c r="DY85" s="23" t="n"/>
      <c r="DZ85" s="24" t="n"/>
      <c r="EA85" s="25" t="n"/>
      <c r="EB85" s="24" t="n"/>
      <c r="EC85" s="23" t="n"/>
      <c r="ED85" s="24" t="n"/>
      <c r="EE85" s="25" t="n"/>
      <c r="EF85" s="24" t="n"/>
      <c r="EG85" s="23" t="n"/>
      <c r="EH85" s="24" t="n"/>
      <c r="EI85" s="25" t="n"/>
      <c r="EJ85" s="24" t="n"/>
      <c r="EK85" s="23" t="n"/>
      <c r="EL85" s="24" t="n"/>
      <c r="EM85" s="25" t="n"/>
      <c r="EN85" s="24" t="n"/>
      <c r="EO85" s="23" t="n"/>
      <c r="EP85" s="24" t="n"/>
      <c r="EQ85" s="25" t="n"/>
      <c r="ER85" s="24" t="n"/>
      <c r="ES85" s="23" t="n"/>
      <c r="ET85" s="24" t="n"/>
      <c r="EU85" s="25" t="n"/>
      <c r="EV85" s="24" t="n"/>
      <c r="EW85" s="23" t="n"/>
      <c r="EX85" s="24" t="n"/>
      <c r="EY85" s="25" t="n"/>
      <c r="EZ85" s="24" t="n"/>
      <c r="FA85" s="23" t="n"/>
      <c r="FB85" s="24" t="n"/>
      <c r="FC85" s="25" t="n"/>
      <c r="FD85" s="24" t="n"/>
      <c r="FE85" s="23" t="n"/>
      <c r="FF85" s="24" t="n"/>
      <c r="FG85" s="25" t="n"/>
      <c r="FH85" s="24" t="n"/>
      <c r="FI85" s="23" t="n"/>
      <c r="FJ85" s="24" t="n"/>
      <c r="FK85" s="25" t="n"/>
      <c r="FL85" s="24" t="n"/>
      <c r="FM85" s="23" t="n"/>
      <c r="FN85" s="24" t="n"/>
      <c r="FO85" s="25" t="n"/>
      <c r="FP85" s="24" t="n"/>
      <c r="FQ85" s="340" t="n"/>
      <c r="FR85" s="803">
        <f>SUMPRODUCT(--(MOD(COLUMN(DU85:ER85),4)=MOD(COLUMN(DU85),4)),DU85:ER85)+SUMPRODUCT(--(MOD(COLUMN(ES85:FP85),4)=MOD(COLUMN(ES85),4)),ES85:FP85)</f>
        <v/>
      </c>
      <c r="FS85" s="803">
        <f>SUMPRODUCT(--(MOD(COLUMN(DU85:ER85),4)=MOD(COLUMN(DU85),4)),DU85:ER85)*$I85+SUMPRODUCT(--(MOD(COLUMN(ES85:FP85),4)=MOD(COLUMN(ES85),4)),ES85:FP85)*$I85</f>
        <v/>
      </c>
      <c r="FT85" s="360" t="n"/>
    </row>
    <row r="86" outlineLevel="2" customFormat="1" s="14">
      <c r="A86" s="418" t="inlineStr">
        <is>
          <t>ПРИЦЕПНАЯ ТЕХНИКА ООО</t>
        </is>
      </c>
      <c r="B86" s="387" t="inlineStr">
        <is>
          <t>Договор не подписан</t>
        </is>
      </c>
      <c r="C86" s="541" t="inlineStr">
        <is>
          <t>ВБК РУС</t>
        </is>
      </c>
      <c r="D86" s="565" t="inlineStr">
        <is>
          <t>Прасолов, Соловьёв</t>
        </is>
      </c>
      <c r="E86" s="412">
        <f>IF(ISBLANK(G86),"",IF($A$6:$A$330=$A86,COUNTIF($A$6:A86,$A86),""))</f>
        <v/>
      </c>
      <c r="F86" s="669" t="n">
        <v>2</v>
      </c>
      <c r="G86" s="124" t="n">
        <v>9630010510</v>
      </c>
      <c r="H86" s="604" t="inlineStr">
        <is>
          <t>Клапан растормаживания сдвоенный</t>
        </is>
      </c>
      <c r="I86" s="618" t="n">
        <v>0</v>
      </c>
      <c r="J86" s="618" t="n"/>
      <c r="K86" s="874" t="n"/>
      <c r="L86" s="618">
        <f>IF(K86="RUB",J86/ЮАНЬ,IF(K86="EUR",J86*ЕВРО/ЮАНЬ,""))</f>
        <v/>
      </c>
      <c r="M86" s="873" t="n"/>
      <c r="N86" s="871">
        <f>IF(BP86&gt;0,1,IF(BN86&gt;0,2,))</f>
        <v/>
      </c>
      <c r="O86" s="23" t="n"/>
      <c r="P86" s="24" t="n"/>
      <c r="Q86" s="25" t="n"/>
      <c r="R86" s="24" t="n"/>
      <c r="S86" s="23" t="n"/>
      <c r="T86" s="24">
        <f>SUMPRODUCT((Комплекты[Пр]=$F86)*(Комплекты[Обозначение]=$G86)*Комплекты[Кол-во]*(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86" s="25">
        <f>SUMPRODUCT((Комплекты[Пр]=$F86)*(Комплекты[Обозначение]=$G86)*Комплекты[Кол-во]*(
((Комплекты[Комплект]=$G$81)*U$81)+
((Комплекты[Комплект]=$G$80)*U$80)+
((Комплекты[Комплект]=$G$78)*U$78)+
((Комплекты[Комплект]=$G$77)*U$77)))</f>
        <v/>
      </c>
      <c r="V86" s="24" t="n"/>
      <c r="W86" s="23" t="n"/>
      <c r="X86" s="24" t="n"/>
      <c r="Y86" s="25" t="n"/>
      <c r="Z86" s="24" t="n"/>
      <c r="AA86" s="23" t="n"/>
      <c r="AB86" s="24" t="n"/>
      <c r="AC86" s="25" t="n"/>
      <c r="AD86" s="24" t="n"/>
      <c r="AE86" s="23" t="n"/>
      <c r="AF86" s="24">
        <f>SUMPRODUCT((Комплекты[Пр]=$F86)*(Комплекты[Обозначение]=$G86)*Комплекты[Кол-во]*(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86" s="25" t="n">
        <v>1</v>
      </c>
      <c r="AH86" s="24" t="n"/>
      <c r="AI86" s="23" t="n"/>
      <c r="AJ86" s="24" t="n"/>
      <c r="AK86" s="25" t="n"/>
      <c r="AL86" s="24" t="n"/>
      <c r="AM86" s="23" t="n"/>
      <c r="AN86" s="24" t="n"/>
      <c r="AO86" s="25" t="n"/>
      <c r="AP86" s="24" t="n"/>
      <c r="AQ86" s="23" t="n"/>
      <c r="AR86" s="24" t="n"/>
      <c r="AS86" s="25" t="n"/>
      <c r="AT86" s="24" t="n"/>
      <c r="AU86" s="23" t="n"/>
      <c r="AV86" s="24" t="n"/>
      <c r="AW86" s="25" t="n"/>
      <c r="AX86" s="24" t="n"/>
      <c r="AY86" s="23" t="n"/>
      <c r="AZ86" s="24" t="n"/>
      <c r="BA86" s="25" t="n"/>
      <c r="BB86" s="24" t="n"/>
      <c r="BC86" s="23" t="n"/>
      <c r="BD86" s="24" t="n"/>
      <c r="BE86" s="25" t="n"/>
      <c r="BF86" s="24" t="n"/>
      <c r="BG86" s="23" t="n"/>
      <c r="BH86" s="24" t="n"/>
      <c r="BI86" s="25" t="n"/>
      <c r="BJ86" s="24" t="n"/>
      <c r="BK86" s="340" t="n"/>
      <c r="BL86" s="803">
        <f>SUMPRODUCT(--(MOD(COLUMN($O86:$AL86),4)=MOD(COLUMN($O86)+0,4)),$O86:$AL86)
+SUMPRODUCT(--(MOD(COLUMN($AM86:$BJ86),4)=MOD(COLUMN($AM86)+0,4)),$AM86:$BJ86)</f>
        <v/>
      </c>
      <c r="BM86" s="803">
        <f>SUMPRODUCT(--(MOD(COLUMN($O86:$AL86),4)=MOD(COLUMN($O86)+0,4)),$O86:$AL86)*
$I86+SUMPRODUCT(--(MOD(COLUMN($AM86:$BJ86),4)=MOD(COLUMN($AM86)+0,4)),$AM86:$BJ86)*$I86</f>
        <v/>
      </c>
      <c r="BN86" s="805">
        <f>SUMPRODUCT(--(MOD(COLUMN($O86:$AL86),4)=MOD(COLUMN($O86)+1,4)),$O86:$AL86)
+SUMPRODUCT(--(MOD(COLUMN($AM86:$BJ86),4)=MOD(COLUMN($AM86)+1,4)),$AM86:$BJ86)</f>
        <v/>
      </c>
      <c r="BO86" s="806">
        <f>SUMPRODUCT(--(MOD(COLUMN($O86:$AL86),4)=MOD(COLUMN($O86)+1,4)),$O86:$AL86)*
$I86+SUMPRODUCT(--(MOD(COLUMN($AM86:$BJ86),4)=MOD(COLUMN($AM86)+1,4)),$AM86:$BJ86)*$I86</f>
        <v/>
      </c>
      <c r="BP86" s="807">
        <f>SUMPRODUCT(--(MOD(COLUMN($O86:$AL86),4)=MOD(COLUMN($O86)+2,4)),$O86:$AL86)
+SUMPRODUCT(--(MOD(COLUMN($AM86:$BJ86),4)=MOD(COLUMN($AM86)+2,4)),$AM86:$BJ86)</f>
        <v/>
      </c>
      <c r="BQ86" s="808">
        <f>SUMPRODUCT(--(MOD(COLUMN($O86:$AL86),4)=MOD(COLUMN($O86)+2,4)),$O86:$AL86)*
$I86+SUMPRODUCT(--(MOD(COLUMN($AM86:$BJ86),4)=MOD(COLUMN($AM86)+2,4)),$AM86:$BJ86)*$I86</f>
        <v/>
      </c>
      <c r="BR86" s="801" t="n"/>
      <c r="BS86" s="819" t="n"/>
      <c r="BT86" s="23" t="n"/>
      <c r="BU86" s="24" t="n"/>
      <c r="BV86" s="25" t="n"/>
      <c r="BW86" s="24" t="n"/>
      <c r="BX86" s="23" t="n"/>
      <c r="BY86" s="24" t="n"/>
      <c r="BZ86" s="25" t="n"/>
      <c r="CA86" s="24" t="n"/>
      <c r="CB86" s="23" t="n"/>
      <c r="CC86" s="24" t="n"/>
      <c r="CD86" s="25" t="n"/>
      <c r="CE86" s="24" t="n"/>
      <c r="CF86" s="23" t="n"/>
      <c r="CG86" s="24" t="n"/>
      <c r="CH86" s="25" t="n"/>
      <c r="CI86" s="24" t="n"/>
      <c r="CJ86" s="23" t="n"/>
      <c r="CK86" s="24" t="n"/>
      <c r="CL86" s="25" t="n"/>
      <c r="CM86" s="24" t="n"/>
      <c r="CN86" s="23" t="n"/>
      <c r="CO86" s="24" t="n"/>
      <c r="CP86" s="25" t="n"/>
      <c r="CQ86" s="24" t="n"/>
      <c r="CR86" s="23" t="n"/>
      <c r="CS86" s="24" t="n"/>
      <c r="CT86" s="25" t="n"/>
      <c r="CU86" s="24" t="n"/>
      <c r="CV86" s="23" t="n"/>
      <c r="CW86" s="24" t="n"/>
      <c r="CX86" s="25" t="n"/>
      <c r="CY86" s="24" t="n"/>
      <c r="CZ86" s="23" t="n"/>
      <c r="DA86" s="24" t="n"/>
      <c r="DB86" s="25" t="n"/>
      <c r="DC86" s="24" t="n"/>
      <c r="DD86" s="23" t="n"/>
      <c r="DE86" s="24" t="n"/>
      <c r="DF86" s="25" t="n"/>
      <c r="DG86" s="24" t="n"/>
      <c r="DH86" s="23" t="n"/>
      <c r="DI86" s="24" t="n"/>
      <c r="DJ86" s="25" t="n"/>
      <c r="DK86" s="24" t="n"/>
      <c r="DL86" s="23" t="n"/>
      <c r="DM86" s="24" t="n"/>
      <c r="DN86" s="25" t="n"/>
      <c r="DO86" s="24" t="n"/>
      <c r="DP86" s="340" t="n"/>
      <c r="DQ86" s="803">
        <f>SUMPRODUCT(--(MOD(COLUMN(BT86:CQ86),4)=MOD(COLUMN(BT86),4)),BT86:CQ86)+SUMPRODUCT(--(MOD(COLUMN(CR86:DO86),4)=MOD(COLUMN(CR86),4)),CR86:DO86)</f>
        <v/>
      </c>
      <c r="DR86" s="803">
        <f>SUMPRODUCT(--(MOD(COLUMN(BT86:CQ86),4)=MOD(COLUMN(BT86),4)),BT86:CQ86)*$I86+SUMPRODUCT(--(MOD(COLUMN(CR86:DO86),4)=MOD(COLUMN(CR86),4)),CR86:DO86)*$I86</f>
        <v/>
      </c>
      <c r="DS86" s="801" t="n"/>
      <c r="DT86" s="819" t="n"/>
      <c r="DU86" s="23" t="n"/>
      <c r="DV86" s="24" t="n"/>
      <c r="DW86" s="25" t="n"/>
      <c r="DX86" s="24" t="n"/>
      <c r="DY86" s="23" t="n"/>
      <c r="DZ86" s="24" t="n"/>
      <c r="EA86" s="25" t="n"/>
      <c r="EB86" s="24" t="n"/>
      <c r="EC86" s="23" t="n"/>
      <c r="ED86" s="24" t="n"/>
      <c r="EE86" s="25" t="n"/>
      <c r="EF86" s="24" t="n"/>
      <c r="EG86" s="23" t="n"/>
      <c r="EH86" s="24" t="n"/>
      <c r="EI86" s="25" t="n"/>
      <c r="EJ86" s="24" t="n"/>
      <c r="EK86" s="23" t="n"/>
      <c r="EL86" s="24" t="n"/>
      <c r="EM86" s="25" t="n"/>
      <c r="EN86" s="24" t="n"/>
      <c r="EO86" s="23" t="n"/>
      <c r="EP86" s="24" t="n"/>
      <c r="EQ86" s="25" t="n"/>
      <c r="ER86" s="24" t="n"/>
      <c r="ES86" s="23" t="n"/>
      <c r="ET86" s="24" t="n"/>
      <c r="EU86" s="25" t="n"/>
      <c r="EV86" s="24" t="n"/>
      <c r="EW86" s="23" t="n"/>
      <c r="EX86" s="24" t="n"/>
      <c r="EY86" s="25" t="n"/>
      <c r="EZ86" s="24" t="n"/>
      <c r="FA86" s="23" t="n"/>
      <c r="FB86" s="24" t="n"/>
      <c r="FC86" s="25" t="n"/>
      <c r="FD86" s="24" t="n"/>
      <c r="FE86" s="23" t="n"/>
      <c r="FF86" s="24" t="n"/>
      <c r="FG86" s="25" t="n"/>
      <c r="FH86" s="24" t="n"/>
      <c r="FI86" s="23" t="n"/>
      <c r="FJ86" s="24" t="n"/>
      <c r="FK86" s="25" t="n"/>
      <c r="FL86" s="24" t="n"/>
      <c r="FM86" s="23" t="n"/>
      <c r="FN86" s="24" t="n"/>
      <c r="FO86" s="25" t="n"/>
      <c r="FP86" s="24" t="n"/>
      <c r="FQ86" s="340" t="n"/>
      <c r="FR86" s="803">
        <f>SUMPRODUCT(--(MOD(COLUMN(DU86:ER86),4)=MOD(COLUMN(DU86),4)),DU86:ER86)+SUMPRODUCT(--(MOD(COLUMN(ES86:FP86),4)=MOD(COLUMN(ES86),4)),ES86:FP86)</f>
        <v/>
      </c>
      <c r="FS86" s="803">
        <f>SUMPRODUCT(--(MOD(COLUMN(DU86:ER86),4)=MOD(COLUMN(DU86),4)),DU86:ER86)*$I86+SUMPRODUCT(--(MOD(COLUMN(ES86:FP86),4)=MOD(COLUMN(ES86),4)),ES86:FP86)*$I86</f>
        <v/>
      </c>
      <c r="FT86" s="360" t="n"/>
    </row>
    <row r="87" outlineLevel="2" customFormat="1" s="14">
      <c r="A87" s="418" t="inlineStr">
        <is>
          <t>ПРИЦЕПНАЯ ТЕХНИКА ООО</t>
        </is>
      </c>
      <c r="B87" s="387" t="inlineStr">
        <is>
          <t>Договор не подписан</t>
        </is>
      </c>
      <c r="C87" s="541" t="inlineStr">
        <is>
          <t>ВБК РУС</t>
        </is>
      </c>
      <c r="D87" s="565" t="inlineStr">
        <is>
          <t>Прасолов, Соловьёв</t>
        </is>
      </c>
      <c r="E87" s="412">
        <f>IF(ISBLANK(G87),"",IF($A$6:$A$330=$A87,COUNTIF($A$6:A87,$A87),""))</f>
        <v/>
      </c>
      <c r="F87" s="669" t="n">
        <v>2</v>
      </c>
      <c r="G87" s="124" t="n">
        <v>9710020400</v>
      </c>
      <c r="H87" s="604" t="inlineStr">
        <is>
          <t>Воздухораспределитель (без кл. растормаживания)</t>
        </is>
      </c>
      <c r="I87" s="618" t="n">
        <v>0</v>
      </c>
      <c r="J87" s="618" t="n"/>
      <c r="K87" s="874" t="n"/>
      <c r="L87" s="618">
        <f>IF(K87="RUB",J87/ЮАНЬ,IF(K87="EUR",J87*ЕВРО/ЮАНЬ,""))</f>
        <v/>
      </c>
      <c r="M87" s="873" t="n"/>
      <c r="N87" s="871">
        <f>IF(BP87&gt;0,1,IF(BN87&gt;0,2,))</f>
        <v/>
      </c>
      <c r="O87" s="23" t="n"/>
      <c r="P87" s="24" t="n"/>
      <c r="Q87" s="25" t="n"/>
      <c r="R87" s="24" t="n"/>
      <c r="S87" s="23" t="n"/>
      <c r="T87" s="24">
        <f>SUMPRODUCT((Комплекты[Пр]=$F87)*(Комплекты[Обозначение]=$G87)*Комплекты[Кол-во]*(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87" s="25">
        <f>SUMPRODUCT((Комплекты[Пр]=$F87)*(Комплекты[Обозначение]=$G87)*Комплекты[Кол-во]*(
((Комплекты[Комплект]=$G$81)*U$81)+
((Комплекты[Комплект]=$G$80)*U$80)+
((Комплекты[Комплект]=$G$78)*U$78)+
((Комплекты[Комплект]=$G$77)*U$77)))</f>
        <v/>
      </c>
      <c r="V87" s="24" t="n"/>
      <c r="W87" s="23" t="n"/>
      <c r="X87" s="24" t="n"/>
      <c r="Y87" s="25" t="n"/>
      <c r="Z87" s="24" t="n"/>
      <c r="AA87" s="23" t="n"/>
      <c r="AB87" s="24" t="n"/>
      <c r="AC87" s="25" t="n"/>
      <c r="AD87" s="24" t="n"/>
      <c r="AE87" s="23" t="n"/>
      <c r="AF87" s="24">
        <f>SUMPRODUCT((Комплекты[Пр]=$F87)*(Комплекты[Обозначение]=$G87)*Комплекты[Кол-во]*(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87" s="25" t="n">
        <v>1</v>
      </c>
      <c r="AH87" s="24" t="n"/>
      <c r="AI87" s="23" t="n"/>
      <c r="AJ87" s="24" t="n"/>
      <c r="AK87" s="25" t="n"/>
      <c r="AL87" s="24" t="n"/>
      <c r="AM87" s="23" t="n"/>
      <c r="AN87" s="24" t="n"/>
      <c r="AO87" s="25" t="n"/>
      <c r="AP87" s="24" t="n"/>
      <c r="AQ87" s="23" t="n"/>
      <c r="AR87" s="24" t="n"/>
      <c r="AS87" s="25" t="n"/>
      <c r="AT87" s="24" t="n"/>
      <c r="AU87" s="23" t="n"/>
      <c r="AV87" s="24" t="n"/>
      <c r="AW87" s="25" t="n"/>
      <c r="AX87" s="24" t="n"/>
      <c r="AY87" s="23" t="n"/>
      <c r="AZ87" s="24" t="n"/>
      <c r="BA87" s="25" t="n"/>
      <c r="BB87" s="24" t="n"/>
      <c r="BC87" s="23" t="n"/>
      <c r="BD87" s="24" t="n"/>
      <c r="BE87" s="25" t="n"/>
      <c r="BF87" s="24" t="n"/>
      <c r="BG87" s="23" t="n"/>
      <c r="BH87" s="24" t="n"/>
      <c r="BI87" s="25" t="n"/>
      <c r="BJ87" s="24" t="n"/>
      <c r="BK87" s="340" t="n"/>
      <c r="BL87" s="803">
        <f>SUMPRODUCT(--(MOD(COLUMN($O87:$AL87),4)=MOD(COLUMN($O87)+0,4)),$O87:$AL87)
+SUMPRODUCT(--(MOD(COLUMN($AM87:$BJ87),4)=MOD(COLUMN($AM87)+0,4)),$AM87:$BJ87)</f>
        <v/>
      </c>
      <c r="BM87" s="803">
        <f>SUMPRODUCT(--(MOD(COLUMN($O87:$AL87),4)=MOD(COLUMN($O87)+0,4)),$O87:$AL87)*
$I87+SUMPRODUCT(--(MOD(COLUMN($AM87:$BJ87),4)=MOD(COLUMN($AM87)+0,4)),$AM87:$BJ87)*$I87</f>
        <v/>
      </c>
      <c r="BN87" s="805">
        <f>SUMPRODUCT(--(MOD(COLUMN($O87:$AL87),4)=MOD(COLUMN($O87)+1,4)),$O87:$AL87)
+SUMPRODUCT(--(MOD(COLUMN($AM87:$BJ87),4)=MOD(COLUMN($AM87)+1,4)),$AM87:$BJ87)</f>
        <v/>
      </c>
      <c r="BO87" s="806">
        <f>SUMPRODUCT(--(MOD(COLUMN($O87:$AL87),4)=MOD(COLUMN($O87)+1,4)),$O87:$AL87)*
$I87+SUMPRODUCT(--(MOD(COLUMN($AM87:$BJ87),4)=MOD(COLUMN($AM87)+1,4)),$AM87:$BJ87)*$I87</f>
        <v/>
      </c>
      <c r="BP87" s="807">
        <f>SUMPRODUCT(--(MOD(COLUMN($O87:$AL87),4)=MOD(COLUMN($O87)+2,4)),$O87:$AL87)
+SUMPRODUCT(--(MOD(COLUMN($AM87:$BJ87),4)=MOD(COLUMN($AM87)+2,4)),$AM87:$BJ87)</f>
        <v/>
      </c>
      <c r="BQ87" s="808">
        <f>SUMPRODUCT(--(MOD(COLUMN($O87:$AL87),4)=MOD(COLUMN($O87)+2,4)),$O87:$AL87)*
$I87+SUMPRODUCT(--(MOD(COLUMN($AM87:$BJ87),4)=MOD(COLUMN($AM87)+2,4)),$AM87:$BJ87)*$I87</f>
        <v/>
      </c>
      <c r="BR87" s="801" t="n"/>
      <c r="BS87" s="819" t="n"/>
      <c r="BT87" s="23" t="n"/>
      <c r="BU87" s="24" t="n"/>
      <c r="BV87" s="25" t="n"/>
      <c r="BW87" s="24" t="n"/>
      <c r="BX87" s="23" t="n"/>
      <c r="BY87" s="24" t="n"/>
      <c r="BZ87" s="25" t="n"/>
      <c r="CA87" s="24" t="n"/>
      <c r="CB87" s="23" t="n"/>
      <c r="CC87" s="24" t="n"/>
      <c r="CD87" s="25" t="n"/>
      <c r="CE87" s="24" t="n"/>
      <c r="CF87" s="23" t="n"/>
      <c r="CG87" s="24" t="n"/>
      <c r="CH87" s="25" t="n"/>
      <c r="CI87" s="24" t="n"/>
      <c r="CJ87" s="23" t="n"/>
      <c r="CK87" s="24" t="n"/>
      <c r="CL87" s="25" t="n"/>
      <c r="CM87" s="24" t="n"/>
      <c r="CN87" s="23" t="n"/>
      <c r="CO87" s="24" t="n"/>
      <c r="CP87" s="25" t="n"/>
      <c r="CQ87" s="24" t="n"/>
      <c r="CR87" s="23" t="n"/>
      <c r="CS87" s="24" t="n"/>
      <c r="CT87" s="25" t="n"/>
      <c r="CU87" s="24" t="n"/>
      <c r="CV87" s="23" t="n"/>
      <c r="CW87" s="24" t="n"/>
      <c r="CX87" s="25" t="n"/>
      <c r="CY87" s="24" t="n"/>
      <c r="CZ87" s="23" t="n"/>
      <c r="DA87" s="24" t="n"/>
      <c r="DB87" s="25" t="n"/>
      <c r="DC87" s="24" t="n"/>
      <c r="DD87" s="23" t="n"/>
      <c r="DE87" s="24" t="n"/>
      <c r="DF87" s="25" t="n"/>
      <c r="DG87" s="24" t="n"/>
      <c r="DH87" s="23" t="n"/>
      <c r="DI87" s="24" t="n"/>
      <c r="DJ87" s="25" t="n"/>
      <c r="DK87" s="24" t="n"/>
      <c r="DL87" s="23" t="n"/>
      <c r="DM87" s="24" t="n"/>
      <c r="DN87" s="25" t="n"/>
      <c r="DO87" s="24" t="n"/>
      <c r="DP87" s="340" t="n"/>
      <c r="DQ87" s="803">
        <f>SUMPRODUCT(--(MOD(COLUMN(BT87:CQ87),4)=MOD(COLUMN(BT87),4)),BT87:CQ87)+SUMPRODUCT(--(MOD(COLUMN(CR87:DO87),4)=MOD(COLUMN(CR87),4)),CR87:DO87)</f>
        <v/>
      </c>
      <c r="DR87" s="803">
        <f>SUMPRODUCT(--(MOD(COLUMN(BT87:CQ87),4)=MOD(COLUMN(BT87),4)),BT87:CQ87)*$I87+SUMPRODUCT(--(MOD(COLUMN(CR87:DO87),4)=MOD(COLUMN(CR87),4)),CR87:DO87)*$I87</f>
        <v/>
      </c>
      <c r="DS87" s="801" t="n"/>
      <c r="DT87" s="819" t="n"/>
      <c r="DU87" s="23" t="n"/>
      <c r="DV87" s="24" t="n"/>
      <c r="DW87" s="25" t="n"/>
      <c r="DX87" s="24" t="n"/>
      <c r="DY87" s="23" t="n"/>
      <c r="DZ87" s="24" t="n"/>
      <c r="EA87" s="25" t="n"/>
      <c r="EB87" s="24" t="n"/>
      <c r="EC87" s="23" t="n"/>
      <c r="ED87" s="24" t="n"/>
      <c r="EE87" s="25" t="n"/>
      <c r="EF87" s="24" t="n"/>
      <c r="EG87" s="23" t="n"/>
      <c r="EH87" s="24" t="n"/>
      <c r="EI87" s="25" t="n"/>
      <c r="EJ87" s="24" t="n"/>
      <c r="EK87" s="23" t="n"/>
      <c r="EL87" s="24" t="n"/>
      <c r="EM87" s="25" t="n"/>
      <c r="EN87" s="24" t="n"/>
      <c r="EO87" s="23" t="n"/>
      <c r="EP87" s="24" t="n"/>
      <c r="EQ87" s="25" t="n"/>
      <c r="ER87" s="24" t="n"/>
      <c r="ES87" s="23" t="n"/>
      <c r="ET87" s="24" t="n"/>
      <c r="EU87" s="25" t="n"/>
      <c r="EV87" s="24" t="n"/>
      <c r="EW87" s="23" t="n"/>
      <c r="EX87" s="24" t="n"/>
      <c r="EY87" s="25" t="n"/>
      <c r="EZ87" s="24" t="n"/>
      <c r="FA87" s="23" t="n"/>
      <c r="FB87" s="24" t="n"/>
      <c r="FC87" s="25" t="n"/>
      <c r="FD87" s="24" t="n"/>
      <c r="FE87" s="23" t="n"/>
      <c r="FF87" s="24" t="n"/>
      <c r="FG87" s="25" t="n"/>
      <c r="FH87" s="24" t="n"/>
      <c r="FI87" s="23" t="n"/>
      <c r="FJ87" s="24" t="n"/>
      <c r="FK87" s="25" t="n"/>
      <c r="FL87" s="24" t="n"/>
      <c r="FM87" s="23" t="n"/>
      <c r="FN87" s="24" t="n"/>
      <c r="FO87" s="25" t="n"/>
      <c r="FP87" s="24" t="n"/>
      <c r="FQ87" s="340" t="n"/>
      <c r="FR87" s="803">
        <f>SUMPRODUCT(--(MOD(COLUMN(DU87:ER87),4)=MOD(COLUMN(DU87),4)),DU87:ER87)+SUMPRODUCT(--(MOD(COLUMN(ES87:FP87),4)=MOD(COLUMN(ES87),4)),ES87:FP87)</f>
        <v/>
      </c>
      <c r="FS87" s="803">
        <f>SUMPRODUCT(--(MOD(COLUMN(DU87:ER87),4)=MOD(COLUMN(DU87),4)),DU87:ER87)*$I87+SUMPRODUCT(--(MOD(COLUMN(ES87:FP87),4)=MOD(COLUMN(ES87),4)),ES87:FP87)*$I87</f>
        <v/>
      </c>
      <c r="FT87" s="360" t="n"/>
    </row>
    <row r="88" outlineLevel="2" customFormat="1" s="14">
      <c r="A88" s="421" t="inlineStr">
        <is>
          <t>ПРИЦЕПНАЯ ТЕХНИКА ООО</t>
        </is>
      </c>
      <c r="B88" s="389" t="inlineStr">
        <is>
          <t>Договор не подписан</t>
        </is>
      </c>
      <c r="C88" s="432" t="inlineStr">
        <is>
          <t>ВБК РУС</t>
        </is>
      </c>
      <c r="D88" s="575" t="inlineStr">
        <is>
          <t>Прасолов, Соловьёв</t>
        </is>
      </c>
      <c r="E88" s="284">
        <f>IF(ISBLANK(G88),"",IF($A$6:$A$330=$A88,COUNTIF($A$6:A88,$A88),""))</f>
        <v/>
      </c>
      <c r="F88" s="670" t="n">
        <v>2</v>
      </c>
      <c r="G88" s="319" t="n">
        <v>9710029000</v>
      </c>
      <c r="H88" s="603" t="inlineStr">
        <is>
          <t>Воздухораспределитель с клапаном растормаживания</t>
        </is>
      </c>
      <c r="I88" s="619" t="n">
        <v>0</v>
      </c>
      <c r="J88" s="619" t="n"/>
      <c r="K88" s="876" t="n"/>
      <c r="L88" s="619" t="n"/>
      <c r="M88" s="871" t="n"/>
      <c r="N88" s="871">
        <f>IF(BP88&gt;0,1,IF(BN88&gt;0,2,))</f>
        <v/>
      </c>
      <c r="O88" s="322" t="n"/>
      <c r="P88" s="408" t="n"/>
      <c r="Q88" s="307" t="n"/>
      <c r="R88" s="408" t="n"/>
      <c r="S88" s="322" t="n"/>
      <c r="T88" s="408">
        <f>SUMPRODUCT((Комплекты[Пр]=$F88)*(Комплекты[Обозначение]=$G88)*Комплекты[Кол-во]*(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88" s="307" t="n">
        <v>1</v>
      </c>
      <c r="V88" s="408" t="n"/>
      <c r="W88" s="322" t="n"/>
      <c r="X88" s="408" t="n"/>
      <c r="Y88" s="307" t="n"/>
      <c r="Z88" s="408" t="n"/>
      <c r="AA88" s="322" t="n"/>
      <c r="AB88" s="408" t="n"/>
      <c r="AC88" s="307" t="n"/>
      <c r="AD88" s="408" t="n"/>
      <c r="AE88" s="322" t="n"/>
      <c r="AF88" s="408">
        <f>SUMPRODUCT((Комплекты[Пр]=$F88)*(Комплекты[Обозначение]=$G88)*Комплекты[Кол-во]*(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88" s="307">
        <f>SUMPRODUCT((Комплекты[Пр]=$F88)*(Комплекты[Обозначение]=$G88)*Комплекты[Кол-во]*(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/>
      </c>
      <c r="AH88" s="408" t="n"/>
      <c r="AI88" s="322" t="n"/>
      <c r="AJ88" s="408" t="n"/>
      <c r="AK88" s="307" t="n"/>
      <c r="AL88" s="408" t="n"/>
      <c r="AM88" s="322" t="n"/>
      <c r="AN88" s="408" t="n"/>
      <c r="AO88" s="307" t="n"/>
      <c r="AP88" s="408" t="n"/>
      <c r="AQ88" s="322" t="n"/>
      <c r="AR88" s="408" t="n"/>
      <c r="AS88" s="307" t="n"/>
      <c r="AT88" s="408" t="n"/>
      <c r="AU88" s="322" t="n"/>
      <c r="AV88" s="408" t="n"/>
      <c r="AW88" s="307" t="n"/>
      <c r="AX88" s="408" t="n"/>
      <c r="AY88" s="322" t="n"/>
      <c r="AZ88" s="408" t="n"/>
      <c r="BA88" s="307" t="n"/>
      <c r="BB88" s="408" t="n"/>
      <c r="BC88" s="322" t="n"/>
      <c r="BD88" s="408" t="n"/>
      <c r="BE88" s="307" t="n"/>
      <c r="BF88" s="408" t="n"/>
      <c r="BG88" s="322" t="n"/>
      <c r="BH88" s="408" t="n"/>
      <c r="BI88" s="307" t="n"/>
      <c r="BJ88" s="408" t="n"/>
      <c r="BK88" s="340" t="n"/>
      <c r="BL88" s="820">
        <f>SUMPRODUCT(--(MOD(COLUMN($O88:$AL88),4)=MOD(COLUMN($O88)+0,4)),$O88:$AL88)
+SUMPRODUCT(--(MOD(COLUMN($AM88:$BJ88),4)=MOD(COLUMN($AM88)+0,4)),$AM88:$BJ88)</f>
        <v/>
      </c>
      <c r="BM88" s="820">
        <f>SUMPRODUCT(--(MOD(COLUMN($O88:$AL88),4)=MOD(COLUMN($O88)+0,4)),$O88:$AL88)*
$I88+SUMPRODUCT(--(MOD(COLUMN($AM88:$BJ88),4)=MOD(COLUMN($AM88)+0,4)),$AM88:$BJ88)*$I88</f>
        <v/>
      </c>
      <c r="BN88" s="822">
        <f>SUMPRODUCT(--(MOD(COLUMN($O88:$AL88),4)=MOD(COLUMN($O88)+1,4)),$O88:$AL88)
+SUMPRODUCT(--(MOD(COLUMN($AM88:$BJ88),4)=MOD(COLUMN($AM88)+1,4)),$AM88:$BJ88)</f>
        <v/>
      </c>
      <c r="BO88" s="823">
        <f>SUMPRODUCT(--(MOD(COLUMN($O88:$AL88),4)=MOD(COLUMN($O88)+1,4)),$O88:$AL88)*
$I88+SUMPRODUCT(--(MOD(COLUMN($AM88:$BJ88),4)=MOD(COLUMN($AM88)+1,4)),$AM88:$BJ88)*$I88</f>
        <v/>
      </c>
      <c r="BP88" s="824">
        <f>SUMPRODUCT(--(MOD(COLUMN($O88:$AL88),4)=MOD(COLUMN($O88)+2,4)),$O88:$AL88)
+SUMPRODUCT(--(MOD(COLUMN($AM88:$BJ88),4)=MOD(COLUMN($AM88)+2,4)),$AM88:$BJ88)</f>
        <v/>
      </c>
      <c r="BQ88" s="825">
        <f>SUMPRODUCT(--(MOD(COLUMN($O88:$AL88),4)=MOD(COLUMN($O88)+2,4)),$O88:$AL88)*
$I88+SUMPRODUCT(--(MOD(COLUMN($AM88:$BJ88),4)=MOD(COLUMN($AM88)+2,4)),$AM88:$BJ88)*$I88</f>
        <v/>
      </c>
      <c r="BR88" s="819" t="n"/>
      <c r="BS88" s="819" t="n"/>
      <c r="BT88" s="322" t="n"/>
      <c r="BU88" s="408" t="n"/>
      <c r="BV88" s="307" t="n"/>
      <c r="BW88" s="408" t="n"/>
      <c r="BX88" s="322" t="n"/>
      <c r="BY88" s="408" t="n"/>
      <c r="BZ88" s="307" t="n"/>
      <c r="CA88" s="408" t="n"/>
      <c r="CB88" s="322" t="n"/>
      <c r="CC88" s="408" t="n"/>
      <c r="CD88" s="307" t="n"/>
      <c r="CE88" s="408" t="n"/>
      <c r="CF88" s="322" t="n"/>
      <c r="CG88" s="408" t="n"/>
      <c r="CH88" s="307" t="n"/>
      <c r="CI88" s="408" t="n"/>
      <c r="CJ88" s="322" t="n"/>
      <c r="CK88" s="408" t="n"/>
      <c r="CL88" s="307" t="n"/>
      <c r="CM88" s="408" t="n"/>
      <c r="CN88" s="322" t="n"/>
      <c r="CO88" s="408" t="n"/>
      <c r="CP88" s="307" t="n"/>
      <c r="CQ88" s="408" t="n"/>
      <c r="CR88" s="322" t="n"/>
      <c r="CS88" s="408" t="n"/>
      <c r="CT88" s="307" t="n"/>
      <c r="CU88" s="408" t="n"/>
      <c r="CV88" s="322" t="n"/>
      <c r="CW88" s="408" t="n"/>
      <c r="CX88" s="307" t="n"/>
      <c r="CY88" s="408" t="n"/>
      <c r="CZ88" s="322" t="n"/>
      <c r="DA88" s="408" t="n"/>
      <c r="DB88" s="307" t="n"/>
      <c r="DC88" s="408" t="n"/>
      <c r="DD88" s="322" t="n"/>
      <c r="DE88" s="408" t="n"/>
      <c r="DF88" s="307" t="n"/>
      <c r="DG88" s="408" t="n"/>
      <c r="DH88" s="322" t="n"/>
      <c r="DI88" s="408" t="n"/>
      <c r="DJ88" s="307" t="n"/>
      <c r="DK88" s="408" t="n"/>
      <c r="DL88" s="322" t="n"/>
      <c r="DM88" s="408" t="n"/>
      <c r="DN88" s="307" t="n"/>
      <c r="DO88" s="408" t="n"/>
      <c r="DP88" s="340" t="n"/>
      <c r="DQ88" s="820" t="n"/>
      <c r="DR88" s="820">
        <f>SUMPRODUCT(--(MOD(COLUMN(BT88:CQ88),4)=MOD(COLUMN(BT88),4)),BT88:CQ88)*$I88+SUMPRODUCT(--(MOD(COLUMN(CR88:DO88),4)=MOD(COLUMN(CR88),4)),CR88:DO88)*$I88</f>
        <v/>
      </c>
      <c r="DS88" s="819" t="n"/>
      <c r="DT88" s="819" t="n"/>
      <c r="DU88" s="322" t="n"/>
      <c r="DV88" s="408" t="n"/>
      <c r="DW88" s="307" t="n"/>
      <c r="DX88" s="408" t="n"/>
      <c r="DY88" s="322" t="n"/>
      <c r="DZ88" s="408" t="n"/>
      <c r="EA88" s="307" t="n"/>
      <c r="EB88" s="408" t="n"/>
      <c r="EC88" s="322" t="n"/>
      <c r="ED88" s="408" t="n"/>
      <c r="EE88" s="307" t="n"/>
      <c r="EF88" s="408" t="n"/>
      <c r="EG88" s="322" t="n"/>
      <c r="EH88" s="408" t="n"/>
      <c r="EI88" s="307" t="n"/>
      <c r="EJ88" s="408" t="n"/>
      <c r="EK88" s="322" t="n"/>
      <c r="EL88" s="408" t="n"/>
      <c r="EM88" s="307" t="n"/>
      <c r="EN88" s="408" t="n"/>
      <c r="EO88" s="322" t="n"/>
      <c r="EP88" s="408" t="n"/>
      <c r="EQ88" s="307" t="n"/>
      <c r="ER88" s="408" t="n"/>
      <c r="ES88" s="322" t="n"/>
      <c r="ET88" s="408" t="n"/>
      <c r="EU88" s="307" t="n"/>
      <c r="EV88" s="408" t="n"/>
      <c r="EW88" s="322" t="n"/>
      <c r="EX88" s="408" t="n"/>
      <c r="EY88" s="307" t="n"/>
      <c r="EZ88" s="408" t="n"/>
      <c r="FA88" s="322" t="n"/>
      <c r="FB88" s="408" t="n"/>
      <c r="FC88" s="307" t="n"/>
      <c r="FD88" s="408" t="n"/>
      <c r="FE88" s="322" t="n"/>
      <c r="FF88" s="408" t="n"/>
      <c r="FG88" s="307" t="n"/>
      <c r="FH88" s="408" t="n"/>
      <c r="FI88" s="322" t="n"/>
      <c r="FJ88" s="408" t="n"/>
      <c r="FK88" s="307" t="n"/>
      <c r="FL88" s="408" t="n"/>
      <c r="FM88" s="322" t="n"/>
      <c r="FN88" s="408" t="n"/>
      <c r="FO88" s="307" t="n"/>
      <c r="FP88" s="408" t="n"/>
      <c r="FQ88" s="340" t="n"/>
      <c r="FR88" s="820" t="n"/>
      <c r="FS88" s="820">
        <f>SUMPRODUCT(--(MOD(COLUMN(DU88:ER88),4)=MOD(COLUMN(DU88),4)),DU88:ER88)*$I88+SUMPRODUCT(--(MOD(COLUMN(ES88:FP88),4)=MOD(COLUMN(ES88),4)),ES88:FP88)*$I88</f>
        <v/>
      </c>
      <c r="FT88" s="360" t="n"/>
    </row>
    <row r="89" outlineLevel="2" customFormat="1" s="14">
      <c r="A89" s="418" t="inlineStr">
        <is>
          <t>ПРИЦЕПНАЯ ТЕХНИКА ООО</t>
        </is>
      </c>
      <c r="B89" s="387" t="inlineStr">
        <is>
          <t>Договор не подписан</t>
        </is>
      </c>
      <c r="C89" s="541" t="inlineStr">
        <is>
          <t>ВБК РУС</t>
        </is>
      </c>
      <c r="D89" s="565" t="inlineStr">
        <is>
          <t>Прасолов, Соловьёв</t>
        </is>
      </c>
      <c r="E89" s="412">
        <f>IF(ISBLANK(G89),"",IF($A$6:$A$330=$A89,COUNTIF($A$6:A89,$A89),""))</f>
        <v/>
      </c>
      <c r="F89" s="669" t="n">
        <v>2</v>
      </c>
      <c r="G89" s="124" t="n">
        <v>4497230300</v>
      </c>
      <c r="H89" s="604" t="inlineStr">
        <is>
          <t>Кабель датчика АБС, 3 м</t>
        </is>
      </c>
      <c r="I89" s="618" t="n">
        <v>0</v>
      </c>
      <c r="J89" s="618" t="n"/>
      <c r="K89" s="874" t="n"/>
      <c r="L89" s="618">
        <f>IF(K89="RUB",J89/ЮАНЬ,IF(K89="EUR",J89*ЕВРО/ЮАНЬ,""))</f>
        <v/>
      </c>
      <c r="M89" s="873" t="n"/>
      <c r="N89" s="871">
        <f>IF(BP89&gt;0,1,IF(BN89&gt;0,2,))</f>
        <v/>
      </c>
      <c r="O89" s="23" t="n"/>
      <c r="P89" s="24" t="n"/>
      <c r="Q89" s="25" t="n"/>
      <c r="R89" s="24" t="n"/>
      <c r="S89" s="23" t="n"/>
      <c r="T89" s="24">
        <f>SUMPRODUCT((Комплекты[Пр]=$F89)*(Комплекты[Обозначение]=$G89)*Комплекты[Кол-во]*(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89" s="25" t="n">
        <v>2</v>
      </c>
      <c r="V89" s="24" t="n"/>
      <c r="W89" s="23" t="n"/>
      <c r="X89" s="24" t="n"/>
      <c r="Y89" s="25" t="n"/>
      <c r="Z89" s="24" t="n"/>
      <c r="AA89" s="23" t="n"/>
      <c r="AB89" s="24" t="n"/>
      <c r="AC89" s="25" t="n"/>
      <c r="AD89" s="24" t="n"/>
      <c r="AE89" s="23" t="n"/>
      <c r="AF89" s="24">
        <f>SUMPRODUCT((Комплекты[Пр]=$F89)*(Комплекты[Обозначение]=$G89)*Комплекты[Кол-во]*(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89" s="25" t="n">
        <v>4</v>
      </c>
      <c r="AH89" s="24" t="n"/>
      <c r="AI89" s="23" t="n"/>
      <c r="AJ89" s="24" t="n"/>
      <c r="AK89" s="25" t="n"/>
      <c r="AL89" s="24" t="n"/>
      <c r="AM89" s="23" t="n"/>
      <c r="AN89" s="24" t="n"/>
      <c r="AO89" s="25" t="n"/>
      <c r="AP89" s="24" t="n"/>
      <c r="AQ89" s="23" t="n"/>
      <c r="AR89" s="24" t="n"/>
      <c r="AS89" s="25" t="n"/>
      <c r="AT89" s="24" t="n"/>
      <c r="AU89" s="23" t="n"/>
      <c r="AV89" s="24" t="n"/>
      <c r="AW89" s="25" t="n"/>
      <c r="AX89" s="24" t="n"/>
      <c r="AY89" s="23" t="n"/>
      <c r="AZ89" s="24" t="n"/>
      <c r="BA89" s="25" t="n"/>
      <c r="BB89" s="24" t="n"/>
      <c r="BC89" s="23" t="n"/>
      <c r="BD89" s="24" t="n"/>
      <c r="BE89" s="25" t="n"/>
      <c r="BF89" s="24" t="n"/>
      <c r="BG89" s="23" t="n"/>
      <c r="BH89" s="24" t="n"/>
      <c r="BI89" s="25" t="n"/>
      <c r="BJ89" s="24" t="n"/>
      <c r="BK89" s="340" t="n"/>
      <c r="BL89" s="803">
        <f>SUMPRODUCT(--(MOD(COLUMN($O89:$AL89),4)=MOD(COLUMN($O89)+0,4)),$O89:$AL89)
+SUMPRODUCT(--(MOD(COLUMN($AM89:$BJ89),4)=MOD(COLUMN($AM89)+0,4)),$AM89:$BJ89)</f>
        <v/>
      </c>
      <c r="BM89" s="803">
        <f>SUMPRODUCT(--(MOD(COLUMN($O89:$AL89),4)=MOD(COLUMN($O89)+0,4)),$O89:$AL89)*
$I89+SUMPRODUCT(--(MOD(COLUMN($AM89:$BJ89),4)=MOD(COLUMN($AM89)+0,4)),$AM89:$BJ89)*$I89</f>
        <v/>
      </c>
      <c r="BN89" s="805">
        <f>SUMPRODUCT(--(MOD(COLUMN($O89:$AL89),4)=MOD(COLUMN($O89)+1,4)),$O89:$AL89)
+SUMPRODUCT(--(MOD(COLUMN($AM89:$BJ89),4)=MOD(COLUMN($AM89)+1,4)),$AM89:$BJ89)</f>
        <v/>
      </c>
      <c r="BO89" s="806">
        <f>SUMPRODUCT(--(MOD(COLUMN($O89:$AL89),4)=MOD(COLUMN($O89)+1,4)),$O89:$AL89)*
$I89+SUMPRODUCT(--(MOD(COLUMN($AM89:$BJ89),4)=MOD(COLUMN($AM89)+1,4)),$AM89:$BJ89)*$I89</f>
        <v/>
      </c>
      <c r="BP89" s="807">
        <f>SUMPRODUCT(--(MOD(COLUMN($O89:$AL89),4)=MOD(COLUMN($O89)+2,4)),$O89:$AL89)
+SUMPRODUCT(--(MOD(COLUMN($AM89:$BJ89),4)=MOD(COLUMN($AM89)+2,4)),$AM89:$BJ89)</f>
        <v/>
      </c>
      <c r="BQ89" s="808">
        <f>SUMPRODUCT(--(MOD(COLUMN($O89:$AL89),4)=MOD(COLUMN($O89)+2,4)),$O89:$AL89)*
$I89+SUMPRODUCT(--(MOD(COLUMN($AM89:$BJ89),4)=MOD(COLUMN($AM89)+2,4)),$AM89:$BJ89)*$I89</f>
        <v/>
      </c>
      <c r="BR89" s="801" t="n"/>
      <c r="BS89" s="819" t="n"/>
      <c r="BT89" s="23" t="n"/>
      <c r="BU89" s="24" t="n"/>
      <c r="BV89" s="25" t="n"/>
      <c r="BW89" s="24" t="n"/>
      <c r="BX89" s="23" t="n"/>
      <c r="BY89" s="24" t="n"/>
      <c r="BZ89" s="25" t="n"/>
      <c r="CA89" s="24" t="n"/>
      <c r="CB89" s="23" t="n"/>
      <c r="CC89" s="24" t="n"/>
      <c r="CD89" s="25" t="n"/>
      <c r="CE89" s="24" t="n"/>
      <c r="CF89" s="23" t="n"/>
      <c r="CG89" s="24" t="n"/>
      <c r="CH89" s="25" t="n"/>
      <c r="CI89" s="24" t="n"/>
      <c r="CJ89" s="23" t="n"/>
      <c r="CK89" s="24" t="n"/>
      <c r="CL89" s="25" t="n"/>
      <c r="CM89" s="24" t="n"/>
      <c r="CN89" s="23" t="n"/>
      <c r="CO89" s="24" t="n"/>
      <c r="CP89" s="25" t="n"/>
      <c r="CQ89" s="24" t="n"/>
      <c r="CR89" s="23" t="n"/>
      <c r="CS89" s="24" t="n"/>
      <c r="CT89" s="25" t="n"/>
      <c r="CU89" s="24" t="n"/>
      <c r="CV89" s="23" t="n"/>
      <c r="CW89" s="24" t="n"/>
      <c r="CX89" s="25" t="n"/>
      <c r="CY89" s="24" t="n"/>
      <c r="CZ89" s="23" t="n"/>
      <c r="DA89" s="24" t="n"/>
      <c r="DB89" s="25" t="n"/>
      <c r="DC89" s="24" t="n"/>
      <c r="DD89" s="23" t="n"/>
      <c r="DE89" s="24" t="n"/>
      <c r="DF89" s="25" t="n"/>
      <c r="DG89" s="24" t="n"/>
      <c r="DH89" s="23" t="n"/>
      <c r="DI89" s="24" t="n"/>
      <c r="DJ89" s="25" t="n"/>
      <c r="DK89" s="24" t="n"/>
      <c r="DL89" s="23" t="n"/>
      <c r="DM89" s="24" t="n"/>
      <c r="DN89" s="25" t="n"/>
      <c r="DO89" s="24" t="n"/>
      <c r="DP89" s="340" t="n"/>
      <c r="DQ89" s="803">
        <f>SUMPRODUCT(--(MOD(COLUMN(BT89:CQ89),4)=MOD(COLUMN(BT89),4)),BT89:CQ89)+SUMPRODUCT(--(MOD(COLUMN(CR89:DO89),4)=MOD(COLUMN(CR89),4)),CR89:DO89)</f>
        <v/>
      </c>
      <c r="DR89" s="803">
        <f>SUMPRODUCT(--(MOD(COLUMN(BT89:CQ89),4)=MOD(COLUMN(BT89),4)),BT89:CQ89)*$I89+SUMPRODUCT(--(MOD(COLUMN(CR89:DO89),4)=MOD(COLUMN(CR89),4)),CR89:DO89)*$I89</f>
        <v/>
      </c>
      <c r="DS89" s="801" t="n"/>
      <c r="DT89" s="819" t="n"/>
      <c r="DU89" s="23" t="n"/>
      <c r="DV89" s="24" t="n"/>
      <c r="DW89" s="25" t="n"/>
      <c r="DX89" s="24" t="n"/>
      <c r="DY89" s="23" t="n"/>
      <c r="DZ89" s="24" t="n"/>
      <c r="EA89" s="25" t="n"/>
      <c r="EB89" s="24" t="n"/>
      <c r="EC89" s="23" t="n"/>
      <c r="ED89" s="24" t="n"/>
      <c r="EE89" s="25" t="n"/>
      <c r="EF89" s="24" t="n"/>
      <c r="EG89" s="23" t="n"/>
      <c r="EH89" s="24" t="n"/>
      <c r="EI89" s="25" t="n"/>
      <c r="EJ89" s="24" t="n"/>
      <c r="EK89" s="23" t="n"/>
      <c r="EL89" s="24" t="n"/>
      <c r="EM89" s="25" t="n"/>
      <c r="EN89" s="24" t="n"/>
      <c r="EO89" s="23" t="n"/>
      <c r="EP89" s="24" t="n"/>
      <c r="EQ89" s="25" t="n"/>
      <c r="ER89" s="24" t="n"/>
      <c r="ES89" s="23" t="n"/>
      <c r="ET89" s="24" t="n"/>
      <c r="EU89" s="25" t="n"/>
      <c r="EV89" s="24" t="n"/>
      <c r="EW89" s="23" t="n"/>
      <c r="EX89" s="24" t="n"/>
      <c r="EY89" s="25" t="n"/>
      <c r="EZ89" s="24" t="n"/>
      <c r="FA89" s="23" t="n"/>
      <c r="FB89" s="24" t="n"/>
      <c r="FC89" s="25" t="n"/>
      <c r="FD89" s="24" t="n"/>
      <c r="FE89" s="23" t="n"/>
      <c r="FF89" s="24" t="n"/>
      <c r="FG89" s="25" t="n"/>
      <c r="FH89" s="24" t="n"/>
      <c r="FI89" s="23" t="n"/>
      <c r="FJ89" s="24" t="n"/>
      <c r="FK89" s="25" t="n"/>
      <c r="FL89" s="24" t="n"/>
      <c r="FM89" s="23" t="n"/>
      <c r="FN89" s="24" t="n"/>
      <c r="FO89" s="25" t="n"/>
      <c r="FP89" s="24" t="n"/>
      <c r="FQ89" s="340" t="n"/>
      <c r="FR89" s="803">
        <f>SUMPRODUCT(--(MOD(COLUMN(DU89:ER89),4)=MOD(COLUMN(DU89),4)),DU89:ER89)+SUMPRODUCT(--(MOD(COLUMN(ES89:FP89),4)=MOD(COLUMN(ES89),4)),ES89:FP89)</f>
        <v/>
      </c>
      <c r="FS89" s="803">
        <f>SUMPRODUCT(--(MOD(COLUMN(DU89:ER89),4)=MOD(COLUMN(DU89),4)),DU89:ER89)*$I89+SUMPRODUCT(--(MOD(COLUMN(ES89:FP89),4)=MOD(COLUMN(ES89),4)),ES89:FP89)*$I89</f>
        <v/>
      </c>
      <c r="FT89" s="360" t="n"/>
    </row>
    <row r="90" outlineLevel="2" customFormat="1" s="14">
      <c r="A90" s="420" t="inlineStr">
        <is>
          <t>ПРИЦЕПНАЯ ТЕХНИКА ООО</t>
        </is>
      </c>
      <c r="B90" s="444" t="inlineStr">
        <is>
          <t>Договор не подписан</t>
        </is>
      </c>
      <c r="C90" s="587" t="inlineStr">
        <is>
          <t>ВБК РУС</t>
        </is>
      </c>
      <c r="D90" s="580" t="inlineStr">
        <is>
          <t>Прасолов, Соловьёв</t>
        </is>
      </c>
      <c r="E90" s="414">
        <f>IF(ISBLANK(G90),"",IF($A$6:$A$330=$A90,COUNTIF($A$6:A90,$A90),""))</f>
        <v/>
      </c>
      <c r="F90" s="670" t="n">
        <v>2</v>
      </c>
      <c r="G90" s="319" t="n">
        <v>4410441020</v>
      </c>
      <c r="H90" s="603" t="inlineStr">
        <is>
          <t>Датчик давления</t>
        </is>
      </c>
      <c r="I90" s="619" t="n">
        <v>0</v>
      </c>
      <c r="J90" s="619" t="n"/>
      <c r="K90" s="876" t="n"/>
      <c r="L90" s="619" t="n"/>
      <c r="M90" s="871" t="n"/>
      <c r="N90" s="871">
        <f>IF(BP90&gt;0,1,IF(BN90&gt;0,2,))</f>
        <v/>
      </c>
      <c r="O90" s="322" t="n"/>
      <c r="P90" s="408" t="n"/>
      <c r="Q90" s="307" t="n"/>
      <c r="R90" s="408" t="n"/>
      <c r="S90" s="322" t="n"/>
      <c r="T90" s="408">
        <f>SUMPRODUCT((Комплекты[Пр]=$F90)*(Комплекты[Обозначение]=$G90)*Комплекты[Кол-во]*(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90" s="307" t="n">
        <v>1</v>
      </c>
      <c r="V90" s="408" t="n"/>
      <c r="W90" s="322" t="n"/>
      <c r="X90" s="408" t="n"/>
      <c r="Y90" s="307" t="n"/>
      <c r="Z90" s="408" t="n"/>
      <c r="AA90" s="322" t="n"/>
      <c r="AB90" s="408" t="n"/>
      <c r="AC90" s="307" t="n"/>
      <c r="AD90" s="408" t="n"/>
      <c r="AE90" s="322" t="n"/>
      <c r="AF90" s="408">
        <f>SUMPRODUCT((Комплекты[Пр]=$F90)*(Комплекты[Обозначение]=$G90)*Комплекты[Кол-во]*(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90" s="307">
        <f>SUMPRODUCT((Комплекты[Пр]=$F90)*(Комплекты[Обозначение]=$G90)*Комплекты[Кол-во]*(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/>
      </c>
      <c r="AH90" s="408" t="n"/>
      <c r="AI90" s="322" t="n"/>
      <c r="AJ90" s="408" t="n"/>
      <c r="AK90" s="307" t="n"/>
      <c r="AL90" s="408" t="n"/>
      <c r="AM90" s="322" t="n"/>
      <c r="AN90" s="408" t="n"/>
      <c r="AO90" s="307" t="n"/>
      <c r="AP90" s="408" t="n"/>
      <c r="AQ90" s="322" t="n"/>
      <c r="AR90" s="408" t="n"/>
      <c r="AS90" s="307" t="n"/>
      <c r="AT90" s="408" t="n"/>
      <c r="AU90" s="322" t="n"/>
      <c r="AV90" s="408" t="n"/>
      <c r="AW90" s="307" t="n"/>
      <c r="AX90" s="408" t="n"/>
      <c r="AY90" s="322" t="n"/>
      <c r="AZ90" s="408" t="n"/>
      <c r="BA90" s="307" t="n"/>
      <c r="BB90" s="408" t="n"/>
      <c r="BC90" s="322" t="n"/>
      <c r="BD90" s="408" t="n"/>
      <c r="BE90" s="307" t="n"/>
      <c r="BF90" s="408" t="n"/>
      <c r="BG90" s="322" t="n"/>
      <c r="BH90" s="408" t="n"/>
      <c r="BI90" s="307" t="n"/>
      <c r="BJ90" s="408" t="n"/>
      <c r="BK90" s="340" t="n"/>
      <c r="BL90" s="820">
        <f>SUMPRODUCT(--(MOD(COLUMN($O90:$AL90),4)=MOD(COLUMN($O90)+0,4)),$O90:$AL90)
+SUMPRODUCT(--(MOD(COLUMN($AM90:$BJ90),4)=MOD(COLUMN($AM90)+0,4)),$AM90:$BJ90)</f>
        <v/>
      </c>
      <c r="BM90" s="820">
        <f>SUMPRODUCT(--(MOD(COLUMN($O90:$AL90),4)=MOD(COLUMN($O90)+0,4)),$O90:$AL90)*
$I90+SUMPRODUCT(--(MOD(COLUMN($AM90:$BJ90),4)=MOD(COLUMN($AM90)+0,4)),$AM90:$BJ90)*$I90</f>
        <v/>
      </c>
      <c r="BN90" s="822">
        <f>SUMPRODUCT(--(MOD(COLUMN($O90:$AL90),4)=MOD(COLUMN($O90)+1,4)),$O90:$AL90)
+SUMPRODUCT(--(MOD(COLUMN($AM90:$BJ90),4)=MOD(COLUMN($AM90)+1,4)),$AM90:$BJ90)</f>
        <v/>
      </c>
      <c r="BO90" s="823">
        <f>SUMPRODUCT(--(MOD(COLUMN($O90:$AL90),4)=MOD(COLUMN($O90)+1,4)),$O90:$AL90)*
$I90+SUMPRODUCT(--(MOD(COLUMN($AM90:$BJ90),4)=MOD(COLUMN($AM90)+1,4)),$AM90:$BJ90)*$I90</f>
        <v/>
      </c>
      <c r="BP90" s="824">
        <f>SUMPRODUCT(--(MOD(COLUMN($O90:$AL90),4)=MOD(COLUMN($O90)+2,4)),$O90:$AL90)
+SUMPRODUCT(--(MOD(COLUMN($AM90:$BJ90),4)=MOD(COLUMN($AM90)+2,4)),$AM90:$BJ90)</f>
        <v/>
      </c>
      <c r="BQ90" s="825">
        <f>SUMPRODUCT(--(MOD(COLUMN($O90:$AL90),4)=MOD(COLUMN($O90)+2,4)),$O90:$AL90)*
$I90+SUMPRODUCT(--(MOD(COLUMN($AM90:$BJ90),4)=MOD(COLUMN($AM90)+2,4)),$AM90:$BJ90)*$I90</f>
        <v/>
      </c>
      <c r="BR90" s="819" t="n"/>
      <c r="BS90" s="819" t="n"/>
      <c r="BT90" s="322" t="n"/>
      <c r="BU90" s="408" t="n"/>
      <c r="BV90" s="307" t="n"/>
      <c r="BW90" s="408" t="n"/>
      <c r="BX90" s="322" t="n"/>
      <c r="BY90" s="408" t="n"/>
      <c r="BZ90" s="307" t="n"/>
      <c r="CA90" s="408" t="n"/>
      <c r="CB90" s="322" t="n"/>
      <c r="CC90" s="408" t="n"/>
      <c r="CD90" s="307" t="n"/>
      <c r="CE90" s="408" t="n"/>
      <c r="CF90" s="322" t="n"/>
      <c r="CG90" s="408" t="n"/>
      <c r="CH90" s="307" t="n"/>
      <c r="CI90" s="408" t="n"/>
      <c r="CJ90" s="322" t="n"/>
      <c r="CK90" s="408" t="n"/>
      <c r="CL90" s="307" t="n"/>
      <c r="CM90" s="408" t="n"/>
      <c r="CN90" s="322" t="n"/>
      <c r="CO90" s="408" t="n"/>
      <c r="CP90" s="307" t="n"/>
      <c r="CQ90" s="408" t="n"/>
      <c r="CR90" s="322" t="n"/>
      <c r="CS90" s="408" t="n"/>
      <c r="CT90" s="307" t="n"/>
      <c r="CU90" s="408" t="n"/>
      <c r="CV90" s="322" t="n"/>
      <c r="CW90" s="408" t="n"/>
      <c r="CX90" s="307" t="n"/>
      <c r="CY90" s="408" t="n"/>
      <c r="CZ90" s="322" t="n"/>
      <c r="DA90" s="408" t="n"/>
      <c r="DB90" s="307" t="n"/>
      <c r="DC90" s="408" t="n"/>
      <c r="DD90" s="322" t="n"/>
      <c r="DE90" s="408" t="n"/>
      <c r="DF90" s="307" t="n"/>
      <c r="DG90" s="408" t="n"/>
      <c r="DH90" s="322" t="n"/>
      <c r="DI90" s="408" t="n"/>
      <c r="DJ90" s="307" t="n"/>
      <c r="DK90" s="408" t="n"/>
      <c r="DL90" s="322" t="n"/>
      <c r="DM90" s="408" t="n"/>
      <c r="DN90" s="307" t="n"/>
      <c r="DO90" s="408" t="n"/>
      <c r="DP90" s="340" t="n"/>
      <c r="DQ90" s="820">
        <f>SUMPRODUCT(--(MOD(COLUMN(BT90:CQ90),4)=MOD(COLUMN(BT90),4)),BT90:CQ90)+SUMPRODUCT(--(MOD(COLUMN(CR90:DO90),4)=MOD(COLUMN(CR90),4)),CR90:DO90)</f>
        <v/>
      </c>
      <c r="DR90" s="820">
        <f>SUMPRODUCT(--(MOD(COLUMN(BT90:CQ90),4)=MOD(COLUMN(BT90),4)),BT90:CQ90)*$I90+SUMPRODUCT(--(MOD(COLUMN(CR90:DO90),4)=MOD(COLUMN(CR90),4)),CR90:DO90)*$I90</f>
        <v/>
      </c>
      <c r="DS90" s="819" t="n"/>
      <c r="DT90" s="819" t="n"/>
      <c r="DU90" s="322" t="n"/>
      <c r="DV90" s="408" t="n"/>
      <c r="DW90" s="307" t="n"/>
      <c r="DX90" s="408" t="n"/>
      <c r="DY90" s="322" t="n"/>
      <c r="DZ90" s="408" t="n"/>
      <c r="EA90" s="307" t="n"/>
      <c r="EB90" s="408" t="n"/>
      <c r="EC90" s="322" t="n"/>
      <c r="ED90" s="408" t="n"/>
      <c r="EE90" s="307" t="n"/>
      <c r="EF90" s="408" t="n"/>
      <c r="EG90" s="322" t="n"/>
      <c r="EH90" s="408" t="n"/>
      <c r="EI90" s="307" t="n"/>
      <c r="EJ90" s="408" t="n"/>
      <c r="EK90" s="322" t="n"/>
      <c r="EL90" s="408" t="n"/>
      <c r="EM90" s="307" t="n"/>
      <c r="EN90" s="408" t="n"/>
      <c r="EO90" s="322" t="n"/>
      <c r="EP90" s="408" t="n"/>
      <c r="EQ90" s="307" t="n"/>
      <c r="ER90" s="408" t="n"/>
      <c r="ES90" s="322" t="n"/>
      <c r="ET90" s="408" t="n"/>
      <c r="EU90" s="307" t="n"/>
      <c r="EV90" s="408" t="n"/>
      <c r="EW90" s="322" t="n"/>
      <c r="EX90" s="408" t="n"/>
      <c r="EY90" s="307" t="n"/>
      <c r="EZ90" s="408" t="n"/>
      <c r="FA90" s="322" t="n"/>
      <c r="FB90" s="408" t="n"/>
      <c r="FC90" s="307" t="n"/>
      <c r="FD90" s="408" t="n"/>
      <c r="FE90" s="322" t="n"/>
      <c r="FF90" s="408" t="n"/>
      <c r="FG90" s="307" t="n"/>
      <c r="FH90" s="408" t="n"/>
      <c r="FI90" s="322" t="n"/>
      <c r="FJ90" s="408" t="n"/>
      <c r="FK90" s="307" t="n"/>
      <c r="FL90" s="408" t="n"/>
      <c r="FM90" s="322" t="n"/>
      <c r="FN90" s="408" t="n"/>
      <c r="FO90" s="307" t="n"/>
      <c r="FP90" s="408" t="n"/>
      <c r="FQ90" s="340" t="n"/>
      <c r="FR90" s="820">
        <f>SUMPRODUCT(--(MOD(COLUMN(DU90:ER90),4)=MOD(COLUMN(DU90),4)),DU90:ER90)+SUMPRODUCT(--(MOD(COLUMN(ES90:FP90),4)=MOD(COLUMN(ES90),4)),ES90:FP90)</f>
        <v/>
      </c>
      <c r="FS90" s="820">
        <f>SUMPRODUCT(--(MOD(COLUMN(DU90:ER90),4)=MOD(COLUMN(DU90),4)),DU90:ER90)*$I90+SUMPRODUCT(--(MOD(COLUMN(ES90:FP90),4)=MOD(COLUMN(ES90),4)),ES90:FP90)*$I90</f>
        <v/>
      </c>
      <c r="FT90" s="360" t="n"/>
    </row>
    <row r="91" outlineLevel="2" customFormat="1" s="14">
      <c r="A91" s="420" t="inlineStr">
        <is>
          <t>ПРИЦЕПНАЯ ТЕХНИКА ООО</t>
        </is>
      </c>
      <c r="B91" s="444" t="inlineStr">
        <is>
          <t>Договор не подписан</t>
        </is>
      </c>
      <c r="C91" s="587" t="inlineStr">
        <is>
          <t>ВБК РУС</t>
        </is>
      </c>
      <c r="D91" s="580" t="inlineStr">
        <is>
          <t>Прасолов, Соловьёв</t>
        </is>
      </c>
      <c r="E91" s="414">
        <f>IF(ISBLANK(G91),"",IF($A$6:$A$330=$A91,COUNTIF($A$6:A91,$A91),""))</f>
        <v/>
      </c>
      <c r="F91" s="670" t="n">
        <v>2</v>
      </c>
      <c r="G91" s="319" t="n">
        <v>4461220530</v>
      </c>
      <c r="H91" s="603" t="inlineStr">
        <is>
          <t>CAN-Repeater</t>
        </is>
      </c>
      <c r="I91" s="619" t="n">
        <v>0</v>
      </c>
      <c r="J91" s="619" t="n"/>
      <c r="K91" s="876" t="n"/>
      <c r="L91" s="619" t="n"/>
      <c r="M91" s="871" t="n"/>
      <c r="N91" s="871">
        <f>IF(BP91&gt;0,1,IF(BN91&gt;0,2,))</f>
        <v/>
      </c>
      <c r="O91" s="322" t="n"/>
      <c r="P91" s="408" t="n"/>
      <c r="Q91" s="307" t="n"/>
      <c r="R91" s="408" t="n"/>
      <c r="S91" s="322" t="n"/>
      <c r="T91" s="408">
        <f>SUMPRODUCT((Комплекты[Пр]=$F91)*(Комплекты[Обозначение]=$G91)*Комплекты[Кол-во]*(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91" s="307" t="n">
        <v>1</v>
      </c>
      <c r="V91" s="408" t="n"/>
      <c r="W91" s="322" t="n"/>
      <c r="X91" s="408" t="n"/>
      <c r="Y91" s="307" t="n"/>
      <c r="Z91" s="408" t="n"/>
      <c r="AA91" s="322" t="n"/>
      <c r="AB91" s="408" t="n"/>
      <c r="AC91" s="307" t="n"/>
      <c r="AD91" s="408" t="n"/>
      <c r="AE91" s="322" t="n"/>
      <c r="AF91" s="408">
        <f>SUMPRODUCT((Комплекты[Пр]=$F91)*(Комплекты[Обозначение]=$G91)*Комплекты[Кол-во]*(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91" s="307">
        <f>SUMPRODUCT((Комплекты[Пр]=$F91)*(Комплекты[Обозначение]=$G91)*Комплекты[Кол-во]*(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/>
      </c>
      <c r="AH91" s="408" t="n"/>
      <c r="AI91" s="322" t="n"/>
      <c r="AJ91" s="408" t="n"/>
      <c r="AK91" s="307" t="n"/>
      <c r="AL91" s="408" t="n"/>
      <c r="AM91" s="322" t="n"/>
      <c r="AN91" s="408" t="n"/>
      <c r="AO91" s="307" t="n"/>
      <c r="AP91" s="408" t="n"/>
      <c r="AQ91" s="322" t="n"/>
      <c r="AR91" s="408" t="n"/>
      <c r="AS91" s="307" t="n"/>
      <c r="AT91" s="408" t="n"/>
      <c r="AU91" s="322" t="n"/>
      <c r="AV91" s="408" t="n"/>
      <c r="AW91" s="307" t="n"/>
      <c r="AX91" s="408" t="n"/>
      <c r="AY91" s="322" t="n"/>
      <c r="AZ91" s="408" t="n"/>
      <c r="BA91" s="307" t="n"/>
      <c r="BB91" s="408" t="n"/>
      <c r="BC91" s="322" t="n"/>
      <c r="BD91" s="408" t="n"/>
      <c r="BE91" s="307" t="n"/>
      <c r="BF91" s="408" t="n"/>
      <c r="BG91" s="322" t="n"/>
      <c r="BH91" s="408" t="n"/>
      <c r="BI91" s="307" t="n"/>
      <c r="BJ91" s="408" t="n"/>
      <c r="BK91" s="340" t="n"/>
      <c r="BL91" s="820">
        <f>SUMPRODUCT(--(MOD(COLUMN($O91:$AL91),4)=MOD(COLUMN($O91)+0,4)),$O91:$AL91)
+SUMPRODUCT(--(MOD(COLUMN($AM91:$BJ91),4)=MOD(COLUMN($AM91)+0,4)),$AM91:$BJ91)</f>
        <v/>
      </c>
      <c r="BM91" s="820">
        <f>SUMPRODUCT(--(MOD(COLUMN($O91:$AL91),4)=MOD(COLUMN($O91)+0,4)),$O91:$AL91)*
$I91+SUMPRODUCT(--(MOD(COLUMN($AM91:$BJ91),4)=MOD(COLUMN($AM91)+0,4)),$AM91:$BJ91)*$I91</f>
        <v/>
      </c>
      <c r="BN91" s="822">
        <f>SUMPRODUCT(--(MOD(COLUMN($O91:$AL91),4)=MOD(COLUMN($O91)+1,4)),$O91:$AL91)
+SUMPRODUCT(--(MOD(COLUMN($AM91:$BJ91),4)=MOD(COLUMN($AM91)+1,4)),$AM91:$BJ91)</f>
        <v/>
      </c>
      <c r="BO91" s="823">
        <f>SUMPRODUCT(--(MOD(COLUMN($O91:$AL91),4)=MOD(COLUMN($O91)+1,4)),$O91:$AL91)*
$I91+SUMPRODUCT(--(MOD(COLUMN($AM91:$BJ91),4)=MOD(COLUMN($AM91)+1,4)),$AM91:$BJ91)*$I91</f>
        <v/>
      </c>
      <c r="BP91" s="824">
        <f>SUMPRODUCT(--(MOD(COLUMN($O91:$AL91),4)=MOD(COLUMN($O91)+2,4)),$O91:$AL91)
+SUMPRODUCT(--(MOD(COLUMN($AM91:$BJ91),4)=MOD(COLUMN($AM91)+2,4)),$AM91:$BJ91)</f>
        <v/>
      </c>
      <c r="BQ91" s="825">
        <f>SUMPRODUCT(--(MOD(COLUMN($O91:$AL91),4)=MOD(COLUMN($O91)+2,4)),$O91:$AL91)*
$I91+SUMPRODUCT(--(MOD(COLUMN($AM91:$BJ91),4)=MOD(COLUMN($AM91)+2,4)),$AM91:$BJ91)*$I91</f>
        <v/>
      </c>
      <c r="BR91" s="819" t="n"/>
      <c r="BS91" s="819" t="n"/>
      <c r="BT91" s="322" t="n"/>
      <c r="BU91" s="408" t="n"/>
      <c r="BV91" s="307" t="n"/>
      <c r="BW91" s="408" t="n"/>
      <c r="BX91" s="322" t="n"/>
      <c r="BY91" s="408" t="n"/>
      <c r="BZ91" s="307" t="n"/>
      <c r="CA91" s="408" t="n"/>
      <c r="CB91" s="322" t="n"/>
      <c r="CC91" s="408" t="n"/>
      <c r="CD91" s="307" t="n"/>
      <c r="CE91" s="408" t="n"/>
      <c r="CF91" s="322" t="n"/>
      <c r="CG91" s="408" t="n"/>
      <c r="CH91" s="307" t="n"/>
      <c r="CI91" s="408" t="n"/>
      <c r="CJ91" s="322" t="n"/>
      <c r="CK91" s="408" t="n"/>
      <c r="CL91" s="307" t="n"/>
      <c r="CM91" s="408" t="n"/>
      <c r="CN91" s="322" t="n"/>
      <c r="CO91" s="408" t="n"/>
      <c r="CP91" s="307" t="n"/>
      <c r="CQ91" s="408" t="n"/>
      <c r="CR91" s="322" t="n"/>
      <c r="CS91" s="408" t="n"/>
      <c r="CT91" s="307" t="n"/>
      <c r="CU91" s="408" t="n"/>
      <c r="CV91" s="322" t="n"/>
      <c r="CW91" s="408" t="n"/>
      <c r="CX91" s="307" t="n"/>
      <c r="CY91" s="408" t="n"/>
      <c r="CZ91" s="322" t="n"/>
      <c r="DA91" s="408" t="n"/>
      <c r="DB91" s="307" t="n"/>
      <c r="DC91" s="408" t="n"/>
      <c r="DD91" s="322" t="n"/>
      <c r="DE91" s="408" t="n"/>
      <c r="DF91" s="307" t="n"/>
      <c r="DG91" s="408" t="n"/>
      <c r="DH91" s="322" t="n"/>
      <c r="DI91" s="408" t="n"/>
      <c r="DJ91" s="307" t="n"/>
      <c r="DK91" s="408" t="n"/>
      <c r="DL91" s="322" t="n"/>
      <c r="DM91" s="408" t="n"/>
      <c r="DN91" s="307" t="n"/>
      <c r="DO91" s="408" t="n"/>
      <c r="DP91" s="340" t="n"/>
      <c r="DQ91" s="820">
        <f>SUMPRODUCT(--(MOD(COLUMN(BT91:CQ91),4)=MOD(COLUMN(BT91),4)),BT91:CQ91)+SUMPRODUCT(--(MOD(COLUMN(CR91:DO91),4)=MOD(COLUMN(CR91),4)),CR91:DO91)</f>
        <v/>
      </c>
      <c r="DR91" s="820">
        <f>SUMPRODUCT(--(MOD(COLUMN(BT91:CQ91),4)=MOD(COLUMN(BT91),4)),BT91:CQ91)*$I91+SUMPRODUCT(--(MOD(COLUMN(CR91:DO91),4)=MOD(COLUMN(CR91),4)),CR91:DO91)*$I91</f>
        <v/>
      </c>
      <c r="DS91" s="819" t="n"/>
      <c r="DT91" s="819" t="n"/>
      <c r="DU91" s="322" t="n"/>
      <c r="DV91" s="408" t="n"/>
      <c r="DW91" s="307" t="n"/>
      <c r="DX91" s="408" t="n"/>
      <c r="DY91" s="322" t="n"/>
      <c r="DZ91" s="408" t="n"/>
      <c r="EA91" s="307" t="n"/>
      <c r="EB91" s="408" t="n"/>
      <c r="EC91" s="322" t="n"/>
      <c r="ED91" s="408" t="n"/>
      <c r="EE91" s="307" t="n"/>
      <c r="EF91" s="408" t="n"/>
      <c r="EG91" s="322" t="n"/>
      <c r="EH91" s="408" t="n"/>
      <c r="EI91" s="307" t="n"/>
      <c r="EJ91" s="408" t="n"/>
      <c r="EK91" s="322" t="n"/>
      <c r="EL91" s="408" t="n"/>
      <c r="EM91" s="307" t="n"/>
      <c r="EN91" s="408" t="n"/>
      <c r="EO91" s="322" t="n"/>
      <c r="EP91" s="408" t="n"/>
      <c r="EQ91" s="307" t="n"/>
      <c r="ER91" s="408" t="n"/>
      <c r="ES91" s="322" t="n"/>
      <c r="ET91" s="408" t="n"/>
      <c r="EU91" s="307" t="n"/>
      <c r="EV91" s="408" t="n"/>
      <c r="EW91" s="322" t="n"/>
      <c r="EX91" s="408" t="n"/>
      <c r="EY91" s="307" t="n"/>
      <c r="EZ91" s="408" t="n"/>
      <c r="FA91" s="322" t="n"/>
      <c r="FB91" s="408" t="n"/>
      <c r="FC91" s="307" t="n"/>
      <c r="FD91" s="408" t="n"/>
      <c r="FE91" s="322" t="n"/>
      <c r="FF91" s="408" t="n"/>
      <c r="FG91" s="307" t="n"/>
      <c r="FH91" s="408" t="n"/>
      <c r="FI91" s="322" t="n"/>
      <c r="FJ91" s="408" t="n"/>
      <c r="FK91" s="307" t="n"/>
      <c r="FL91" s="408" t="n"/>
      <c r="FM91" s="322" t="n"/>
      <c r="FN91" s="408" t="n"/>
      <c r="FO91" s="307" t="n"/>
      <c r="FP91" s="408" t="n"/>
      <c r="FQ91" s="340" t="n"/>
      <c r="FR91" s="820">
        <f>SUMPRODUCT(--(MOD(COLUMN(DU91:ER91),4)=MOD(COLUMN(DU91),4)),DU91:ER91)+SUMPRODUCT(--(MOD(COLUMN(ES91:FP91),4)=MOD(COLUMN(ES91),4)),ES91:FP91)</f>
        <v/>
      </c>
      <c r="FS91" s="820">
        <f>SUMPRODUCT(--(MOD(COLUMN(DU91:ER91),4)=MOD(COLUMN(DU91),4)),DU91:ER91)*$I91+SUMPRODUCT(--(MOD(COLUMN(ES91:FP91),4)=MOD(COLUMN(ES91),4)),ES91:FP91)*$I91</f>
        <v/>
      </c>
      <c r="FT91" s="360" t="n"/>
    </row>
    <row r="92" outlineLevel="2" customFormat="1" s="14">
      <c r="A92" s="420" t="inlineStr">
        <is>
          <t>ПРИЦЕПНАЯ ТЕХНИКА ООО</t>
        </is>
      </c>
      <c r="B92" s="444" t="inlineStr">
        <is>
          <t>Договор не подписан</t>
        </is>
      </c>
      <c r="C92" s="587" t="inlineStr">
        <is>
          <t>ВБК РУС</t>
        </is>
      </c>
      <c r="D92" s="580" t="inlineStr">
        <is>
          <t>Прасолов, Соловьёв</t>
        </is>
      </c>
      <c r="E92" s="414">
        <f>IF(ISBLANK(G92),"",IF($A$6:$A$330=$A92,COUNTIF($A$6:A92,$A92),""))</f>
        <v/>
      </c>
      <c r="F92" s="670" t="n">
        <v>2</v>
      </c>
      <c r="G92" s="319" t="n">
        <v>4491350600</v>
      </c>
      <c r="H92" s="603" t="inlineStr">
        <is>
          <t>Кабель соединительный, 6 м</t>
        </is>
      </c>
      <c r="I92" s="619" t="n">
        <v>0</v>
      </c>
      <c r="J92" s="619" t="n"/>
      <c r="K92" s="876" t="n"/>
      <c r="L92" s="619" t="n"/>
      <c r="M92" s="871" t="n"/>
      <c r="N92" s="871">
        <f>IF(BP92&gt;0,1,IF(BN92&gt;0,2,))</f>
        <v/>
      </c>
      <c r="O92" s="322" t="n"/>
      <c r="P92" s="408" t="n"/>
      <c r="Q92" s="307" t="n"/>
      <c r="R92" s="408" t="n"/>
      <c r="S92" s="322" t="n"/>
      <c r="T92" s="408">
        <f>SUMPRODUCT((Комплекты[Пр]=$F92)*(Комплекты[Обозначение]=$G92)*Комплекты[Кол-во]*(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92" s="307" t="n">
        <v>1</v>
      </c>
      <c r="V92" s="408" t="n"/>
      <c r="W92" s="322" t="n"/>
      <c r="X92" s="408" t="n"/>
      <c r="Y92" s="307" t="n"/>
      <c r="Z92" s="408" t="n"/>
      <c r="AA92" s="322" t="n"/>
      <c r="AB92" s="408" t="n"/>
      <c r="AC92" s="307" t="n"/>
      <c r="AD92" s="408" t="n"/>
      <c r="AE92" s="322" t="n"/>
      <c r="AF92" s="408">
        <f>SUMPRODUCT((Комплекты[Пр]=$F92)*(Комплекты[Обозначение]=$G92)*Комплекты[Кол-во]*(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92" s="307">
        <f>SUMPRODUCT((Комплекты[Пр]=$F92)*(Комплекты[Обозначение]=$G92)*Комплекты[Кол-во]*(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/>
      </c>
      <c r="AH92" s="408" t="n"/>
      <c r="AI92" s="322" t="n"/>
      <c r="AJ92" s="408" t="n"/>
      <c r="AK92" s="307" t="n"/>
      <c r="AL92" s="408" t="n"/>
      <c r="AM92" s="322" t="n"/>
      <c r="AN92" s="408" t="n"/>
      <c r="AO92" s="307" t="n"/>
      <c r="AP92" s="408" t="n"/>
      <c r="AQ92" s="322" t="n"/>
      <c r="AR92" s="408" t="n"/>
      <c r="AS92" s="307" t="n"/>
      <c r="AT92" s="408" t="n"/>
      <c r="AU92" s="322" t="n"/>
      <c r="AV92" s="408" t="n"/>
      <c r="AW92" s="307" t="n"/>
      <c r="AX92" s="408" t="n"/>
      <c r="AY92" s="322" t="n"/>
      <c r="AZ92" s="408" t="n"/>
      <c r="BA92" s="307" t="n"/>
      <c r="BB92" s="408" t="n"/>
      <c r="BC92" s="322" t="n"/>
      <c r="BD92" s="408" t="n"/>
      <c r="BE92" s="307" t="n"/>
      <c r="BF92" s="408" t="n"/>
      <c r="BG92" s="322" t="n"/>
      <c r="BH92" s="408" t="n"/>
      <c r="BI92" s="307" t="n"/>
      <c r="BJ92" s="408" t="n"/>
      <c r="BK92" s="340" t="n"/>
      <c r="BL92" s="820">
        <f>SUMPRODUCT(--(MOD(COLUMN($O92:$AL92),4)=MOD(COLUMN($O92)+0,4)),$O92:$AL92)
+SUMPRODUCT(--(MOD(COLUMN($AM92:$BJ92),4)=MOD(COLUMN($AM92)+0,4)),$AM92:$BJ92)</f>
        <v/>
      </c>
      <c r="BM92" s="820">
        <f>SUMPRODUCT(--(MOD(COLUMN($O92:$AL92),4)=MOD(COLUMN($O92)+0,4)),$O92:$AL92)*
$I92+SUMPRODUCT(--(MOD(COLUMN($AM92:$BJ92),4)=MOD(COLUMN($AM92)+0,4)),$AM92:$BJ92)*$I92</f>
        <v/>
      </c>
      <c r="BN92" s="822">
        <f>SUMPRODUCT(--(MOD(COLUMN($O92:$AL92),4)=MOD(COLUMN($O92)+1,4)),$O92:$AL92)
+SUMPRODUCT(--(MOD(COLUMN($AM92:$BJ92),4)=MOD(COLUMN($AM92)+1,4)),$AM92:$BJ92)</f>
        <v/>
      </c>
      <c r="BO92" s="823">
        <f>SUMPRODUCT(--(MOD(COLUMN($O92:$AL92),4)=MOD(COLUMN($O92)+1,4)),$O92:$AL92)*
$I92+SUMPRODUCT(--(MOD(COLUMN($AM92:$BJ92),4)=MOD(COLUMN($AM92)+1,4)),$AM92:$BJ92)*$I92</f>
        <v/>
      </c>
      <c r="BP92" s="824">
        <f>SUMPRODUCT(--(MOD(COLUMN($O92:$AL92),4)=MOD(COLUMN($O92)+2,4)),$O92:$AL92)
+SUMPRODUCT(--(MOD(COLUMN($AM92:$BJ92),4)=MOD(COLUMN($AM92)+2,4)),$AM92:$BJ92)</f>
        <v/>
      </c>
      <c r="BQ92" s="825">
        <f>SUMPRODUCT(--(MOD(COLUMN($O92:$AL92),4)=MOD(COLUMN($O92)+2,4)),$O92:$AL92)*
$I92+SUMPRODUCT(--(MOD(COLUMN($AM92:$BJ92),4)=MOD(COLUMN($AM92)+2,4)),$AM92:$BJ92)*$I92</f>
        <v/>
      </c>
      <c r="BR92" s="819" t="n"/>
      <c r="BS92" s="819" t="n"/>
      <c r="BT92" s="322" t="n"/>
      <c r="BU92" s="408" t="n"/>
      <c r="BV92" s="307" t="n"/>
      <c r="BW92" s="408" t="n"/>
      <c r="BX92" s="322" t="n"/>
      <c r="BY92" s="408" t="n"/>
      <c r="BZ92" s="307" t="n"/>
      <c r="CA92" s="408" t="n"/>
      <c r="CB92" s="322" t="n"/>
      <c r="CC92" s="408" t="n"/>
      <c r="CD92" s="307" t="n"/>
      <c r="CE92" s="408" t="n"/>
      <c r="CF92" s="322" t="n"/>
      <c r="CG92" s="408" t="n"/>
      <c r="CH92" s="307" t="n"/>
      <c r="CI92" s="408" t="n"/>
      <c r="CJ92" s="322" t="n"/>
      <c r="CK92" s="408" t="n"/>
      <c r="CL92" s="307" t="n"/>
      <c r="CM92" s="408" t="n"/>
      <c r="CN92" s="322" t="n"/>
      <c r="CO92" s="408" t="n"/>
      <c r="CP92" s="307" t="n"/>
      <c r="CQ92" s="408" t="n"/>
      <c r="CR92" s="322" t="n"/>
      <c r="CS92" s="408" t="n"/>
      <c r="CT92" s="307" t="n"/>
      <c r="CU92" s="408" t="n"/>
      <c r="CV92" s="322" t="n"/>
      <c r="CW92" s="408" t="n"/>
      <c r="CX92" s="307" t="n"/>
      <c r="CY92" s="408" t="n"/>
      <c r="CZ92" s="322" t="n"/>
      <c r="DA92" s="408" t="n"/>
      <c r="DB92" s="307" t="n"/>
      <c r="DC92" s="408" t="n"/>
      <c r="DD92" s="322" t="n"/>
      <c r="DE92" s="408" t="n"/>
      <c r="DF92" s="307" t="n"/>
      <c r="DG92" s="408" t="n"/>
      <c r="DH92" s="322" t="n"/>
      <c r="DI92" s="408" t="n"/>
      <c r="DJ92" s="307" t="n"/>
      <c r="DK92" s="408" t="n"/>
      <c r="DL92" s="322" t="n"/>
      <c r="DM92" s="408" t="n"/>
      <c r="DN92" s="307" t="n"/>
      <c r="DO92" s="408" t="n"/>
      <c r="DP92" s="340" t="n"/>
      <c r="DQ92" s="820">
        <f>SUMPRODUCT(--(MOD(COLUMN(BT92:CQ92),4)=MOD(COLUMN(BT92),4)),BT92:CQ92)+SUMPRODUCT(--(MOD(COLUMN(CR92:DO92),4)=MOD(COLUMN(CR92),4)),CR92:DO92)</f>
        <v/>
      </c>
      <c r="DR92" s="820">
        <f>SUMPRODUCT(--(MOD(COLUMN(BT92:CQ92),4)=MOD(COLUMN(BT92),4)),BT92:CQ92)*$I92+SUMPRODUCT(--(MOD(COLUMN(CR92:DO92),4)=MOD(COLUMN(CR92),4)),CR92:DO92)*$I92</f>
        <v/>
      </c>
      <c r="DS92" s="819" t="n"/>
      <c r="DT92" s="819" t="n"/>
      <c r="DU92" s="322" t="n"/>
      <c r="DV92" s="408" t="n"/>
      <c r="DW92" s="307" t="n"/>
      <c r="DX92" s="408" t="n"/>
      <c r="DY92" s="322" t="n"/>
      <c r="DZ92" s="408" t="n"/>
      <c r="EA92" s="307" t="n"/>
      <c r="EB92" s="408" t="n"/>
      <c r="EC92" s="322" t="n"/>
      <c r="ED92" s="408" t="n"/>
      <c r="EE92" s="307" t="n"/>
      <c r="EF92" s="408" t="n"/>
      <c r="EG92" s="322" t="n"/>
      <c r="EH92" s="408" t="n"/>
      <c r="EI92" s="307" t="n"/>
      <c r="EJ92" s="408" t="n"/>
      <c r="EK92" s="322" t="n"/>
      <c r="EL92" s="408" t="n"/>
      <c r="EM92" s="307" t="n"/>
      <c r="EN92" s="408" t="n"/>
      <c r="EO92" s="322" t="n"/>
      <c r="EP92" s="408" t="n"/>
      <c r="EQ92" s="307" t="n"/>
      <c r="ER92" s="408" t="n"/>
      <c r="ES92" s="322" t="n"/>
      <c r="ET92" s="408" t="n"/>
      <c r="EU92" s="307" t="n"/>
      <c r="EV92" s="408" t="n"/>
      <c r="EW92" s="322" t="n"/>
      <c r="EX92" s="408" t="n"/>
      <c r="EY92" s="307" t="n"/>
      <c r="EZ92" s="408" t="n"/>
      <c r="FA92" s="322" t="n"/>
      <c r="FB92" s="408" t="n"/>
      <c r="FC92" s="307" t="n"/>
      <c r="FD92" s="408" t="n"/>
      <c r="FE92" s="322" t="n"/>
      <c r="FF92" s="408" t="n"/>
      <c r="FG92" s="307" t="n"/>
      <c r="FH92" s="408" t="n"/>
      <c r="FI92" s="322" t="n"/>
      <c r="FJ92" s="408" t="n"/>
      <c r="FK92" s="307" t="n"/>
      <c r="FL92" s="408" t="n"/>
      <c r="FM92" s="322" t="n"/>
      <c r="FN92" s="408" t="n"/>
      <c r="FO92" s="307" t="n"/>
      <c r="FP92" s="408" t="n"/>
      <c r="FQ92" s="340" t="n"/>
      <c r="FR92" s="820">
        <f>SUMPRODUCT(--(MOD(COLUMN(DU92:ER92),4)=MOD(COLUMN(DU92),4)),DU92:ER92)+SUMPRODUCT(--(MOD(COLUMN(ES92:FP92),4)=MOD(COLUMN(ES92),4)),ES92:FP92)</f>
        <v/>
      </c>
      <c r="FS92" s="820">
        <f>SUMPRODUCT(--(MOD(COLUMN(DU92:ER92),4)=MOD(COLUMN(DU92),4)),DU92:ER92)*$I92+SUMPRODUCT(--(MOD(COLUMN(ES92:FP92),4)=MOD(COLUMN(ES92),4)),ES92:FP92)*$I92</f>
        <v/>
      </c>
      <c r="FT92" s="360" t="n"/>
    </row>
    <row r="93" outlineLevel="2" customFormat="1" s="14">
      <c r="A93" s="420" t="inlineStr">
        <is>
          <t>ПРИЦЕПНАЯ ТЕХНИКА ООО</t>
        </is>
      </c>
      <c r="B93" s="444" t="inlineStr">
        <is>
          <t>Договор не подписан</t>
        </is>
      </c>
      <c r="C93" s="587" t="inlineStr">
        <is>
          <t>ВБК РУС</t>
        </is>
      </c>
      <c r="D93" s="580" t="inlineStr">
        <is>
          <t>Прасолов, Соловьёв</t>
        </is>
      </c>
      <c r="E93" s="414">
        <f>IF(ISBLANK(G93),"",IF($A$6:$A$330=$A93,COUNTIF($A$6:A93,$A93),""))</f>
        <v/>
      </c>
      <c r="F93" s="670" t="n">
        <v>2</v>
      </c>
      <c r="G93" s="319" t="n">
        <v>4493470800</v>
      </c>
      <c r="H93" s="603" t="inlineStr">
        <is>
          <t>Кабель соединительный, 8 м</t>
        </is>
      </c>
      <c r="I93" s="619" t="n">
        <v>0</v>
      </c>
      <c r="J93" s="619" t="n"/>
      <c r="K93" s="876" t="n"/>
      <c r="L93" s="619" t="n"/>
      <c r="M93" s="871" t="n"/>
      <c r="N93" s="871">
        <f>IF(BP93&gt;0,1,IF(BN93&gt;0,2,))</f>
        <v/>
      </c>
      <c r="O93" s="322" t="n"/>
      <c r="P93" s="408" t="n"/>
      <c r="Q93" s="307" t="n"/>
      <c r="R93" s="408" t="n"/>
      <c r="S93" s="322" t="n"/>
      <c r="T93" s="408">
        <f>SUMPRODUCT((Комплекты[Пр]=$F93)*(Комплекты[Обозначение]=$G93)*Комплекты[Кол-во]*(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93" s="307" t="n">
        <v>1</v>
      </c>
      <c r="V93" s="408" t="n"/>
      <c r="W93" s="322" t="n"/>
      <c r="X93" s="408" t="n"/>
      <c r="Y93" s="307" t="n"/>
      <c r="Z93" s="408" t="n"/>
      <c r="AA93" s="322" t="n"/>
      <c r="AB93" s="408" t="n"/>
      <c r="AC93" s="307" t="n"/>
      <c r="AD93" s="408" t="n"/>
      <c r="AE93" s="322" t="n"/>
      <c r="AF93" s="408">
        <f>SUMPRODUCT((Комплекты[Пр]=$F93)*(Комплекты[Обозначение]=$G93)*Комплекты[Кол-во]*(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93" s="307">
        <f>SUMPRODUCT((Комплекты[Пр]=$F93)*(Комплекты[Обозначение]=$G93)*Комплекты[Кол-во]*(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/>
      </c>
      <c r="AH93" s="408" t="n"/>
      <c r="AI93" s="322" t="n"/>
      <c r="AJ93" s="408" t="n"/>
      <c r="AK93" s="307" t="n"/>
      <c r="AL93" s="408" t="n"/>
      <c r="AM93" s="322" t="n"/>
      <c r="AN93" s="408" t="n"/>
      <c r="AO93" s="307" t="n"/>
      <c r="AP93" s="408" t="n"/>
      <c r="AQ93" s="322" t="n"/>
      <c r="AR93" s="408" t="n"/>
      <c r="AS93" s="307" t="n"/>
      <c r="AT93" s="408" t="n"/>
      <c r="AU93" s="322" t="n"/>
      <c r="AV93" s="408" t="n"/>
      <c r="AW93" s="307" t="n"/>
      <c r="AX93" s="408" t="n"/>
      <c r="AY93" s="322" t="n"/>
      <c r="AZ93" s="408" t="n"/>
      <c r="BA93" s="307" t="n"/>
      <c r="BB93" s="408" t="n"/>
      <c r="BC93" s="322" t="n"/>
      <c r="BD93" s="408" t="n"/>
      <c r="BE93" s="307" t="n"/>
      <c r="BF93" s="408" t="n"/>
      <c r="BG93" s="322" t="n"/>
      <c r="BH93" s="408" t="n"/>
      <c r="BI93" s="307" t="n"/>
      <c r="BJ93" s="408" t="n"/>
      <c r="BK93" s="340" t="n"/>
      <c r="BL93" s="820">
        <f>SUMPRODUCT(--(MOD(COLUMN($O93:$AL93),4)=MOD(COLUMN($O93)+0,4)),$O93:$AL93)
+SUMPRODUCT(--(MOD(COLUMN($AM93:$BJ93),4)=MOD(COLUMN($AM93)+0,4)),$AM93:$BJ93)</f>
        <v/>
      </c>
      <c r="BM93" s="820">
        <f>SUMPRODUCT(--(MOD(COLUMN($O93:$AL93),4)=MOD(COLUMN($O93)+0,4)),$O93:$AL93)*
$I93+SUMPRODUCT(--(MOD(COLUMN($AM93:$BJ93),4)=MOD(COLUMN($AM93)+0,4)),$AM93:$BJ93)*$I93</f>
        <v/>
      </c>
      <c r="BN93" s="822">
        <f>SUMPRODUCT(--(MOD(COLUMN($O93:$AL93),4)=MOD(COLUMN($O93)+1,4)),$O93:$AL93)
+SUMPRODUCT(--(MOD(COLUMN($AM93:$BJ93),4)=MOD(COLUMN($AM93)+1,4)),$AM93:$BJ93)</f>
        <v/>
      </c>
      <c r="BO93" s="823">
        <f>SUMPRODUCT(--(MOD(COLUMN($O93:$AL93),4)=MOD(COLUMN($O93)+1,4)),$O93:$AL93)*
$I93+SUMPRODUCT(--(MOD(COLUMN($AM93:$BJ93),4)=MOD(COLUMN($AM93)+1,4)),$AM93:$BJ93)*$I93</f>
        <v/>
      </c>
      <c r="BP93" s="824">
        <f>SUMPRODUCT(--(MOD(COLUMN($O93:$AL93),4)=MOD(COLUMN($O93)+2,4)),$O93:$AL93)
+SUMPRODUCT(--(MOD(COLUMN($AM93:$BJ93),4)=MOD(COLUMN($AM93)+2,4)),$AM93:$BJ93)</f>
        <v/>
      </c>
      <c r="BQ93" s="825">
        <f>SUMPRODUCT(--(MOD(COLUMN($O93:$AL93),4)=MOD(COLUMN($O93)+2,4)),$O93:$AL93)*
$I93+SUMPRODUCT(--(MOD(COLUMN($AM93:$BJ93),4)=MOD(COLUMN($AM93)+2,4)),$AM93:$BJ93)*$I93</f>
        <v/>
      </c>
      <c r="BR93" s="819" t="n"/>
      <c r="BS93" s="819" t="n"/>
      <c r="BT93" s="322" t="n"/>
      <c r="BU93" s="408" t="n"/>
      <c r="BV93" s="307" t="n"/>
      <c r="BW93" s="408" t="n"/>
      <c r="BX93" s="322" t="n"/>
      <c r="BY93" s="408" t="n"/>
      <c r="BZ93" s="307" t="n"/>
      <c r="CA93" s="408" t="n"/>
      <c r="CB93" s="322" t="n"/>
      <c r="CC93" s="408" t="n"/>
      <c r="CD93" s="307" t="n"/>
      <c r="CE93" s="408" t="n"/>
      <c r="CF93" s="322" t="n"/>
      <c r="CG93" s="408" t="n"/>
      <c r="CH93" s="307" t="n"/>
      <c r="CI93" s="408" t="n"/>
      <c r="CJ93" s="322" t="n"/>
      <c r="CK93" s="408" t="n"/>
      <c r="CL93" s="307" t="n"/>
      <c r="CM93" s="408" t="n"/>
      <c r="CN93" s="322" t="n"/>
      <c r="CO93" s="408" t="n"/>
      <c r="CP93" s="307" t="n"/>
      <c r="CQ93" s="408" t="n"/>
      <c r="CR93" s="322" t="n"/>
      <c r="CS93" s="408" t="n"/>
      <c r="CT93" s="307" t="n"/>
      <c r="CU93" s="408" t="n"/>
      <c r="CV93" s="322" t="n"/>
      <c r="CW93" s="408" t="n"/>
      <c r="CX93" s="307" t="n"/>
      <c r="CY93" s="408" t="n"/>
      <c r="CZ93" s="322" t="n"/>
      <c r="DA93" s="408" t="n"/>
      <c r="DB93" s="307" t="n"/>
      <c r="DC93" s="408" t="n"/>
      <c r="DD93" s="322" t="n"/>
      <c r="DE93" s="408" t="n"/>
      <c r="DF93" s="307" t="n"/>
      <c r="DG93" s="408" t="n"/>
      <c r="DH93" s="322" t="n"/>
      <c r="DI93" s="408" t="n"/>
      <c r="DJ93" s="307" t="n"/>
      <c r="DK93" s="408" t="n"/>
      <c r="DL93" s="322" t="n"/>
      <c r="DM93" s="408" t="n"/>
      <c r="DN93" s="307" t="n"/>
      <c r="DO93" s="408" t="n"/>
      <c r="DP93" s="340" t="n"/>
      <c r="DQ93" s="820">
        <f>SUMPRODUCT(--(MOD(COLUMN(BT93:CQ93),4)=MOD(COLUMN(BT93),4)),BT93:CQ93)+SUMPRODUCT(--(MOD(COLUMN(CR93:DO93),4)=MOD(COLUMN(CR93),4)),CR93:DO93)</f>
        <v/>
      </c>
      <c r="DR93" s="820">
        <f>SUMPRODUCT(--(MOD(COLUMN(BT93:CQ93),4)=MOD(COLUMN(BT93),4)),BT93:CQ93)*$I93+SUMPRODUCT(--(MOD(COLUMN(CR93:DO93),4)=MOD(COLUMN(CR93),4)),CR93:DO93)*$I93</f>
        <v/>
      </c>
      <c r="DS93" s="819" t="n"/>
      <c r="DT93" s="819" t="n"/>
      <c r="DU93" s="322" t="n"/>
      <c r="DV93" s="408" t="n"/>
      <c r="DW93" s="307" t="n"/>
      <c r="DX93" s="408" t="n"/>
      <c r="DY93" s="322" t="n"/>
      <c r="DZ93" s="408" t="n"/>
      <c r="EA93" s="307" t="n"/>
      <c r="EB93" s="408" t="n"/>
      <c r="EC93" s="322" t="n"/>
      <c r="ED93" s="408" t="n"/>
      <c r="EE93" s="307" t="n"/>
      <c r="EF93" s="408" t="n"/>
      <c r="EG93" s="322" t="n"/>
      <c r="EH93" s="408" t="n"/>
      <c r="EI93" s="307" t="n"/>
      <c r="EJ93" s="408" t="n"/>
      <c r="EK93" s="322" t="n"/>
      <c r="EL93" s="408" t="n"/>
      <c r="EM93" s="307" t="n"/>
      <c r="EN93" s="408" t="n"/>
      <c r="EO93" s="322" t="n"/>
      <c r="EP93" s="408" t="n"/>
      <c r="EQ93" s="307" t="n"/>
      <c r="ER93" s="408" t="n"/>
      <c r="ES93" s="322" t="n"/>
      <c r="ET93" s="408" t="n"/>
      <c r="EU93" s="307" t="n"/>
      <c r="EV93" s="408" t="n"/>
      <c r="EW93" s="322" t="n"/>
      <c r="EX93" s="408" t="n"/>
      <c r="EY93" s="307" t="n"/>
      <c r="EZ93" s="408" t="n"/>
      <c r="FA93" s="322" t="n"/>
      <c r="FB93" s="408" t="n"/>
      <c r="FC93" s="307" t="n"/>
      <c r="FD93" s="408" t="n"/>
      <c r="FE93" s="322" t="n"/>
      <c r="FF93" s="408" t="n"/>
      <c r="FG93" s="307" t="n"/>
      <c r="FH93" s="408" t="n"/>
      <c r="FI93" s="322" t="n"/>
      <c r="FJ93" s="408" t="n"/>
      <c r="FK93" s="307" t="n"/>
      <c r="FL93" s="408" t="n"/>
      <c r="FM93" s="322" t="n"/>
      <c r="FN93" s="408" t="n"/>
      <c r="FO93" s="307" t="n"/>
      <c r="FP93" s="408" t="n"/>
      <c r="FQ93" s="340" t="n"/>
      <c r="FR93" s="820">
        <f>SUMPRODUCT(--(MOD(COLUMN(DU93:ER93),4)=MOD(COLUMN(DU93),4)),DU93:ER93)+SUMPRODUCT(--(MOD(COLUMN(ES93:FP93),4)=MOD(COLUMN(ES93),4)),ES93:FP93)</f>
        <v/>
      </c>
      <c r="FS93" s="820">
        <f>SUMPRODUCT(--(MOD(COLUMN(DU93:ER93),4)=MOD(COLUMN(DU93),4)),DU93:ER93)*$I93+SUMPRODUCT(--(MOD(COLUMN(ES93:FP93),4)=MOD(COLUMN(ES93),4)),ES93:FP93)*$I93</f>
        <v/>
      </c>
      <c r="FT93" s="360" t="n"/>
    </row>
    <row r="94" outlineLevel="2" customFormat="1" s="14">
      <c r="A94" s="420" t="inlineStr">
        <is>
          <t>ПРИЦЕПНАЯ ТЕХНИКА ООО</t>
        </is>
      </c>
      <c r="B94" s="444" t="inlineStr">
        <is>
          <t>Договор не подписан</t>
        </is>
      </c>
      <c r="C94" s="587" t="inlineStr">
        <is>
          <t>ВБК РУС</t>
        </is>
      </c>
      <c r="D94" s="580" t="inlineStr">
        <is>
          <t>Прасолов, Соловьёв</t>
        </is>
      </c>
      <c r="E94" s="414">
        <f>IF(ISBLANK(G94),"",IF($A$6:$A$330=$A94,COUNTIF($A$6:A94,$A94),""))</f>
        <v/>
      </c>
      <c r="F94" s="670" t="n">
        <v>2</v>
      </c>
      <c r="G94" s="319" t="n">
        <v>4494250600</v>
      </c>
      <c r="H94" s="603" t="inlineStr">
        <is>
          <t>Кабель датчика давления, 6 м</t>
        </is>
      </c>
      <c r="I94" s="619" t="n">
        <v>0</v>
      </c>
      <c r="J94" s="619" t="n"/>
      <c r="K94" s="876" t="n"/>
      <c r="L94" s="619" t="n"/>
      <c r="M94" s="871" t="n"/>
      <c r="N94" s="871">
        <f>IF(BP94&gt;0,1,IF(BN94&gt;0,2,))</f>
        <v/>
      </c>
      <c r="O94" s="322" t="n"/>
      <c r="P94" s="408" t="n"/>
      <c r="Q94" s="307" t="n"/>
      <c r="R94" s="408" t="n"/>
      <c r="S94" s="322" t="n"/>
      <c r="T94" s="408">
        <f>SUMPRODUCT((Комплекты[Пр]=$F94)*(Комплекты[Обозначение]=$G94)*Комплекты[Кол-во]*(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94" s="307" t="n">
        <v>1</v>
      </c>
      <c r="V94" s="408" t="n"/>
      <c r="W94" s="322" t="n"/>
      <c r="X94" s="408" t="n"/>
      <c r="Y94" s="307" t="n"/>
      <c r="Z94" s="408" t="n"/>
      <c r="AA94" s="322" t="n"/>
      <c r="AB94" s="408" t="n"/>
      <c r="AC94" s="307" t="n"/>
      <c r="AD94" s="408" t="n"/>
      <c r="AE94" s="322" t="n"/>
      <c r="AF94" s="408">
        <f>SUMPRODUCT((Комплекты[Пр]=$F94)*(Комплекты[Обозначение]=$G94)*Комплекты[Кол-во]*(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94" s="307">
        <f>SUMPRODUCT((Комплекты[Пр]=$F94)*(Комплекты[Обозначение]=$G94)*Комплекты[Кол-во]*(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/>
      </c>
      <c r="AH94" s="408" t="n"/>
      <c r="AI94" s="322" t="n"/>
      <c r="AJ94" s="408" t="n"/>
      <c r="AK94" s="307" t="n"/>
      <c r="AL94" s="408" t="n"/>
      <c r="AM94" s="322" t="n"/>
      <c r="AN94" s="408" t="n"/>
      <c r="AO94" s="307" t="n"/>
      <c r="AP94" s="408" t="n"/>
      <c r="AQ94" s="322" t="n"/>
      <c r="AR94" s="408" t="n"/>
      <c r="AS94" s="307" t="n"/>
      <c r="AT94" s="408" t="n"/>
      <c r="AU94" s="322" t="n"/>
      <c r="AV94" s="408" t="n"/>
      <c r="AW94" s="307" t="n"/>
      <c r="AX94" s="408" t="n"/>
      <c r="AY94" s="322" t="n"/>
      <c r="AZ94" s="408" t="n"/>
      <c r="BA94" s="307" t="n"/>
      <c r="BB94" s="408" t="n"/>
      <c r="BC94" s="322" t="n"/>
      <c r="BD94" s="408" t="n"/>
      <c r="BE94" s="307" t="n"/>
      <c r="BF94" s="408" t="n"/>
      <c r="BG94" s="322" t="n"/>
      <c r="BH94" s="408" t="n"/>
      <c r="BI94" s="307" t="n"/>
      <c r="BJ94" s="408" t="n"/>
      <c r="BK94" s="340" t="n"/>
      <c r="BL94" s="820">
        <f>SUMPRODUCT(--(MOD(COLUMN($O94:$AL94),4)=MOD(COLUMN($O94)+0,4)),$O94:$AL94)
+SUMPRODUCT(--(MOD(COLUMN($AM94:$BJ94),4)=MOD(COLUMN($AM94)+0,4)),$AM94:$BJ94)</f>
        <v/>
      </c>
      <c r="BM94" s="820">
        <f>SUMPRODUCT(--(MOD(COLUMN($O94:$AL94),4)=MOD(COLUMN($O94)+0,4)),$O94:$AL94)*
$I94+SUMPRODUCT(--(MOD(COLUMN($AM94:$BJ94),4)=MOD(COLUMN($AM94)+0,4)),$AM94:$BJ94)*$I94</f>
        <v/>
      </c>
      <c r="BN94" s="822">
        <f>SUMPRODUCT(--(MOD(COLUMN($O94:$AL94),4)=MOD(COLUMN($O94)+1,4)),$O94:$AL94)
+SUMPRODUCT(--(MOD(COLUMN($AM94:$BJ94),4)=MOD(COLUMN($AM94)+1,4)),$AM94:$BJ94)</f>
        <v/>
      </c>
      <c r="BO94" s="823">
        <f>SUMPRODUCT(--(MOD(COLUMN($O94:$AL94),4)=MOD(COLUMN($O94)+1,4)),$O94:$AL94)*
$I94+SUMPRODUCT(--(MOD(COLUMN($AM94:$BJ94),4)=MOD(COLUMN($AM94)+1,4)),$AM94:$BJ94)*$I94</f>
        <v/>
      </c>
      <c r="BP94" s="824">
        <f>SUMPRODUCT(--(MOD(COLUMN($O94:$AL94),4)=MOD(COLUMN($O94)+2,4)),$O94:$AL94)
+SUMPRODUCT(--(MOD(COLUMN($AM94:$BJ94),4)=MOD(COLUMN($AM94)+2,4)),$AM94:$BJ94)</f>
        <v/>
      </c>
      <c r="BQ94" s="825">
        <f>SUMPRODUCT(--(MOD(COLUMN($O94:$AL94),4)=MOD(COLUMN($O94)+2,4)),$O94:$AL94)*
$I94+SUMPRODUCT(--(MOD(COLUMN($AM94:$BJ94),4)=MOD(COLUMN($AM94)+2,4)),$AM94:$BJ94)*$I94</f>
        <v/>
      </c>
      <c r="BR94" s="819" t="n"/>
      <c r="BS94" s="819" t="n"/>
      <c r="BT94" s="322" t="n"/>
      <c r="BU94" s="408" t="n"/>
      <c r="BV94" s="307" t="n"/>
      <c r="BW94" s="408" t="n"/>
      <c r="BX94" s="322" t="n"/>
      <c r="BY94" s="408" t="n"/>
      <c r="BZ94" s="307" t="n"/>
      <c r="CA94" s="408" t="n"/>
      <c r="CB94" s="322" t="n"/>
      <c r="CC94" s="408" t="n"/>
      <c r="CD94" s="307" t="n"/>
      <c r="CE94" s="408" t="n"/>
      <c r="CF94" s="322" t="n"/>
      <c r="CG94" s="408" t="n"/>
      <c r="CH94" s="307" t="n"/>
      <c r="CI94" s="408" t="n"/>
      <c r="CJ94" s="322" t="n"/>
      <c r="CK94" s="408" t="n"/>
      <c r="CL94" s="307" t="n"/>
      <c r="CM94" s="408" t="n"/>
      <c r="CN94" s="322" t="n"/>
      <c r="CO94" s="408" t="n"/>
      <c r="CP94" s="307" t="n"/>
      <c r="CQ94" s="408" t="n"/>
      <c r="CR94" s="322" t="n"/>
      <c r="CS94" s="408" t="n"/>
      <c r="CT94" s="307" t="n"/>
      <c r="CU94" s="408" t="n"/>
      <c r="CV94" s="322" t="n"/>
      <c r="CW94" s="408" t="n"/>
      <c r="CX94" s="307" t="n"/>
      <c r="CY94" s="408" t="n"/>
      <c r="CZ94" s="322" t="n"/>
      <c r="DA94" s="408" t="n"/>
      <c r="DB94" s="307" t="n"/>
      <c r="DC94" s="408" t="n"/>
      <c r="DD94" s="322" t="n"/>
      <c r="DE94" s="408" t="n"/>
      <c r="DF94" s="307" t="n"/>
      <c r="DG94" s="408" t="n"/>
      <c r="DH94" s="322" t="n"/>
      <c r="DI94" s="408" t="n"/>
      <c r="DJ94" s="307" t="n"/>
      <c r="DK94" s="408" t="n"/>
      <c r="DL94" s="322" t="n"/>
      <c r="DM94" s="408" t="n"/>
      <c r="DN94" s="307" t="n"/>
      <c r="DO94" s="408" t="n"/>
      <c r="DP94" s="340" t="n"/>
      <c r="DQ94" s="820">
        <f>SUMPRODUCT(--(MOD(COLUMN(BT94:CQ94),4)=MOD(COLUMN(BT94),4)),BT94:CQ94)+SUMPRODUCT(--(MOD(COLUMN(CR94:DO94),4)=MOD(COLUMN(CR94),4)),CR94:DO94)</f>
        <v/>
      </c>
      <c r="DR94" s="820">
        <f>SUMPRODUCT(--(MOD(COLUMN(BT94:CQ94),4)=MOD(COLUMN(BT94),4)),BT94:CQ94)*$I94+SUMPRODUCT(--(MOD(COLUMN(CR94:DO94),4)=MOD(COLUMN(CR94),4)),CR94:DO94)*$I94</f>
        <v/>
      </c>
      <c r="DS94" s="819" t="n"/>
      <c r="DT94" s="819" t="n"/>
      <c r="DU94" s="322" t="n"/>
      <c r="DV94" s="408" t="n"/>
      <c r="DW94" s="307" t="n"/>
      <c r="DX94" s="408" t="n"/>
      <c r="DY94" s="322" t="n"/>
      <c r="DZ94" s="408" t="n"/>
      <c r="EA94" s="307" t="n"/>
      <c r="EB94" s="408" t="n"/>
      <c r="EC94" s="322" t="n"/>
      <c r="ED94" s="408" t="n"/>
      <c r="EE94" s="307" t="n"/>
      <c r="EF94" s="408" t="n"/>
      <c r="EG94" s="322" t="n"/>
      <c r="EH94" s="408" t="n"/>
      <c r="EI94" s="307" t="n"/>
      <c r="EJ94" s="408" t="n"/>
      <c r="EK94" s="322" t="n"/>
      <c r="EL94" s="408" t="n"/>
      <c r="EM94" s="307" t="n"/>
      <c r="EN94" s="408" t="n"/>
      <c r="EO94" s="322" t="n"/>
      <c r="EP94" s="408" t="n"/>
      <c r="EQ94" s="307" t="n"/>
      <c r="ER94" s="408" t="n"/>
      <c r="ES94" s="322" t="n"/>
      <c r="ET94" s="408" t="n"/>
      <c r="EU94" s="307" t="n"/>
      <c r="EV94" s="408" t="n"/>
      <c r="EW94" s="322" t="n"/>
      <c r="EX94" s="408" t="n"/>
      <c r="EY94" s="307" t="n"/>
      <c r="EZ94" s="408" t="n"/>
      <c r="FA94" s="322" t="n"/>
      <c r="FB94" s="408" t="n"/>
      <c r="FC94" s="307" t="n"/>
      <c r="FD94" s="408" t="n"/>
      <c r="FE94" s="322" t="n"/>
      <c r="FF94" s="408" t="n"/>
      <c r="FG94" s="307" t="n"/>
      <c r="FH94" s="408" t="n"/>
      <c r="FI94" s="322" t="n"/>
      <c r="FJ94" s="408" t="n"/>
      <c r="FK94" s="307" t="n"/>
      <c r="FL94" s="408" t="n"/>
      <c r="FM94" s="322" t="n"/>
      <c r="FN94" s="408" t="n"/>
      <c r="FO94" s="307" t="n"/>
      <c r="FP94" s="408" t="n"/>
      <c r="FQ94" s="340" t="n"/>
      <c r="FR94" s="820">
        <f>SUMPRODUCT(--(MOD(COLUMN(DU94:ER94),4)=MOD(COLUMN(DU94),4)),DU94:ER94)+SUMPRODUCT(--(MOD(COLUMN(ES94:FP94),4)=MOD(COLUMN(ES94),4)),ES94:FP94)</f>
        <v/>
      </c>
      <c r="FS94" s="820">
        <f>SUMPRODUCT(--(MOD(COLUMN(DU94:ER94),4)=MOD(COLUMN(DU94),4)),DU94:ER94)*$I94+SUMPRODUCT(--(MOD(COLUMN(ES94:FP94),4)=MOD(COLUMN(ES94),4)),ES94:FP94)*$I94</f>
        <v/>
      </c>
      <c r="FT94" s="360" t="n"/>
    </row>
    <row r="95" outlineLevel="2" customFormat="1" s="14">
      <c r="A95" s="420" t="inlineStr">
        <is>
          <t>ПРИЦЕПНАЯ ТЕХНИКА ООО</t>
        </is>
      </c>
      <c r="B95" s="444" t="inlineStr">
        <is>
          <t>Договор не подписан</t>
        </is>
      </c>
      <c r="C95" s="587" t="inlineStr">
        <is>
          <t>ВБК РУС</t>
        </is>
      </c>
      <c r="D95" s="580" t="inlineStr">
        <is>
          <t>Прасолов, Соловьёв</t>
        </is>
      </c>
      <c r="E95" s="414">
        <f>IF(ISBLANK(G95),"",IF($A$6:$A$330=$A95,COUNTIF($A$6:A95,$A95),""))</f>
        <v/>
      </c>
      <c r="F95" s="670" t="n">
        <v>2</v>
      </c>
      <c r="G95" s="319" t="n">
        <v>8946000320</v>
      </c>
      <c r="H95" s="603" t="inlineStr">
        <is>
          <t>Кабель соединительный, 40 м</t>
        </is>
      </c>
      <c r="I95" s="619" t="n">
        <v>0</v>
      </c>
      <c r="J95" s="619" t="n"/>
      <c r="K95" s="876" t="n"/>
      <c r="L95" s="619" t="n"/>
      <c r="M95" s="871" t="n"/>
      <c r="N95" s="871">
        <f>IF(BP95&gt;0,1,IF(BN95&gt;0,2,))</f>
        <v/>
      </c>
      <c r="O95" s="322" t="n"/>
      <c r="P95" s="408" t="n"/>
      <c r="Q95" s="307" t="n"/>
      <c r="R95" s="408" t="n"/>
      <c r="S95" s="322" t="n"/>
      <c r="T95" s="408">
        <f>SUMPRODUCT((Комплекты[Пр]=$F95)*(Комплекты[Обозначение]=$G95)*Комплекты[Кол-во]*(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95" s="307" t="n">
        <v>1</v>
      </c>
      <c r="V95" s="408" t="n"/>
      <c r="W95" s="322" t="n"/>
      <c r="X95" s="408" t="n"/>
      <c r="Y95" s="307" t="n"/>
      <c r="Z95" s="408" t="n"/>
      <c r="AA95" s="322" t="n"/>
      <c r="AB95" s="408" t="n"/>
      <c r="AC95" s="307" t="n"/>
      <c r="AD95" s="408" t="n"/>
      <c r="AE95" s="322" t="n"/>
      <c r="AF95" s="408">
        <f>SUMPRODUCT((Комплекты[Пр]=$F95)*(Комплекты[Обозначение]=$G95)*Комплекты[Кол-во]*(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95" s="307">
        <f>SUMPRODUCT((Комплекты[Пр]=$F95)*(Комплекты[Обозначение]=$G95)*Комплекты[Кол-во]*(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/>
      </c>
      <c r="AH95" s="408" t="n"/>
      <c r="AI95" s="322" t="n"/>
      <c r="AJ95" s="408" t="n"/>
      <c r="AK95" s="307" t="n"/>
      <c r="AL95" s="408" t="n"/>
      <c r="AM95" s="322" t="n"/>
      <c r="AN95" s="408" t="n"/>
      <c r="AO95" s="307" t="n"/>
      <c r="AP95" s="408" t="n"/>
      <c r="AQ95" s="322" t="n"/>
      <c r="AR95" s="408" t="n"/>
      <c r="AS95" s="307" t="n"/>
      <c r="AT95" s="408" t="n"/>
      <c r="AU95" s="322" t="n"/>
      <c r="AV95" s="408" t="n"/>
      <c r="AW95" s="307" t="n"/>
      <c r="AX95" s="408" t="n"/>
      <c r="AY95" s="322" t="n"/>
      <c r="AZ95" s="408" t="n"/>
      <c r="BA95" s="307" t="n"/>
      <c r="BB95" s="408" t="n"/>
      <c r="BC95" s="322" t="n"/>
      <c r="BD95" s="408" t="n"/>
      <c r="BE95" s="307" t="n"/>
      <c r="BF95" s="408" t="n"/>
      <c r="BG95" s="322" t="n"/>
      <c r="BH95" s="408" t="n"/>
      <c r="BI95" s="307" t="n"/>
      <c r="BJ95" s="408" t="n"/>
      <c r="BK95" s="340" t="n"/>
      <c r="BL95" s="820">
        <f>SUMPRODUCT(--(MOD(COLUMN($O95:$AL95),4)=MOD(COLUMN($O95)+0,4)),$O95:$AL95)
+SUMPRODUCT(--(MOD(COLUMN($AM95:$BJ95),4)=MOD(COLUMN($AM95)+0,4)),$AM95:$BJ95)</f>
        <v/>
      </c>
      <c r="BM95" s="820">
        <f>SUMPRODUCT(--(MOD(COLUMN($O95:$AL95),4)=MOD(COLUMN($O95)+0,4)),$O95:$AL95)*
$I95+SUMPRODUCT(--(MOD(COLUMN($AM95:$BJ95),4)=MOD(COLUMN($AM95)+0,4)),$AM95:$BJ95)*$I95</f>
        <v/>
      </c>
      <c r="BN95" s="822">
        <f>SUMPRODUCT(--(MOD(COLUMN($O95:$AL95),4)=MOD(COLUMN($O95)+1,4)),$O95:$AL95)
+SUMPRODUCT(--(MOD(COLUMN($AM95:$BJ95),4)=MOD(COLUMN($AM95)+1,4)),$AM95:$BJ95)</f>
        <v/>
      </c>
      <c r="BO95" s="823">
        <f>SUMPRODUCT(--(MOD(COLUMN($O95:$AL95),4)=MOD(COLUMN($O95)+1,4)),$O95:$AL95)*
$I95+SUMPRODUCT(--(MOD(COLUMN($AM95:$BJ95),4)=MOD(COLUMN($AM95)+1,4)),$AM95:$BJ95)*$I95</f>
        <v/>
      </c>
      <c r="BP95" s="824">
        <f>SUMPRODUCT(--(MOD(COLUMN($O95:$AL95),4)=MOD(COLUMN($O95)+2,4)),$O95:$AL95)
+SUMPRODUCT(--(MOD(COLUMN($AM95:$BJ95),4)=MOD(COLUMN($AM95)+2,4)),$AM95:$BJ95)</f>
        <v/>
      </c>
      <c r="BQ95" s="825">
        <f>SUMPRODUCT(--(MOD(COLUMN($O95:$AL95),4)=MOD(COLUMN($O95)+2,4)),$O95:$AL95)*
$I95+SUMPRODUCT(--(MOD(COLUMN($AM95:$BJ95),4)=MOD(COLUMN($AM95)+2,4)),$AM95:$BJ95)*$I95</f>
        <v/>
      </c>
      <c r="BR95" s="819" t="n"/>
      <c r="BS95" s="819" t="n"/>
      <c r="BT95" s="322" t="n"/>
      <c r="BU95" s="408" t="n"/>
      <c r="BV95" s="307" t="n"/>
      <c r="BW95" s="408" t="n"/>
      <c r="BX95" s="322" t="n"/>
      <c r="BY95" s="408" t="n"/>
      <c r="BZ95" s="307" t="n"/>
      <c r="CA95" s="408" t="n"/>
      <c r="CB95" s="322" t="n"/>
      <c r="CC95" s="408" t="n"/>
      <c r="CD95" s="307" t="n"/>
      <c r="CE95" s="408" t="n"/>
      <c r="CF95" s="322" t="n"/>
      <c r="CG95" s="408" t="n"/>
      <c r="CH95" s="307" t="n"/>
      <c r="CI95" s="408" t="n"/>
      <c r="CJ95" s="322" t="n"/>
      <c r="CK95" s="408" t="n"/>
      <c r="CL95" s="307" t="n"/>
      <c r="CM95" s="408" t="n"/>
      <c r="CN95" s="322" t="n"/>
      <c r="CO95" s="408" t="n"/>
      <c r="CP95" s="307" t="n"/>
      <c r="CQ95" s="408" t="n"/>
      <c r="CR95" s="322" t="n"/>
      <c r="CS95" s="408" t="n"/>
      <c r="CT95" s="307" t="n"/>
      <c r="CU95" s="408" t="n"/>
      <c r="CV95" s="322" t="n"/>
      <c r="CW95" s="408" t="n"/>
      <c r="CX95" s="307" t="n"/>
      <c r="CY95" s="408" t="n"/>
      <c r="CZ95" s="322" t="n"/>
      <c r="DA95" s="408" t="n"/>
      <c r="DB95" s="307" t="n"/>
      <c r="DC95" s="408" t="n"/>
      <c r="DD95" s="322" t="n"/>
      <c r="DE95" s="408" t="n"/>
      <c r="DF95" s="307" t="n"/>
      <c r="DG95" s="408" t="n"/>
      <c r="DH95" s="322" t="n"/>
      <c r="DI95" s="408" t="n"/>
      <c r="DJ95" s="307" t="n"/>
      <c r="DK95" s="408" t="n"/>
      <c r="DL95" s="322" t="n"/>
      <c r="DM95" s="408" t="n"/>
      <c r="DN95" s="307" t="n"/>
      <c r="DO95" s="408" t="n"/>
      <c r="DP95" s="340" t="n"/>
      <c r="DQ95" s="820">
        <f>SUMPRODUCT(--(MOD(COLUMN(BT95:CQ95),4)=MOD(COLUMN(BT95),4)),BT95:CQ95)+SUMPRODUCT(--(MOD(COLUMN(CR95:DO95),4)=MOD(COLUMN(CR95),4)),CR95:DO95)</f>
        <v/>
      </c>
      <c r="DR95" s="820">
        <f>SUMPRODUCT(--(MOD(COLUMN(BT95:CQ95),4)=MOD(COLUMN(BT95),4)),BT95:CQ95)*$I95+SUMPRODUCT(--(MOD(COLUMN(CR95:DO95),4)=MOD(COLUMN(CR95),4)),CR95:DO95)*$I95</f>
        <v/>
      </c>
      <c r="DS95" s="819" t="n"/>
      <c r="DT95" s="819" t="n"/>
      <c r="DU95" s="322" t="n"/>
      <c r="DV95" s="408" t="n"/>
      <c r="DW95" s="307" t="n"/>
      <c r="DX95" s="408" t="n"/>
      <c r="DY95" s="322" t="n"/>
      <c r="DZ95" s="408" t="n"/>
      <c r="EA95" s="307" t="n"/>
      <c r="EB95" s="408" t="n"/>
      <c r="EC95" s="322" t="n"/>
      <c r="ED95" s="408" t="n"/>
      <c r="EE95" s="307" t="n"/>
      <c r="EF95" s="408" t="n"/>
      <c r="EG95" s="322" t="n"/>
      <c r="EH95" s="408" t="n"/>
      <c r="EI95" s="307" t="n"/>
      <c r="EJ95" s="408" t="n"/>
      <c r="EK95" s="322" t="n"/>
      <c r="EL95" s="408" t="n"/>
      <c r="EM95" s="307" t="n"/>
      <c r="EN95" s="408" t="n"/>
      <c r="EO95" s="322" t="n"/>
      <c r="EP95" s="408" t="n"/>
      <c r="EQ95" s="307" t="n"/>
      <c r="ER95" s="408" t="n"/>
      <c r="ES95" s="322" t="n"/>
      <c r="ET95" s="408" t="n"/>
      <c r="EU95" s="307" t="n"/>
      <c r="EV95" s="408" t="n"/>
      <c r="EW95" s="322" t="n"/>
      <c r="EX95" s="408" t="n"/>
      <c r="EY95" s="307" t="n"/>
      <c r="EZ95" s="408" t="n"/>
      <c r="FA95" s="322" t="n"/>
      <c r="FB95" s="408" t="n"/>
      <c r="FC95" s="307" t="n"/>
      <c r="FD95" s="408" t="n"/>
      <c r="FE95" s="322" t="n"/>
      <c r="FF95" s="408" t="n"/>
      <c r="FG95" s="307" t="n"/>
      <c r="FH95" s="408" t="n"/>
      <c r="FI95" s="322" t="n"/>
      <c r="FJ95" s="408" t="n"/>
      <c r="FK95" s="307" t="n"/>
      <c r="FL95" s="408" t="n"/>
      <c r="FM95" s="322" t="n"/>
      <c r="FN95" s="408" t="n"/>
      <c r="FO95" s="307" t="n"/>
      <c r="FP95" s="408" t="n"/>
      <c r="FQ95" s="340" t="n"/>
      <c r="FR95" s="820">
        <f>SUMPRODUCT(--(MOD(COLUMN(DU95:ER95),4)=MOD(COLUMN(DU95),4)),DU95:ER95)+SUMPRODUCT(--(MOD(COLUMN(ES95:FP95),4)=MOD(COLUMN(ES95),4)),ES95:FP95)</f>
        <v/>
      </c>
      <c r="FS95" s="820">
        <f>SUMPRODUCT(--(MOD(COLUMN(DU95:ER95),4)=MOD(COLUMN(DU95),4)),DU95:ER95)*$I95+SUMPRODUCT(--(MOD(COLUMN(ES95:FP95),4)=MOD(COLUMN(ES95),4)),ES95:FP95)*$I95</f>
        <v/>
      </c>
      <c r="FT95" s="360" t="n"/>
    </row>
    <row r="96" outlineLevel="2" customFormat="1" s="14">
      <c r="A96" s="421" t="inlineStr">
        <is>
          <t>ПРИЦЕПНАЯ ТЕХНИКА ООО</t>
        </is>
      </c>
      <c r="B96" s="389" t="inlineStr">
        <is>
          <t>Договор не подписан</t>
        </is>
      </c>
      <c r="C96" s="432" t="inlineStr">
        <is>
          <t>ВБК РУС</t>
        </is>
      </c>
      <c r="D96" s="575" t="inlineStr">
        <is>
          <t>Прасолов, Соловьёв</t>
        </is>
      </c>
      <c r="E96" s="284">
        <f>IF(ISBLANK(G96),"",IF($A$6:$A$330=$A96,COUNTIF($A$6:A96,$A96),""))</f>
        <v/>
      </c>
      <c r="F96" s="670" t="n">
        <v>2</v>
      </c>
      <c r="G96" s="319" t="n">
        <v>4462907000</v>
      </c>
      <c r="H96" s="603" t="inlineStr">
        <is>
          <t>Блок OptiLink</t>
        </is>
      </c>
      <c r="I96" s="619" t="n">
        <v>0</v>
      </c>
      <c r="J96" s="619" t="n"/>
      <c r="K96" s="876" t="n"/>
      <c r="L96" s="619" t="n"/>
      <c r="M96" s="871" t="n"/>
      <c r="N96" s="871">
        <f>IF(BP96&gt;0,1,IF(BN96&gt;0,2,))</f>
        <v/>
      </c>
      <c r="O96" s="322" t="n"/>
      <c r="P96" s="408" t="n"/>
      <c r="Q96" s="307" t="n"/>
      <c r="R96" s="408" t="n"/>
      <c r="S96" s="322" t="n"/>
      <c r="T96" s="408">
        <f>SUMPRODUCT((Комплекты[Пр]=$F96)*(Комплекты[Обозначение]=$G96)*Комплекты[Кол-во]*(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96" s="307">
        <f>SUMPRODUCT((Комплекты[Пр]=$F96)*(Комплекты[Обозначение]=$G96)*Комплекты[Кол-во]*(
((Комплекты[Комплект]=$G$81)*U$81)+
((Комплекты[Комплект]=$G$80)*U$80)+
((Комплекты[Комплект]=$G$78)*U$78)+
((Комплекты[Комплект]=$G$77)*U$77)))</f>
        <v/>
      </c>
      <c r="V96" s="408" t="n"/>
      <c r="W96" s="322" t="n"/>
      <c r="X96" s="408" t="n"/>
      <c r="Y96" s="307" t="n"/>
      <c r="Z96" s="408" t="n"/>
      <c r="AA96" s="322" t="n"/>
      <c r="AB96" s="408" t="n"/>
      <c r="AC96" s="307" t="n"/>
      <c r="AD96" s="408" t="n"/>
      <c r="AE96" s="322" t="n"/>
      <c r="AF96" s="408">
        <f>SUMPRODUCT((Комплекты[Пр]=$F96)*(Комплекты[Обозначение]=$G96)*Комплекты[Кол-во]*(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96" s="307">
        <f>SUMPRODUCT((Комплекты[Пр]=$F96)*(Комплекты[Обозначение]=$G96)*Комплекты[Кол-во]*(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/>
      </c>
      <c r="AH96" s="408" t="n"/>
      <c r="AI96" s="322" t="n"/>
      <c r="AJ96" s="408" t="n"/>
      <c r="AK96" s="307" t="n"/>
      <c r="AL96" s="408" t="n"/>
      <c r="AM96" s="322" t="n"/>
      <c r="AN96" s="408" t="n"/>
      <c r="AO96" s="307" t="n"/>
      <c r="AP96" s="408" t="n"/>
      <c r="AQ96" s="322" t="n"/>
      <c r="AR96" s="408" t="n"/>
      <c r="AS96" s="307" t="n"/>
      <c r="AT96" s="408" t="n"/>
      <c r="AU96" s="322" t="n"/>
      <c r="AV96" s="408" t="n"/>
      <c r="AW96" s="307" t="n"/>
      <c r="AX96" s="408" t="n"/>
      <c r="AY96" s="322" t="n"/>
      <c r="AZ96" s="408" t="n"/>
      <c r="BA96" s="307" t="n"/>
      <c r="BB96" s="408" t="n"/>
      <c r="BC96" s="322" t="n"/>
      <c r="BD96" s="408" t="n"/>
      <c r="BE96" s="307" t="n"/>
      <c r="BF96" s="408" t="n"/>
      <c r="BG96" s="322" t="n"/>
      <c r="BH96" s="408" t="n"/>
      <c r="BI96" s="307" t="n"/>
      <c r="BJ96" s="408" t="n"/>
      <c r="BK96" s="340" t="n"/>
      <c r="BL96" s="820">
        <f>SUMPRODUCT(--(MOD(COLUMN($O96:$AL96),4)=MOD(COLUMN($O96)+0,4)),$O96:$AL96)
+SUMPRODUCT(--(MOD(COLUMN($AM96:$BJ96),4)=MOD(COLUMN($AM96)+0,4)),$AM96:$BJ96)</f>
        <v/>
      </c>
      <c r="BM96" s="820">
        <f>SUMPRODUCT(--(MOD(COLUMN($O96:$AL96),4)=MOD(COLUMN($O96)+0,4)),$O96:$AL96)*
$I96+SUMPRODUCT(--(MOD(COLUMN($AM96:$BJ96),4)=MOD(COLUMN($AM96)+0,4)),$AM96:$BJ96)*$I96</f>
        <v/>
      </c>
      <c r="BN96" s="822">
        <f>SUMPRODUCT(--(MOD(COLUMN($O96:$AL96),4)=MOD(COLUMN($O96)+1,4)),$O96:$AL96)
+SUMPRODUCT(--(MOD(COLUMN($AM96:$BJ96),4)=MOD(COLUMN($AM96)+1,4)),$AM96:$BJ96)</f>
        <v/>
      </c>
      <c r="BO96" s="823">
        <f>SUMPRODUCT(--(MOD(COLUMN($O96:$AL96),4)=MOD(COLUMN($O96)+1,4)),$O96:$AL96)*
$I96+SUMPRODUCT(--(MOD(COLUMN($AM96:$BJ96),4)=MOD(COLUMN($AM96)+1,4)),$AM96:$BJ96)*$I96</f>
        <v/>
      </c>
      <c r="BP96" s="824">
        <f>SUMPRODUCT(--(MOD(COLUMN($O96:$AL96),4)=MOD(COLUMN($O96)+2,4)),$O96:$AL96)
+SUMPRODUCT(--(MOD(COLUMN($AM96:$BJ96),4)=MOD(COLUMN($AM96)+2,4)),$AM96:$BJ96)</f>
        <v/>
      </c>
      <c r="BQ96" s="825">
        <f>SUMPRODUCT(--(MOD(COLUMN($O96:$AL96),4)=MOD(COLUMN($O96)+2,4)),$O96:$AL96)*
$I96+SUMPRODUCT(--(MOD(COLUMN($AM96:$BJ96),4)=MOD(COLUMN($AM96)+2,4)),$AM96:$BJ96)*$I96</f>
        <v/>
      </c>
      <c r="BR96" s="819" t="n"/>
      <c r="BS96" s="819" t="n"/>
      <c r="BT96" s="322" t="n"/>
      <c r="BU96" s="408" t="n"/>
      <c r="BV96" s="307" t="n"/>
      <c r="BW96" s="408" t="n"/>
      <c r="BX96" s="322" t="n"/>
      <c r="BY96" s="408" t="n"/>
      <c r="BZ96" s="307" t="n"/>
      <c r="CA96" s="408" t="n"/>
      <c r="CB96" s="322" t="n"/>
      <c r="CC96" s="408" t="n"/>
      <c r="CD96" s="307" t="n"/>
      <c r="CE96" s="408" t="n"/>
      <c r="CF96" s="322" t="n"/>
      <c r="CG96" s="408" t="n"/>
      <c r="CH96" s="307" t="n"/>
      <c r="CI96" s="408" t="n"/>
      <c r="CJ96" s="322" t="n"/>
      <c r="CK96" s="408" t="n"/>
      <c r="CL96" s="307" t="n"/>
      <c r="CM96" s="408" t="n"/>
      <c r="CN96" s="322" t="n"/>
      <c r="CO96" s="408" t="n"/>
      <c r="CP96" s="307" t="n"/>
      <c r="CQ96" s="408" t="n"/>
      <c r="CR96" s="322" t="n"/>
      <c r="CS96" s="408" t="n"/>
      <c r="CT96" s="307" t="n"/>
      <c r="CU96" s="408" t="n"/>
      <c r="CV96" s="322" t="n"/>
      <c r="CW96" s="408" t="n"/>
      <c r="CX96" s="307" t="n"/>
      <c r="CY96" s="408" t="n"/>
      <c r="CZ96" s="322" t="n"/>
      <c r="DA96" s="408" t="n"/>
      <c r="DB96" s="307" t="n"/>
      <c r="DC96" s="408" t="n"/>
      <c r="DD96" s="322" t="n"/>
      <c r="DE96" s="408" t="n"/>
      <c r="DF96" s="307" t="n"/>
      <c r="DG96" s="408" t="n"/>
      <c r="DH96" s="322" t="n"/>
      <c r="DI96" s="408" t="n"/>
      <c r="DJ96" s="307" t="n"/>
      <c r="DK96" s="408" t="n"/>
      <c r="DL96" s="322" t="n"/>
      <c r="DM96" s="408" t="n"/>
      <c r="DN96" s="307" t="n"/>
      <c r="DO96" s="408" t="n"/>
      <c r="DP96" s="340" t="n"/>
      <c r="DQ96" s="820" t="n"/>
      <c r="DR96" s="820" t="n"/>
      <c r="DS96" s="819" t="n"/>
      <c r="DT96" s="819" t="n"/>
      <c r="DU96" s="322" t="n"/>
      <c r="DV96" s="408" t="n"/>
      <c r="DW96" s="307" t="n"/>
      <c r="DX96" s="408" t="n"/>
      <c r="DY96" s="322" t="n"/>
      <c r="DZ96" s="408" t="n"/>
      <c r="EA96" s="307" t="n"/>
      <c r="EB96" s="408" t="n"/>
      <c r="EC96" s="322" t="n"/>
      <c r="ED96" s="408" t="n"/>
      <c r="EE96" s="307" t="n"/>
      <c r="EF96" s="408" t="n"/>
      <c r="EG96" s="322" t="n"/>
      <c r="EH96" s="408" t="n"/>
      <c r="EI96" s="307" t="n"/>
      <c r="EJ96" s="408" t="n"/>
      <c r="EK96" s="322" t="n"/>
      <c r="EL96" s="408" t="n"/>
      <c r="EM96" s="307" t="n"/>
      <c r="EN96" s="408" t="n"/>
      <c r="EO96" s="322" t="n"/>
      <c r="EP96" s="408" t="n"/>
      <c r="EQ96" s="307" t="n"/>
      <c r="ER96" s="408" t="n"/>
      <c r="ES96" s="322" t="n"/>
      <c r="ET96" s="408" t="n"/>
      <c r="EU96" s="307" t="n"/>
      <c r="EV96" s="408" t="n"/>
      <c r="EW96" s="322" t="n"/>
      <c r="EX96" s="408" t="n"/>
      <c r="EY96" s="307" t="n"/>
      <c r="EZ96" s="408" t="n"/>
      <c r="FA96" s="322" t="n"/>
      <c r="FB96" s="408" t="n"/>
      <c r="FC96" s="307" t="n"/>
      <c r="FD96" s="408" t="n"/>
      <c r="FE96" s="322" t="n"/>
      <c r="FF96" s="408" t="n"/>
      <c r="FG96" s="307" t="n"/>
      <c r="FH96" s="408" t="n"/>
      <c r="FI96" s="322" t="n"/>
      <c r="FJ96" s="408" t="n"/>
      <c r="FK96" s="307" t="n"/>
      <c r="FL96" s="408" t="n"/>
      <c r="FM96" s="322" t="n"/>
      <c r="FN96" s="408" t="n"/>
      <c r="FO96" s="307" t="n"/>
      <c r="FP96" s="408" t="n"/>
      <c r="FQ96" s="340" t="n"/>
      <c r="FR96" s="820" t="n"/>
      <c r="FS96" s="820" t="n"/>
      <c r="FT96" s="360" t="n"/>
    </row>
    <row r="97" outlineLevel="2" customFormat="1" s="14">
      <c r="A97" s="421" t="inlineStr">
        <is>
          <t>ПРИЦЕПНАЯ ТЕХНИКА ООО</t>
        </is>
      </c>
      <c r="B97" s="389" t="inlineStr">
        <is>
          <t>Договор не подписан</t>
        </is>
      </c>
      <c r="C97" s="432" t="inlineStr">
        <is>
          <t>ВБК РУС</t>
        </is>
      </c>
      <c r="D97" s="575" t="inlineStr">
        <is>
          <t>Прасолов, Соловьёв</t>
        </is>
      </c>
      <c r="E97" s="284">
        <f>IF(ISBLANK(G97),"",IF($A$6:$A$330=$A97,COUNTIF($A$6:A97,$A97),""))</f>
        <v/>
      </c>
      <c r="F97" s="670" t="n">
        <v>2</v>
      </c>
      <c r="G97" s="319" t="n">
        <v>4499271200</v>
      </c>
      <c r="H97" s="603" t="inlineStr">
        <is>
          <t>Кабель OptiLink/OptiTire (12 м)</t>
        </is>
      </c>
      <c r="I97" s="619" t="n">
        <v>0</v>
      </c>
      <c r="J97" s="619" t="n"/>
      <c r="K97" s="876" t="n"/>
      <c r="L97" s="619" t="n"/>
      <c r="M97" s="871" t="n"/>
      <c r="N97" s="871">
        <f>IF(BP97&gt;0,1,IF(BN97&gt;0,2,))</f>
        <v/>
      </c>
      <c r="O97" s="322" t="n"/>
      <c r="P97" s="408" t="n"/>
      <c r="Q97" s="307" t="n"/>
      <c r="R97" s="408" t="n"/>
      <c r="S97" s="322" t="n"/>
      <c r="T97" s="408">
        <f>SUMPRODUCT((Комплекты[Пр]=$F97)*(Комплекты[Обозначение]=$G97)*Комплекты[Кол-во]*(
((Комплекты[Комплект]=$G$81)*T$81)+
((Комплекты[Комплект]=$G$80)*T$80)+
((Комплекты[Комплект]=$G$78)*T$78)+
((Комплекты[Комплект]=$G$77)*T$77)))</f>
        <v/>
      </c>
      <c r="U97" s="307">
        <f>SUMPRODUCT((Комплекты[Пр]=$F97)*(Комплекты[Обозначение]=$G97)*Комплекты[Кол-во]*(
((Комплекты[Комплект]=$G$81)*U$81)+
((Комплекты[Комплект]=$G$80)*U$80)+
((Комплекты[Комплект]=$G$78)*U$78)+
((Комплекты[Комплект]=$G$77)*U$77)))</f>
        <v/>
      </c>
      <c r="V97" s="408" t="n"/>
      <c r="W97" s="322" t="n"/>
      <c r="X97" s="408" t="n"/>
      <c r="Y97" s="307" t="n"/>
      <c r="Z97" s="408" t="n"/>
      <c r="AA97" s="322" t="n"/>
      <c r="AB97" s="408" t="n"/>
      <c r="AC97" s="307" t="n"/>
      <c r="AD97" s="408" t="n"/>
      <c r="AE97" s="322" t="n"/>
      <c r="AF97" s="408">
        <f>SUMPRODUCT((Комплекты[Пр]=$F97)*(Комплекты[Обозначение]=$G97)*Комплекты[Кол-во]*(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/>
      </c>
      <c r="AG97" s="307">
        <f>SUMPRODUCT((Комплекты[Пр]=$F97)*(Комплекты[Обозначение]=$G97)*Комплекты[Кол-во]*(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/>
      </c>
      <c r="AH97" s="408" t="n"/>
      <c r="AI97" s="322" t="n"/>
      <c r="AJ97" s="408" t="n"/>
      <c r="AK97" s="307" t="n"/>
      <c r="AL97" s="408" t="n"/>
      <c r="AM97" s="322" t="n"/>
      <c r="AN97" s="408" t="n"/>
      <c r="AO97" s="307" t="n"/>
      <c r="AP97" s="408" t="n"/>
      <c r="AQ97" s="322" t="n"/>
      <c r="AR97" s="408" t="n"/>
      <c r="AS97" s="307" t="n"/>
      <c r="AT97" s="408" t="n"/>
      <c r="AU97" s="322" t="n"/>
      <c r="AV97" s="408" t="n"/>
      <c r="AW97" s="307" t="n"/>
      <c r="AX97" s="408" t="n"/>
      <c r="AY97" s="322" t="n"/>
      <c r="AZ97" s="408" t="n"/>
      <c r="BA97" s="307" t="n"/>
      <c r="BB97" s="408" t="n"/>
      <c r="BC97" s="322" t="n"/>
      <c r="BD97" s="408" t="n"/>
      <c r="BE97" s="307" t="n"/>
      <c r="BF97" s="408" t="n"/>
      <c r="BG97" s="322" t="n"/>
      <c r="BH97" s="408" t="n"/>
      <c r="BI97" s="307" t="n"/>
      <c r="BJ97" s="408" t="n"/>
      <c r="BK97" s="340" t="n"/>
      <c r="BL97" s="820">
        <f>SUMPRODUCT(--(MOD(COLUMN($O97:$AL97),4)=MOD(COLUMN($O97)+0,4)),$O97:$AL97)
+SUMPRODUCT(--(MOD(COLUMN($AM97:$BJ97),4)=MOD(COLUMN($AM97)+0,4)),$AM97:$BJ97)</f>
        <v/>
      </c>
      <c r="BM97" s="820">
        <f>SUMPRODUCT(--(MOD(COLUMN($O97:$AL97),4)=MOD(COLUMN($O97)+0,4)),$O97:$AL97)*
$I97+SUMPRODUCT(--(MOD(COLUMN($AM97:$BJ97),4)=MOD(COLUMN($AM97)+0,4)),$AM97:$BJ97)*$I97</f>
        <v/>
      </c>
      <c r="BN97" s="822">
        <f>SUMPRODUCT(--(MOD(COLUMN($O97:$AL97),4)=MOD(COLUMN($O97)+1,4)),$O97:$AL97)
+SUMPRODUCT(--(MOD(COLUMN($AM97:$BJ97),4)=MOD(COLUMN($AM97)+1,4)),$AM97:$BJ97)</f>
        <v/>
      </c>
      <c r="BO97" s="823">
        <f>SUMPRODUCT(--(MOD(COLUMN($O97:$AL97),4)=MOD(COLUMN($O97)+1,4)),$O97:$AL97)*
$I97+SUMPRODUCT(--(MOD(COLUMN($AM97:$BJ97),4)=MOD(COLUMN($AM97)+1,4)),$AM97:$BJ97)*$I97</f>
        <v/>
      </c>
      <c r="BP97" s="824">
        <f>SUMPRODUCT(--(MOD(COLUMN($O97:$AL97),4)=MOD(COLUMN($O97)+2,4)),$O97:$AL97)
+SUMPRODUCT(--(MOD(COLUMN($AM97:$BJ97),4)=MOD(COLUMN($AM97)+2,4)),$AM97:$BJ97)</f>
        <v/>
      </c>
      <c r="BQ97" s="825">
        <f>SUMPRODUCT(--(MOD(COLUMN($O97:$AL97),4)=MOD(COLUMN($O97)+2,4)),$O97:$AL97)*
$I97+SUMPRODUCT(--(MOD(COLUMN($AM97:$BJ97),4)=MOD(COLUMN($AM97)+2,4)),$AM97:$BJ97)*$I97</f>
        <v/>
      </c>
      <c r="BR97" s="819" t="n"/>
      <c r="BS97" s="819" t="n"/>
      <c r="BT97" s="322" t="n"/>
      <c r="BU97" s="408" t="n"/>
      <c r="BV97" s="307" t="n"/>
      <c r="BW97" s="408" t="n"/>
      <c r="BX97" s="322" t="n"/>
      <c r="BY97" s="408" t="n"/>
      <c r="BZ97" s="307" t="n"/>
      <c r="CA97" s="408" t="n"/>
      <c r="CB97" s="322" t="n"/>
      <c r="CC97" s="408" t="n"/>
      <c r="CD97" s="307" t="n"/>
      <c r="CE97" s="408" t="n"/>
      <c r="CF97" s="322" t="n"/>
      <c r="CG97" s="408" t="n"/>
      <c r="CH97" s="307" t="n"/>
      <c r="CI97" s="408" t="n"/>
      <c r="CJ97" s="322" t="n"/>
      <c r="CK97" s="408" t="n"/>
      <c r="CL97" s="307" t="n"/>
      <c r="CM97" s="408" t="n"/>
      <c r="CN97" s="322" t="n"/>
      <c r="CO97" s="408" t="n"/>
      <c r="CP97" s="307" t="n"/>
      <c r="CQ97" s="408" t="n"/>
      <c r="CR97" s="322" t="n"/>
      <c r="CS97" s="408" t="n"/>
      <c r="CT97" s="307" t="n"/>
      <c r="CU97" s="408" t="n"/>
      <c r="CV97" s="322" t="n"/>
      <c r="CW97" s="408" t="n"/>
      <c r="CX97" s="307" t="n"/>
      <c r="CY97" s="408" t="n"/>
      <c r="CZ97" s="322" t="n"/>
      <c r="DA97" s="408" t="n"/>
      <c r="DB97" s="307" t="n"/>
      <c r="DC97" s="408" t="n"/>
      <c r="DD97" s="322" t="n"/>
      <c r="DE97" s="408" t="n"/>
      <c r="DF97" s="307" t="n"/>
      <c r="DG97" s="408" t="n"/>
      <c r="DH97" s="322" t="n"/>
      <c r="DI97" s="408" t="n"/>
      <c r="DJ97" s="307" t="n"/>
      <c r="DK97" s="408" t="n"/>
      <c r="DL97" s="322" t="n"/>
      <c r="DM97" s="408" t="n"/>
      <c r="DN97" s="307" t="n"/>
      <c r="DO97" s="408" t="n"/>
      <c r="DP97" s="340" t="n"/>
      <c r="DQ97" s="820" t="n"/>
      <c r="DR97" s="820" t="n"/>
      <c r="DS97" s="819" t="n"/>
      <c r="DT97" s="819" t="n"/>
      <c r="DU97" s="322" t="n"/>
      <c r="DV97" s="408" t="n"/>
      <c r="DW97" s="307" t="n"/>
      <c r="DX97" s="408" t="n"/>
      <c r="DY97" s="322" t="n"/>
      <c r="DZ97" s="408" t="n"/>
      <c r="EA97" s="307" t="n"/>
      <c r="EB97" s="408" t="n"/>
      <c r="EC97" s="322" t="n"/>
      <c r="ED97" s="408" t="n"/>
      <c r="EE97" s="307" t="n"/>
      <c r="EF97" s="408" t="n"/>
      <c r="EG97" s="322" t="n"/>
      <c r="EH97" s="408" t="n"/>
      <c r="EI97" s="307" t="n"/>
      <c r="EJ97" s="408" t="n"/>
      <c r="EK97" s="322" t="n"/>
      <c r="EL97" s="408" t="n"/>
      <c r="EM97" s="307" t="n"/>
      <c r="EN97" s="408" t="n"/>
      <c r="EO97" s="322" t="n"/>
      <c r="EP97" s="408" t="n"/>
      <c r="EQ97" s="307" t="n"/>
      <c r="ER97" s="408" t="n"/>
      <c r="ES97" s="322" t="n"/>
      <c r="ET97" s="408" t="n"/>
      <c r="EU97" s="307" t="n"/>
      <c r="EV97" s="408" t="n"/>
      <c r="EW97" s="322" t="n"/>
      <c r="EX97" s="408" t="n"/>
      <c r="EY97" s="307" t="n"/>
      <c r="EZ97" s="408" t="n"/>
      <c r="FA97" s="322" t="n"/>
      <c r="FB97" s="408" t="n"/>
      <c r="FC97" s="307" t="n"/>
      <c r="FD97" s="408" t="n"/>
      <c r="FE97" s="322" t="n"/>
      <c r="FF97" s="408" t="n"/>
      <c r="FG97" s="307" t="n"/>
      <c r="FH97" s="408" t="n"/>
      <c r="FI97" s="322" t="n"/>
      <c r="FJ97" s="408" t="n"/>
      <c r="FK97" s="307" t="n"/>
      <c r="FL97" s="408" t="n"/>
      <c r="FM97" s="322" t="n"/>
      <c r="FN97" s="408" t="n"/>
      <c r="FO97" s="307" t="n"/>
      <c r="FP97" s="408" t="n"/>
      <c r="FQ97" s="340" t="n"/>
      <c r="FR97" s="820" t="n"/>
      <c r="FS97" s="820" t="n"/>
      <c r="FT97" s="360" t="n"/>
    </row>
    <row r="98" outlineLevel="2" customFormat="1" s="14">
      <c r="A98" s="418" t="inlineStr">
        <is>
          <t>ПРИЦЕПНАЯ ТЕХНИКА ООО</t>
        </is>
      </c>
      <c r="B98" s="387" t="n"/>
      <c r="C98" s="541" t="n"/>
      <c r="D98" s="565" t="n"/>
      <c r="E98" s="13">
        <f>IF(ISBLANK(G98),"",IF($A$6:$A$330=$A98,COUNTIF($A$6:A98,$A98),""))</f>
        <v/>
      </c>
      <c r="F98" s="13" t="n"/>
      <c r="G98" s="111" t="n"/>
      <c r="H98" s="607" t="inlineStr">
        <is>
          <t>Итого</t>
        </is>
      </c>
      <c r="I98" s="617" t="n"/>
      <c r="J98" s="617" t="n"/>
      <c r="K98" s="872" t="n"/>
      <c r="L98" s="617">
        <f>IF(K98="RUB",J98/ЮАНЬ,IF(K98="EUR",J98*ЕВРО/ЮАНЬ,""))</f>
        <v/>
      </c>
      <c r="M98" s="873" t="n"/>
      <c r="N98" s="871">
        <f>IF(BP98&gt;0,1,IF(BN98&gt;0,2,))</f>
        <v/>
      </c>
      <c r="O98" s="40" t="n"/>
      <c r="P98" s="41" t="n"/>
      <c r="Q98" s="42" t="n"/>
      <c r="R98" s="41" t="n"/>
      <c r="S98" s="40" t="n"/>
      <c r="T98" s="41" t="n"/>
      <c r="U98" s="42" t="n"/>
      <c r="V98" s="41" t="n"/>
      <c r="W98" s="40" t="n"/>
      <c r="X98" s="41" t="n"/>
      <c r="Y98" s="42" t="n"/>
      <c r="Z98" s="41" t="n"/>
      <c r="AA98" s="40" t="n"/>
      <c r="AB98" s="41" t="n"/>
      <c r="AC98" s="42" t="n"/>
      <c r="AD98" s="41" t="n"/>
      <c r="AE98" s="40" t="n"/>
      <c r="AF98" s="41" t="n"/>
      <c r="AG98" s="42" t="n"/>
      <c r="AH98" s="41" t="n"/>
      <c r="AI98" s="40" t="n"/>
      <c r="AJ98" s="41" t="n"/>
      <c r="AK98" s="42" t="n"/>
      <c r="AL98" s="41" t="n"/>
      <c r="AM98" s="40" t="n"/>
      <c r="AN98" s="41" t="n"/>
      <c r="AO98" s="42" t="n"/>
      <c r="AP98" s="41" t="n"/>
      <c r="AQ98" s="40" t="n"/>
      <c r="AR98" s="41" t="n"/>
      <c r="AS98" s="42" t="n"/>
      <c r="AT98" s="41" t="n"/>
      <c r="AU98" s="40" t="n"/>
      <c r="AV98" s="41" t="n"/>
      <c r="AW98" s="42" t="n"/>
      <c r="AX98" s="41" t="n"/>
      <c r="AY98" s="40" t="n"/>
      <c r="AZ98" s="41" t="n"/>
      <c r="BA98" s="42" t="n"/>
      <c r="BB98" s="41" t="n"/>
      <c r="BC98" s="40" t="n"/>
      <c r="BD98" s="41" t="n"/>
      <c r="BE98" s="42" t="n"/>
      <c r="BF98" s="41" t="n"/>
      <c r="BG98" s="40" t="n"/>
      <c r="BH98" s="41" t="n"/>
      <c r="BI98" s="42" t="n"/>
      <c r="BJ98" s="24" t="n"/>
      <c r="BK98" s="340" t="n"/>
      <c r="BL98" s="811">
        <f>SUMPRODUCT(--(MOD(COLUMN($O98:$AL98),4)=MOD(COLUMN($O98)+0,4)),$O98:$AL98)
+SUMPRODUCT(--(MOD(COLUMN($AM98:$BJ98),4)=MOD(COLUMN($AM98)+0,4)),$AM98:$BJ98)</f>
        <v/>
      </c>
      <c r="BM98" s="811">
        <f>SUMPRODUCT(--(MOD(COLUMN($O98:$AL98),4)=MOD(COLUMN($O98)+0,4)),$O98:$AL98)*
$I98+SUMPRODUCT(--(MOD(COLUMN($AM98:$BJ98),4)=MOD(COLUMN($AM98)+0,4)),$AM98:$BJ98)*$I98</f>
        <v/>
      </c>
      <c r="BN98" s="805">
        <f>SUMPRODUCT(--(MOD(COLUMN($O98:$AL98),4)=MOD(COLUMN($O98)+1,4)),$O98:$AL98)
+SUMPRODUCT(--(MOD(COLUMN($AM98:$BJ98),4)=MOD(COLUMN($AM98)+1,4)),$AM98:$BJ98)</f>
        <v/>
      </c>
      <c r="BO98" s="806">
        <f>SUMPRODUCT(--(MOD(COLUMN($O98:$AL98),4)=MOD(COLUMN($O98)+1,4)),$O98:$AL98)*
$I98+SUMPRODUCT(--(MOD(COLUMN($AM98:$BJ98),4)=MOD(COLUMN($AM98)+1,4)),$AM98:$BJ98)*$I98</f>
        <v/>
      </c>
      <c r="BP98" s="807">
        <f>SUMPRODUCT(--(MOD(COLUMN($O98:$AL98),4)=MOD(COLUMN($O98)+2,4)),$O98:$AL98)
+SUMPRODUCT(--(MOD(COLUMN($AM98:$BJ98),4)=MOD(COLUMN($AM98)+2,4)),$AM98:$BJ98)</f>
        <v/>
      </c>
      <c r="BQ98" s="808">
        <f>SUMPRODUCT(--(MOD(COLUMN($O98:$AL98),4)=MOD(COLUMN($O98)+2,4)),$O98:$AL98)*
$I98+SUMPRODUCT(--(MOD(COLUMN($AM98:$BJ98),4)=MOD(COLUMN($AM98)+2,4)),$AM98:$BJ98)*$I98</f>
        <v/>
      </c>
      <c r="BR98" s="801" t="n"/>
      <c r="BS98" s="819" t="n"/>
      <c r="BT98" s="40" t="n"/>
      <c r="BU98" s="41" t="n"/>
      <c r="BV98" s="42" t="n"/>
      <c r="BW98" s="41" t="n"/>
      <c r="BX98" s="40" t="n"/>
      <c r="BY98" s="41" t="n"/>
      <c r="BZ98" s="42" t="n"/>
      <c r="CA98" s="41" t="n"/>
      <c r="CB98" s="40" t="n"/>
      <c r="CC98" s="41" t="n"/>
      <c r="CD98" s="42" t="n"/>
      <c r="CE98" s="41" t="n"/>
      <c r="CF98" s="40" t="n"/>
      <c r="CG98" s="41" t="n"/>
      <c r="CH98" s="42" t="n"/>
      <c r="CI98" s="41" t="n"/>
      <c r="CJ98" s="40" t="n"/>
      <c r="CK98" s="41" t="n"/>
      <c r="CL98" s="42" t="n"/>
      <c r="CM98" s="41" t="n"/>
      <c r="CN98" s="40" t="n"/>
      <c r="CO98" s="41" t="n"/>
      <c r="CP98" s="42" t="n"/>
      <c r="CQ98" s="41" t="n"/>
      <c r="CR98" s="40" t="n"/>
      <c r="CS98" s="41" t="n"/>
      <c r="CT98" s="42" t="n"/>
      <c r="CU98" s="41" t="n"/>
      <c r="CV98" s="40" t="n"/>
      <c r="CW98" s="41" t="n"/>
      <c r="CX98" s="42" t="n"/>
      <c r="CY98" s="41" t="n"/>
      <c r="CZ98" s="40" t="n"/>
      <c r="DA98" s="41" t="n"/>
      <c r="DB98" s="42" t="n"/>
      <c r="DC98" s="41" t="n"/>
      <c r="DD98" s="40" t="n"/>
      <c r="DE98" s="41" t="n"/>
      <c r="DF98" s="42" t="n"/>
      <c r="DG98" s="41" t="n"/>
      <c r="DH98" s="40" t="n"/>
      <c r="DI98" s="41" t="n"/>
      <c r="DJ98" s="42" t="n"/>
      <c r="DK98" s="41" t="n"/>
      <c r="DL98" s="40" t="n"/>
      <c r="DM98" s="41" t="n"/>
      <c r="DN98" s="42" t="n"/>
      <c r="DO98" s="24" t="n"/>
      <c r="DP98" s="340" t="n"/>
      <c r="DQ98" s="811">
        <f>SUMPRODUCT(--(MOD(COLUMN(BT98:CQ98),4)=MOD(COLUMN(BT98),4)),BT98:CQ98)+SUMPRODUCT(--(MOD(COLUMN(CR98:DO98),4)=MOD(COLUMN(CR98),4)),CR98:DO98)</f>
        <v/>
      </c>
      <c r="DR98" s="811">
        <f>SUMPRODUCT(--(MOD(COLUMN(BT98:CQ98),4)=MOD(COLUMN(BT98),4)),BT98:CQ98)*$I98+SUMPRODUCT(--(MOD(COLUMN(CR98:DO98),4)=MOD(COLUMN(CR98),4)),CR98:DO98)*$I98</f>
        <v/>
      </c>
      <c r="DS98" s="801" t="n"/>
      <c r="DT98" s="819" t="n"/>
      <c r="DU98" s="40" t="n"/>
      <c r="DV98" s="41" t="n"/>
      <c r="DW98" s="42" t="n"/>
      <c r="DX98" s="41" t="n"/>
      <c r="DY98" s="40" t="n"/>
      <c r="DZ98" s="41" t="n"/>
      <c r="EA98" s="42" t="n"/>
      <c r="EB98" s="41" t="n"/>
      <c r="EC98" s="40" t="n"/>
      <c r="ED98" s="41" t="n"/>
      <c r="EE98" s="42" t="n"/>
      <c r="EF98" s="41" t="n"/>
      <c r="EG98" s="40" t="n"/>
      <c r="EH98" s="41" t="n"/>
      <c r="EI98" s="42" t="n"/>
      <c r="EJ98" s="41" t="n"/>
      <c r="EK98" s="40" t="n"/>
      <c r="EL98" s="41" t="n"/>
      <c r="EM98" s="42" t="n"/>
      <c r="EN98" s="41" t="n"/>
      <c r="EO98" s="40" t="n"/>
      <c r="EP98" s="41" t="n"/>
      <c r="EQ98" s="42" t="n"/>
      <c r="ER98" s="41" t="n"/>
      <c r="ES98" s="40" t="n"/>
      <c r="ET98" s="41" t="n"/>
      <c r="EU98" s="42" t="n"/>
      <c r="EV98" s="41" t="n"/>
      <c r="EW98" s="40" t="n"/>
      <c r="EX98" s="41" t="n"/>
      <c r="EY98" s="42" t="n"/>
      <c r="EZ98" s="41" t="n"/>
      <c r="FA98" s="40" t="n"/>
      <c r="FB98" s="41" t="n"/>
      <c r="FC98" s="42" t="n"/>
      <c r="FD98" s="41" t="n"/>
      <c r="FE98" s="40" t="n"/>
      <c r="FF98" s="41" t="n"/>
      <c r="FG98" s="42" t="n"/>
      <c r="FH98" s="41" t="n"/>
      <c r="FI98" s="40" t="n"/>
      <c r="FJ98" s="41" t="n"/>
      <c r="FK98" s="42" t="n"/>
      <c r="FL98" s="41" t="n"/>
      <c r="FM98" s="40" t="n"/>
      <c r="FN98" s="41" t="n"/>
      <c r="FO98" s="42" t="n"/>
      <c r="FP98" s="24" t="n"/>
      <c r="FQ98" s="340" t="n"/>
      <c r="FR98" s="811">
        <f>SUMPRODUCT(--(MOD(COLUMN(DU98:ER98),4)=MOD(COLUMN(DU98),4)),DU98:ER98)+SUMPRODUCT(--(MOD(COLUMN(ES98:FP98),4)=MOD(COLUMN(ES98),4)),ES98:FP98)</f>
        <v/>
      </c>
      <c r="FS98" s="811">
        <f>SUMPRODUCT(--(MOD(COLUMN(DU98:ER98),4)=MOD(COLUMN(DU98),4)),DU98:ER98)*$I98+SUMPRODUCT(--(MOD(COLUMN(ES98:FP98),4)=MOD(COLUMN(ES98),4)),ES98:FP98)*$I98</f>
        <v/>
      </c>
      <c r="FT98" s="360" t="n"/>
    </row>
    <row r="99" outlineLevel="1" customFormat="1" s="116">
      <c r="A99" s="46" t="inlineStr">
        <is>
          <t>ПРИЦЕПНАЯ ТЕХНИКА ООО</t>
        </is>
      </c>
      <c r="B99" s="388" t="n"/>
      <c r="C99" s="650" t="n"/>
      <c r="D99" s="651" t="n"/>
      <c r="E99" s="118">
        <f>IF(ISBLANK(G99),"",IF($A$6:$A$330=$A99,COUNTIF($A$6:A99,$A99),""))</f>
        <v/>
      </c>
      <c r="F99" s="117" t="n"/>
      <c r="G99" s="119" t="n"/>
      <c r="H99" s="608" t="n"/>
      <c r="I99" s="620" t="n"/>
      <c r="J99" s="620" t="n"/>
      <c r="K99" s="120" t="n"/>
      <c r="L99" s="620">
        <f>IF(K99="RUB",J99/ЮАНЬ,IF(K99="EUR",J99*ЕВРО/ЮАНЬ,""))</f>
        <v/>
      </c>
      <c r="M99" s="873" t="n"/>
      <c r="N99" s="871">
        <f>IF(BP99&gt;0,1,IF(BN99&gt;0,2,))</f>
        <v/>
      </c>
      <c r="O99" s="121" t="n"/>
      <c r="P99" s="121" t="n"/>
      <c r="Q99" s="121" t="n"/>
      <c r="R99" s="121" t="n"/>
      <c r="S99" s="121" t="n"/>
      <c r="T99" s="121" t="n"/>
      <c r="U99" s="121" t="n"/>
      <c r="V99" s="121" t="n"/>
      <c r="W99" s="121" t="n"/>
      <c r="X99" s="121" t="n"/>
      <c r="Y99" s="121" t="n"/>
      <c r="Z99" s="121" t="n"/>
      <c r="AA99" s="121" t="n"/>
      <c r="AB99" s="121" t="n"/>
      <c r="AC99" s="121" t="n"/>
      <c r="AD99" s="121" t="n"/>
      <c r="AE99" s="121" t="n"/>
      <c r="AF99" s="121" t="n"/>
      <c r="AG99" s="121" t="n"/>
      <c r="AH99" s="121" t="n"/>
      <c r="AI99" s="121" t="n"/>
      <c r="AJ99" s="121" t="n"/>
      <c r="AK99" s="121" t="n"/>
      <c r="AL99" s="121" t="n"/>
      <c r="AM99" s="121" t="n"/>
      <c r="AN99" s="121" t="n"/>
      <c r="AO99" s="121" t="n"/>
      <c r="AP99" s="121" t="n"/>
      <c r="AQ99" s="121" t="n"/>
      <c r="AR99" s="121" t="n"/>
      <c r="AS99" s="121" t="n"/>
      <c r="AT99" s="121" t="n"/>
      <c r="AU99" s="121" t="n"/>
      <c r="AV99" s="121" t="n"/>
      <c r="AW99" s="121" t="n"/>
      <c r="AX99" s="121" t="n"/>
      <c r="AY99" s="121" t="n"/>
      <c r="AZ99" s="121" t="n"/>
      <c r="BA99" s="121" t="n"/>
      <c r="BB99" s="121" t="n"/>
      <c r="BC99" s="121" t="n"/>
      <c r="BD99" s="121" t="n"/>
      <c r="BE99" s="121" t="n"/>
      <c r="BF99" s="121" t="n"/>
      <c r="BG99" s="121" t="n"/>
      <c r="BH99" s="121" t="n"/>
      <c r="BI99" s="121" t="n"/>
      <c r="BJ99" s="121" t="n"/>
      <c r="BK99" s="356" t="n"/>
      <c r="BL99" s="814">
        <f>SUMPRODUCT(--(MOD(COLUMN($O99:$AL99),4)=MOD(COLUMN($O99)+0,4)),$O99:$AL99)
+SUMPRODUCT(--(MOD(COLUMN($AM99:$BJ99),4)=MOD(COLUMN($AM99)+0,4)),$AM99:$BJ99)</f>
        <v/>
      </c>
      <c r="BM99" s="814">
        <f>SUMPRODUCT(--(MOD(COLUMN($O99:$AL99),4)=MOD(COLUMN($O99)+0,4)),$O99:$AL99)*
$I99+SUMPRODUCT(--(MOD(COLUMN($AM99:$BJ99),4)=MOD(COLUMN($AM99)+0,4)),$AM99:$BJ99)*$I99</f>
        <v/>
      </c>
      <c r="BN99" s="814">
        <f>SUMPRODUCT(--(MOD(COLUMN($O99:$AL99),4)=MOD(COLUMN($O99)+1,4)),$O99:$AL99)
+SUMPRODUCT(--(MOD(COLUMN($AM99:$BJ99),4)=MOD(COLUMN($AM99)+1,4)),$AM99:$BJ99)</f>
        <v/>
      </c>
      <c r="BO99" s="814">
        <f>SUMPRODUCT(--(MOD(COLUMN($O99:$AL99),4)=MOD(COLUMN($O99)+1,4)),$O99:$AL99)*
$I99+SUMPRODUCT(--(MOD(COLUMN($AM99:$BJ99),4)=MOD(COLUMN($AM99)+1,4)),$AM99:$BJ99)*$I99</f>
        <v/>
      </c>
      <c r="BP99" s="814">
        <f>SUMPRODUCT(--(MOD(COLUMN($O99:$AL99),4)=MOD(COLUMN($O99)+2,4)),$O99:$AL99)
+SUMPRODUCT(--(MOD(COLUMN($AM99:$BJ99),4)=MOD(COLUMN($AM99)+2,4)),$AM99:$BJ99)</f>
        <v/>
      </c>
      <c r="BQ99" s="814">
        <f>SUMPRODUCT(--(MOD(COLUMN($O99:$AL99),4)=MOD(COLUMN($O99)+2,4)),$O99:$AL99)*
$I99+SUMPRODUCT(--(MOD(COLUMN($AM99:$BJ99),4)=MOD(COLUMN($AM99)+2,4)),$AM99:$BJ99)*$I99</f>
        <v/>
      </c>
      <c r="BR99" s="51" t="n"/>
      <c r="BS99" s="335" t="n"/>
      <c r="BT99" s="121" t="n"/>
      <c r="BU99" s="121" t="n"/>
      <c r="BV99" s="121" t="n"/>
      <c r="BW99" s="121" t="n"/>
      <c r="BX99" s="121" t="n"/>
      <c r="BY99" s="121" t="n"/>
      <c r="BZ99" s="121" t="n"/>
      <c r="CA99" s="121" t="n"/>
      <c r="CB99" s="121" t="n"/>
      <c r="CC99" s="121" t="n"/>
      <c r="CD99" s="121" t="n"/>
      <c r="CE99" s="121" t="n"/>
      <c r="CF99" s="121" t="n"/>
      <c r="CG99" s="121" t="n"/>
      <c r="CH99" s="121" t="n"/>
      <c r="CI99" s="121" t="n"/>
      <c r="CJ99" s="121" t="n"/>
      <c r="CK99" s="121" t="n"/>
      <c r="CL99" s="121" t="n"/>
      <c r="CM99" s="121" t="n"/>
      <c r="CN99" s="121" t="n"/>
      <c r="CO99" s="121" t="n"/>
      <c r="CP99" s="121" t="n"/>
      <c r="CQ99" s="121" t="n"/>
      <c r="CR99" s="121" t="n"/>
      <c r="CS99" s="121" t="n"/>
      <c r="CT99" s="121" t="n"/>
      <c r="CU99" s="121" t="n"/>
      <c r="CV99" s="121" t="n"/>
      <c r="CW99" s="121" t="n"/>
      <c r="CX99" s="121" t="n"/>
      <c r="CY99" s="121" t="n"/>
      <c r="CZ99" s="121" t="n"/>
      <c r="DA99" s="121" t="n"/>
      <c r="DB99" s="121" t="n"/>
      <c r="DC99" s="121" t="n"/>
      <c r="DD99" s="121" t="n"/>
      <c r="DE99" s="121" t="n"/>
      <c r="DF99" s="121" t="n"/>
      <c r="DG99" s="121" t="n"/>
      <c r="DH99" s="121" t="n"/>
      <c r="DI99" s="121" t="n"/>
      <c r="DJ99" s="121" t="n"/>
      <c r="DK99" s="121" t="n"/>
      <c r="DL99" s="121" t="n"/>
      <c r="DM99" s="121" t="n"/>
      <c r="DN99" s="121" t="n"/>
      <c r="DO99" s="121" t="n"/>
      <c r="DP99" s="356" t="n"/>
      <c r="DQ99" s="814">
        <f>SUMPRODUCT(--(MOD(COLUMN(BT99:CQ99),4)=MOD(COLUMN(BT99),4)),BT99:CQ99)+SUMPRODUCT(--(MOD(COLUMN(CR99:DO99),4)=MOD(COLUMN(CR99),4)),CR99:DO99)</f>
        <v/>
      </c>
      <c r="DR99" s="814">
        <f>SUMPRODUCT(--(MOD(COLUMN(BT99:CQ99),4)=MOD(COLUMN(BT99),4)),BT99:CQ99)*$I99+SUMPRODUCT(--(MOD(COLUMN(CR99:DO99),4)=MOD(COLUMN(CR99),4)),CR99:DO99)*$I99</f>
        <v/>
      </c>
      <c r="DS99" s="51" t="n"/>
      <c r="DT99" s="335" t="n"/>
      <c r="DU99" s="121" t="n"/>
      <c r="DV99" s="121" t="n"/>
      <c r="DW99" s="121" t="n"/>
      <c r="DX99" s="121" t="n"/>
      <c r="DY99" s="121" t="n"/>
      <c r="DZ99" s="121" t="n"/>
      <c r="EA99" s="121" t="n"/>
      <c r="EB99" s="121" t="n"/>
      <c r="EC99" s="121" t="n"/>
      <c r="ED99" s="121" t="n"/>
      <c r="EE99" s="121" t="n"/>
      <c r="EF99" s="121" t="n"/>
      <c r="EG99" s="121" t="n"/>
      <c r="EH99" s="121" t="n"/>
      <c r="EI99" s="121" t="n"/>
      <c r="EJ99" s="121" t="n"/>
      <c r="EK99" s="121" t="n"/>
      <c r="EL99" s="121" t="n"/>
      <c r="EM99" s="121" t="n"/>
      <c r="EN99" s="121" t="n"/>
      <c r="EO99" s="121" t="n"/>
      <c r="EP99" s="121" t="n"/>
      <c r="EQ99" s="121" t="n"/>
      <c r="ER99" s="121" t="n"/>
      <c r="ES99" s="121" t="n"/>
      <c r="ET99" s="121" t="n"/>
      <c r="EU99" s="121" t="n"/>
      <c r="EV99" s="121" t="n"/>
      <c r="EW99" s="121" t="n"/>
      <c r="EX99" s="121" t="n"/>
      <c r="EY99" s="121" t="n"/>
      <c r="EZ99" s="121" t="n"/>
      <c r="FA99" s="121" t="n"/>
      <c r="FB99" s="121" t="n"/>
      <c r="FC99" s="121" t="n"/>
      <c r="FD99" s="121" t="n"/>
      <c r="FE99" s="121" t="n"/>
      <c r="FF99" s="121" t="n"/>
      <c r="FG99" s="121" t="n"/>
      <c r="FH99" s="121" t="n"/>
      <c r="FI99" s="121" t="n"/>
      <c r="FJ99" s="121" t="n"/>
      <c r="FK99" s="121" t="n"/>
      <c r="FL99" s="121" t="n"/>
      <c r="FM99" s="121" t="n"/>
      <c r="FN99" s="121" t="n"/>
      <c r="FO99" s="121" t="n"/>
      <c r="FP99" s="121" t="n"/>
      <c r="FQ99" s="356" t="n"/>
      <c r="FR99" s="814">
        <f>SUMPRODUCT(--(MOD(COLUMN(DU99:ER99),4)=MOD(COLUMN(DU99),4)),DU99:ER99)+SUMPRODUCT(--(MOD(COLUMN(ES99:FP99),4)=MOD(COLUMN(ES99),4)),ES99:FP99)</f>
        <v/>
      </c>
      <c r="FS99" s="814">
        <f>SUMPRODUCT(--(MOD(COLUMN(DU99:ER99),4)=MOD(COLUMN(DU99),4)),DU99:ER99)*$I99+SUMPRODUCT(--(MOD(COLUMN(ES99:FP99),4)=MOD(COLUMN(ES99),4)),ES99:FP99)*$I99</f>
        <v/>
      </c>
      <c r="FT99" s="343" t="n"/>
    </row>
    <row r="100" outlineLevel="2">
      <c r="A100" s="56" t="inlineStr">
        <is>
          <t>ПОЛИТРАНС ООО ПКФ</t>
        </is>
      </c>
      <c r="B100" s="387" t="inlineStr">
        <is>
          <t>Оплата 50/50</t>
        </is>
      </c>
      <c r="C100" s="541" t="inlineStr">
        <is>
          <t>ВБК Восток</t>
        </is>
      </c>
      <c r="D100" s="565" t="inlineStr">
        <is>
          <t>Прасолов, Соловьёв</t>
        </is>
      </c>
      <c r="E100" s="10">
        <f>IF(ISBLANK(G100),"",IF($A$6:$A$330=$A100,COUNTIF($A$6:A100,$A100),""))</f>
        <v/>
      </c>
      <c r="F100" s="10" t="n">
        <v>1</v>
      </c>
      <c r="G100" s="55" t="n">
        <v>4231069000</v>
      </c>
      <c r="H100" s="54" t="inlineStr">
        <is>
          <t>Камера тормозная тип 24</t>
        </is>
      </c>
      <c r="I100" s="617">
        <f>145/НДС_20</f>
        <v/>
      </c>
      <c r="J100" s="617" t="n"/>
      <c r="K100" s="872" t="n"/>
      <c r="L100" s="617">
        <f>IF(K100="RUB",J100/ЮАНЬ,IF(K100="EUR",J100*ЕВРО/ЮАНЬ,""))</f>
        <v/>
      </c>
      <c r="M100" s="873" t="n"/>
      <c r="N100" s="871">
        <f>IF(BP100&gt;0,1,IF(BN100&gt;0,2,))</f>
        <v/>
      </c>
      <c r="O100" s="23" t="n"/>
      <c r="P100" s="24" t="n"/>
      <c r="Q100" s="25" t="n"/>
      <c r="R100" s="24" t="n"/>
      <c r="S100" s="23" t="n"/>
      <c r="T100" s="24" t="n"/>
      <c r="U100" s="25" t="n"/>
      <c r="V100" s="24" t="n"/>
      <c r="W100" s="23" t="n"/>
      <c r="X100" s="24" t="n"/>
      <c r="Y100" s="25" t="n"/>
      <c r="Z100" s="24" t="n"/>
      <c r="AA100" s="23" t="n"/>
      <c r="AB100" s="24" t="n"/>
      <c r="AC100" s="25" t="n"/>
      <c r="AD100" s="24" t="n"/>
      <c r="AE100" s="23" t="n"/>
      <c r="AF100" s="24" t="n"/>
      <c r="AG100" s="25" t="n"/>
      <c r="AH100" s="24" t="n"/>
      <c r="AI100" s="23" t="n"/>
      <c r="AJ100" s="24" t="n"/>
      <c r="AK100" s="25" t="n"/>
      <c r="AL100" s="24" t="n"/>
      <c r="AM100" s="23" t="n"/>
      <c r="AN100" s="24" t="n"/>
      <c r="AO100" s="25" t="n"/>
      <c r="AP100" s="24" t="n"/>
      <c r="AQ100" s="23" t="n"/>
      <c r="AR100" s="24" t="n"/>
      <c r="AS100" s="25" t="n"/>
      <c r="AT100" s="24" t="n"/>
      <c r="AU100" s="23" t="n"/>
      <c r="AV100" s="24" t="n"/>
      <c r="AW100" s="25" t="n"/>
      <c r="AX100" s="24" t="n"/>
      <c r="AY100" s="23" t="n"/>
      <c r="AZ100" s="24" t="n"/>
      <c r="BA100" s="25" t="n"/>
      <c r="BB100" s="24" t="n"/>
      <c r="BC100" s="23" t="n"/>
      <c r="BD100" s="24" t="n"/>
      <c r="BE100" s="25" t="n"/>
      <c r="BF100" s="24" t="n"/>
      <c r="BG100" s="23" t="n"/>
      <c r="BH100" s="24" t="n"/>
      <c r="BI100" s="25" t="n"/>
      <c r="BJ100" s="24" t="n"/>
      <c r="BK100" s="340" t="n"/>
      <c r="BL100" s="803">
        <f>SUMPRODUCT(--(MOD(COLUMN($O100:$AL100),4)=MOD(COLUMN($O100)+0,4)),$O100:$AL100)
+SUMPRODUCT(--(MOD(COLUMN($AM100:$BJ100),4)=MOD(COLUMN($AM100)+0,4)),$AM100:$BJ100)</f>
        <v/>
      </c>
      <c r="BM100" s="803">
        <f>SUMPRODUCT(--(MOD(COLUMN($O100:$AL100),4)=MOD(COLUMN($O100)+0,4)),$O100:$AL100)*
$I100+SUMPRODUCT(--(MOD(COLUMN($AM100:$BJ100),4)=MOD(COLUMN($AM100)+0,4)),$AM100:$BJ100)*$I100</f>
        <v/>
      </c>
      <c r="BN100" s="805">
        <f>SUMPRODUCT(--(MOD(COLUMN($O100:$AL100),4)=MOD(COLUMN($O100)+1,4)),$O100:$AL100)
+SUMPRODUCT(--(MOD(COLUMN($AM100:$BJ100),4)=MOD(COLUMN($AM100)+1,4)),$AM100:$BJ100)</f>
        <v/>
      </c>
      <c r="BO100" s="806">
        <f>SUMPRODUCT(--(MOD(COLUMN($O100:$AL100),4)=MOD(COLUMN($O100)+1,4)),$O100:$AL100)*
$I100+SUMPRODUCT(--(MOD(COLUMN($AM100:$BJ100),4)=MOD(COLUMN($AM100)+1,4)),$AM100:$BJ100)*$I100</f>
        <v/>
      </c>
      <c r="BP100" s="807">
        <f>SUMPRODUCT(--(MOD(COLUMN($O100:$AL100),4)=MOD(COLUMN($O100)+2,4)),$O100:$AL100)
+SUMPRODUCT(--(MOD(COLUMN($AM100:$BJ100),4)=MOD(COLUMN($AM100)+2,4)),$AM100:$BJ100)</f>
        <v/>
      </c>
      <c r="BQ100" s="808">
        <f>SUMPRODUCT(--(MOD(COLUMN($O100:$AL100),4)=MOD(COLUMN($O100)+2,4)),$O100:$AL100)*
$I100+SUMPRODUCT(--(MOD(COLUMN($AM100:$BJ100),4)=MOD(COLUMN($AM100)+2,4)),$AM100:$BJ100)*$I100</f>
        <v/>
      </c>
      <c r="BR100" s="801" t="n"/>
      <c r="BS100" s="819" t="n"/>
      <c r="BT100" s="23" t="n"/>
      <c r="BU100" s="24" t="n"/>
      <c r="BV100" s="25" t="n"/>
      <c r="BW100" s="24" t="n"/>
      <c r="BX100" s="23" t="n"/>
      <c r="BY100" s="24" t="n"/>
      <c r="BZ100" s="25" t="n"/>
      <c r="CA100" s="24" t="n"/>
      <c r="CB100" s="23" t="n"/>
      <c r="CC100" s="24" t="n"/>
      <c r="CD100" s="25" t="n"/>
      <c r="CE100" s="24" t="n"/>
      <c r="CF100" s="23" t="n"/>
      <c r="CG100" s="24" t="n"/>
      <c r="CH100" s="25" t="n"/>
      <c r="CI100" s="24" t="n"/>
      <c r="CJ100" s="23" t="n"/>
      <c r="CK100" s="24" t="n"/>
      <c r="CL100" s="25" t="n"/>
      <c r="CM100" s="24" t="n"/>
      <c r="CN100" s="23" t="n"/>
      <c r="CO100" s="24" t="n"/>
      <c r="CP100" s="25" t="n"/>
      <c r="CQ100" s="24" t="n"/>
      <c r="CR100" s="23" t="n"/>
      <c r="CS100" s="24" t="n"/>
      <c r="CT100" s="25" t="n"/>
      <c r="CU100" s="24" t="n"/>
      <c r="CV100" s="23" t="n"/>
      <c r="CW100" s="24" t="n"/>
      <c r="CX100" s="25" t="n"/>
      <c r="CY100" s="24" t="n"/>
      <c r="CZ100" s="23" t="n"/>
      <c r="DA100" s="24" t="n"/>
      <c r="DB100" s="25" t="n"/>
      <c r="DC100" s="24" t="n"/>
      <c r="DD100" s="23" t="n"/>
      <c r="DE100" s="24" t="n"/>
      <c r="DF100" s="25" t="n"/>
      <c r="DG100" s="24" t="n"/>
      <c r="DH100" s="23" t="n"/>
      <c r="DI100" s="24" t="n"/>
      <c r="DJ100" s="25" t="n"/>
      <c r="DK100" s="24" t="n"/>
      <c r="DL100" s="23" t="n"/>
      <c r="DM100" s="24" t="n"/>
      <c r="DN100" s="25" t="n"/>
      <c r="DO100" s="24" t="n"/>
      <c r="DP100" s="340" t="n"/>
      <c r="DQ100" s="803">
        <f>SUMPRODUCT(--(MOD(COLUMN(BT100:CQ100),4)=MOD(COLUMN(BT100),4)),BT100:CQ100)+SUMPRODUCT(--(MOD(COLUMN(CR100:DO100),4)=MOD(COLUMN(CR100),4)),CR100:DO100)</f>
        <v/>
      </c>
      <c r="DR100" s="803">
        <f>SUMPRODUCT(--(MOD(COLUMN(BT100:CQ100),4)=MOD(COLUMN(BT100),4)),BT100:CQ100)*$I100+SUMPRODUCT(--(MOD(COLUMN(CR100:DO100),4)=MOD(COLUMN(CR100),4)),CR100:DO100)*$I100</f>
        <v/>
      </c>
      <c r="DS100" s="801" t="n"/>
      <c r="DT100" s="819" t="n"/>
      <c r="DU100" s="23" t="n"/>
      <c r="DV100" s="24" t="n"/>
      <c r="DW100" s="25" t="n"/>
      <c r="DX100" s="24" t="n"/>
      <c r="DY100" s="23" t="n"/>
      <c r="DZ100" s="24" t="n"/>
      <c r="EA100" s="25" t="n"/>
      <c r="EB100" s="24" t="n"/>
      <c r="EC100" s="23" t="n"/>
      <c r="ED100" s="24" t="n"/>
      <c r="EE100" s="25" t="n"/>
      <c r="EF100" s="24" t="n"/>
      <c r="EG100" s="23" t="n"/>
      <c r="EH100" s="24" t="n"/>
      <c r="EI100" s="25" t="n"/>
      <c r="EJ100" s="24" t="n"/>
      <c r="EK100" s="23" t="n"/>
      <c r="EL100" s="24" t="n"/>
      <c r="EM100" s="25" t="n"/>
      <c r="EN100" s="24" t="n"/>
      <c r="EO100" s="23" t="n"/>
      <c r="EP100" s="24" t="n"/>
      <c r="EQ100" s="25" t="n"/>
      <c r="ER100" s="24" t="n"/>
      <c r="ES100" s="23" t="n"/>
      <c r="ET100" s="24" t="n"/>
      <c r="EU100" s="25" t="n"/>
      <c r="EV100" s="24" t="n"/>
      <c r="EW100" s="23" t="n"/>
      <c r="EX100" s="24" t="n"/>
      <c r="EY100" s="25" t="n"/>
      <c r="EZ100" s="24" t="n"/>
      <c r="FA100" s="23" t="n"/>
      <c r="FB100" s="24" t="n"/>
      <c r="FC100" s="25" t="n"/>
      <c r="FD100" s="24" t="n"/>
      <c r="FE100" s="23" t="n"/>
      <c r="FF100" s="24" t="n"/>
      <c r="FG100" s="25" t="n"/>
      <c r="FH100" s="24" t="n"/>
      <c r="FI100" s="23" t="n"/>
      <c r="FJ100" s="24" t="n"/>
      <c r="FK100" s="25" t="n"/>
      <c r="FL100" s="24" t="n"/>
      <c r="FM100" s="23" t="n"/>
      <c r="FN100" s="24" t="n"/>
      <c r="FO100" s="25" t="n"/>
      <c r="FP100" s="24" t="n"/>
      <c r="FQ100" s="340" t="n"/>
      <c r="FR100" s="803">
        <f>SUMPRODUCT(--(MOD(COLUMN(DU100:ER100),4)=MOD(COLUMN(DU100),4)),DU100:ER100)+SUMPRODUCT(--(MOD(COLUMN(ES100:FP100),4)=MOD(COLUMN(ES100),4)),ES100:FP100)</f>
        <v/>
      </c>
      <c r="FS100" s="803">
        <f>SUMPRODUCT(--(MOD(COLUMN(DU100:ER100),4)=MOD(COLUMN(DU100),4)),DU100:ER100)*$I100+SUMPRODUCT(--(MOD(COLUMN(ES100:FP100),4)=MOD(COLUMN(ES100),4)),ES100:FP100)*$I100</f>
        <v/>
      </c>
      <c r="FT100" s="361" t="n"/>
    </row>
    <row r="101" outlineLevel="2">
      <c r="A101" s="56" t="inlineStr">
        <is>
          <t>ПОЛИТРАНС ООО ПКФ</t>
        </is>
      </c>
      <c r="B101" s="387" t="inlineStr">
        <is>
          <t>Оплата 50/50</t>
        </is>
      </c>
      <c r="C101" s="541" t="inlineStr">
        <is>
          <t>ВБК Восток</t>
        </is>
      </c>
      <c r="D101" s="565" t="inlineStr">
        <is>
          <t>Прасолов, Соловьёв</t>
        </is>
      </c>
      <c r="E101" s="10">
        <f>IF(ISBLANK(G101),"",IF($A$6:$A$330=$A101,COUNTIF($A$6:A101,$A101),""))</f>
        <v/>
      </c>
      <c r="F101" s="10" t="n">
        <v>1</v>
      </c>
      <c r="G101" s="55" t="n">
        <v>4231079000</v>
      </c>
      <c r="H101" s="54" t="inlineStr">
        <is>
          <t>Камера тормозная тип 30</t>
        </is>
      </c>
      <c r="I101" s="617">
        <f>153/НДС_20</f>
        <v/>
      </c>
      <c r="J101" s="617" t="n"/>
      <c r="K101" s="872" t="n"/>
      <c r="L101" s="617">
        <f>IF(K101="RUB",J101/ЮАНЬ,IF(K101="EUR",J101*ЕВРО/ЮАНЬ,""))</f>
        <v/>
      </c>
      <c r="M101" s="873" t="n"/>
      <c r="N101" s="871">
        <f>IF(BP101&gt;0,1,IF(BN101&gt;0,2,))</f>
        <v/>
      </c>
      <c r="O101" s="23" t="n"/>
      <c r="P101" s="24" t="n"/>
      <c r="Q101" s="25" t="n"/>
      <c r="R101" s="24" t="n"/>
      <c r="S101" s="23" t="n"/>
      <c r="T101" s="24" t="n"/>
      <c r="U101" s="25" t="n"/>
      <c r="V101" s="24" t="n"/>
      <c r="W101" s="23" t="n"/>
      <c r="X101" s="24" t="n"/>
      <c r="Y101" s="25" t="n"/>
      <c r="Z101" s="24" t="n"/>
      <c r="AA101" s="23" t="n"/>
      <c r="AB101" s="24" t="n"/>
      <c r="AC101" s="25" t="n">
        <v>0</v>
      </c>
      <c r="AD101" s="24" t="n"/>
      <c r="AE101" s="23" t="n"/>
      <c r="AF101" s="24" t="n"/>
      <c r="AG101" s="25" t="n"/>
      <c r="AH101" s="24" t="n"/>
      <c r="AI101" s="23" t="n"/>
      <c r="AJ101" s="24" t="n"/>
      <c r="AK101" s="25" t="n"/>
      <c r="AL101" s="24" t="n"/>
      <c r="AM101" s="23" t="n"/>
      <c r="AN101" s="24" t="n"/>
      <c r="AO101" s="25" t="n"/>
      <c r="AP101" s="24" t="n"/>
      <c r="AQ101" s="23" t="n"/>
      <c r="AR101" s="24" t="n"/>
      <c r="AS101" s="25" t="n"/>
      <c r="AT101" s="24" t="n"/>
      <c r="AU101" s="23" t="n"/>
      <c r="AV101" s="24" t="n"/>
      <c r="AW101" s="25" t="n"/>
      <c r="AX101" s="24" t="n"/>
      <c r="AY101" s="23" t="n"/>
      <c r="AZ101" s="24" t="n"/>
      <c r="BA101" s="25" t="n"/>
      <c r="BB101" s="24" t="n"/>
      <c r="BC101" s="23" t="n"/>
      <c r="BD101" s="24" t="n"/>
      <c r="BE101" s="25" t="n"/>
      <c r="BF101" s="24" t="n"/>
      <c r="BG101" s="23" t="n"/>
      <c r="BH101" s="24" t="n"/>
      <c r="BI101" s="25" t="n"/>
      <c r="BJ101" s="24" t="n"/>
      <c r="BK101" s="340" t="n"/>
      <c r="BL101" s="803">
        <f>SUMPRODUCT(--(MOD(COLUMN($O101:$AL101),4)=MOD(COLUMN($O101)+0,4)),$O101:$AL101)
+SUMPRODUCT(--(MOD(COLUMN($AM101:$BJ101),4)=MOD(COLUMN($AM101)+0,4)),$AM101:$BJ101)</f>
        <v/>
      </c>
      <c r="BM101" s="803">
        <f>SUMPRODUCT(--(MOD(COLUMN($O101:$AL101),4)=MOD(COLUMN($O101)+0,4)),$O101:$AL101)*
$I101+SUMPRODUCT(--(MOD(COLUMN($AM101:$BJ101),4)=MOD(COLUMN($AM101)+0,4)),$AM101:$BJ101)*$I101</f>
        <v/>
      </c>
      <c r="BN101" s="805">
        <f>SUMPRODUCT(--(MOD(COLUMN($O101:$AL101),4)=MOD(COLUMN($O101)+1,4)),$O101:$AL101)
+SUMPRODUCT(--(MOD(COLUMN($AM101:$BJ101),4)=MOD(COLUMN($AM101)+1,4)),$AM101:$BJ101)</f>
        <v/>
      </c>
      <c r="BO101" s="806">
        <f>SUMPRODUCT(--(MOD(COLUMN($O101:$AL101),4)=MOD(COLUMN($O101)+1,4)),$O101:$AL101)*
$I101+SUMPRODUCT(--(MOD(COLUMN($AM101:$BJ101),4)=MOD(COLUMN($AM101)+1,4)),$AM101:$BJ101)*$I101</f>
        <v/>
      </c>
      <c r="BP101" s="807">
        <f>SUMPRODUCT(--(MOD(COLUMN($O101:$AL101),4)=MOD(COLUMN($O101)+2,4)),$O101:$AL101)
+SUMPRODUCT(--(MOD(COLUMN($AM101:$BJ101),4)=MOD(COLUMN($AM101)+2,4)),$AM101:$BJ101)</f>
        <v/>
      </c>
      <c r="BQ101" s="808">
        <f>SUMPRODUCT(--(MOD(COLUMN($O101:$AL101),4)=MOD(COLUMN($O101)+2,4)),$O101:$AL101)*
$I101+SUMPRODUCT(--(MOD(COLUMN($AM101:$BJ101),4)=MOD(COLUMN($AM101)+2,4)),$AM101:$BJ101)*$I101</f>
        <v/>
      </c>
      <c r="BR101" s="801" t="n"/>
      <c r="BS101" s="819" t="n"/>
      <c r="BT101" s="23" t="n"/>
      <c r="BU101" s="24" t="n"/>
      <c r="BV101" s="25" t="n"/>
      <c r="BW101" s="24" t="n"/>
      <c r="BX101" s="23" t="n"/>
      <c r="BY101" s="24" t="n"/>
      <c r="BZ101" s="25" t="n"/>
      <c r="CA101" s="24" t="n"/>
      <c r="CB101" s="23" t="n"/>
      <c r="CC101" s="24" t="n"/>
      <c r="CD101" s="25" t="n"/>
      <c r="CE101" s="24" t="n"/>
      <c r="CF101" s="23" t="n"/>
      <c r="CG101" s="24" t="n"/>
      <c r="CH101" s="25" t="n"/>
      <c r="CI101" s="24" t="n"/>
      <c r="CJ101" s="23" t="n"/>
      <c r="CK101" s="24" t="n"/>
      <c r="CL101" s="25" t="n"/>
      <c r="CM101" s="24" t="n"/>
      <c r="CN101" s="23" t="n"/>
      <c r="CO101" s="24" t="n"/>
      <c r="CP101" s="25" t="n"/>
      <c r="CQ101" s="24" t="n"/>
      <c r="CR101" s="23" t="n"/>
      <c r="CS101" s="24" t="n"/>
      <c r="CT101" s="25" t="n"/>
      <c r="CU101" s="24" t="n"/>
      <c r="CV101" s="23" t="n"/>
      <c r="CW101" s="24" t="n"/>
      <c r="CX101" s="25" t="n"/>
      <c r="CY101" s="24" t="n"/>
      <c r="CZ101" s="23" t="n"/>
      <c r="DA101" s="24" t="n"/>
      <c r="DB101" s="25" t="n"/>
      <c r="DC101" s="24" t="n"/>
      <c r="DD101" s="23" t="n"/>
      <c r="DE101" s="24" t="n"/>
      <c r="DF101" s="25" t="n"/>
      <c r="DG101" s="24" t="n"/>
      <c r="DH101" s="23" t="n"/>
      <c r="DI101" s="24" t="n"/>
      <c r="DJ101" s="25" t="n"/>
      <c r="DK101" s="24" t="n"/>
      <c r="DL101" s="23" t="n"/>
      <c r="DM101" s="24" t="n"/>
      <c r="DN101" s="25" t="n"/>
      <c r="DO101" s="24" t="n"/>
      <c r="DP101" s="340" t="n"/>
      <c r="DQ101" s="803">
        <f>SUMPRODUCT(--(MOD(COLUMN(BT101:CQ101),4)=MOD(COLUMN(BT101),4)),BT101:CQ101)+SUMPRODUCT(--(MOD(COLUMN(CR101:DO101),4)=MOD(COLUMN(CR101),4)),CR101:DO101)</f>
        <v/>
      </c>
      <c r="DR101" s="803">
        <f>SUMPRODUCT(--(MOD(COLUMN(BT101:CQ101),4)=MOD(COLUMN(BT101),4)),BT101:CQ101)*$I101+SUMPRODUCT(--(MOD(COLUMN(CR101:DO101),4)=MOD(COLUMN(CR101),4)),CR101:DO101)*$I101</f>
        <v/>
      </c>
      <c r="DS101" s="801" t="n"/>
      <c r="DT101" s="819" t="n"/>
      <c r="DU101" s="23" t="n"/>
      <c r="DV101" s="24" t="n"/>
      <c r="DW101" s="25" t="n"/>
      <c r="DX101" s="24" t="n"/>
      <c r="DY101" s="23" t="n"/>
      <c r="DZ101" s="24" t="n"/>
      <c r="EA101" s="25" t="n"/>
      <c r="EB101" s="24" t="n"/>
      <c r="EC101" s="23" t="n"/>
      <c r="ED101" s="24" t="n"/>
      <c r="EE101" s="25" t="n"/>
      <c r="EF101" s="24" t="n"/>
      <c r="EG101" s="23" t="n"/>
      <c r="EH101" s="24" t="n"/>
      <c r="EI101" s="25" t="n"/>
      <c r="EJ101" s="24" t="n"/>
      <c r="EK101" s="23" t="n"/>
      <c r="EL101" s="24" t="n"/>
      <c r="EM101" s="25" t="n"/>
      <c r="EN101" s="24" t="n"/>
      <c r="EO101" s="23" t="n"/>
      <c r="EP101" s="24" t="n"/>
      <c r="EQ101" s="25" t="n"/>
      <c r="ER101" s="24" t="n"/>
      <c r="ES101" s="23" t="n"/>
      <c r="ET101" s="24" t="n"/>
      <c r="EU101" s="25" t="n"/>
      <c r="EV101" s="24" t="n"/>
      <c r="EW101" s="23" t="n"/>
      <c r="EX101" s="24" t="n"/>
      <c r="EY101" s="25" t="n"/>
      <c r="EZ101" s="24" t="n"/>
      <c r="FA101" s="23" t="n"/>
      <c r="FB101" s="24" t="n"/>
      <c r="FC101" s="25" t="n"/>
      <c r="FD101" s="24" t="n"/>
      <c r="FE101" s="23" t="n"/>
      <c r="FF101" s="24" t="n"/>
      <c r="FG101" s="25" t="n"/>
      <c r="FH101" s="24" t="n"/>
      <c r="FI101" s="23" t="n"/>
      <c r="FJ101" s="24" t="n"/>
      <c r="FK101" s="25" t="n"/>
      <c r="FL101" s="24" t="n"/>
      <c r="FM101" s="23" t="n"/>
      <c r="FN101" s="24" t="n"/>
      <c r="FO101" s="25" t="n"/>
      <c r="FP101" s="24" t="n"/>
      <c r="FQ101" s="340" t="n"/>
      <c r="FR101" s="803">
        <f>SUMPRODUCT(--(MOD(COLUMN(DU101:ER101),4)=MOD(COLUMN(DU101),4)),DU101:ER101)+SUMPRODUCT(--(MOD(COLUMN(ES101:FP101),4)=MOD(COLUMN(ES101),4)),ES101:FP101)</f>
        <v/>
      </c>
      <c r="FS101" s="803">
        <f>SUMPRODUCT(--(MOD(COLUMN(DU101:ER101),4)=MOD(COLUMN(DU101),4)),DU101:ER101)*$I101+SUMPRODUCT(--(MOD(COLUMN(ES101:FP101),4)=MOD(COLUMN(ES101),4)),ES101:FP101)*$I101</f>
        <v/>
      </c>
      <c r="FT101" s="361" t="n"/>
    </row>
    <row r="102" outlineLevel="2">
      <c r="A102" s="56" t="inlineStr">
        <is>
          <t>ПОЛИТРАНС ООО ПКФ</t>
        </is>
      </c>
      <c r="B102" s="387" t="inlineStr">
        <is>
          <t>Оплата 50/50</t>
        </is>
      </c>
      <c r="C102" s="541" t="inlineStr">
        <is>
          <t>ВБК Восток</t>
        </is>
      </c>
      <c r="D102" s="565" t="inlineStr">
        <is>
          <t>Прасолов, Соловьёв</t>
        </is>
      </c>
      <c r="E102" s="10">
        <f>IF(ISBLANK(G102),"",IF($A$6:$A$330=$A102,COUNTIF($A$6:A102,$A102),""))</f>
        <v/>
      </c>
      <c r="F102" s="10" t="n">
        <v>1</v>
      </c>
      <c r="G102" s="55" t="n">
        <v>9253761210</v>
      </c>
      <c r="H102" s="54" t="inlineStr">
        <is>
          <t>Энергоаккумулятор тип 24/30</t>
        </is>
      </c>
      <c r="I102" s="617">
        <f>301/НДС_20</f>
        <v/>
      </c>
      <c r="J102" s="617" t="n"/>
      <c r="K102" s="872" t="n"/>
      <c r="L102" s="617">
        <f>IF(K102="RUB",J102/ЮАНЬ,IF(K102="EUR",J102*ЕВРО/ЮАНЬ,""))</f>
        <v/>
      </c>
      <c r="M102" s="873" t="n"/>
      <c r="N102" s="871">
        <f>IF(BP102&gt;0,1,IF(BN102&gt;0,2,))</f>
        <v/>
      </c>
      <c r="O102" s="23" t="n"/>
      <c r="P102" s="24" t="n"/>
      <c r="Q102" s="25" t="n"/>
      <c r="R102" s="24" t="n"/>
      <c r="S102" s="23" t="n"/>
      <c r="T102" s="24" t="n"/>
      <c r="U102" s="25" t="n"/>
      <c r="V102" s="24" t="n"/>
      <c r="W102" s="23" t="n"/>
      <c r="X102" s="24" t="n"/>
      <c r="Y102" s="25" t="n"/>
      <c r="Z102" s="24" t="n"/>
      <c r="AA102" s="23" t="n"/>
      <c r="AB102" s="24" t="n"/>
      <c r="AC102" s="25" t="n"/>
      <c r="AD102" s="24" t="n"/>
      <c r="AE102" s="23" t="n"/>
      <c r="AF102" s="24" t="n"/>
      <c r="AG102" s="25" t="n"/>
      <c r="AH102" s="24" t="n"/>
      <c r="AI102" s="23" t="n"/>
      <c r="AJ102" s="24" t="n"/>
      <c r="AK102" s="25" t="n"/>
      <c r="AL102" s="24" t="n"/>
      <c r="AM102" s="23" t="n"/>
      <c r="AN102" s="24" t="n"/>
      <c r="AO102" s="25" t="n"/>
      <c r="AP102" s="24" t="n"/>
      <c r="AQ102" s="23" t="n"/>
      <c r="AR102" s="24" t="n"/>
      <c r="AS102" s="25" t="n"/>
      <c r="AT102" s="24" t="n"/>
      <c r="AU102" s="23" t="n"/>
      <c r="AV102" s="24" t="n"/>
      <c r="AW102" s="25" t="n"/>
      <c r="AX102" s="24" t="n"/>
      <c r="AY102" s="23" t="n"/>
      <c r="AZ102" s="24" t="n"/>
      <c r="BA102" s="25" t="n"/>
      <c r="BB102" s="24" t="n"/>
      <c r="BC102" s="23" t="n"/>
      <c r="BD102" s="24" t="n"/>
      <c r="BE102" s="25" t="n"/>
      <c r="BF102" s="24" t="n"/>
      <c r="BG102" s="23" t="n"/>
      <c r="BH102" s="24" t="n"/>
      <c r="BI102" s="25" t="n"/>
      <c r="BJ102" s="24" t="n"/>
      <c r="BK102" s="340" t="n"/>
      <c r="BL102" s="803">
        <f>SUMPRODUCT(--(MOD(COLUMN($O102:$AL102),4)=MOD(COLUMN($O102)+0,4)),$O102:$AL102)
+SUMPRODUCT(--(MOD(COLUMN($AM102:$BJ102),4)=MOD(COLUMN($AM102)+0,4)),$AM102:$BJ102)</f>
        <v/>
      </c>
      <c r="BM102" s="803">
        <f>SUMPRODUCT(--(MOD(COLUMN($O102:$AL102),4)=MOD(COLUMN($O102)+0,4)),$O102:$AL102)*
$I102+SUMPRODUCT(--(MOD(COLUMN($AM102:$BJ102),4)=MOD(COLUMN($AM102)+0,4)),$AM102:$BJ102)*$I102</f>
        <v/>
      </c>
      <c r="BN102" s="805">
        <f>SUMPRODUCT(--(MOD(COLUMN($O102:$AL102),4)=MOD(COLUMN($O102)+1,4)),$O102:$AL102)
+SUMPRODUCT(--(MOD(COLUMN($AM102:$BJ102),4)=MOD(COLUMN($AM102)+1,4)),$AM102:$BJ102)</f>
        <v/>
      </c>
      <c r="BO102" s="806">
        <f>SUMPRODUCT(--(MOD(COLUMN($O102:$AL102),4)=MOD(COLUMN($O102)+1,4)),$O102:$AL102)*
$I102+SUMPRODUCT(--(MOD(COLUMN($AM102:$BJ102),4)=MOD(COLUMN($AM102)+1,4)),$AM102:$BJ102)*$I102</f>
        <v/>
      </c>
      <c r="BP102" s="807">
        <f>SUMPRODUCT(--(MOD(COLUMN($O102:$AL102),4)=MOD(COLUMN($O102)+2,4)),$O102:$AL102)
+SUMPRODUCT(--(MOD(COLUMN($AM102:$BJ102),4)=MOD(COLUMN($AM102)+2,4)),$AM102:$BJ102)</f>
        <v/>
      </c>
      <c r="BQ102" s="808">
        <f>SUMPRODUCT(--(MOD(COLUMN($O102:$AL102),4)=MOD(COLUMN($O102)+2,4)),$O102:$AL102)*
$I102+SUMPRODUCT(--(MOD(COLUMN($AM102:$BJ102),4)=MOD(COLUMN($AM102)+2,4)),$AM102:$BJ102)*$I102</f>
        <v/>
      </c>
      <c r="BR102" s="801" t="n"/>
      <c r="BS102" s="819" t="n"/>
      <c r="BT102" s="23" t="n"/>
      <c r="BU102" s="24" t="n"/>
      <c r="BV102" s="25" t="n"/>
      <c r="BW102" s="24" t="n"/>
      <c r="BX102" s="23" t="n"/>
      <c r="BY102" s="24" t="n"/>
      <c r="BZ102" s="25" t="n"/>
      <c r="CA102" s="24" t="n"/>
      <c r="CB102" s="23" t="n"/>
      <c r="CC102" s="24" t="n"/>
      <c r="CD102" s="25" t="n"/>
      <c r="CE102" s="24" t="n"/>
      <c r="CF102" s="23" t="n"/>
      <c r="CG102" s="24" t="n"/>
      <c r="CH102" s="25" t="n"/>
      <c r="CI102" s="24" t="n"/>
      <c r="CJ102" s="23" t="n"/>
      <c r="CK102" s="24" t="n"/>
      <c r="CL102" s="25" t="n"/>
      <c r="CM102" s="24" t="n"/>
      <c r="CN102" s="23" t="n"/>
      <c r="CO102" s="24" t="n"/>
      <c r="CP102" s="25" t="n"/>
      <c r="CQ102" s="24" t="n"/>
      <c r="CR102" s="23" t="n"/>
      <c r="CS102" s="24" t="n"/>
      <c r="CT102" s="25" t="n"/>
      <c r="CU102" s="24" t="n"/>
      <c r="CV102" s="23" t="n"/>
      <c r="CW102" s="24" t="n"/>
      <c r="CX102" s="25" t="n"/>
      <c r="CY102" s="24" t="n"/>
      <c r="CZ102" s="23" t="n"/>
      <c r="DA102" s="24" t="n"/>
      <c r="DB102" s="25" t="n"/>
      <c r="DC102" s="24" t="n"/>
      <c r="DD102" s="23" t="n"/>
      <c r="DE102" s="24" t="n"/>
      <c r="DF102" s="25" t="n"/>
      <c r="DG102" s="24" t="n"/>
      <c r="DH102" s="23" t="n"/>
      <c r="DI102" s="24" t="n"/>
      <c r="DJ102" s="25" t="n"/>
      <c r="DK102" s="24" t="n"/>
      <c r="DL102" s="23" t="n"/>
      <c r="DM102" s="24" t="n"/>
      <c r="DN102" s="25" t="n"/>
      <c r="DO102" s="24" t="n"/>
      <c r="DP102" s="340" t="n"/>
      <c r="DQ102" s="803">
        <f>SUMPRODUCT(--(MOD(COLUMN(BT102:CQ102),4)=MOD(COLUMN(BT102),4)),BT102:CQ102)+SUMPRODUCT(--(MOD(COLUMN(CR102:DO102),4)=MOD(COLUMN(CR102),4)),CR102:DO102)</f>
        <v/>
      </c>
      <c r="DR102" s="803">
        <f>SUMPRODUCT(--(MOD(COLUMN(BT102:CQ102),4)=MOD(COLUMN(BT102),4)),BT102:CQ102)*$I102+SUMPRODUCT(--(MOD(COLUMN(CR102:DO102),4)=MOD(COLUMN(CR102),4)),CR102:DO102)*$I102</f>
        <v/>
      </c>
      <c r="DS102" s="801" t="n"/>
      <c r="DT102" s="819" t="n"/>
      <c r="DU102" s="23" t="n"/>
      <c r="DV102" s="24" t="n"/>
      <c r="DW102" s="25" t="n"/>
      <c r="DX102" s="24" t="n"/>
      <c r="DY102" s="23" t="n"/>
      <c r="DZ102" s="24" t="n"/>
      <c r="EA102" s="25" t="n"/>
      <c r="EB102" s="24" t="n"/>
      <c r="EC102" s="23" t="n"/>
      <c r="ED102" s="24" t="n"/>
      <c r="EE102" s="25" t="n"/>
      <c r="EF102" s="24" t="n"/>
      <c r="EG102" s="23" t="n"/>
      <c r="EH102" s="24" t="n"/>
      <c r="EI102" s="25" t="n"/>
      <c r="EJ102" s="24" t="n"/>
      <c r="EK102" s="23" t="n"/>
      <c r="EL102" s="24" t="n"/>
      <c r="EM102" s="25" t="n"/>
      <c r="EN102" s="24" t="n"/>
      <c r="EO102" s="23" t="n"/>
      <c r="EP102" s="24" t="n"/>
      <c r="EQ102" s="25" t="n"/>
      <c r="ER102" s="24" t="n"/>
      <c r="ES102" s="23" t="n"/>
      <c r="ET102" s="24" t="n"/>
      <c r="EU102" s="25" t="n"/>
      <c r="EV102" s="24" t="n"/>
      <c r="EW102" s="23" t="n"/>
      <c r="EX102" s="24" t="n"/>
      <c r="EY102" s="25" t="n"/>
      <c r="EZ102" s="24" t="n"/>
      <c r="FA102" s="23" t="n"/>
      <c r="FB102" s="24" t="n"/>
      <c r="FC102" s="25" t="n"/>
      <c r="FD102" s="24" t="n"/>
      <c r="FE102" s="23" t="n"/>
      <c r="FF102" s="24" t="n"/>
      <c r="FG102" s="25" t="n"/>
      <c r="FH102" s="24" t="n"/>
      <c r="FI102" s="23" t="n"/>
      <c r="FJ102" s="24" t="n"/>
      <c r="FK102" s="25" t="n"/>
      <c r="FL102" s="24" t="n"/>
      <c r="FM102" s="23" t="n"/>
      <c r="FN102" s="24" t="n"/>
      <c r="FO102" s="25" t="n"/>
      <c r="FP102" s="24" t="n"/>
      <c r="FQ102" s="340" t="n"/>
      <c r="FR102" s="803">
        <f>SUMPRODUCT(--(MOD(COLUMN(DU102:ER102),4)=MOD(COLUMN(DU102),4)),DU102:ER102)+SUMPRODUCT(--(MOD(COLUMN(ES102:FP102),4)=MOD(COLUMN(ES102),4)),ES102:FP102)</f>
        <v/>
      </c>
      <c r="FS102" s="803">
        <f>SUMPRODUCT(--(MOD(COLUMN(DU102:ER102),4)=MOD(COLUMN(DU102),4)),DU102:ER102)*$I102+SUMPRODUCT(--(MOD(COLUMN(ES102:FP102),4)=MOD(COLUMN(ES102),4)),ES102:FP102)*$I102</f>
        <v/>
      </c>
      <c r="FT102" s="361" t="n"/>
    </row>
    <row r="103" outlineLevel="2">
      <c r="A103" s="56" t="inlineStr">
        <is>
          <t>ПОЛИТРАНС ООО ПКФ</t>
        </is>
      </c>
      <c r="B103" s="387" t="inlineStr">
        <is>
          <t>Оплата 50/50</t>
        </is>
      </c>
      <c r="C103" s="541" t="inlineStr">
        <is>
          <t>ВБК Восток</t>
        </is>
      </c>
      <c r="D103" s="565" t="inlineStr">
        <is>
          <t>Прасолов, Соловьёв</t>
        </is>
      </c>
      <c r="E103" s="10">
        <f>IF(ISBLANK(G103),"",IF($A$6:$A$330=$A103,COUNTIF($A$6:A103,$A103),""))</f>
        <v/>
      </c>
      <c r="F103" s="10" t="n">
        <v>1</v>
      </c>
      <c r="G103" s="55" t="n">
        <v>9253771100</v>
      </c>
      <c r="H103" s="54" t="inlineStr">
        <is>
          <t>Энергоаккумулятор тип 30/30</t>
        </is>
      </c>
      <c r="I103" s="617">
        <f>305/НДС_20</f>
        <v/>
      </c>
      <c r="J103" s="617" t="n"/>
      <c r="K103" s="872" t="n"/>
      <c r="L103" s="617">
        <f>IF(K103="RUB",J103/ЮАНЬ,IF(K103="EUR",J103*ЕВРО/ЮАНЬ,""))</f>
        <v/>
      </c>
      <c r="M103" s="873" t="n"/>
      <c r="N103" s="871">
        <f>IF(BP103&gt;0,1,IF(BN103&gt;0,2,))</f>
        <v/>
      </c>
      <c r="O103" s="23" t="n"/>
      <c r="P103" s="24" t="n"/>
      <c r="Q103" s="25" t="n"/>
      <c r="R103" s="24" t="n"/>
      <c r="S103" s="23" t="n"/>
      <c r="T103" s="24" t="n"/>
      <c r="U103" s="25" t="n"/>
      <c r="V103" s="24" t="n"/>
      <c r="W103" s="23" t="n"/>
      <c r="X103" s="24" t="n"/>
      <c r="Y103" s="25" t="n"/>
      <c r="Z103" s="24" t="n"/>
      <c r="AA103" s="23" t="n"/>
      <c r="AB103" s="24" t="n"/>
      <c r="AC103" s="25" t="n"/>
      <c r="AD103" s="24" t="n"/>
      <c r="AE103" s="23" t="n"/>
      <c r="AF103" s="24" t="n"/>
      <c r="AG103" s="25" t="n"/>
      <c r="AH103" s="24" t="n"/>
      <c r="AI103" s="23" t="n"/>
      <c r="AJ103" s="24" t="n"/>
      <c r="AK103" s="25" t="n"/>
      <c r="AL103" s="24" t="n"/>
      <c r="AM103" s="23" t="n"/>
      <c r="AN103" s="24" t="n"/>
      <c r="AO103" s="25" t="n"/>
      <c r="AP103" s="24" t="n"/>
      <c r="AQ103" s="23" t="n"/>
      <c r="AR103" s="24" t="n"/>
      <c r="AS103" s="25" t="n"/>
      <c r="AT103" s="24" t="n"/>
      <c r="AU103" s="23" t="n"/>
      <c r="AV103" s="24" t="n"/>
      <c r="AW103" s="25" t="n"/>
      <c r="AX103" s="24" t="n"/>
      <c r="AY103" s="23" t="n"/>
      <c r="AZ103" s="24" t="n"/>
      <c r="BA103" s="25" t="n"/>
      <c r="BB103" s="24" t="n"/>
      <c r="BC103" s="23" t="n"/>
      <c r="BD103" s="24" t="n"/>
      <c r="BE103" s="25" t="n"/>
      <c r="BF103" s="24" t="n"/>
      <c r="BG103" s="23" t="n"/>
      <c r="BH103" s="24" t="n"/>
      <c r="BI103" s="25" t="n"/>
      <c r="BJ103" s="24" t="n"/>
      <c r="BK103" s="340" t="n"/>
      <c r="BL103" s="803">
        <f>SUMPRODUCT(--(MOD(COLUMN($O103:$AL103),4)=MOD(COLUMN($O103)+0,4)),$O103:$AL103)
+SUMPRODUCT(--(MOD(COLUMN($AM103:$BJ103),4)=MOD(COLUMN($AM103)+0,4)),$AM103:$BJ103)</f>
        <v/>
      </c>
      <c r="BM103" s="803">
        <f>SUMPRODUCT(--(MOD(COLUMN($O103:$AL103),4)=MOD(COLUMN($O103)+0,4)),$O103:$AL103)*
$I103+SUMPRODUCT(--(MOD(COLUMN($AM103:$BJ103),4)=MOD(COLUMN($AM103)+0,4)),$AM103:$BJ103)*$I103</f>
        <v/>
      </c>
      <c r="BN103" s="805">
        <f>SUMPRODUCT(--(MOD(COLUMN($O103:$AL103),4)=MOD(COLUMN($O103)+1,4)),$O103:$AL103)
+SUMPRODUCT(--(MOD(COLUMN($AM103:$BJ103),4)=MOD(COLUMN($AM103)+1,4)),$AM103:$BJ103)</f>
        <v/>
      </c>
      <c r="BO103" s="806">
        <f>SUMPRODUCT(--(MOD(COLUMN($O103:$AL103),4)=MOD(COLUMN($O103)+1,4)),$O103:$AL103)*
$I103+SUMPRODUCT(--(MOD(COLUMN($AM103:$BJ103),4)=MOD(COLUMN($AM103)+1,4)),$AM103:$BJ103)*$I103</f>
        <v/>
      </c>
      <c r="BP103" s="807">
        <f>SUMPRODUCT(--(MOD(COLUMN($O103:$AL103),4)=MOD(COLUMN($O103)+2,4)),$O103:$AL103)
+SUMPRODUCT(--(MOD(COLUMN($AM103:$BJ103),4)=MOD(COLUMN($AM103)+2,4)),$AM103:$BJ103)</f>
        <v/>
      </c>
      <c r="BQ103" s="808">
        <f>SUMPRODUCT(--(MOD(COLUMN($O103:$AL103),4)=MOD(COLUMN($O103)+2,4)),$O103:$AL103)*
$I103+SUMPRODUCT(--(MOD(COLUMN($AM103:$BJ103),4)=MOD(COLUMN($AM103)+2,4)),$AM103:$BJ103)*$I103</f>
        <v/>
      </c>
      <c r="BR103" s="801" t="n"/>
      <c r="BS103" s="819" t="n"/>
      <c r="BT103" s="23" t="n"/>
      <c r="BU103" s="24" t="n"/>
      <c r="BV103" s="25" t="n"/>
      <c r="BW103" s="24" t="n"/>
      <c r="BX103" s="23" t="n"/>
      <c r="BY103" s="24" t="n"/>
      <c r="BZ103" s="25" t="n"/>
      <c r="CA103" s="24" t="n"/>
      <c r="CB103" s="23" t="n"/>
      <c r="CC103" s="24" t="n"/>
      <c r="CD103" s="25" t="n"/>
      <c r="CE103" s="24" t="n"/>
      <c r="CF103" s="23" t="n"/>
      <c r="CG103" s="24" t="n"/>
      <c r="CH103" s="25" t="n"/>
      <c r="CI103" s="24" t="n"/>
      <c r="CJ103" s="23" t="n"/>
      <c r="CK103" s="24" t="n"/>
      <c r="CL103" s="25" t="n"/>
      <c r="CM103" s="24" t="n"/>
      <c r="CN103" s="23" t="n"/>
      <c r="CO103" s="24" t="n"/>
      <c r="CP103" s="25" t="n"/>
      <c r="CQ103" s="24" t="n"/>
      <c r="CR103" s="23" t="n"/>
      <c r="CS103" s="24" t="n"/>
      <c r="CT103" s="25" t="n"/>
      <c r="CU103" s="24" t="n"/>
      <c r="CV103" s="23" t="n"/>
      <c r="CW103" s="24" t="n"/>
      <c r="CX103" s="25" t="n"/>
      <c r="CY103" s="24" t="n"/>
      <c r="CZ103" s="23" t="n"/>
      <c r="DA103" s="24" t="n"/>
      <c r="DB103" s="25" t="n"/>
      <c r="DC103" s="24" t="n"/>
      <c r="DD103" s="23" t="n"/>
      <c r="DE103" s="24" t="n"/>
      <c r="DF103" s="25" t="n"/>
      <c r="DG103" s="24" t="n"/>
      <c r="DH103" s="23" t="n"/>
      <c r="DI103" s="24" t="n"/>
      <c r="DJ103" s="25" t="n"/>
      <c r="DK103" s="24" t="n"/>
      <c r="DL103" s="23" t="n"/>
      <c r="DM103" s="24" t="n"/>
      <c r="DN103" s="25" t="n"/>
      <c r="DO103" s="24" t="n"/>
      <c r="DP103" s="340" t="n"/>
      <c r="DQ103" s="803">
        <f>SUMPRODUCT(--(MOD(COLUMN(BT103:CQ103),4)=MOD(COLUMN(BT103),4)),BT103:CQ103)+SUMPRODUCT(--(MOD(COLUMN(CR103:DO103),4)=MOD(COLUMN(CR103),4)),CR103:DO103)</f>
        <v/>
      </c>
      <c r="DR103" s="803">
        <f>SUMPRODUCT(--(MOD(COLUMN(BT103:CQ103),4)=MOD(COLUMN(BT103),4)),BT103:CQ103)*$I103+SUMPRODUCT(--(MOD(COLUMN(CR103:DO103),4)=MOD(COLUMN(CR103),4)),CR103:DO103)*$I103</f>
        <v/>
      </c>
      <c r="DS103" s="801" t="n"/>
      <c r="DT103" s="819" t="n"/>
      <c r="DU103" s="23" t="n"/>
      <c r="DV103" s="24" t="n"/>
      <c r="DW103" s="25" t="n"/>
      <c r="DX103" s="24" t="n"/>
      <c r="DY103" s="23" t="n"/>
      <c r="DZ103" s="24" t="n"/>
      <c r="EA103" s="25" t="n"/>
      <c r="EB103" s="24" t="n"/>
      <c r="EC103" s="23" t="n"/>
      <c r="ED103" s="24" t="n"/>
      <c r="EE103" s="25" t="n"/>
      <c r="EF103" s="24" t="n"/>
      <c r="EG103" s="23" t="n"/>
      <c r="EH103" s="24" t="n"/>
      <c r="EI103" s="25" t="n"/>
      <c r="EJ103" s="24" t="n"/>
      <c r="EK103" s="23" t="n"/>
      <c r="EL103" s="24" t="n"/>
      <c r="EM103" s="25" t="n"/>
      <c r="EN103" s="24" t="n"/>
      <c r="EO103" s="23" t="n"/>
      <c r="EP103" s="24" t="n"/>
      <c r="EQ103" s="25" t="n"/>
      <c r="ER103" s="24" t="n"/>
      <c r="ES103" s="23" t="n"/>
      <c r="ET103" s="24" t="n"/>
      <c r="EU103" s="25" t="n"/>
      <c r="EV103" s="24" t="n"/>
      <c r="EW103" s="23" t="n"/>
      <c r="EX103" s="24" t="n"/>
      <c r="EY103" s="25" t="n"/>
      <c r="EZ103" s="24" t="n"/>
      <c r="FA103" s="23" t="n"/>
      <c r="FB103" s="24" t="n"/>
      <c r="FC103" s="25" t="n"/>
      <c r="FD103" s="24" t="n"/>
      <c r="FE103" s="23" t="n"/>
      <c r="FF103" s="24" t="n"/>
      <c r="FG103" s="25" t="n"/>
      <c r="FH103" s="24" t="n"/>
      <c r="FI103" s="23" t="n"/>
      <c r="FJ103" s="24" t="n"/>
      <c r="FK103" s="25" t="n"/>
      <c r="FL103" s="24" t="n"/>
      <c r="FM103" s="23" t="n"/>
      <c r="FN103" s="24" t="n"/>
      <c r="FO103" s="25" t="n"/>
      <c r="FP103" s="24" t="n"/>
      <c r="FQ103" s="340" t="n"/>
      <c r="FR103" s="803">
        <f>SUMPRODUCT(--(MOD(COLUMN(DU103:ER103),4)=MOD(COLUMN(DU103),4)),DU103:ER103)+SUMPRODUCT(--(MOD(COLUMN(ES103:FP103),4)=MOD(COLUMN(ES103),4)),ES103:FP103)</f>
        <v/>
      </c>
      <c r="FS103" s="803">
        <f>SUMPRODUCT(--(MOD(COLUMN(DU103:ER103),4)=MOD(COLUMN(DU103),4)),DU103:ER103)*$I103+SUMPRODUCT(--(MOD(COLUMN(ES103:FP103),4)=MOD(COLUMN(ES103),4)),ES103:FP103)*$I103</f>
        <v/>
      </c>
      <c r="FT103" s="361" t="n"/>
    </row>
    <row r="104" outlineLevel="2">
      <c r="A104" s="56" t="inlineStr">
        <is>
          <t>ПОЛИТРАНС ООО ПКФ</t>
        </is>
      </c>
      <c r="B104" s="387" t="n"/>
      <c r="C104" s="541" t="n"/>
      <c r="D104" s="565" t="n"/>
      <c r="E104" s="13">
        <f>IF(ISBLANK(G104),"",IF($A$6:$A$330=$A104,COUNTIF($A$6:A104,$A104),""))</f>
        <v/>
      </c>
      <c r="F104" s="13" t="n"/>
      <c r="G104" s="111" t="n"/>
      <c r="H104" s="607" t="inlineStr">
        <is>
          <t>Итого</t>
        </is>
      </c>
      <c r="I104" s="617" t="n"/>
      <c r="J104" s="617" t="n"/>
      <c r="K104" s="872" t="n"/>
      <c r="L104" s="617">
        <f>IF(K104="RUB",J104/ЮАНЬ,IF(K104="EUR",J104*ЕВРО/ЮАНЬ,""))</f>
        <v/>
      </c>
      <c r="M104" s="873" t="n"/>
      <c r="N104" s="871">
        <f>IF(BP104&gt;0,1,IF(BN104&gt;0,2,))</f>
        <v/>
      </c>
      <c r="O104" s="40" t="n"/>
      <c r="P104" s="41" t="n"/>
      <c r="Q104" s="42" t="n"/>
      <c r="R104" s="41" t="n"/>
      <c r="S104" s="40" t="n"/>
      <c r="T104" s="41" t="n"/>
      <c r="U104" s="42" t="n"/>
      <c r="V104" s="41" t="n"/>
      <c r="W104" s="40" t="n"/>
      <c r="X104" s="41" t="n"/>
      <c r="Y104" s="42" t="n"/>
      <c r="Z104" s="41" t="n"/>
      <c r="AA104" s="40" t="n"/>
      <c r="AB104" s="41" t="n"/>
      <c r="AC104" s="42" t="n"/>
      <c r="AD104" s="41" t="n"/>
      <c r="AE104" s="40" t="n"/>
      <c r="AF104" s="41" t="n"/>
      <c r="AG104" s="42" t="n"/>
      <c r="AH104" s="41" t="n"/>
      <c r="AI104" s="40" t="n"/>
      <c r="AJ104" s="41" t="n"/>
      <c r="AK104" s="42" t="n"/>
      <c r="AL104" s="41" t="n"/>
      <c r="AM104" s="40" t="n"/>
      <c r="AN104" s="41" t="n"/>
      <c r="AO104" s="42" t="n"/>
      <c r="AP104" s="41" t="n"/>
      <c r="AQ104" s="40" t="n"/>
      <c r="AR104" s="41" t="n"/>
      <c r="AS104" s="42" t="n"/>
      <c r="AT104" s="41" t="n"/>
      <c r="AU104" s="40" t="n"/>
      <c r="AV104" s="41" t="n"/>
      <c r="AW104" s="42" t="n"/>
      <c r="AX104" s="41" t="n"/>
      <c r="AY104" s="40" t="n"/>
      <c r="AZ104" s="41" t="n"/>
      <c r="BA104" s="42" t="n"/>
      <c r="BB104" s="41" t="n"/>
      <c r="BC104" s="40" t="n"/>
      <c r="BD104" s="41" t="n"/>
      <c r="BE104" s="42" t="n"/>
      <c r="BF104" s="41" t="n"/>
      <c r="BG104" s="40" t="n"/>
      <c r="BH104" s="41" t="n"/>
      <c r="BI104" s="42" t="n"/>
      <c r="BJ104" s="43" t="n"/>
      <c r="BK104" s="341" t="n"/>
      <c r="BL104" s="811">
        <f>SUMPRODUCT(--(MOD(COLUMN($O104:$AL104),4)=MOD(COLUMN($O104)+0,4)),$O104:$AL104)
+SUMPRODUCT(--(MOD(COLUMN($AM104:$BJ104),4)=MOD(COLUMN($AM104)+0,4)),$AM104:$BJ104)</f>
        <v/>
      </c>
      <c r="BM104" s="811">
        <f>SUMPRODUCT(--(MOD(COLUMN($O104:$AL104),4)=MOD(COLUMN($O104)+0,4)),$O104:$AL104)*
$I104+SUMPRODUCT(--(MOD(COLUMN($AM104:$BJ104),4)=MOD(COLUMN($AM104)+0,4)),$AM104:$BJ104)*$I104</f>
        <v/>
      </c>
      <c r="BN104" s="805">
        <f>SUMPRODUCT(--(MOD(COLUMN($O104:$AL104),4)=MOD(COLUMN($O104)+1,4)),$O104:$AL104)
+SUMPRODUCT(--(MOD(COLUMN($AM104:$BJ104),4)=MOD(COLUMN($AM104)+1,4)),$AM104:$BJ104)</f>
        <v/>
      </c>
      <c r="BO104" s="806">
        <f>SUMPRODUCT(--(MOD(COLUMN($O104:$AL104),4)=MOD(COLUMN($O104)+1,4)),$O104:$AL104)*
$I104+SUMPRODUCT(--(MOD(COLUMN($AM104:$BJ104),4)=MOD(COLUMN($AM104)+1,4)),$AM104:$BJ104)*$I104</f>
        <v/>
      </c>
      <c r="BP104" s="807">
        <f>SUMPRODUCT(--(MOD(COLUMN($O104:$AL104),4)=MOD(COLUMN($O104)+2,4)),$O104:$AL104)
+SUMPRODUCT(--(MOD(COLUMN($AM104:$BJ104),4)=MOD(COLUMN($AM104)+2,4)),$AM104:$BJ104)</f>
        <v/>
      </c>
      <c r="BQ104" s="808">
        <f>SUMPRODUCT(--(MOD(COLUMN($O104:$AL104),4)=MOD(COLUMN($O104)+2,4)),$O104:$AL104)*
$I104+SUMPRODUCT(--(MOD(COLUMN($AM104:$BJ104),4)=MOD(COLUMN($AM104)+2,4)),$AM104:$BJ104)*$I104</f>
        <v/>
      </c>
      <c r="BR104" s="801" t="n"/>
      <c r="BS104" s="819" t="n"/>
      <c r="BT104" s="40" t="n"/>
      <c r="BU104" s="41" t="n"/>
      <c r="BV104" s="42" t="n"/>
      <c r="BW104" s="41" t="n"/>
      <c r="BX104" s="40" t="n"/>
      <c r="BY104" s="41" t="n"/>
      <c r="BZ104" s="42" t="n"/>
      <c r="CA104" s="41" t="n"/>
      <c r="CB104" s="40" t="n"/>
      <c r="CC104" s="41" t="n"/>
      <c r="CD104" s="42" t="n"/>
      <c r="CE104" s="41" t="n"/>
      <c r="CF104" s="40" t="n"/>
      <c r="CG104" s="41" t="n"/>
      <c r="CH104" s="42" t="n"/>
      <c r="CI104" s="41" t="n"/>
      <c r="CJ104" s="40" t="n"/>
      <c r="CK104" s="41" t="n"/>
      <c r="CL104" s="42" t="n"/>
      <c r="CM104" s="41" t="n"/>
      <c r="CN104" s="40" t="n"/>
      <c r="CO104" s="41" t="n"/>
      <c r="CP104" s="42" t="n"/>
      <c r="CQ104" s="41" t="n"/>
      <c r="CR104" s="40" t="n"/>
      <c r="CS104" s="41" t="n"/>
      <c r="CT104" s="42" t="n"/>
      <c r="CU104" s="41" t="n"/>
      <c r="CV104" s="40" t="n"/>
      <c r="CW104" s="41" t="n"/>
      <c r="CX104" s="42" t="n"/>
      <c r="CY104" s="41" t="n"/>
      <c r="CZ104" s="40" t="n"/>
      <c r="DA104" s="41" t="n"/>
      <c r="DB104" s="42" t="n"/>
      <c r="DC104" s="41" t="n"/>
      <c r="DD104" s="40" t="n"/>
      <c r="DE104" s="41" t="n"/>
      <c r="DF104" s="42" t="n"/>
      <c r="DG104" s="41" t="n"/>
      <c r="DH104" s="40" t="n"/>
      <c r="DI104" s="41" t="n"/>
      <c r="DJ104" s="42" t="n"/>
      <c r="DK104" s="41" t="n"/>
      <c r="DL104" s="40" t="n"/>
      <c r="DM104" s="41" t="n"/>
      <c r="DN104" s="42" t="n"/>
      <c r="DO104" s="43" t="n"/>
      <c r="DP104" s="341" t="n"/>
      <c r="DQ104" s="811">
        <f>SUMPRODUCT(--(MOD(COLUMN(BT104:CQ104),4)=MOD(COLUMN(BT104),4)),BT104:CQ104)+SUMPRODUCT(--(MOD(COLUMN(CR104:DO104),4)=MOD(COLUMN(CR104),4)),CR104:DO104)</f>
        <v/>
      </c>
      <c r="DR104" s="811">
        <f>SUMPRODUCT(--(MOD(COLUMN(BT104:CQ104),4)=MOD(COLUMN(BT104),4)),BT104:CQ104)*$I104+SUMPRODUCT(--(MOD(COLUMN(CR104:DO104),4)=MOD(COLUMN(CR104),4)),CR104:DO104)*$I104</f>
        <v/>
      </c>
      <c r="DS104" s="801" t="n"/>
      <c r="DT104" s="819" t="n"/>
      <c r="DU104" s="40" t="n"/>
      <c r="DV104" s="41" t="n"/>
      <c r="DW104" s="42" t="n"/>
      <c r="DX104" s="41" t="n"/>
      <c r="DY104" s="40" t="n"/>
      <c r="DZ104" s="41" t="n"/>
      <c r="EA104" s="42" t="n"/>
      <c r="EB104" s="41" t="n"/>
      <c r="EC104" s="40" t="n"/>
      <c r="ED104" s="41" t="n"/>
      <c r="EE104" s="42" t="n"/>
      <c r="EF104" s="41" t="n"/>
      <c r="EG104" s="40" t="n"/>
      <c r="EH104" s="41" t="n"/>
      <c r="EI104" s="42" t="n"/>
      <c r="EJ104" s="41" t="n"/>
      <c r="EK104" s="40" t="n"/>
      <c r="EL104" s="41" t="n"/>
      <c r="EM104" s="42" t="n"/>
      <c r="EN104" s="41" t="n"/>
      <c r="EO104" s="40" t="n"/>
      <c r="EP104" s="41" t="n"/>
      <c r="EQ104" s="42" t="n"/>
      <c r="ER104" s="41" t="n"/>
      <c r="ES104" s="40" t="n"/>
      <c r="ET104" s="41" t="n"/>
      <c r="EU104" s="42" t="n"/>
      <c r="EV104" s="41" t="n"/>
      <c r="EW104" s="40" t="n"/>
      <c r="EX104" s="41" t="n"/>
      <c r="EY104" s="42" t="n"/>
      <c r="EZ104" s="41" t="n"/>
      <c r="FA104" s="40" t="n"/>
      <c r="FB104" s="41" t="n"/>
      <c r="FC104" s="42" t="n"/>
      <c r="FD104" s="41" t="n"/>
      <c r="FE104" s="40" t="n"/>
      <c r="FF104" s="41" t="n"/>
      <c r="FG104" s="42" t="n"/>
      <c r="FH104" s="41" t="n"/>
      <c r="FI104" s="40" t="n"/>
      <c r="FJ104" s="41" t="n"/>
      <c r="FK104" s="42" t="n"/>
      <c r="FL104" s="41" t="n"/>
      <c r="FM104" s="40" t="n"/>
      <c r="FN104" s="41" t="n"/>
      <c r="FO104" s="42" t="n"/>
      <c r="FP104" s="43" t="n"/>
      <c r="FQ104" s="341" t="n"/>
      <c r="FR104" s="811">
        <f>SUMPRODUCT(--(MOD(COLUMN(DU104:ER104),4)=MOD(COLUMN(DU104),4)),DU104:ER104)+SUMPRODUCT(--(MOD(COLUMN(ES104:FP104),4)=MOD(COLUMN(ES104),4)),ES104:FP104)</f>
        <v/>
      </c>
      <c r="FS104" s="811">
        <f>SUMPRODUCT(--(MOD(COLUMN(DU104:ER104),4)=MOD(COLUMN(DU104),4)),DU104:ER104)*$I104+SUMPRODUCT(--(MOD(COLUMN(ES104:FP104),4)=MOD(COLUMN(ES104),4)),ES104:FP104)*$I104</f>
        <v/>
      </c>
      <c r="FT104" s="361" t="n"/>
    </row>
    <row r="105" outlineLevel="1" customFormat="1" s="116">
      <c r="A105" s="46" t="inlineStr">
        <is>
          <t>ПОЛИТРАНС ООО ПКФ</t>
        </is>
      </c>
      <c r="B105" s="388" t="n"/>
      <c r="C105" s="650" t="n"/>
      <c r="D105" s="651" t="n"/>
      <c r="E105" s="118">
        <f>IF(ISBLANK(G105),"",IF($A$6:$A$330=$A105,COUNTIF($A$6:A105,$A105),""))</f>
        <v/>
      </c>
      <c r="F105" s="117" t="n"/>
      <c r="G105" s="119" t="n"/>
      <c r="H105" s="608" t="n"/>
      <c r="I105" s="620" t="n"/>
      <c r="J105" s="620" t="n"/>
      <c r="K105" s="120" t="n"/>
      <c r="L105" s="620">
        <f>IF(K105="RUB",J105/ЮАНЬ,IF(K105="EUR",J105*ЕВРО/ЮАНЬ,""))</f>
        <v/>
      </c>
      <c r="M105" s="873" t="n"/>
      <c r="N105" s="871">
        <f>IF(BP105&gt;0,1,IF(BN105&gt;0,2,))</f>
        <v/>
      </c>
      <c r="O105" s="121" t="n"/>
      <c r="P105" s="121" t="n"/>
      <c r="Q105" s="121" t="n"/>
      <c r="R105" s="121" t="n"/>
      <c r="S105" s="121" t="n"/>
      <c r="T105" s="121" t="n"/>
      <c r="U105" s="121" t="n"/>
      <c r="V105" s="121" t="n"/>
      <c r="W105" s="121" t="n"/>
      <c r="X105" s="121" t="n"/>
      <c r="Y105" s="121" t="n"/>
      <c r="Z105" s="121" t="n"/>
      <c r="AA105" s="121" t="n"/>
      <c r="AB105" s="121" t="n"/>
      <c r="AC105" s="121" t="n"/>
      <c r="AD105" s="121" t="n"/>
      <c r="AE105" s="121" t="n"/>
      <c r="AF105" s="121" t="n"/>
      <c r="AG105" s="121" t="n"/>
      <c r="AH105" s="121" t="n"/>
      <c r="AI105" s="121" t="n"/>
      <c r="AJ105" s="121" t="n"/>
      <c r="AK105" s="121" t="n"/>
      <c r="AL105" s="121" t="n"/>
      <c r="AM105" s="121" t="n"/>
      <c r="AN105" s="121" t="n"/>
      <c r="AO105" s="121" t="n"/>
      <c r="AP105" s="121" t="n"/>
      <c r="AQ105" s="121" t="n"/>
      <c r="AR105" s="121" t="n"/>
      <c r="AS105" s="121" t="n"/>
      <c r="AT105" s="121" t="n"/>
      <c r="AU105" s="121" t="n"/>
      <c r="AV105" s="121" t="n"/>
      <c r="AW105" s="121" t="n"/>
      <c r="AX105" s="121" t="n"/>
      <c r="AY105" s="121" t="n"/>
      <c r="AZ105" s="121" t="n"/>
      <c r="BA105" s="121" t="n"/>
      <c r="BB105" s="121" t="n"/>
      <c r="BC105" s="121" t="n"/>
      <c r="BD105" s="121" t="n"/>
      <c r="BE105" s="121" t="n"/>
      <c r="BF105" s="121" t="n"/>
      <c r="BG105" s="121" t="n"/>
      <c r="BH105" s="121" t="n"/>
      <c r="BI105" s="121" t="n"/>
      <c r="BJ105" s="121" t="n"/>
      <c r="BK105" s="356" t="n"/>
      <c r="BL105" s="814">
        <f>SUMPRODUCT(--(MOD(COLUMN($O105:$AL105),4)=MOD(COLUMN($O105)+0,4)),$O105:$AL105)
+SUMPRODUCT(--(MOD(COLUMN($AM105:$BJ105),4)=MOD(COLUMN($AM105)+0,4)),$AM105:$BJ105)</f>
        <v/>
      </c>
      <c r="BM105" s="814">
        <f>SUMPRODUCT(--(MOD(COLUMN($O105:$AL105),4)=MOD(COLUMN($O105)+0,4)),$O105:$AL105)*
$I105+SUMPRODUCT(--(MOD(COLUMN($AM105:$BJ105),4)=MOD(COLUMN($AM105)+0,4)),$AM105:$BJ105)*$I105</f>
        <v/>
      </c>
      <c r="BN105" s="814">
        <f>SUMPRODUCT(--(MOD(COLUMN($O105:$AL105),4)=MOD(COLUMN($O105)+1,4)),$O105:$AL105)
+SUMPRODUCT(--(MOD(COLUMN($AM105:$BJ105),4)=MOD(COLUMN($AM105)+1,4)),$AM105:$BJ105)</f>
        <v/>
      </c>
      <c r="BO105" s="814">
        <f>SUMPRODUCT(--(MOD(COLUMN($O105:$AL105),4)=MOD(COLUMN($O105)+1,4)),$O105:$AL105)*
$I105+SUMPRODUCT(--(MOD(COLUMN($AM105:$BJ105),4)=MOD(COLUMN($AM105)+1,4)),$AM105:$BJ105)*$I105</f>
        <v/>
      </c>
      <c r="BP105" s="814">
        <f>SUMPRODUCT(--(MOD(COLUMN($O105:$AL105),4)=MOD(COLUMN($O105)+2,4)),$O105:$AL105)
+SUMPRODUCT(--(MOD(COLUMN($AM105:$BJ105),4)=MOD(COLUMN($AM105)+2,4)),$AM105:$BJ105)</f>
        <v/>
      </c>
      <c r="BQ105" s="814">
        <f>SUMPRODUCT(--(MOD(COLUMN($O105:$AL105),4)=MOD(COLUMN($O105)+2,4)),$O105:$AL105)*
$I105+SUMPRODUCT(--(MOD(COLUMN($AM105:$BJ105),4)=MOD(COLUMN($AM105)+2,4)),$AM105:$BJ105)*$I105</f>
        <v/>
      </c>
      <c r="BR105" s="51" t="n"/>
      <c r="BS105" s="335" t="n"/>
      <c r="BT105" s="121" t="n"/>
      <c r="BU105" s="121" t="n"/>
      <c r="BV105" s="121" t="n"/>
      <c r="BW105" s="121" t="n"/>
      <c r="BX105" s="121" t="n"/>
      <c r="BY105" s="121" t="n"/>
      <c r="BZ105" s="121" t="n"/>
      <c r="CA105" s="121" t="n"/>
      <c r="CB105" s="121" t="n"/>
      <c r="CC105" s="121" t="n"/>
      <c r="CD105" s="121" t="n"/>
      <c r="CE105" s="121" t="n"/>
      <c r="CF105" s="121" t="n"/>
      <c r="CG105" s="121" t="n"/>
      <c r="CH105" s="121" t="n"/>
      <c r="CI105" s="121" t="n"/>
      <c r="CJ105" s="121" t="n"/>
      <c r="CK105" s="121" t="n"/>
      <c r="CL105" s="121" t="n"/>
      <c r="CM105" s="121" t="n"/>
      <c r="CN105" s="121" t="n"/>
      <c r="CO105" s="121" t="n"/>
      <c r="CP105" s="121" t="n"/>
      <c r="CQ105" s="121" t="n"/>
      <c r="CR105" s="121" t="n"/>
      <c r="CS105" s="121" t="n"/>
      <c r="CT105" s="121" t="n"/>
      <c r="CU105" s="121" t="n"/>
      <c r="CV105" s="121" t="n"/>
      <c r="CW105" s="121" t="n"/>
      <c r="CX105" s="121" t="n"/>
      <c r="CY105" s="121" t="n"/>
      <c r="CZ105" s="121" t="n"/>
      <c r="DA105" s="121" t="n"/>
      <c r="DB105" s="121" t="n"/>
      <c r="DC105" s="121" t="n"/>
      <c r="DD105" s="121" t="n"/>
      <c r="DE105" s="121" t="n"/>
      <c r="DF105" s="121" t="n"/>
      <c r="DG105" s="121" t="n"/>
      <c r="DH105" s="121" t="n"/>
      <c r="DI105" s="121" t="n"/>
      <c r="DJ105" s="121" t="n"/>
      <c r="DK105" s="121" t="n"/>
      <c r="DL105" s="121" t="n"/>
      <c r="DM105" s="121" t="n"/>
      <c r="DN105" s="121" t="n"/>
      <c r="DO105" s="121" t="n"/>
      <c r="DP105" s="356" t="n"/>
      <c r="DQ105" s="814">
        <f>SUMPRODUCT(--(MOD(COLUMN(BT105:CQ105),4)=MOD(COLUMN(BT105),4)),BT105:CQ105)+SUMPRODUCT(--(MOD(COLUMN(CR105:DO105),4)=MOD(COLUMN(CR105),4)),CR105:DO105)</f>
        <v/>
      </c>
      <c r="DR105" s="814">
        <f>SUMPRODUCT(--(MOD(COLUMN(BT105:CQ105),4)=MOD(COLUMN(BT105),4)),BT105:CQ105)*$I105+SUMPRODUCT(--(MOD(COLUMN(CR105:DO105),4)=MOD(COLUMN(CR105),4)),CR105:DO105)*$I105</f>
        <v/>
      </c>
      <c r="DS105" s="51" t="n"/>
      <c r="DT105" s="335" t="n"/>
      <c r="DU105" s="121" t="n"/>
      <c r="DV105" s="121" t="n"/>
      <c r="DW105" s="121" t="n"/>
      <c r="DX105" s="121" t="n"/>
      <c r="DY105" s="121" t="n"/>
      <c r="DZ105" s="121" t="n"/>
      <c r="EA105" s="121" t="n"/>
      <c r="EB105" s="121" t="n"/>
      <c r="EC105" s="121" t="n"/>
      <c r="ED105" s="121" t="n"/>
      <c r="EE105" s="121" t="n"/>
      <c r="EF105" s="121" t="n"/>
      <c r="EG105" s="121" t="n"/>
      <c r="EH105" s="121" t="n"/>
      <c r="EI105" s="121" t="n"/>
      <c r="EJ105" s="121" t="n"/>
      <c r="EK105" s="121" t="n"/>
      <c r="EL105" s="121" t="n"/>
      <c r="EM105" s="121" t="n"/>
      <c r="EN105" s="121" t="n"/>
      <c r="EO105" s="121" t="n"/>
      <c r="EP105" s="121" t="n"/>
      <c r="EQ105" s="121" t="n"/>
      <c r="ER105" s="121" t="n"/>
      <c r="ES105" s="121" t="n"/>
      <c r="ET105" s="121" t="n"/>
      <c r="EU105" s="121" t="n"/>
      <c r="EV105" s="121" t="n"/>
      <c r="EW105" s="121" t="n"/>
      <c r="EX105" s="121" t="n"/>
      <c r="EY105" s="121" t="n"/>
      <c r="EZ105" s="121" t="n"/>
      <c r="FA105" s="121" t="n"/>
      <c r="FB105" s="121" t="n"/>
      <c r="FC105" s="121" t="n"/>
      <c r="FD105" s="121" t="n"/>
      <c r="FE105" s="121" t="n"/>
      <c r="FF105" s="121" t="n"/>
      <c r="FG105" s="121" t="n"/>
      <c r="FH105" s="121" t="n"/>
      <c r="FI105" s="121" t="n"/>
      <c r="FJ105" s="121" t="n"/>
      <c r="FK105" s="121" t="n"/>
      <c r="FL105" s="121" t="n"/>
      <c r="FM105" s="121" t="n"/>
      <c r="FN105" s="121" t="n"/>
      <c r="FO105" s="121" t="n"/>
      <c r="FP105" s="121" t="n"/>
      <c r="FQ105" s="356" t="n"/>
      <c r="FR105" s="814">
        <f>SUMPRODUCT(--(MOD(COLUMN(DU105:ER105),4)=MOD(COLUMN(DU105),4)),DU105:ER105)+SUMPRODUCT(--(MOD(COLUMN(ES105:FP105),4)=MOD(COLUMN(ES105),4)),ES105:FP105)</f>
        <v/>
      </c>
      <c r="FS105" s="814">
        <f>SUMPRODUCT(--(MOD(COLUMN(DU105:ER105),4)=MOD(COLUMN(DU105),4)),DU105:ER105)*$I105+SUMPRODUCT(--(MOD(COLUMN(ES105:FP105),4)=MOD(COLUMN(ES105),4)),ES105:FP105)*$I105</f>
        <v/>
      </c>
      <c r="FT105" s="343" t="n"/>
    </row>
    <row r="106" outlineLevel="2">
      <c r="A106" s="56" t="inlineStr">
        <is>
          <t>ПАО «Уралавтоприцеп»</t>
        </is>
      </c>
      <c r="B106" s="387" t="inlineStr">
        <is>
          <t>Отсрочка 30 дней</t>
        </is>
      </c>
      <c r="C106" s="541" t="inlineStr">
        <is>
          <t>ВБК Восток</t>
        </is>
      </c>
      <c r="D106" s="565" t="inlineStr">
        <is>
          <t>Прасолов, Соловьёв</t>
        </is>
      </c>
      <c r="E106" s="10">
        <f>IF(ISBLANK(G106),"",IF($A$6:$A$330=$A106,COUNTIF($A$6:A106,$A106),""))</f>
        <v/>
      </c>
      <c r="F106" s="10" t="n">
        <v>1</v>
      </c>
      <c r="G106" s="55" t="n">
        <v>4231069000</v>
      </c>
      <c r="H106" s="54" t="inlineStr">
        <is>
          <t>Камера тормозная тип 24</t>
        </is>
      </c>
      <c r="I106" s="617">
        <f>145/НДС_20</f>
        <v/>
      </c>
      <c r="J106" s="617" t="n"/>
      <c r="K106" s="872" t="n"/>
      <c r="L106" s="617">
        <f>IF(K106="RUB",J106/ЮАНЬ,IF(K106="EUR",J106*ЕВРО/ЮАНЬ,""))</f>
        <v/>
      </c>
      <c r="M106" s="873" t="n"/>
      <c r="N106" s="871">
        <f>IF(BP106&gt;0,1,IF(BN106&gt;0,2,))</f>
        <v/>
      </c>
      <c r="O106" s="23" t="n"/>
      <c r="P106" s="24" t="n"/>
      <c r="Q106" s="25" t="n"/>
      <c r="R106" s="24" t="n"/>
      <c r="S106" s="23" t="n"/>
      <c r="T106" s="24" t="n"/>
      <c r="U106" s="25" t="n"/>
      <c r="V106" s="24" t="n"/>
      <c r="W106" s="23" t="n"/>
      <c r="X106" s="24" t="n"/>
      <c r="Y106" s="25" t="n"/>
      <c r="Z106" s="24" t="n"/>
      <c r="AA106" s="23" t="n"/>
      <c r="AB106" s="24" t="n"/>
      <c r="AC106" s="25" t="n"/>
      <c r="AD106" s="24" t="n"/>
      <c r="AE106" s="23" t="n"/>
      <c r="AF106" s="24" t="n"/>
      <c r="AG106" s="25" t="n"/>
      <c r="AH106" s="24" t="n"/>
      <c r="AI106" s="23" t="n"/>
      <c r="AJ106" s="24" t="n"/>
      <c r="AK106" s="25" t="n"/>
      <c r="AL106" s="24" t="n"/>
      <c r="AM106" s="23" t="n"/>
      <c r="AN106" s="24" t="n"/>
      <c r="AO106" s="25" t="n"/>
      <c r="AP106" s="24" t="n"/>
      <c r="AQ106" s="23" t="n"/>
      <c r="AR106" s="24" t="n"/>
      <c r="AS106" s="25" t="n"/>
      <c r="AT106" s="24" t="n"/>
      <c r="AU106" s="23" t="n"/>
      <c r="AV106" s="24" t="n"/>
      <c r="AW106" s="25" t="n"/>
      <c r="AX106" s="24" t="n"/>
      <c r="AY106" s="23" t="n"/>
      <c r="AZ106" s="24" t="n"/>
      <c r="BA106" s="25" t="n"/>
      <c r="BB106" s="24" t="n"/>
      <c r="BC106" s="23" t="n"/>
      <c r="BD106" s="24" t="n"/>
      <c r="BE106" s="25" t="n"/>
      <c r="BF106" s="24" t="n"/>
      <c r="BG106" s="23" t="n"/>
      <c r="BH106" s="24" t="n"/>
      <c r="BI106" s="25" t="n"/>
      <c r="BJ106" s="24" t="n"/>
      <c r="BK106" s="340" t="n"/>
      <c r="BL106" s="803">
        <f>SUMPRODUCT(--(MOD(COLUMN($O106:$AL106),4)=MOD(COLUMN($O106)+0,4)),$O106:$AL106)
+SUMPRODUCT(--(MOD(COLUMN($AM106:$BJ106),4)=MOD(COLUMN($AM106)+0,4)),$AM106:$BJ106)</f>
        <v/>
      </c>
      <c r="BM106" s="803">
        <f>SUMPRODUCT(--(MOD(COLUMN($O106:$AL106),4)=MOD(COLUMN($O106)+0,4)),$O106:$AL106)*
$I106+SUMPRODUCT(--(MOD(COLUMN($AM106:$BJ106),4)=MOD(COLUMN($AM106)+0,4)),$AM106:$BJ106)*$I106</f>
        <v/>
      </c>
      <c r="BN106" s="805">
        <f>SUMPRODUCT(--(MOD(COLUMN($O106:$AL106),4)=MOD(COLUMN($O106)+1,4)),$O106:$AL106)
+SUMPRODUCT(--(MOD(COLUMN($AM106:$BJ106),4)=MOD(COLUMN($AM106)+1,4)),$AM106:$BJ106)</f>
        <v/>
      </c>
      <c r="BO106" s="806">
        <f>SUMPRODUCT(--(MOD(COLUMN($O106:$AL106),4)=MOD(COLUMN($O106)+1,4)),$O106:$AL106)*
$I106+SUMPRODUCT(--(MOD(COLUMN($AM106:$BJ106),4)=MOD(COLUMN($AM106)+1,4)),$AM106:$BJ106)*$I106</f>
        <v/>
      </c>
      <c r="BP106" s="807">
        <f>SUMPRODUCT(--(MOD(COLUMN($O106:$AL106),4)=MOD(COLUMN($O106)+2,4)),$O106:$AL106)
+SUMPRODUCT(--(MOD(COLUMN($AM106:$BJ106),4)=MOD(COLUMN($AM106)+2,4)),$AM106:$BJ106)</f>
        <v/>
      </c>
      <c r="BQ106" s="808">
        <f>SUMPRODUCT(--(MOD(COLUMN($O106:$AL106),4)=MOD(COLUMN($O106)+2,4)),$O106:$AL106)*
$I106+SUMPRODUCT(--(MOD(COLUMN($AM106:$BJ106),4)=MOD(COLUMN($AM106)+2,4)),$AM106:$BJ106)*$I106</f>
        <v/>
      </c>
      <c r="BR106" s="801" t="n"/>
      <c r="BS106" s="819" t="n"/>
      <c r="BT106" s="23" t="n"/>
      <c r="BU106" s="24" t="n"/>
      <c r="BV106" s="25" t="n"/>
      <c r="BW106" s="24" t="n"/>
      <c r="BX106" s="23" t="n"/>
      <c r="BY106" s="24" t="n"/>
      <c r="BZ106" s="25" t="n"/>
      <c r="CA106" s="24" t="n"/>
      <c r="CB106" s="23" t="n"/>
      <c r="CC106" s="24" t="n"/>
      <c r="CD106" s="25" t="n"/>
      <c r="CE106" s="24" t="n"/>
      <c r="CF106" s="23" t="n"/>
      <c r="CG106" s="24" t="n"/>
      <c r="CH106" s="25" t="n"/>
      <c r="CI106" s="24" t="n"/>
      <c r="CJ106" s="23" t="n"/>
      <c r="CK106" s="24" t="n"/>
      <c r="CL106" s="25" t="n"/>
      <c r="CM106" s="24" t="n"/>
      <c r="CN106" s="23" t="n"/>
      <c r="CO106" s="24" t="n"/>
      <c r="CP106" s="25" t="n"/>
      <c r="CQ106" s="24" t="n"/>
      <c r="CR106" s="23" t="n"/>
      <c r="CS106" s="24" t="n"/>
      <c r="CT106" s="25" t="n"/>
      <c r="CU106" s="24" t="n"/>
      <c r="CV106" s="23" t="n"/>
      <c r="CW106" s="24" t="n"/>
      <c r="CX106" s="25" t="n"/>
      <c r="CY106" s="24" t="n"/>
      <c r="CZ106" s="23" t="n"/>
      <c r="DA106" s="24" t="n"/>
      <c r="DB106" s="25" t="n"/>
      <c r="DC106" s="24" t="n"/>
      <c r="DD106" s="23" t="n"/>
      <c r="DE106" s="24" t="n"/>
      <c r="DF106" s="25" t="n"/>
      <c r="DG106" s="24" t="n"/>
      <c r="DH106" s="23" t="n"/>
      <c r="DI106" s="24" t="n"/>
      <c r="DJ106" s="25" t="n"/>
      <c r="DK106" s="24" t="n"/>
      <c r="DL106" s="23" t="n"/>
      <c r="DM106" s="24" t="n"/>
      <c r="DN106" s="25" t="n"/>
      <c r="DO106" s="24" t="n"/>
      <c r="DP106" s="340" t="n"/>
      <c r="DQ106" s="803">
        <f>SUMPRODUCT(--(MOD(COLUMN(BT106:CQ106),4)=MOD(COLUMN(BT106),4)),BT106:CQ106)+SUMPRODUCT(--(MOD(COLUMN(CR106:DO106),4)=MOD(COLUMN(CR106),4)),CR106:DO106)</f>
        <v/>
      </c>
      <c r="DR106" s="803">
        <f>SUMPRODUCT(--(MOD(COLUMN(BT106:CQ106),4)=MOD(COLUMN(BT106),4)),BT106:CQ106)*$I106+SUMPRODUCT(--(MOD(COLUMN(CR106:DO106),4)=MOD(COLUMN(CR106),4)),CR106:DO106)*$I106</f>
        <v/>
      </c>
      <c r="DS106" s="801" t="n"/>
      <c r="DT106" s="819" t="n"/>
      <c r="DU106" s="23" t="n"/>
      <c r="DV106" s="24" t="n"/>
      <c r="DW106" s="25" t="n"/>
      <c r="DX106" s="24" t="n"/>
      <c r="DY106" s="23" t="n"/>
      <c r="DZ106" s="24" t="n"/>
      <c r="EA106" s="25" t="n"/>
      <c r="EB106" s="24" t="n"/>
      <c r="EC106" s="23" t="n"/>
      <c r="ED106" s="24" t="n"/>
      <c r="EE106" s="25" t="n"/>
      <c r="EF106" s="24" t="n"/>
      <c r="EG106" s="23" t="n"/>
      <c r="EH106" s="24" t="n"/>
      <c r="EI106" s="25" t="n"/>
      <c r="EJ106" s="24" t="n"/>
      <c r="EK106" s="23" t="n"/>
      <c r="EL106" s="24" t="n"/>
      <c r="EM106" s="25" t="n"/>
      <c r="EN106" s="24" t="n"/>
      <c r="EO106" s="23" t="n"/>
      <c r="EP106" s="24" t="n"/>
      <c r="EQ106" s="25" t="n"/>
      <c r="ER106" s="24" t="n"/>
      <c r="ES106" s="23" t="n"/>
      <c r="ET106" s="24" t="n"/>
      <c r="EU106" s="25" t="n"/>
      <c r="EV106" s="24" t="n"/>
      <c r="EW106" s="23" t="n"/>
      <c r="EX106" s="24" t="n"/>
      <c r="EY106" s="25" t="n"/>
      <c r="EZ106" s="24" t="n"/>
      <c r="FA106" s="23" t="n"/>
      <c r="FB106" s="24" t="n"/>
      <c r="FC106" s="25" t="n"/>
      <c r="FD106" s="24" t="n"/>
      <c r="FE106" s="23" t="n"/>
      <c r="FF106" s="24" t="n"/>
      <c r="FG106" s="25" t="n"/>
      <c r="FH106" s="24" t="n"/>
      <c r="FI106" s="23" t="n"/>
      <c r="FJ106" s="24" t="n"/>
      <c r="FK106" s="25" t="n"/>
      <c r="FL106" s="24" t="n"/>
      <c r="FM106" s="23" t="n"/>
      <c r="FN106" s="24" t="n"/>
      <c r="FO106" s="25" t="n"/>
      <c r="FP106" s="24" t="n"/>
      <c r="FQ106" s="340" t="n"/>
      <c r="FR106" s="803">
        <f>SUMPRODUCT(--(MOD(COLUMN(DU106:ER106),4)=MOD(COLUMN(DU106),4)),DU106:ER106)+SUMPRODUCT(--(MOD(COLUMN(ES106:FP106),4)=MOD(COLUMN(ES106),4)),ES106:FP106)</f>
        <v/>
      </c>
      <c r="FS106" s="803">
        <f>SUMPRODUCT(--(MOD(COLUMN(DU106:ER106),4)=MOD(COLUMN(DU106),4)),DU106:ER106)*$I106+SUMPRODUCT(--(MOD(COLUMN(ES106:FP106),4)=MOD(COLUMN(ES106),4)),ES106:FP106)*$I106</f>
        <v/>
      </c>
      <c r="FT106" s="361" t="n"/>
    </row>
    <row r="107" outlineLevel="2">
      <c r="A107" s="56" t="inlineStr">
        <is>
          <t>ПАО «Уралавтоприцеп»</t>
        </is>
      </c>
      <c r="B107" s="387" t="inlineStr">
        <is>
          <t>Отсрочка 30 дней</t>
        </is>
      </c>
      <c r="C107" s="541" t="inlineStr">
        <is>
          <t>ВБК Восток</t>
        </is>
      </c>
      <c r="D107" s="565" t="inlineStr">
        <is>
          <t>Прасолов, Соловьёв</t>
        </is>
      </c>
      <c r="E107" s="10">
        <f>IF(ISBLANK(G107),"",IF($A$6:$A$330=$A107,COUNTIF($A$6:A107,$A107),""))</f>
        <v/>
      </c>
      <c r="F107" s="10" t="n">
        <v>1</v>
      </c>
      <c r="G107" s="55" t="n">
        <v>4231079000</v>
      </c>
      <c r="H107" s="54" t="inlineStr">
        <is>
          <t>Камера тормозная тип 30</t>
        </is>
      </c>
      <c r="I107" s="617">
        <f>153/НДС_20</f>
        <v/>
      </c>
      <c r="J107" s="617" t="n"/>
      <c r="K107" s="872" t="n"/>
      <c r="L107" s="617">
        <f>IF(K107="RUB",J107/ЮАНЬ,IF(K107="EUR",J107*ЕВРО/ЮАНЬ,""))</f>
        <v/>
      </c>
      <c r="M107" s="873" t="n"/>
      <c r="N107" s="871">
        <f>IF(BP107&gt;0,1,IF(BN107&gt;0,2,))</f>
        <v/>
      </c>
      <c r="O107" s="23" t="n"/>
      <c r="P107" s="24" t="n"/>
      <c r="Q107" s="25" t="n"/>
      <c r="R107" s="24" t="n"/>
      <c r="S107" s="23" t="n"/>
      <c r="T107" s="24" t="n"/>
      <c r="U107" s="25" t="n"/>
      <c r="V107" s="24" t="n"/>
      <c r="W107" s="23" t="n"/>
      <c r="X107" s="24" t="n"/>
      <c r="Y107" s="25" t="n"/>
      <c r="Z107" s="24" t="n"/>
      <c r="AA107" s="23" t="n"/>
      <c r="AB107" s="24" t="n"/>
      <c r="AC107" s="25" t="n"/>
      <c r="AD107" s="24" t="n"/>
      <c r="AE107" s="23" t="n"/>
      <c r="AF107" s="24" t="n"/>
      <c r="AG107" s="25" t="n"/>
      <c r="AH107" s="24" t="n"/>
      <c r="AI107" s="23" t="n"/>
      <c r="AJ107" s="24" t="n"/>
      <c r="AK107" s="25" t="n"/>
      <c r="AL107" s="24" t="n"/>
      <c r="AM107" s="23" t="n"/>
      <c r="AN107" s="24" t="n"/>
      <c r="AO107" s="25" t="n"/>
      <c r="AP107" s="24" t="n"/>
      <c r="AQ107" s="23" t="n"/>
      <c r="AR107" s="24" t="n"/>
      <c r="AS107" s="25" t="n"/>
      <c r="AT107" s="24" t="n"/>
      <c r="AU107" s="23" t="n"/>
      <c r="AV107" s="24" t="n"/>
      <c r="AW107" s="25" t="n"/>
      <c r="AX107" s="24" t="n"/>
      <c r="AY107" s="23" t="n"/>
      <c r="AZ107" s="24" t="n"/>
      <c r="BA107" s="25" t="n"/>
      <c r="BB107" s="24" t="n"/>
      <c r="BC107" s="23" t="n"/>
      <c r="BD107" s="24" t="n"/>
      <c r="BE107" s="25" t="n"/>
      <c r="BF107" s="24" t="n"/>
      <c r="BG107" s="23" t="n"/>
      <c r="BH107" s="24" t="n"/>
      <c r="BI107" s="25" t="n"/>
      <c r="BJ107" s="24" t="n"/>
      <c r="BK107" s="340" t="n"/>
      <c r="BL107" s="803">
        <f>SUMPRODUCT(--(MOD(COLUMN($O107:$AL107),4)=MOD(COLUMN($O107)+0,4)),$O107:$AL107)
+SUMPRODUCT(--(MOD(COLUMN($AM107:$BJ107),4)=MOD(COLUMN($AM107)+0,4)),$AM107:$BJ107)</f>
        <v/>
      </c>
      <c r="BM107" s="803">
        <f>SUMPRODUCT(--(MOD(COLUMN($O107:$AL107),4)=MOD(COLUMN($O107)+0,4)),$O107:$AL107)*
$I107+SUMPRODUCT(--(MOD(COLUMN($AM107:$BJ107),4)=MOD(COLUMN($AM107)+0,4)),$AM107:$BJ107)*$I107</f>
        <v/>
      </c>
      <c r="BN107" s="805">
        <f>SUMPRODUCT(--(MOD(COLUMN($O107:$AL107),4)=MOD(COLUMN($O107)+1,4)),$O107:$AL107)
+SUMPRODUCT(--(MOD(COLUMN($AM107:$BJ107),4)=MOD(COLUMN($AM107)+1,4)),$AM107:$BJ107)</f>
        <v/>
      </c>
      <c r="BO107" s="806">
        <f>SUMPRODUCT(--(MOD(COLUMN($O107:$AL107),4)=MOD(COLUMN($O107)+1,4)),$O107:$AL107)*
$I107+SUMPRODUCT(--(MOD(COLUMN($AM107:$BJ107),4)=MOD(COLUMN($AM107)+1,4)),$AM107:$BJ107)*$I107</f>
        <v/>
      </c>
      <c r="BP107" s="807">
        <f>SUMPRODUCT(--(MOD(COLUMN($O107:$AL107),4)=MOD(COLUMN($O107)+2,4)),$O107:$AL107)
+SUMPRODUCT(--(MOD(COLUMN($AM107:$BJ107),4)=MOD(COLUMN($AM107)+2,4)),$AM107:$BJ107)</f>
        <v/>
      </c>
      <c r="BQ107" s="808">
        <f>SUMPRODUCT(--(MOD(COLUMN($O107:$AL107),4)=MOD(COLUMN($O107)+2,4)),$O107:$AL107)*
$I107+SUMPRODUCT(--(MOD(COLUMN($AM107:$BJ107),4)=MOD(COLUMN($AM107)+2,4)),$AM107:$BJ107)*$I107</f>
        <v/>
      </c>
      <c r="BR107" s="801" t="n"/>
      <c r="BS107" s="819" t="n"/>
      <c r="BT107" s="23" t="n"/>
      <c r="BU107" s="24" t="n"/>
      <c r="BV107" s="25" t="n"/>
      <c r="BW107" s="24" t="n"/>
      <c r="BX107" s="23" t="n"/>
      <c r="BY107" s="24" t="n"/>
      <c r="BZ107" s="25" t="n"/>
      <c r="CA107" s="24" t="n"/>
      <c r="CB107" s="23" t="n"/>
      <c r="CC107" s="24" t="n"/>
      <c r="CD107" s="25" t="n"/>
      <c r="CE107" s="24" t="n"/>
      <c r="CF107" s="23" t="n"/>
      <c r="CG107" s="24" t="n"/>
      <c r="CH107" s="25" t="n"/>
      <c r="CI107" s="24" t="n"/>
      <c r="CJ107" s="23" t="n"/>
      <c r="CK107" s="24" t="n"/>
      <c r="CL107" s="25" t="n"/>
      <c r="CM107" s="24" t="n"/>
      <c r="CN107" s="23" t="n"/>
      <c r="CO107" s="24" t="n"/>
      <c r="CP107" s="25" t="n"/>
      <c r="CQ107" s="24" t="n"/>
      <c r="CR107" s="23" t="n"/>
      <c r="CS107" s="24" t="n"/>
      <c r="CT107" s="25" t="n"/>
      <c r="CU107" s="24" t="n"/>
      <c r="CV107" s="23" t="n"/>
      <c r="CW107" s="24" t="n"/>
      <c r="CX107" s="25" t="n"/>
      <c r="CY107" s="24" t="n"/>
      <c r="CZ107" s="23" t="n"/>
      <c r="DA107" s="24" t="n"/>
      <c r="DB107" s="25" t="n"/>
      <c r="DC107" s="24" t="n"/>
      <c r="DD107" s="23" t="n"/>
      <c r="DE107" s="24" t="n"/>
      <c r="DF107" s="25" t="n"/>
      <c r="DG107" s="24" t="n"/>
      <c r="DH107" s="23" t="n"/>
      <c r="DI107" s="24" t="n"/>
      <c r="DJ107" s="25" t="n"/>
      <c r="DK107" s="24" t="n"/>
      <c r="DL107" s="23" t="n"/>
      <c r="DM107" s="24" t="n"/>
      <c r="DN107" s="25" t="n"/>
      <c r="DO107" s="24" t="n"/>
      <c r="DP107" s="340" t="n"/>
      <c r="DQ107" s="803">
        <f>SUMPRODUCT(--(MOD(COLUMN(BT107:CQ107),4)=MOD(COLUMN(BT107),4)),BT107:CQ107)+SUMPRODUCT(--(MOD(COLUMN(CR107:DO107),4)=MOD(COLUMN(CR107),4)),CR107:DO107)</f>
        <v/>
      </c>
      <c r="DR107" s="803">
        <f>SUMPRODUCT(--(MOD(COLUMN(BT107:CQ107),4)=MOD(COLUMN(BT107),4)),BT107:CQ107)*$I107+SUMPRODUCT(--(MOD(COLUMN(CR107:DO107),4)=MOD(COLUMN(CR107),4)),CR107:DO107)*$I107</f>
        <v/>
      </c>
      <c r="DS107" s="801" t="n"/>
      <c r="DT107" s="819" t="n"/>
      <c r="DU107" s="23" t="n"/>
      <c r="DV107" s="24" t="n"/>
      <c r="DW107" s="25" t="n"/>
      <c r="DX107" s="24" t="n"/>
      <c r="DY107" s="23" t="n"/>
      <c r="DZ107" s="24" t="n"/>
      <c r="EA107" s="25" t="n"/>
      <c r="EB107" s="24" t="n"/>
      <c r="EC107" s="23" t="n"/>
      <c r="ED107" s="24" t="n"/>
      <c r="EE107" s="25" t="n"/>
      <c r="EF107" s="24" t="n"/>
      <c r="EG107" s="23" t="n"/>
      <c r="EH107" s="24" t="n"/>
      <c r="EI107" s="25" t="n"/>
      <c r="EJ107" s="24" t="n"/>
      <c r="EK107" s="23" t="n"/>
      <c r="EL107" s="24" t="n"/>
      <c r="EM107" s="25" t="n"/>
      <c r="EN107" s="24" t="n"/>
      <c r="EO107" s="23" t="n"/>
      <c r="EP107" s="24" t="n"/>
      <c r="EQ107" s="25" t="n"/>
      <c r="ER107" s="24" t="n"/>
      <c r="ES107" s="23" t="n"/>
      <c r="ET107" s="24" t="n"/>
      <c r="EU107" s="25" t="n"/>
      <c r="EV107" s="24" t="n"/>
      <c r="EW107" s="23" t="n"/>
      <c r="EX107" s="24" t="n"/>
      <c r="EY107" s="25" t="n"/>
      <c r="EZ107" s="24" t="n"/>
      <c r="FA107" s="23" t="n"/>
      <c r="FB107" s="24" t="n"/>
      <c r="FC107" s="25" t="n"/>
      <c r="FD107" s="24" t="n"/>
      <c r="FE107" s="23" t="n"/>
      <c r="FF107" s="24" t="n"/>
      <c r="FG107" s="25" t="n"/>
      <c r="FH107" s="24" t="n"/>
      <c r="FI107" s="23" t="n"/>
      <c r="FJ107" s="24" t="n"/>
      <c r="FK107" s="25" t="n"/>
      <c r="FL107" s="24" t="n"/>
      <c r="FM107" s="23" t="n"/>
      <c r="FN107" s="24" t="n"/>
      <c r="FO107" s="25" t="n"/>
      <c r="FP107" s="24" t="n"/>
      <c r="FQ107" s="340" t="n"/>
      <c r="FR107" s="803">
        <f>SUMPRODUCT(--(MOD(COLUMN(DU107:ER107),4)=MOD(COLUMN(DU107),4)),DU107:ER107)+SUMPRODUCT(--(MOD(COLUMN(ES107:FP107),4)=MOD(COLUMN(ES107),4)),ES107:FP107)</f>
        <v/>
      </c>
      <c r="FS107" s="803">
        <f>SUMPRODUCT(--(MOD(COLUMN(DU107:ER107),4)=MOD(COLUMN(DU107),4)),DU107:ER107)*$I107+SUMPRODUCT(--(MOD(COLUMN(ES107:FP107),4)=MOD(COLUMN(ES107),4)),ES107:FP107)*$I107</f>
        <v/>
      </c>
      <c r="FT107" s="361" t="n"/>
    </row>
    <row r="108" outlineLevel="2">
      <c r="A108" s="56" t="inlineStr">
        <is>
          <t>ПАО «Уралавтоприцеп»</t>
        </is>
      </c>
      <c r="B108" s="387" t="inlineStr">
        <is>
          <t>Отсрочка 30 дней</t>
        </is>
      </c>
      <c r="C108" s="541" t="inlineStr">
        <is>
          <t>ВБК Восток</t>
        </is>
      </c>
      <c r="D108" s="565" t="inlineStr">
        <is>
          <t>Прасолов, Соловьёв</t>
        </is>
      </c>
      <c r="E108" s="10">
        <f>IF(ISBLANK(G108),"",IF($A$6:$A$330=$A108,COUNTIF($A$6:A108,$A108),""))</f>
        <v/>
      </c>
      <c r="F108" s="10" t="n">
        <v>1</v>
      </c>
      <c r="G108" s="55" t="n">
        <v>9253761210</v>
      </c>
      <c r="H108" s="54" t="inlineStr">
        <is>
          <t>Энергоаккумулятор тип 24/30</t>
        </is>
      </c>
      <c r="I108" s="617">
        <f>301/НДС_20</f>
        <v/>
      </c>
      <c r="J108" s="617" t="n"/>
      <c r="K108" s="872" t="n"/>
      <c r="L108" s="617">
        <f>IF(K108="RUB",J108/ЮАНЬ,IF(K108="EUR",J108*ЕВРО/ЮАНЬ,""))</f>
        <v/>
      </c>
      <c r="M108" s="873" t="n"/>
      <c r="N108" s="871">
        <f>IF(BP108&gt;0,1,IF(BN108&gt;0,2,))</f>
        <v/>
      </c>
      <c r="O108" s="23" t="n"/>
      <c r="P108" s="24" t="n"/>
      <c r="Q108" s="25" t="n"/>
      <c r="R108" s="24" t="n"/>
      <c r="S108" s="23" t="n"/>
      <c r="T108" s="24" t="n"/>
      <c r="U108" s="25" t="n"/>
      <c r="V108" s="24" t="n"/>
      <c r="W108" s="23" t="n"/>
      <c r="X108" s="24" t="n"/>
      <c r="Y108" s="25" t="n"/>
      <c r="Z108" s="24" t="n"/>
      <c r="AA108" s="23" t="n"/>
      <c r="AB108" s="24" t="n"/>
      <c r="AC108" s="25" t="n"/>
      <c r="AD108" s="24" t="n"/>
      <c r="AE108" s="23" t="n"/>
      <c r="AF108" s="24" t="n"/>
      <c r="AG108" s="25" t="n"/>
      <c r="AH108" s="24" t="n"/>
      <c r="AI108" s="23" t="n"/>
      <c r="AJ108" s="24" t="n"/>
      <c r="AK108" s="25" t="n"/>
      <c r="AL108" s="24" t="n"/>
      <c r="AM108" s="23" t="n"/>
      <c r="AN108" s="24" t="n"/>
      <c r="AO108" s="25" t="n"/>
      <c r="AP108" s="24" t="n"/>
      <c r="AQ108" s="23" t="n"/>
      <c r="AR108" s="24" t="n"/>
      <c r="AS108" s="25" t="n"/>
      <c r="AT108" s="24" t="n"/>
      <c r="AU108" s="23" t="n"/>
      <c r="AV108" s="24" t="n"/>
      <c r="AW108" s="25" t="n"/>
      <c r="AX108" s="24" t="n"/>
      <c r="AY108" s="23" t="n"/>
      <c r="AZ108" s="24" t="n"/>
      <c r="BA108" s="25" t="n"/>
      <c r="BB108" s="24" t="n"/>
      <c r="BC108" s="23" t="n"/>
      <c r="BD108" s="24" t="n"/>
      <c r="BE108" s="25" t="n"/>
      <c r="BF108" s="24" t="n"/>
      <c r="BG108" s="23" t="n"/>
      <c r="BH108" s="24" t="n"/>
      <c r="BI108" s="25" t="n"/>
      <c r="BJ108" s="24" t="n"/>
      <c r="BK108" s="340" t="n"/>
      <c r="BL108" s="803">
        <f>SUMPRODUCT(--(MOD(COLUMN($O108:$AL108),4)=MOD(COLUMN($O108)+0,4)),$O108:$AL108)
+SUMPRODUCT(--(MOD(COLUMN($AM108:$BJ108),4)=MOD(COLUMN($AM108)+0,4)),$AM108:$BJ108)</f>
        <v/>
      </c>
      <c r="BM108" s="803">
        <f>SUMPRODUCT(--(MOD(COLUMN($O108:$AL108),4)=MOD(COLUMN($O108)+0,4)),$O108:$AL108)*
$I108+SUMPRODUCT(--(MOD(COLUMN($AM108:$BJ108),4)=MOD(COLUMN($AM108)+0,4)),$AM108:$BJ108)*$I108</f>
        <v/>
      </c>
      <c r="BN108" s="805">
        <f>SUMPRODUCT(--(MOD(COLUMN($O108:$AL108),4)=MOD(COLUMN($O108)+1,4)),$O108:$AL108)
+SUMPRODUCT(--(MOD(COLUMN($AM108:$BJ108),4)=MOD(COLUMN($AM108)+1,4)),$AM108:$BJ108)</f>
        <v/>
      </c>
      <c r="BO108" s="806">
        <f>SUMPRODUCT(--(MOD(COLUMN($O108:$AL108),4)=MOD(COLUMN($O108)+1,4)),$O108:$AL108)*
$I108+SUMPRODUCT(--(MOD(COLUMN($AM108:$BJ108),4)=MOD(COLUMN($AM108)+1,4)),$AM108:$BJ108)*$I108</f>
        <v/>
      </c>
      <c r="BP108" s="807">
        <f>SUMPRODUCT(--(MOD(COLUMN($O108:$AL108),4)=MOD(COLUMN($O108)+2,4)),$O108:$AL108)
+SUMPRODUCT(--(MOD(COLUMN($AM108:$BJ108),4)=MOD(COLUMN($AM108)+2,4)),$AM108:$BJ108)</f>
        <v/>
      </c>
      <c r="BQ108" s="808">
        <f>SUMPRODUCT(--(MOD(COLUMN($O108:$AL108),4)=MOD(COLUMN($O108)+2,4)),$O108:$AL108)*
$I108+SUMPRODUCT(--(MOD(COLUMN($AM108:$BJ108),4)=MOD(COLUMN($AM108)+2,4)),$AM108:$BJ108)*$I108</f>
        <v/>
      </c>
      <c r="BR108" s="801" t="n"/>
      <c r="BS108" s="819" t="n"/>
      <c r="BT108" s="23" t="n"/>
      <c r="BU108" s="24" t="n"/>
      <c r="BV108" s="25" t="n"/>
      <c r="BW108" s="24" t="n"/>
      <c r="BX108" s="23" t="n"/>
      <c r="BY108" s="24" t="n"/>
      <c r="BZ108" s="25" t="n"/>
      <c r="CA108" s="24" t="n"/>
      <c r="CB108" s="23" t="n"/>
      <c r="CC108" s="24" t="n"/>
      <c r="CD108" s="25" t="n"/>
      <c r="CE108" s="24" t="n"/>
      <c r="CF108" s="23" t="n"/>
      <c r="CG108" s="24" t="n"/>
      <c r="CH108" s="25" t="n"/>
      <c r="CI108" s="24" t="n"/>
      <c r="CJ108" s="23" t="n"/>
      <c r="CK108" s="24" t="n"/>
      <c r="CL108" s="25" t="n"/>
      <c r="CM108" s="24" t="n"/>
      <c r="CN108" s="23" t="n"/>
      <c r="CO108" s="24" t="n"/>
      <c r="CP108" s="25" t="n"/>
      <c r="CQ108" s="24" t="n"/>
      <c r="CR108" s="23" t="n"/>
      <c r="CS108" s="24" t="n"/>
      <c r="CT108" s="25" t="n"/>
      <c r="CU108" s="24" t="n"/>
      <c r="CV108" s="23" t="n"/>
      <c r="CW108" s="24" t="n"/>
      <c r="CX108" s="25" t="n"/>
      <c r="CY108" s="24" t="n"/>
      <c r="CZ108" s="23" t="n"/>
      <c r="DA108" s="24" t="n"/>
      <c r="DB108" s="25" t="n"/>
      <c r="DC108" s="24" t="n"/>
      <c r="DD108" s="23" t="n"/>
      <c r="DE108" s="24" t="n"/>
      <c r="DF108" s="25" t="n"/>
      <c r="DG108" s="24" t="n"/>
      <c r="DH108" s="23" t="n"/>
      <c r="DI108" s="24" t="n"/>
      <c r="DJ108" s="25" t="n"/>
      <c r="DK108" s="24" t="n"/>
      <c r="DL108" s="23" t="n"/>
      <c r="DM108" s="24" t="n"/>
      <c r="DN108" s="25" t="n"/>
      <c r="DO108" s="24" t="n"/>
      <c r="DP108" s="340" t="n"/>
      <c r="DQ108" s="803">
        <f>SUMPRODUCT(--(MOD(COLUMN(BT108:CQ108),4)=MOD(COLUMN(BT108),4)),BT108:CQ108)+SUMPRODUCT(--(MOD(COLUMN(CR108:DO108),4)=MOD(COLUMN(CR108),4)),CR108:DO108)</f>
        <v/>
      </c>
      <c r="DR108" s="803">
        <f>SUMPRODUCT(--(MOD(COLUMN(BT108:CQ108),4)=MOD(COLUMN(BT108),4)),BT108:CQ108)*$I108+SUMPRODUCT(--(MOD(COLUMN(CR108:DO108),4)=MOD(COLUMN(CR108),4)),CR108:DO108)*$I108</f>
        <v/>
      </c>
      <c r="DS108" s="801" t="n"/>
      <c r="DT108" s="819" t="n"/>
      <c r="DU108" s="23" t="n"/>
      <c r="DV108" s="24" t="n"/>
      <c r="DW108" s="25" t="n"/>
      <c r="DX108" s="24" t="n"/>
      <c r="DY108" s="23" t="n"/>
      <c r="DZ108" s="24" t="n"/>
      <c r="EA108" s="25" t="n"/>
      <c r="EB108" s="24" t="n"/>
      <c r="EC108" s="23" t="n"/>
      <c r="ED108" s="24" t="n"/>
      <c r="EE108" s="25" t="n"/>
      <c r="EF108" s="24" t="n"/>
      <c r="EG108" s="23" t="n"/>
      <c r="EH108" s="24" t="n"/>
      <c r="EI108" s="25" t="n"/>
      <c r="EJ108" s="24" t="n"/>
      <c r="EK108" s="23" t="n"/>
      <c r="EL108" s="24" t="n"/>
      <c r="EM108" s="25" t="n"/>
      <c r="EN108" s="24" t="n"/>
      <c r="EO108" s="23" t="n"/>
      <c r="EP108" s="24" t="n"/>
      <c r="EQ108" s="25" t="n"/>
      <c r="ER108" s="24" t="n"/>
      <c r="ES108" s="23" t="n"/>
      <c r="ET108" s="24" t="n"/>
      <c r="EU108" s="25" t="n"/>
      <c r="EV108" s="24" t="n"/>
      <c r="EW108" s="23" t="n"/>
      <c r="EX108" s="24" t="n"/>
      <c r="EY108" s="25" t="n"/>
      <c r="EZ108" s="24" t="n"/>
      <c r="FA108" s="23" t="n"/>
      <c r="FB108" s="24" t="n"/>
      <c r="FC108" s="25" t="n"/>
      <c r="FD108" s="24" t="n"/>
      <c r="FE108" s="23" t="n"/>
      <c r="FF108" s="24" t="n"/>
      <c r="FG108" s="25" t="n"/>
      <c r="FH108" s="24" t="n"/>
      <c r="FI108" s="23" t="n"/>
      <c r="FJ108" s="24" t="n"/>
      <c r="FK108" s="25" t="n"/>
      <c r="FL108" s="24" t="n"/>
      <c r="FM108" s="23" t="n"/>
      <c r="FN108" s="24" t="n"/>
      <c r="FO108" s="25" t="n"/>
      <c r="FP108" s="24" t="n"/>
      <c r="FQ108" s="340" t="n"/>
      <c r="FR108" s="803">
        <f>SUMPRODUCT(--(MOD(COLUMN(DU108:ER108),4)=MOD(COLUMN(DU108),4)),DU108:ER108)+SUMPRODUCT(--(MOD(COLUMN(ES108:FP108),4)=MOD(COLUMN(ES108),4)),ES108:FP108)</f>
        <v/>
      </c>
      <c r="FS108" s="803">
        <f>SUMPRODUCT(--(MOD(COLUMN(DU108:ER108),4)=MOD(COLUMN(DU108),4)),DU108:ER108)*$I108+SUMPRODUCT(--(MOD(COLUMN(ES108:FP108),4)=MOD(COLUMN(ES108),4)),ES108:FP108)*$I108</f>
        <v/>
      </c>
      <c r="FT108" s="361" t="n"/>
    </row>
    <row r="109" outlineLevel="2">
      <c r="A109" s="56" t="inlineStr">
        <is>
          <t>ПАО «Уралавтоприцеп»</t>
        </is>
      </c>
      <c r="B109" s="387" t="inlineStr">
        <is>
          <t>Отсрочка 30 дней</t>
        </is>
      </c>
      <c r="C109" s="541" t="inlineStr">
        <is>
          <t>ВБК Восток</t>
        </is>
      </c>
      <c r="D109" s="565" t="inlineStr">
        <is>
          <t>Прасолов, Соловьёв</t>
        </is>
      </c>
      <c r="E109" s="10">
        <f>IF(ISBLANK(G109),"",IF($A$6:$A$330=$A109,COUNTIF($A$6:A109,$A109),""))</f>
        <v/>
      </c>
      <c r="F109" s="10" t="n">
        <v>1</v>
      </c>
      <c r="G109" s="55" t="n">
        <v>9253771100</v>
      </c>
      <c r="H109" s="54" t="inlineStr">
        <is>
          <t>Энергоаккумулятор тип 30/30</t>
        </is>
      </c>
      <c r="I109" s="617">
        <f>305/НДС_20</f>
        <v/>
      </c>
      <c r="J109" s="617" t="n"/>
      <c r="K109" s="872" t="n"/>
      <c r="L109" s="617">
        <f>IF(K109="RUB",J109/ЮАНЬ,IF(K109="EUR",J109*ЕВРО/ЮАНЬ,""))</f>
        <v/>
      </c>
      <c r="M109" s="873" t="n"/>
      <c r="N109" s="871">
        <f>IF(BP109&gt;0,1,IF(BN109&gt;0,2,))</f>
        <v/>
      </c>
      <c r="O109" s="23" t="n"/>
      <c r="P109" s="24" t="n"/>
      <c r="Q109" s="25" t="n"/>
      <c r="R109" s="24" t="n"/>
      <c r="S109" s="23" t="n"/>
      <c r="T109" s="24" t="n"/>
      <c r="U109" s="25" t="n"/>
      <c r="V109" s="24" t="n"/>
      <c r="W109" s="23" t="n"/>
      <c r="X109" s="24" t="n"/>
      <c r="Y109" s="25" t="n"/>
      <c r="Z109" s="24" t="n"/>
      <c r="AA109" s="23" t="n"/>
      <c r="AB109" s="24" t="n"/>
      <c r="AC109" s="25" t="n"/>
      <c r="AD109" s="24" t="n"/>
      <c r="AE109" s="23" t="n"/>
      <c r="AF109" s="24" t="n"/>
      <c r="AG109" s="25" t="n"/>
      <c r="AH109" s="24" t="n"/>
      <c r="AI109" s="23" t="n"/>
      <c r="AJ109" s="24" t="n"/>
      <c r="AK109" s="25" t="n"/>
      <c r="AL109" s="24" t="n"/>
      <c r="AM109" s="23" t="n"/>
      <c r="AN109" s="24" t="n"/>
      <c r="AO109" s="25" t="n"/>
      <c r="AP109" s="24" t="n"/>
      <c r="AQ109" s="23" t="n"/>
      <c r="AR109" s="24" t="n"/>
      <c r="AS109" s="25" t="n"/>
      <c r="AT109" s="24" t="n"/>
      <c r="AU109" s="23" t="n"/>
      <c r="AV109" s="24" t="n"/>
      <c r="AW109" s="25" t="n"/>
      <c r="AX109" s="24" t="n"/>
      <c r="AY109" s="23" t="n"/>
      <c r="AZ109" s="24" t="n"/>
      <c r="BA109" s="25" t="n"/>
      <c r="BB109" s="24" t="n"/>
      <c r="BC109" s="23" t="n"/>
      <c r="BD109" s="24" t="n"/>
      <c r="BE109" s="25" t="n"/>
      <c r="BF109" s="24" t="n"/>
      <c r="BG109" s="23" t="n"/>
      <c r="BH109" s="24" t="n"/>
      <c r="BI109" s="25" t="n"/>
      <c r="BJ109" s="24" t="n"/>
      <c r="BK109" s="340" t="n"/>
      <c r="BL109" s="803">
        <f>SUMPRODUCT(--(MOD(COLUMN($O109:$AL109),4)=MOD(COLUMN($O109)+0,4)),$O109:$AL109)
+SUMPRODUCT(--(MOD(COLUMN($AM109:$BJ109),4)=MOD(COLUMN($AM109)+0,4)),$AM109:$BJ109)</f>
        <v/>
      </c>
      <c r="BM109" s="803">
        <f>SUMPRODUCT(--(MOD(COLUMN($O109:$AL109),4)=MOD(COLUMN($O109)+0,4)),$O109:$AL109)*
$I109+SUMPRODUCT(--(MOD(COLUMN($AM109:$BJ109),4)=MOD(COLUMN($AM109)+0,4)),$AM109:$BJ109)*$I109</f>
        <v/>
      </c>
      <c r="BN109" s="805">
        <f>SUMPRODUCT(--(MOD(COLUMN($O109:$AL109),4)=MOD(COLUMN($O109)+1,4)),$O109:$AL109)
+SUMPRODUCT(--(MOD(COLUMN($AM109:$BJ109),4)=MOD(COLUMN($AM109)+1,4)),$AM109:$BJ109)</f>
        <v/>
      </c>
      <c r="BO109" s="806">
        <f>SUMPRODUCT(--(MOD(COLUMN($O109:$AL109),4)=MOD(COLUMN($O109)+1,4)),$O109:$AL109)*
$I109+SUMPRODUCT(--(MOD(COLUMN($AM109:$BJ109),4)=MOD(COLUMN($AM109)+1,4)),$AM109:$BJ109)*$I109</f>
        <v/>
      </c>
      <c r="BP109" s="807">
        <f>SUMPRODUCT(--(MOD(COLUMN($O109:$AL109),4)=MOD(COLUMN($O109)+2,4)),$O109:$AL109)
+SUMPRODUCT(--(MOD(COLUMN($AM109:$BJ109),4)=MOD(COLUMN($AM109)+2,4)),$AM109:$BJ109)</f>
        <v/>
      </c>
      <c r="BQ109" s="808">
        <f>SUMPRODUCT(--(MOD(COLUMN($O109:$AL109),4)=MOD(COLUMN($O109)+2,4)),$O109:$AL109)*
$I109+SUMPRODUCT(--(MOD(COLUMN($AM109:$BJ109),4)=MOD(COLUMN($AM109)+2,4)),$AM109:$BJ109)*$I109</f>
        <v/>
      </c>
      <c r="BR109" s="801" t="n"/>
      <c r="BS109" s="819" t="n"/>
      <c r="BT109" s="23" t="n"/>
      <c r="BU109" s="24" t="n"/>
      <c r="BV109" s="25" t="n"/>
      <c r="BW109" s="24" t="n"/>
      <c r="BX109" s="23" t="n"/>
      <c r="BY109" s="24" t="n"/>
      <c r="BZ109" s="25" t="n"/>
      <c r="CA109" s="24" t="n"/>
      <c r="CB109" s="23" t="n"/>
      <c r="CC109" s="24" t="n"/>
      <c r="CD109" s="25" t="n"/>
      <c r="CE109" s="24" t="n"/>
      <c r="CF109" s="23" t="n"/>
      <c r="CG109" s="24" t="n"/>
      <c r="CH109" s="25" t="n"/>
      <c r="CI109" s="24" t="n"/>
      <c r="CJ109" s="23" t="n"/>
      <c r="CK109" s="24" t="n"/>
      <c r="CL109" s="25" t="n"/>
      <c r="CM109" s="24" t="n"/>
      <c r="CN109" s="23" t="n"/>
      <c r="CO109" s="24" t="n"/>
      <c r="CP109" s="25" t="n"/>
      <c r="CQ109" s="24" t="n"/>
      <c r="CR109" s="23" t="n"/>
      <c r="CS109" s="24" t="n"/>
      <c r="CT109" s="25" t="n"/>
      <c r="CU109" s="24" t="n"/>
      <c r="CV109" s="23" t="n"/>
      <c r="CW109" s="24" t="n"/>
      <c r="CX109" s="25" t="n"/>
      <c r="CY109" s="24" t="n"/>
      <c r="CZ109" s="23" t="n"/>
      <c r="DA109" s="24" t="n"/>
      <c r="DB109" s="25" t="n"/>
      <c r="DC109" s="24" t="n"/>
      <c r="DD109" s="23" t="n"/>
      <c r="DE109" s="24" t="n"/>
      <c r="DF109" s="25" t="n"/>
      <c r="DG109" s="24" t="n"/>
      <c r="DH109" s="23" t="n"/>
      <c r="DI109" s="24" t="n"/>
      <c r="DJ109" s="25" t="n"/>
      <c r="DK109" s="24" t="n"/>
      <c r="DL109" s="23" t="n"/>
      <c r="DM109" s="24" t="n"/>
      <c r="DN109" s="25" t="n"/>
      <c r="DO109" s="24" t="n"/>
      <c r="DP109" s="340" t="n"/>
      <c r="DQ109" s="803">
        <f>SUMPRODUCT(--(MOD(COLUMN(BT109:CQ109),4)=MOD(COLUMN(BT109),4)),BT109:CQ109)+SUMPRODUCT(--(MOD(COLUMN(CR109:DO109),4)=MOD(COLUMN(CR109),4)),CR109:DO109)</f>
        <v/>
      </c>
      <c r="DR109" s="803">
        <f>SUMPRODUCT(--(MOD(COLUMN(BT109:CQ109),4)=MOD(COLUMN(BT109),4)),BT109:CQ109)*$I109+SUMPRODUCT(--(MOD(COLUMN(CR109:DO109),4)=MOD(COLUMN(CR109),4)),CR109:DO109)*$I109</f>
        <v/>
      </c>
      <c r="DS109" s="801" t="n"/>
      <c r="DT109" s="819" t="n"/>
      <c r="DU109" s="23" t="n"/>
      <c r="DV109" s="24" t="n"/>
      <c r="DW109" s="25" t="n"/>
      <c r="DX109" s="24" t="n"/>
      <c r="DY109" s="23" t="n"/>
      <c r="DZ109" s="24" t="n"/>
      <c r="EA109" s="25" t="n"/>
      <c r="EB109" s="24" t="n"/>
      <c r="EC109" s="23" t="n"/>
      <c r="ED109" s="24" t="n"/>
      <c r="EE109" s="25" t="n"/>
      <c r="EF109" s="24" t="n"/>
      <c r="EG109" s="23" t="n"/>
      <c r="EH109" s="24" t="n"/>
      <c r="EI109" s="25" t="n"/>
      <c r="EJ109" s="24" t="n"/>
      <c r="EK109" s="23" t="n"/>
      <c r="EL109" s="24" t="n"/>
      <c r="EM109" s="25" t="n"/>
      <c r="EN109" s="24" t="n"/>
      <c r="EO109" s="23" t="n"/>
      <c r="EP109" s="24" t="n"/>
      <c r="EQ109" s="25" t="n"/>
      <c r="ER109" s="24" t="n"/>
      <c r="ES109" s="23" t="n"/>
      <c r="ET109" s="24" t="n"/>
      <c r="EU109" s="25" t="n"/>
      <c r="EV109" s="24" t="n"/>
      <c r="EW109" s="23" t="n"/>
      <c r="EX109" s="24" t="n"/>
      <c r="EY109" s="25" t="n"/>
      <c r="EZ109" s="24" t="n"/>
      <c r="FA109" s="23" t="n"/>
      <c r="FB109" s="24" t="n"/>
      <c r="FC109" s="25" t="n"/>
      <c r="FD109" s="24" t="n"/>
      <c r="FE109" s="23" t="n"/>
      <c r="FF109" s="24" t="n"/>
      <c r="FG109" s="25" t="n"/>
      <c r="FH109" s="24" t="n"/>
      <c r="FI109" s="23" t="n"/>
      <c r="FJ109" s="24" t="n"/>
      <c r="FK109" s="25" t="n"/>
      <c r="FL109" s="24" t="n"/>
      <c r="FM109" s="23" t="n"/>
      <c r="FN109" s="24" t="n"/>
      <c r="FO109" s="25" t="n"/>
      <c r="FP109" s="24" t="n"/>
      <c r="FQ109" s="340" t="n"/>
      <c r="FR109" s="803">
        <f>SUMPRODUCT(--(MOD(COLUMN(DU109:ER109),4)=MOD(COLUMN(DU109),4)),DU109:ER109)+SUMPRODUCT(--(MOD(COLUMN(ES109:FP109),4)=MOD(COLUMN(ES109),4)),ES109:FP109)</f>
        <v/>
      </c>
      <c r="FS109" s="803">
        <f>SUMPRODUCT(--(MOD(COLUMN(DU109:ER109),4)=MOD(COLUMN(DU109),4)),DU109:ER109)*$I109+SUMPRODUCT(--(MOD(COLUMN(ES109:FP109),4)=MOD(COLUMN(ES109),4)),ES109:FP109)*$I109</f>
        <v/>
      </c>
      <c r="FT109" s="361" t="n"/>
    </row>
    <row r="110" outlineLevel="2">
      <c r="A110" s="445" t="inlineStr">
        <is>
          <t>ПАО «Уралавтоприцеп»</t>
        </is>
      </c>
      <c r="B110" s="446" t="inlineStr">
        <is>
          <t>Отсрочка 30 дней</t>
        </is>
      </c>
      <c r="C110" s="652" t="inlineStr">
        <is>
          <t>ВБК Восток</t>
        </is>
      </c>
      <c r="D110" s="653" t="inlineStr">
        <is>
          <t>Прасолов, Соловьёв</t>
        </is>
      </c>
      <c r="E110" s="447">
        <f>IF(ISBLANK(G110),"",IF($A$6:$A$330=$A110,COUNTIF($A$6:A110,$A110),""))</f>
        <v/>
      </c>
      <c r="F110" s="284" t="n">
        <v>1</v>
      </c>
      <c r="G110" s="304" t="n">
        <v>6402250560</v>
      </c>
      <c r="H110" s="602" t="inlineStr">
        <is>
          <t>6402250560 AC Тормоз дисковый ( левый )</t>
        </is>
      </c>
      <c r="I110" s="616" t="n">
        <v>2068</v>
      </c>
      <c r="J110" s="616" t="n"/>
      <c r="K110" s="870" t="n"/>
      <c r="L110" s="616" t="n"/>
      <c r="M110" s="871" t="n"/>
      <c r="N110" s="871">
        <f>IF(BP110&gt;0,1,IF(BN110&gt;0,2,))</f>
        <v/>
      </c>
      <c r="O110" s="322" t="n"/>
      <c r="P110" s="408" t="n"/>
      <c r="Q110" s="307" t="n"/>
      <c r="R110" s="408" t="n"/>
      <c r="S110" s="322" t="n"/>
      <c r="T110" s="408" t="n"/>
      <c r="U110" s="307" t="n"/>
      <c r="V110" s="408" t="n"/>
      <c r="W110" s="322" t="n"/>
      <c r="X110" s="408" t="n"/>
      <c r="Y110" s="307" t="n"/>
      <c r="Z110" s="408" t="n"/>
      <c r="AA110" s="322" t="n"/>
      <c r="AB110" s="408" t="n"/>
      <c r="AC110" s="307" t="n"/>
      <c r="AD110" s="408" t="n"/>
      <c r="AE110" s="322" t="n">
        <v>9</v>
      </c>
      <c r="AF110" s="408" t="n"/>
      <c r="AG110" s="307" t="n">
        <v>0</v>
      </c>
      <c r="AH110" s="408" t="n"/>
      <c r="AI110" s="322" t="n">
        <v>9</v>
      </c>
      <c r="AJ110" s="408" t="n">
        <v>3</v>
      </c>
      <c r="AK110" s="307" t="n">
        <v>0</v>
      </c>
      <c r="AL110" s="408" t="n"/>
      <c r="AM110" s="322" t="n">
        <v>9</v>
      </c>
      <c r="AN110" s="408" t="n"/>
      <c r="AO110" s="307" t="n">
        <v>0</v>
      </c>
      <c r="AP110" s="408" t="n"/>
      <c r="AQ110" s="322" t="n">
        <v>9</v>
      </c>
      <c r="AR110" s="408" t="n">
        <v>9</v>
      </c>
      <c r="AS110" s="307" t="n">
        <v>0</v>
      </c>
      <c r="AT110" s="408" t="n"/>
      <c r="AU110" s="322" t="n">
        <v>9</v>
      </c>
      <c r="AV110" s="408" t="n">
        <v>9</v>
      </c>
      <c r="AW110" s="307" t="n">
        <v>0</v>
      </c>
      <c r="AX110" s="408" t="n"/>
      <c r="AY110" s="322" t="n">
        <v>9</v>
      </c>
      <c r="AZ110" s="408" t="n">
        <v>9</v>
      </c>
      <c r="BA110" s="307" t="n">
        <v>0</v>
      </c>
      <c r="BB110" s="408" t="n"/>
      <c r="BC110" s="322" t="n">
        <v>9</v>
      </c>
      <c r="BD110" s="408" t="n">
        <v>9</v>
      </c>
      <c r="BE110" s="307" t="n">
        <v>0</v>
      </c>
      <c r="BF110" s="408" t="n"/>
      <c r="BG110" s="322" t="n">
        <v>9</v>
      </c>
      <c r="BH110" s="408" t="n">
        <v>9</v>
      </c>
      <c r="BI110" s="307" t="n">
        <v>0</v>
      </c>
      <c r="BJ110" s="408" t="n"/>
      <c r="BK110" s="340" t="n"/>
      <c r="BL110" s="820">
        <f>SUMPRODUCT(--(MOD(COLUMN($O110:$AL110),4)=MOD(COLUMN($O110)+0,4)),$O110:$AL110)
+SUMPRODUCT(--(MOD(COLUMN($AM110:$BJ110),4)=MOD(COLUMN($AM110)+0,4)),$AM110:$BJ110)</f>
        <v/>
      </c>
      <c r="BM110" s="820">
        <f>SUMPRODUCT(--(MOD(COLUMN($O110:$AL110),4)=MOD(COLUMN($O110)+0,4)),$O110:$AL110)*
$I110+SUMPRODUCT(--(MOD(COLUMN($AM110:$BJ110),4)=MOD(COLUMN($AM110)+0,4)),$AM110:$BJ110)*$I110</f>
        <v/>
      </c>
      <c r="BN110" s="822">
        <f>SUMPRODUCT(--(MOD(COLUMN($O110:$AL110),4)=MOD(COLUMN($O110)+1,4)),$O110:$AL110)
+SUMPRODUCT(--(MOD(COLUMN($AM110:$BJ110),4)=MOD(COLUMN($AM110)+1,4)),$AM110:$BJ110)</f>
        <v/>
      </c>
      <c r="BO110" s="823">
        <f>SUMPRODUCT(--(MOD(COLUMN($O110:$AL110),4)=MOD(COLUMN($O110)+1,4)),$O110:$AL110)*
$I110+SUMPRODUCT(--(MOD(COLUMN($AM110:$BJ110),4)=MOD(COLUMN($AM110)+1,4)),$AM110:$BJ110)*$I110</f>
        <v/>
      </c>
      <c r="BP110" s="824">
        <f>SUMPRODUCT(--(MOD(COLUMN($O110:$AL110),4)=MOD(COLUMN($O110)+2,4)),$O110:$AL110)
+SUMPRODUCT(--(MOD(COLUMN($AM110:$BJ110),4)=MOD(COLUMN($AM110)+2,4)),$AM110:$BJ110)</f>
        <v/>
      </c>
      <c r="BQ110" s="825">
        <f>SUMPRODUCT(--(MOD(COLUMN($O110:$AL110),4)=MOD(COLUMN($O110)+2,4)),$O110:$AL110)*
$I110+SUMPRODUCT(--(MOD(COLUMN($AM110:$BJ110),4)=MOD(COLUMN($AM110)+2,4)),$AM110:$BJ110)*$I110</f>
        <v/>
      </c>
      <c r="BR110" s="819" t="n"/>
      <c r="BS110" s="819" t="n"/>
      <c r="BT110" s="322" t="n">
        <v>18</v>
      </c>
      <c r="BU110" s="408" t="n"/>
      <c r="BV110" s="307" t="n">
        <v>0</v>
      </c>
      <c r="BW110" s="408" t="n"/>
      <c r="BX110" s="322" t="n">
        <v>18</v>
      </c>
      <c r="BY110" s="408" t="n"/>
      <c r="BZ110" s="307" t="n">
        <v>0</v>
      </c>
      <c r="CA110" s="408" t="n"/>
      <c r="CB110" s="322" t="n">
        <v>18</v>
      </c>
      <c r="CC110" s="408" t="n"/>
      <c r="CD110" s="307" t="n">
        <v>0</v>
      </c>
      <c r="CE110" s="408" t="n"/>
      <c r="CF110" s="322" t="n">
        <v>18</v>
      </c>
      <c r="CG110" s="408" t="n"/>
      <c r="CH110" s="307" t="n">
        <v>0</v>
      </c>
      <c r="CI110" s="408" t="n"/>
      <c r="CJ110" s="322" t="n">
        <v>18</v>
      </c>
      <c r="CK110" s="408" t="n"/>
      <c r="CL110" s="307" t="n">
        <v>0</v>
      </c>
      <c r="CM110" s="408" t="n"/>
      <c r="CN110" s="322" t="n">
        <v>18</v>
      </c>
      <c r="CO110" s="408" t="n"/>
      <c r="CP110" s="307" t="n">
        <v>0</v>
      </c>
      <c r="CQ110" s="408" t="n"/>
      <c r="CR110" s="322" t="n">
        <v>18</v>
      </c>
      <c r="CS110" s="408" t="n"/>
      <c r="CT110" s="307" t="n">
        <v>0</v>
      </c>
      <c r="CU110" s="408" t="n"/>
      <c r="CV110" s="322" t="n">
        <v>18</v>
      </c>
      <c r="CW110" s="408" t="n"/>
      <c r="CX110" s="307" t="n">
        <v>0</v>
      </c>
      <c r="CY110" s="408" t="n"/>
      <c r="CZ110" s="322" t="n">
        <v>18</v>
      </c>
      <c r="DA110" s="408" t="n"/>
      <c r="DB110" s="307" t="n">
        <v>0</v>
      </c>
      <c r="DC110" s="408" t="n"/>
      <c r="DD110" s="322" t="n">
        <v>18</v>
      </c>
      <c r="DE110" s="408" t="n"/>
      <c r="DF110" s="307" t="n">
        <v>0</v>
      </c>
      <c r="DG110" s="408" t="n"/>
      <c r="DH110" s="322" t="n">
        <v>18</v>
      </c>
      <c r="DI110" s="408" t="n"/>
      <c r="DJ110" s="307" t="n">
        <v>0</v>
      </c>
      <c r="DK110" s="408" t="n"/>
      <c r="DL110" s="322" t="n">
        <v>18</v>
      </c>
      <c r="DM110" s="408" t="n"/>
      <c r="DN110" s="307" t="n">
        <v>0</v>
      </c>
      <c r="DO110" s="408" t="n"/>
      <c r="DP110" s="340" t="n"/>
      <c r="DQ110" s="820">
        <f>SUMPRODUCT(--(MOD(COLUMN(BT110:CQ110),4)=MOD(COLUMN(BT110),4)),BT110:CQ110)+SUMPRODUCT(--(MOD(COLUMN(CR110:DO110),4)=MOD(COLUMN(CR110),4)),CR110:DO110)</f>
        <v/>
      </c>
      <c r="DR110" s="820">
        <f>SUMPRODUCT(--(MOD(COLUMN(BT110:CQ110),4)=MOD(COLUMN(BT110),4)),BT110:CQ110)*$I110+SUMPRODUCT(--(MOD(COLUMN(CR110:DO110),4)=MOD(COLUMN(CR110),4)),CR110:DO110)*$I110</f>
        <v/>
      </c>
      <c r="DS110" s="819" t="n"/>
      <c r="DT110" s="819" t="n"/>
      <c r="DU110" s="322" t="n">
        <v>42</v>
      </c>
      <c r="DV110" s="408" t="n"/>
      <c r="DW110" s="307" t="n">
        <v>0</v>
      </c>
      <c r="DX110" s="408" t="n"/>
      <c r="DY110" s="322" t="n">
        <v>42</v>
      </c>
      <c r="DZ110" s="408" t="n"/>
      <c r="EA110" s="307" t="n">
        <v>0</v>
      </c>
      <c r="EB110" s="408" t="n"/>
      <c r="EC110" s="322" t="n">
        <v>42</v>
      </c>
      <c r="ED110" s="408" t="n"/>
      <c r="EE110" s="307" t="n">
        <v>0</v>
      </c>
      <c r="EF110" s="408" t="n"/>
      <c r="EG110" s="322" t="n">
        <v>42</v>
      </c>
      <c r="EH110" s="408" t="n"/>
      <c r="EI110" s="307" t="n">
        <v>0</v>
      </c>
      <c r="EJ110" s="408" t="n"/>
      <c r="EK110" s="322" t="n">
        <v>42</v>
      </c>
      <c r="EL110" s="408" t="n"/>
      <c r="EM110" s="307" t="n">
        <v>0</v>
      </c>
      <c r="EN110" s="408" t="n"/>
      <c r="EO110" s="322" t="n">
        <v>42</v>
      </c>
      <c r="EP110" s="408" t="n"/>
      <c r="EQ110" s="307" t="n">
        <v>0</v>
      </c>
      <c r="ER110" s="408" t="n"/>
      <c r="ES110" s="322" t="n">
        <v>42</v>
      </c>
      <c r="ET110" s="408" t="n"/>
      <c r="EU110" s="307" t="n">
        <v>0</v>
      </c>
      <c r="EV110" s="408" t="n"/>
      <c r="EW110" s="322" t="n">
        <v>42</v>
      </c>
      <c r="EX110" s="408" t="n"/>
      <c r="EY110" s="307" t="n">
        <v>0</v>
      </c>
      <c r="EZ110" s="408" t="n"/>
      <c r="FA110" s="322" t="n">
        <v>42</v>
      </c>
      <c r="FB110" s="408" t="n"/>
      <c r="FC110" s="307" t="n">
        <v>0</v>
      </c>
      <c r="FD110" s="408" t="n"/>
      <c r="FE110" s="322" t="n">
        <v>42</v>
      </c>
      <c r="FF110" s="408" t="n"/>
      <c r="FG110" s="307" t="n">
        <v>0</v>
      </c>
      <c r="FH110" s="408" t="n"/>
      <c r="FI110" s="322" t="n">
        <v>42</v>
      </c>
      <c r="FJ110" s="408" t="n"/>
      <c r="FK110" s="307" t="n">
        <v>0</v>
      </c>
      <c r="FL110" s="408" t="n"/>
      <c r="FM110" s="322" t="n">
        <v>42</v>
      </c>
      <c r="FN110" s="408" t="n"/>
      <c r="FO110" s="307" t="n">
        <v>0</v>
      </c>
      <c r="FP110" s="408" t="n"/>
      <c r="FQ110" s="340" t="n"/>
      <c r="FR110" s="820">
        <f>SUMPRODUCT(--(MOD(COLUMN(DU110:ER110),4)=MOD(COLUMN(DU110),4)),DU110:ER110)+SUMPRODUCT(--(MOD(COLUMN(ES110:FP110),4)=MOD(COLUMN(ES110),4)),ES110:FP110)</f>
        <v/>
      </c>
      <c r="FS110" s="820">
        <f>SUMPRODUCT(--(MOD(COLUMN(DU110:ER110),4)=MOD(COLUMN(DU110),4)),DU110:ER110)*$I110+SUMPRODUCT(--(MOD(COLUMN(ES110:FP110),4)=MOD(COLUMN(ES110),4)),ES110:FP110)*$I110</f>
        <v/>
      </c>
      <c r="FT110" s="361" t="n"/>
    </row>
    <row r="111" outlineLevel="2">
      <c r="A111" s="445" t="inlineStr">
        <is>
          <t>ПАО «Уралавтоприцеп»</t>
        </is>
      </c>
      <c r="B111" s="446" t="inlineStr">
        <is>
          <t>Отсрочка 30 дней</t>
        </is>
      </c>
      <c r="C111" s="652" t="inlineStr">
        <is>
          <t>ВБК Восток</t>
        </is>
      </c>
      <c r="D111" s="653" t="inlineStr">
        <is>
          <t>Прасолов, Соловьёв</t>
        </is>
      </c>
      <c r="E111" s="447">
        <f>IF(ISBLANK(G111),"",IF($A$6:$A$330=$A111,COUNTIF($A$6:A111,$A111),""))</f>
        <v/>
      </c>
      <c r="F111" s="284" t="n">
        <v>1</v>
      </c>
      <c r="G111" s="304" t="n">
        <v>6402250570</v>
      </c>
      <c r="H111" s="602" t="inlineStr">
        <is>
          <t>6402250570 AC Тормоз дисковый ( правый )</t>
        </is>
      </c>
      <c r="I111" s="616">
        <f>I110</f>
        <v/>
      </c>
      <c r="J111" s="616" t="n"/>
      <c r="K111" s="870" t="n"/>
      <c r="L111" s="616" t="n"/>
      <c r="M111" s="871" t="n"/>
      <c r="N111" s="871">
        <f>IF(BP111&gt;0,1,IF(BN111&gt;0,2,))</f>
        <v/>
      </c>
      <c r="O111" s="322" t="n"/>
      <c r="P111" s="408" t="n"/>
      <c r="Q111" s="307" t="n"/>
      <c r="R111" s="408" t="n"/>
      <c r="S111" s="322" t="n"/>
      <c r="T111" s="408" t="n"/>
      <c r="U111" s="307" t="n"/>
      <c r="V111" s="408" t="n"/>
      <c r="W111" s="322" t="n"/>
      <c r="X111" s="408" t="n"/>
      <c r="Y111" s="307" t="n"/>
      <c r="Z111" s="408" t="n"/>
      <c r="AA111" s="322" t="n"/>
      <c r="AB111" s="408" t="n"/>
      <c r="AC111" s="307" t="n"/>
      <c r="AD111" s="408" t="n"/>
      <c r="AE111" s="322" t="n">
        <v>9</v>
      </c>
      <c r="AF111" s="408" t="n"/>
      <c r="AG111" s="307" t="n">
        <v>0</v>
      </c>
      <c r="AH111" s="408" t="n"/>
      <c r="AI111" s="322" t="n">
        <v>9</v>
      </c>
      <c r="AJ111" s="408">
        <f>AJ110</f>
        <v/>
      </c>
      <c r="AK111" s="307" t="n">
        <v>0</v>
      </c>
      <c r="AL111" s="408" t="n"/>
      <c r="AM111" s="322" t="n">
        <v>9</v>
      </c>
      <c r="AN111" s="408" t="n"/>
      <c r="AO111" s="307" t="n">
        <v>0</v>
      </c>
      <c r="AP111" s="408" t="n"/>
      <c r="AQ111" s="322" t="n">
        <v>9</v>
      </c>
      <c r="AR111" s="408">
        <f>AR$110</f>
        <v/>
      </c>
      <c r="AS111" s="307" t="n">
        <v>0</v>
      </c>
      <c r="AT111" s="408" t="n"/>
      <c r="AU111" s="322" t="n">
        <v>9</v>
      </c>
      <c r="AV111" s="408">
        <f>AV$110</f>
        <v/>
      </c>
      <c r="AW111" s="307" t="n">
        <v>0</v>
      </c>
      <c r="AX111" s="408" t="n"/>
      <c r="AY111" s="322" t="n">
        <v>9</v>
      </c>
      <c r="AZ111" s="408">
        <f>AZ$110</f>
        <v/>
      </c>
      <c r="BA111" s="307" t="n">
        <v>0</v>
      </c>
      <c r="BB111" s="408" t="n"/>
      <c r="BC111" s="322" t="n">
        <v>9</v>
      </c>
      <c r="BD111" s="408">
        <f>BD$110</f>
        <v/>
      </c>
      <c r="BE111" s="307" t="n">
        <v>0</v>
      </c>
      <c r="BF111" s="408" t="n"/>
      <c r="BG111" s="322" t="n">
        <v>9</v>
      </c>
      <c r="BH111" s="408">
        <f>BH$110</f>
        <v/>
      </c>
      <c r="BI111" s="307" t="n">
        <v>0</v>
      </c>
      <c r="BJ111" s="408" t="n"/>
      <c r="BK111" s="340" t="n"/>
      <c r="BL111" s="820">
        <f>SUMPRODUCT(--(MOD(COLUMN($O111:$AL111),4)=MOD(COLUMN($O111)+0,4)),$O111:$AL111)
+SUMPRODUCT(--(MOD(COLUMN($AM111:$BJ111),4)=MOD(COLUMN($AM111)+0,4)),$AM111:$BJ111)</f>
        <v/>
      </c>
      <c r="BM111" s="820">
        <f>SUMPRODUCT(--(MOD(COLUMN($O111:$AL111),4)=MOD(COLUMN($O111)+0,4)),$O111:$AL111)*
$I111+SUMPRODUCT(--(MOD(COLUMN($AM111:$BJ111),4)=MOD(COLUMN($AM111)+0,4)),$AM111:$BJ111)*$I111</f>
        <v/>
      </c>
      <c r="BN111" s="822">
        <f>SUMPRODUCT(--(MOD(COLUMN($O111:$AL111),4)=MOD(COLUMN($O111)+1,4)),$O111:$AL111)
+SUMPRODUCT(--(MOD(COLUMN($AM111:$BJ111),4)=MOD(COLUMN($AM111)+1,4)),$AM111:$BJ111)</f>
        <v/>
      </c>
      <c r="BO111" s="823">
        <f>SUMPRODUCT(--(MOD(COLUMN($O111:$AL111),4)=MOD(COLUMN($O111)+1,4)),$O111:$AL111)*
$I111+SUMPRODUCT(--(MOD(COLUMN($AM111:$BJ111),4)=MOD(COLUMN($AM111)+1,4)),$AM111:$BJ111)*$I111</f>
        <v/>
      </c>
      <c r="BP111" s="824">
        <f>SUMPRODUCT(--(MOD(COLUMN($O111:$AL111),4)=MOD(COLUMN($O111)+2,4)),$O111:$AL111)
+SUMPRODUCT(--(MOD(COLUMN($AM111:$BJ111),4)=MOD(COLUMN($AM111)+2,4)),$AM111:$BJ111)</f>
        <v/>
      </c>
      <c r="BQ111" s="825">
        <f>SUMPRODUCT(--(MOD(COLUMN($O111:$AL111),4)=MOD(COLUMN($O111)+2,4)),$O111:$AL111)*
$I111+SUMPRODUCT(--(MOD(COLUMN($AM111:$BJ111),4)=MOD(COLUMN($AM111)+2,4)),$AM111:$BJ111)*$I111</f>
        <v/>
      </c>
      <c r="BR111" s="819" t="n"/>
      <c r="BS111" s="819" t="n"/>
      <c r="BT111" s="322" t="n">
        <v>18</v>
      </c>
      <c r="BU111" s="408" t="n"/>
      <c r="BV111" s="307" t="n">
        <v>0</v>
      </c>
      <c r="BW111" s="408" t="n"/>
      <c r="BX111" s="322" t="n">
        <v>18</v>
      </c>
      <c r="BY111" s="408" t="n"/>
      <c r="BZ111" s="307" t="n">
        <v>0</v>
      </c>
      <c r="CA111" s="408" t="n"/>
      <c r="CB111" s="322" t="n">
        <v>18</v>
      </c>
      <c r="CC111" s="408" t="n"/>
      <c r="CD111" s="307" t="n">
        <v>0</v>
      </c>
      <c r="CE111" s="408" t="n"/>
      <c r="CF111" s="322" t="n">
        <v>18</v>
      </c>
      <c r="CG111" s="408" t="n"/>
      <c r="CH111" s="307" t="n">
        <v>0</v>
      </c>
      <c r="CI111" s="408" t="n"/>
      <c r="CJ111" s="322" t="n">
        <v>18</v>
      </c>
      <c r="CK111" s="408" t="n"/>
      <c r="CL111" s="307" t="n">
        <v>0</v>
      </c>
      <c r="CM111" s="408" t="n"/>
      <c r="CN111" s="322" t="n">
        <v>18</v>
      </c>
      <c r="CO111" s="408" t="n"/>
      <c r="CP111" s="307" t="n">
        <v>0</v>
      </c>
      <c r="CQ111" s="408" t="n"/>
      <c r="CR111" s="322" t="n">
        <v>18</v>
      </c>
      <c r="CS111" s="408" t="n"/>
      <c r="CT111" s="307" t="n">
        <v>0</v>
      </c>
      <c r="CU111" s="408" t="n"/>
      <c r="CV111" s="322" t="n">
        <v>18</v>
      </c>
      <c r="CW111" s="408" t="n"/>
      <c r="CX111" s="307" t="n">
        <v>0</v>
      </c>
      <c r="CY111" s="408" t="n"/>
      <c r="CZ111" s="322" t="n">
        <v>18</v>
      </c>
      <c r="DA111" s="408" t="n"/>
      <c r="DB111" s="307" t="n">
        <v>0</v>
      </c>
      <c r="DC111" s="408" t="n"/>
      <c r="DD111" s="322" t="n">
        <v>18</v>
      </c>
      <c r="DE111" s="408" t="n"/>
      <c r="DF111" s="307" t="n">
        <v>0</v>
      </c>
      <c r="DG111" s="408" t="n"/>
      <c r="DH111" s="322" t="n">
        <v>18</v>
      </c>
      <c r="DI111" s="408" t="n"/>
      <c r="DJ111" s="307" t="n">
        <v>0</v>
      </c>
      <c r="DK111" s="408" t="n"/>
      <c r="DL111" s="322" t="n">
        <v>18</v>
      </c>
      <c r="DM111" s="408" t="n"/>
      <c r="DN111" s="307" t="n">
        <v>0</v>
      </c>
      <c r="DO111" s="408" t="n"/>
      <c r="DP111" s="340" t="n"/>
      <c r="DQ111" s="820">
        <f>SUMPRODUCT(--(MOD(COLUMN(BT111:CQ111),4)=MOD(COLUMN(BT111),4)),BT111:CQ111)+SUMPRODUCT(--(MOD(COLUMN(CR111:DO111),4)=MOD(COLUMN(CR111),4)),CR111:DO111)</f>
        <v/>
      </c>
      <c r="DR111" s="820">
        <f>SUMPRODUCT(--(MOD(COLUMN(BT111:CQ111),4)=MOD(COLUMN(BT111),4)),BT111:CQ111)*$I111+SUMPRODUCT(--(MOD(COLUMN(CR111:DO111),4)=MOD(COLUMN(CR111),4)),CR111:DO111)*$I111</f>
        <v/>
      </c>
      <c r="DS111" s="819" t="n"/>
      <c r="DT111" s="819" t="n"/>
      <c r="DU111" s="322" t="n">
        <v>42</v>
      </c>
      <c r="DV111" s="408" t="n"/>
      <c r="DW111" s="307" t="n">
        <v>0</v>
      </c>
      <c r="DX111" s="408" t="n"/>
      <c r="DY111" s="322" t="n">
        <v>42</v>
      </c>
      <c r="DZ111" s="408" t="n"/>
      <c r="EA111" s="307" t="n">
        <v>0</v>
      </c>
      <c r="EB111" s="408" t="n"/>
      <c r="EC111" s="322" t="n">
        <v>42</v>
      </c>
      <c r="ED111" s="408" t="n"/>
      <c r="EE111" s="307" t="n">
        <v>0</v>
      </c>
      <c r="EF111" s="408" t="n"/>
      <c r="EG111" s="322" t="n">
        <v>42</v>
      </c>
      <c r="EH111" s="408" t="n"/>
      <c r="EI111" s="307" t="n">
        <v>0</v>
      </c>
      <c r="EJ111" s="408" t="n"/>
      <c r="EK111" s="322" t="n">
        <v>42</v>
      </c>
      <c r="EL111" s="408" t="n"/>
      <c r="EM111" s="307" t="n">
        <v>0</v>
      </c>
      <c r="EN111" s="408" t="n"/>
      <c r="EO111" s="322" t="n">
        <v>42</v>
      </c>
      <c r="EP111" s="408" t="n"/>
      <c r="EQ111" s="307" t="n">
        <v>0</v>
      </c>
      <c r="ER111" s="408" t="n"/>
      <c r="ES111" s="322" t="n">
        <v>42</v>
      </c>
      <c r="ET111" s="408" t="n"/>
      <c r="EU111" s="307" t="n">
        <v>0</v>
      </c>
      <c r="EV111" s="408" t="n"/>
      <c r="EW111" s="322" t="n">
        <v>42</v>
      </c>
      <c r="EX111" s="408" t="n"/>
      <c r="EY111" s="307" t="n">
        <v>0</v>
      </c>
      <c r="EZ111" s="408" t="n"/>
      <c r="FA111" s="322" t="n">
        <v>42</v>
      </c>
      <c r="FB111" s="408" t="n"/>
      <c r="FC111" s="307" t="n">
        <v>0</v>
      </c>
      <c r="FD111" s="408" t="n"/>
      <c r="FE111" s="322" t="n">
        <v>42</v>
      </c>
      <c r="FF111" s="408" t="n"/>
      <c r="FG111" s="307" t="n">
        <v>0</v>
      </c>
      <c r="FH111" s="408" t="n"/>
      <c r="FI111" s="322" t="n">
        <v>42</v>
      </c>
      <c r="FJ111" s="408" t="n"/>
      <c r="FK111" s="307" t="n">
        <v>0</v>
      </c>
      <c r="FL111" s="408" t="n"/>
      <c r="FM111" s="322" t="n">
        <v>42</v>
      </c>
      <c r="FN111" s="408" t="n"/>
      <c r="FO111" s="307" t="n">
        <v>0</v>
      </c>
      <c r="FP111" s="408" t="n"/>
      <c r="FQ111" s="340" t="n"/>
      <c r="FR111" s="820">
        <f>SUMPRODUCT(--(MOD(COLUMN(DU111:ER111),4)=MOD(COLUMN(DU111),4)),DU111:ER111)+SUMPRODUCT(--(MOD(COLUMN(ES111:FP111),4)=MOD(COLUMN(ES111),4)),ES111:FP111)</f>
        <v/>
      </c>
      <c r="FS111" s="820">
        <f>SUMPRODUCT(--(MOD(COLUMN(DU111:ER111),4)=MOD(COLUMN(DU111),4)),DU111:ER111)*$I111+SUMPRODUCT(--(MOD(COLUMN(ES111:FP111),4)=MOD(COLUMN(ES111),4)),ES111:FP111)*$I111</f>
        <v/>
      </c>
      <c r="FT111" s="361" t="n"/>
    </row>
    <row r="112" outlineLevel="2">
      <c r="A112" s="445" t="inlineStr">
        <is>
          <t>ПАО «Уралавтоприцеп»</t>
        </is>
      </c>
      <c r="B112" s="446" t="inlineStr">
        <is>
          <t>Отсрочка 30 дней</t>
        </is>
      </c>
      <c r="C112" s="652" t="inlineStr">
        <is>
          <t>ВБК Восток</t>
        </is>
      </c>
      <c r="D112" s="653" t="inlineStr">
        <is>
          <t>Прасолов, Соловьёв</t>
        </is>
      </c>
      <c r="E112" s="447">
        <f>IF(ISBLANK(G112),"",IF($A$6:$A$330=$A112,COUNTIF($A$6:A112,$A112),""))</f>
        <v/>
      </c>
      <c r="F112" s="284" t="n">
        <v>1</v>
      </c>
      <c r="G112" s="304" t="n">
        <v>4410328080</v>
      </c>
      <c r="H112" s="602" t="inlineStr">
        <is>
          <t>Датчик АБС, 0,4 м</t>
        </is>
      </c>
      <c r="I112" s="661">
        <f>84/НДС_20</f>
        <v/>
      </c>
      <c r="J112" s="616" t="n"/>
      <c r="K112" s="870" t="n"/>
      <c r="L112" s="616" t="n"/>
      <c r="M112" s="871" t="n"/>
      <c r="N112" s="871">
        <f>IF(BP112&gt;0,1,IF(BN112&gt;0,2,))</f>
        <v/>
      </c>
      <c r="O112" s="322" t="n"/>
      <c r="P112" s="408" t="n"/>
      <c r="Q112" s="307" t="n"/>
      <c r="R112" s="408" t="n"/>
      <c r="S112" s="322" t="n"/>
      <c r="T112" s="408" t="n"/>
      <c r="U112" s="307" t="n"/>
      <c r="V112" s="408" t="n"/>
      <c r="W112" s="322" t="n"/>
      <c r="X112" s="408" t="n"/>
      <c r="Y112" s="307" t="n"/>
      <c r="Z112" s="408" t="n"/>
      <c r="AA112" s="322" t="n"/>
      <c r="AB112" s="408" t="n"/>
      <c r="AC112" s="307" t="n"/>
      <c r="AD112" s="408" t="n"/>
      <c r="AE112" s="322" t="n">
        <v>6</v>
      </c>
      <c r="AF112" s="408" t="n"/>
      <c r="AG112" s="307" t="n">
        <v>0</v>
      </c>
      <c r="AH112" s="408" t="n"/>
      <c r="AI112" s="322" t="n">
        <v>6</v>
      </c>
      <c r="AJ112" s="408" t="n"/>
      <c r="AK112" s="307" t="n">
        <v>0</v>
      </c>
      <c r="AL112" s="408" t="n"/>
      <c r="AM112" s="322" t="n">
        <v>6</v>
      </c>
      <c r="AN112" s="408" t="n"/>
      <c r="AO112" s="307" t="n">
        <v>0</v>
      </c>
      <c r="AP112" s="408" t="n"/>
      <c r="AQ112" s="322" t="n">
        <v>6</v>
      </c>
      <c r="AR112" s="408">
        <f>SUM(AR$110:AR$111)/3</f>
        <v/>
      </c>
      <c r="AS112" s="307" t="n">
        <v>0</v>
      </c>
      <c r="AT112" s="408" t="n"/>
      <c r="AU112" s="322" t="n">
        <v>6</v>
      </c>
      <c r="AV112" s="408">
        <f>SUM(AV$110:AV$111)/3</f>
        <v/>
      </c>
      <c r="AW112" s="307" t="n">
        <v>0</v>
      </c>
      <c r="AX112" s="408" t="n"/>
      <c r="AY112" s="322" t="n">
        <v>6</v>
      </c>
      <c r="AZ112" s="408">
        <f>SUM(AZ$110:AZ$111)/3</f>
        <v/>
      </c>
      <c r="BA112" s="307" t="n">
        <v>0</v>
      </c>
      <c r="BB112" s="408" t="n"/>
      <c r="BC112" s="322" t="n">
        <v>6</v>
      </c>
      <c r="BD112" s="408">
        <f>SUM(BD$110:BD$111)/3</f>
        <v/>
      </c>
      <c r="BE112" s="307" t="n">
        <v>0</v>
      </c>
      <c r="BF112" s="408" t="n"/>
      <c r="BG112" s="322" t="n">
        <v>6</v>
      </c>
      <c r="BH112" s="408">
        <f>SUM(BH$110:BH$111)/3</f>
        <v/>
      </c>
      <c r="BI112" s="307" t="n">
        <v>0</v>
      </c>
      <c r="BJ112" s="408" t="n"/>
      <c r="BK112" s="340" t="n"/>
      <c r="BL112" s="820">
        <f>SUMPRODUCT(--(MOD(COLUMN($O112:$AL112),4)=MOD(COLUMN($O112)+0,4)),$O112:$AL112)
+SUMPRODUCT(--(MOD(COLUMN($AM112:$BJ112),4)=MOD(COLUMN($AM112)+0,4)),$AM112:$BJ112)</f>
        <v/>
      </c>
      <c r="BM112" s="820">
        <f>SUMPRODUCT(--(MOD(COLUMN($O112:$AL112),4)=MOD(COLUMN($O112)+0,4)),$O112:$AL112)*
$I112+SUMPRODUCT(--(MOD(COLUMN($AM112:$BJ112),4)=MOD(COLUMN($AM112)+0,4)),$AM112:$BJ112)*$I112</f>
        <v/>
      </c>
      <c r="BN112" s="822">
        <f>SUMPRODUCT(--(MOD(COLUMN($O112:$AL112),4)=MOD(COLUMN($O112)+1,4)),$O112:$AL112)
+SUMPRODUCT(--(MOD(COLUMN($AM112:$BJ112),4)=MOD(COLUMN($AM112)+1,4)),$AM112:$BJ112)</f>
        <v/>
      </c>
      <c r="BO112" s="823">
        <f>SUMPRODUCT(--(MOD(COLUMN($O112:$AL112),4)=MOD(COLUMN($O112)+1,4)),$O112:$AL112)*
$I112+SUMPRODUCT(--(MOD(COLUMN($AM112:$BJ112),4)=MOD(COLUMN($AM112)+1,4)),$AM112:$BJ112)*$I112</f>
        <v/>
      </c>
      <c r="BP112" s="824">
        <f>SUMPRODUCT(--(MOD(COLUMN($O112:$AL112),4)=MOD(COLUMN($O112)+2,4)),$O112:$AL112)
+SUMPRODUCT(--(MOD(COLUMN($AM112:$BJ112),4)=MOD(COLUMN($AM112)+2,4)),$AM112:$BJ112)</f>
        <v/>
      </c>
      <c r="BQ112" s="825">
        <f>SUMPRODUCT(--(MOD(COLUMN($O112:$AL112),4)=MOD(COLUMN($O112)+2,4)),$O112:$AL112)*
$I112+SUMPRODUCT(--(MOD(COLUMN($AM112:$BJ112),4)=MOD(COLUMN($AM112)+2,4)),$AM112:$BJ112)*$I112</f>
        <v/>
      </c>
      <c r="BR112" s="819" t="n"/>
      <c r="BS112" s="819" t="n"/>
      <c r="BT112" s="322" t="n">
        <v>12</v>
      </c>
      <c r="BU112" s="408" t="n"/>
      <c r="BV112" s="307" t="n">
        <v>0</v>
      </c>
      <c r="BW112" s="408" t="n"/>
      <c r="BX112" s="322" t="n">
        <v>12</v>
      </c>
      <c r="BY112" s="408" t="n"/>
      <c r="BZ112" s="307" t="n">
        <v>0</v>
      </c>
      <c r="CA112" s="408" t="n"/>
      <c r="CB112" s="322" t="n">
        <v>12</v>
      </c>
      <c r="CC112" s="408" t="n"/>
      <c r="CD112" s="307" t="n">
        <v>0</v>
      </c>
      <c r="CE112" s="408" t="n"/>
      <c r="CF112" s="322" t="n">
        <v>12</v>
      </c>
      <c r="CG112" s="408" t="n"/>
      <c r="CH112" s="307" t="n">
        <v>0</v>
      </c>
      <c r="CI112" s="408" t="n"/>
      <c r="CJ112" s="322" t="n">
        <v>12</v>
      </c>
      <c r="CK112" s="408" t="n"/>
      <c r="CL112" s="307" t="n">
        <v>0</v>
      </c>
      <c r="CM112" s="408" t="n"/>
      <c r="CN112" s="322" t="n">
        <v>12</v>
      </c>
      <c r="CO112" s="408" t="n"/>
      <c r="CP112" s="307" t="n">
        <v>0</v>
      </c>
      <c r="CQ112" s="408" t="n"/>
      <c r="CR112" s="322" t="n">
        <v>12</v>
      </c>
      <c r="CS112" s="408" t="n"/>
      <c r="CT112" s="307" t="n">
        <v>0</v>
      </c>
      <c r="CU112" s="408" t="n"/>
      <c r="CV112" s="322" t="n">
        <v>12</v>
      </c>
      <c r="CW112" s="408" t="n"/>
      <c r="CX112" s="307" t="n">
        <v>0</v>
      </c>
      <c r="CY112" s="408" t="n"/>
      <c r="CZ112" s="322" t="n">
        <v>12</v>
      </c>
      <c r="DA112" s="408" t="n"/>
      <c r="DB112" s="307" t="n">
        <v>0</v>
      </c>
      <c r="DC112" s="408" t="n"/>
      <c r="DD112" s="322" t="n">
        <v>12</v>
      </c>
      <c r="DE112" s="408" t="n"/>
      <c r="DF112" s="307" t="n">
        <v>0</v>
      </c>
      <c r="DG112" s="408" t="n"/>
      <c r="DH112" s="322" t="n">
        <v>12</v>
      </c>
      <c r="DI112" s="408" t="n"/>
      <c r="DJ112" s="307" t="n">
        <v>0</v>
      </c>
      <c r="DK112" s="408" t="n"/>
      <c r="DL112" s="322" t="n">
        <v>12</v>
      </c>
      <c r="DM112" s="408" t="n"/>
      <c r="DN112" s="307" t="n">
        <v>0</v>
      </c>
      <c r="DO112" s="408" t="n"/>
      <c r="DP112" s="340" t="n"/>
      <c r="DQ112" s="820">
        <f>SUMPRODUCT(--(MOD(COLUMN(BT112:CQ112),4)=MOD(COLUMN(BT112),4)),BT112:CQ112)+SUMPRODUCT(--(MOD(COLUMN(CR112:DO112),4)=MOD(COLUMN(CR112),4)),CR112:DO112)</f>
        <v/>
      </c>
      <c r="DR112" s="820">
        <f>SUMPRODUCT(--(MOD(COLUMN(BT112:CQ112),4)=MOD(COLUMN(BT112),4)),BT112:CQ112)*$I112+SUMPRODUCT(--(MOD(COLUMN(CR112:DO112),4)=MOD(COLUMN(CR112),4)),CR112:DO112)*$I112</f>
        <v/>
      </c>
      <c r="DS112" s="819" t="n"/>
      <c r="DT112" s="819" t="n"/>
      <c r="DU112" s="322" t="n">
        <v>28</v>
      </c>
      <c r="DV112" s="408" t="n"/>
      <c r="DW112" s="307" t="n">
        <v>0</v>
      </c>
      <c r="DX112" s="408" t="n"/>
      <c r="DY112" s="322" t="n">
        <v>28</v>
      </c>
      <c r="DZ112" s="408" t="n"/>
      <c r="EA112" s="307" t="n">
        <v>0</v>
      </c>
      <c r="EB112" s="408" t="n"/>
      <c r="EC112" s="322" t="n">
        <v>28</v>
      </c>
      <c r="ED112" s="408" t="n"/>
      <c r="EE112" s="307" t="n">
        <v>0</v>
      </c>
      <c r="EF112" s="408" t="n"/>
      <c r="EG112" s="322" t="n">
        <v>28</v>
      </c>
      <c r="EH112" s="408" t="n"/>
      <c r="EI112" s="307" t="n">
        <v>0</v>
      </c>
      <c r="EJ112" s="408" t="n"/>
      <c r="EK112" s="322" t="n">
        <v>28</v>
      </c>
      <c r="EL112" s="408" t="n"/>
      <c r="EM112" s="307" t="n">
        <v>0</v>
      </c>
      <c r="EN112" s="408" t="n"/>
      <c r="EO112" s="322" t="n">
        <v>28</v>
      </c>
      <c r="EP112" s="408" t="n"/>
      <c r="EQ112" s="307" t="n">
        <v>0</v>
      </c>
      <c r="ER112" s="408" t="n"/>
      <c r="ES112" s="322" t="n">
        <v>28</v>
      </c>
      <c r="ET112" s="408" t="n"/>
      <c r="EU112" s="307" t="n">
        <v>0</v>
      </c>
      <c r="EV112" s="408" t="n"/>
      <c r="EW112" s="322" t="n">
        <v>28</v>
      </c>
      <c r="EX112" s="408" t="n"/>
      <c r="EY112" s="307" t="n">
        <v>0</v>
      </c>
      <c r="EZ112" s="408" t="n"/>
      <c r="FA112" s="322" t="n">
        <v>28</v>
      </c>
      <c r="FB112" s="408" t="n"/>
      <c r="FC112" s="307" t="n">
        <v>0</v>
      </c>
      <c r="FD112" s="408" t="n"/>
      <c r="FE112" s="322" t="n">
        <v>28</v>
      </c>
      <c r="FF112" s="408" t="n"/>
      <c r="FG112" s="307" t="n">
        <v>0</v>
      </c>
      <c r="FH112" s="408" t="n"/>
      <c r="FI112" s="322" t="n">
        <v>28</v>
      </c>
      <c r="FJ112" s="408" t="n"/>
      <c r="FK112" s="307" t="n">
        <v>0</v>
      </c>
      <c r="FL112" s="408" t="n"/>
      <c r="FM112" s="322" t="n">
        <v>28</v>
      </c>
      <c r="FN112" s="408" t="n"/>
      <c r="FO112" s="307" t="n">
        <v>0</v>
      </c>
      <c r="FP112" s="408" t="n"/>
      <c r="FQ112" s="340" t="n"/>
      <c r="FR112" s="820">
        <f>SUMPRODUCT(--(MOD(COLUMN(DU112:ER112),4)=MOD(COLUMN(DU112),4)),DU112:ER112)+SUMPRODUCT(--(MOD(COLUMN(ES112:FP112),4)=MOD(COLUMN(ES112),4)),ES112:FP112)</f>
        <v/>
      </c>
      <c r="FS112" s="820">
        <f>SUMPRODUCT(--(MOD(COLUMN(DU112:ER112),4)=MOD(COLUMN(DU112),4)),DU112:ER112)*$I112+SUMPRODUCT(--(MOD(COLUMN(ES112:FP112),4)=MOD(COLUMN(ES112),4)),ES112:FP112)*$I112</f>
        <v/>
      </c>
      <c r="FT112" s="361" t="n"/>
    </row>
    <row r="113" outlineLevel="2">
      <c r="A113" s="445" t="inlineStr">
        <is>
          <t>ПАО «Уралавтоприцеп»</t>
        </is>
      </c>
      <c r="B113" s="446" t="inlineStr">
        <is>
          <t>Отсрочка 30 дней</t>
        </is>
      </c>
      <c r="C113" s="652" t="inlineStr">
        <is>
          <t>ВБК Восток</t>
        </is>
      </c>
      <c r="D113" s="653" t="inlineStr">
        <is>
          <t>Прасолов, Соловьёв</t>
        </is>
      </c>
      <c r="E113" s="447">
        <f>IF(ISBLANK(G113),"",IF($A$6:$A$330=$A113,COUNTIF($A$6:A113,$A113),""))</f>
        <v/>
      </c>
      <c r="F113" s="284" t="n">
        <v>1</v>
      </c>
      <c r="G113" s="304" t="n">
        <v>8997598154</v>
      </c>
      <c r="H113" s="602" t="inlineStr">
        <is>
          <t>Втулка датчика АБС</t>
        </is>
      </c>
      <c r="I113" s="616">
        <f>8.4/НДС_20</f>
        <v/>
      </c>
      <c r="J113" s="616" t="n"/>
      <c r="K113" s="870" t="n"/>
      <c r="L113" s="616" t="n"/>
      <c r="M113" s="871" t="n"/>
      <c r="N113" s="871">
        <f>IF(BP113&gt;0,1,IF(BN113&gt;0,2,))</f>
        <v/>
      </c>
      <c r="O113" s="322" t="n"/>
      <c r="P113" s="498" t="n"/>
      <c r="Q113" s="307" t="n"/>
      <c r="R113" s="408" t="n"/>
      <c r="S113" s="322" t="n"/>
      <c r="T113" s="408" t="n"/>
      <c r="U113" s="307" t="n"/>
      <c r="V113" s="408" t="n"/>
      <c r="W113" s="322" t="n"/>
      <c r="X113" s="408" t="n"/>
      <c r="Y113" s="307" t="n"/>
      <c r="Z113" s="408" t="n"/>
      <c r="AA113" s="322" t="n"/>
      <c r="AB113" s="408" t="n"/>
      <c r="AC113" s="307" t="n"/>
      <c r="AD113" s="408" t="n"/>
      <c r="AE113" s="322" t="n">
        <v>6</v>
      </c>
      <c r="AF113" s="408" t="n"/>
      <c r="AG113" s="307" t="n">
        <v>0</v>
      </c>
      <c r="AH113" s="408" t="n"/>
      <c r="AI113" s="322" t="n">
        <v>6</v>
      </c>
      <c r="AJ113" s="408" t="n"/>
      <c r="AK113" s="307" t="n">
        <v>0</v>
      </c>
      <c r="AL113" s="408" t="n"/>
      <c r="AM113" s="322" t="n">
        <v>6</v>
      </c>
      <c r="AN113" s="408" t="n"/>
      <c r="AO113" s="307" t="n">
        <v>0</v>
      </c>
      <c r="AP113" s="408" t="n"/>
      <c r="AQ113" s="322" t="n">
        <v>6</v>
      </c>
      <c r="AR113" s="408">
        <f>SUM(AR$110:AR$111)/3</f>
        <v/>
      </c>
      <c r="AS113" s="307" t="n">
        <v>0</v>
      </c>
      <c r="AT113" s="408" t="n"/>
      <c r="AU113" s="322" t="n">
        <v>6</v>
      </c>
      <c r="AV113" s="408">
        <f>SUM(AV$110:AV$111)/3</f>
        <v/>
      </c>
      <c r="AW113" s="307" t="n">
        <v>0</v>
      </c>
      <c r="AX113" s="408" t="n"/>
      <c r="AY113" s="322" t="n">
        <v>6</v>
      </c>
      <c r="AZ113" s="408">
        <f>SUM(AZ$110:AZ$111)/3</f>
        <v/>
      </c>
      <c r="BA113" s="307" t="n">
        <v>0</v>
      </c>
      <c r="BB113" s="408" t="n"/>
      <c r="BC113" s="322" t="n">
        <v>6</v>
      </c>
      <c r="BD113" s="408">
        <f>SUM(BD$110:BD$111)/3</f>
        <v/>
      </c>
      <c r="BE113" s="307" t="n">
        <v>0</v>
      </c>
      <c r="BF113" s="408" t="n"/>
      <c r="BG113" s="322" t="n">
        <v>6</v>
      </c>
      <c r="BH113" s="408">
        <f>SUM(BH$110:BH$111)/3</f>
        <v/>
      </c>
      <c r="BI113" s="307" t="n">
        <v>0</v>
      </c>
      <c r="BJ113" s="408" t="n"/>
      <c r="BK113" s="340" t="n"/>
      <c r="BL113" s="820">
        <f>SUMPRODUCT(--(MOD(COLUMN($O113:$AL113),4)=MOD(COLUMN($O113)+0,4)),$O113:$AL113)
+SUMPRODUCT(--(MOD(COLUMN($AM113:$BJ113),4)=MOD(COLUMN($AM113)+0,4)),$AM113:$BJ113)</f>
        <v/>
      </c>
      <c r="BM113" s="820">
        <f>SUMPRODUCT(--(MOD(COLUMN($O113:$AL113),4)=MOD(COLUMN($O113)+0,4)),$O113:$AL113)*
$I113+SUMPRODUCT(--(MOD(COLUMN($AM113:$BJ113),4)=MOD(COLUMN($AM113)+0,4)),$AM113:$BJ113)*$I113</f>
        <v/>
      </c>
      <c r="BN113" s="822">
        <f>SUMPRODUCT(--(MOD(COLUMN($O113:$AL113),4)=MOD(COLUMN($O113)+1,4)),$O113:$AL113)
+SUMPRODUCT(--(MOD(COLUMN($AM113:$BJ113),4)=MOD(COLUMN($AM113)+1,4)),$AM113:$BJ113)</f>
        <v/>
      </c>
      <c r="BO113" s="823">
        <f>SUMPRODUCT(--(MOD(COLUMN($O113:$AL113),4)=MOD(COLUMN($O113)+1,4)),$O113:$AL113)*
$I113+SUMPRODUCT(--(MOD(COLUMN($AM113:$BJ113),4)=MOD(COLUMN($AM113)+1,4)),$AM113:$BJ113)*$I113</f>
        <v/>
      </c>
      <c r="BP113" s="824">
        <f>SUMPRODUCT(--(MOD(COLUMN($O113:$AL113),4)=MOD(COLUMN($O113)+2,4)),$O113:$AL113)
+SUMPRODUCT(--(MOD(COLUMN($AM113:$BJ113),4)=MOD(COLUMN($AM113)+2,4)),$AM113:$BJ113)</f>
        <v/>
      </c>
      <c r="BQ113" s="825">
        <f>SUMPRODUCT(--(MOD(COLUMN($O113:$AL113),4)=MOD(COLUMN($O113)+2,4)),$O113:$AL113)*
$I113+SUMPRODUCT(--(MOD(COLUMN($AM113:$BJ113),4)=MOD(COLUMN($AM113)+2,4)),$AM113:$BJ113)*$I113</f>
        <v/>
      </c>
      <c r="BR113" s="819" t="n"/>
      <c r="BS113" s="819" t="n"/>
      <c r="BT113" s="322" t="n">
        <v>12</v>
      </c>
      <c r="BU113" s="408" t="n"/>
      <c r="BV113" s="307" t="n">
        <v>0</v>
      </c>
      <c r="BW113" s="408" t="n"/>
      <c r="BX113" s="322" t="n">
        <v>12</v>
      </c>
      <c r="BY113" s="408" t="n"/>
      <c r="BZ113" s="307" t="n">
        <v>0</v>
      </c>
      <c r="CA113" s="408" t="n"/>
      <c r="CB113" s="322" t="n">
        <v>12</v>
      </c>
      <c r="CC113" s="408" t="n"/>
      <c r="CD113" s="307" t="n">
        <v>0</v>
      </c>
      <c r="CE113" s="408" t="n"/>
      <c r="CF113" s="322" t="n">
        <v>12</v>
      </c>
      <c r="CG113" s="408" t="n"/>
      <c r="CH113" s="307" t="n">
        <v>0</v>
      </c>
      <c r="CI113" s="408" t="n"/>
      <c r="CJ113" s="322" t="n">
        <v>12</v>
      </c>
      <c r="CK113" s="408" t="n"/>
      <c r="CL113" s="307" t="n">
        <v>0</v>
      </c>
      <c r="CM113" s="408" t="n"/>
      <c r="CN113" s="322" t="n">
        <v>12</v>
      </c>
      <c r="CO113" s="408" t="n"/>
      <c r="CP113" s="307" t="n">
        <v>0</v>
      </c>
      <c r="CQ113" s="408" t="n"/>
      <c r="CR113" s="322" t="n">
        <v>12</v>
      </c>
      <c r="CS113" s="408" t="n"/>
      <c r="CT113" s="307" t="n">
        <v>0</v>
      </c>
      <c r="CU113" s="408" t="n"/>
      <c r="CV113" s="322" t="n">
        <v>12</v>
      </c>
      <c r="CW113" s="408" t="n"/>
      <c r="CX113" s="307" t="n">
        <v>0</v>
      </c>
      <c r="CY113" s="408" t="n"/>
      <c r="CZ113" s="322" t="n">
        <v>12</v>
      </c>
      <c r="DA113" s="408" t="n"/>
      <c r="DB113" s="307" t="n">
        <v>0</v>
      </c>
      <c r="DC113" s="408" t="n"/>
      <c r="DD113" s="322" t="n">
        <v>12</v>
      </c>
      <c r="DE113" s="408" t="n"/>
      <c r="DF113" s="307" t="n">
        <v>0</v>
      </c>
      <c r="DG113" s="408" t="n"/>
      <c r="DH113" s="322" t="n">
        <v>12</v>
      </c>
      <c r="DI113" s="408" t="n"/>
      <c r="DJ113" s="307" t="n">
        <v>0</v>
      </c>
      <c r="DK113" s="408" t="n"/>
      <c r="DL113" s="322" t="n">
        <v>12</v>
      </c>
      <c r="DM113" s="408" t="n"/>
      <c r="DN113" s="307" t="n">
        <v>0</v>
      </c>
      <c r="DO113" s="408" t="n"/>
      <c r="DP113" s="340" t="n"/>
      <c r="DQ113" s="820">
        <f>SUMPRODUCT(--(MOD(COLUMN(BT113:CQ113),4)=MOD(COLUMN(BT113),4)),BT113:CQ113)+SUMPRODUCT(--(MOD(COLUMN(CR113:DO113),4)=MOD(COLUMN(CR113),4)),CR113:DO113)</f>
        <v/>
      </c>
      <c r="DR113" s="820">
        <f>SUMPRODUCT(--(MOD(COLUMN(BT113:CQ113),4)=MOD(COLUMN(BT113),4)),BT113:CQ113)*$I113+SUMPRODUCT(--(MOD(COLUMN(CR113:DO113),4)=MOD(COLUMN(CR113),4)),CR113:DO113)*$I113</f>
        <v/>
      </c>
      <c r="DS113" s="819" t="n"/>
      <c r="DT113" s="819" t="n"/>
      <c r="DU113" s="322" t="n">
        <v>28</v>
      </c>
      <c r="DV113" s="408" t="n"/>
      <c r="DW113" s="307" t="n">
        <v>0</v>
      </c>
      <c r="DX113" s="408" t="n"/>
      <c r="DY113" s="322" t="n">
        <v>28</v>
      </c>
      <c r="DZ113" s="408" t="n"/>
      <c r="EA113" s="307" t="n">
        <v>0</v>
      </c>
      <c r="EB113" s="408" t="n"/>
      <c r="EC113" s="322" t="n">
        <v>28</v>
      </c>
      <c r="ED113" s="408" t="n"/>
      <c r="EE113" s="307" t="n">
        <v>0</v>
      </c>
      <c r="EF113" s="408" t="n"/>
      <c r="EG113" s="322" t="n">
        <v>28</v>
      </c>
      <c r="EH113" s="408" t="n"/>
      <c r="EI113" s="307" t="n">
        <v>0</v>
      </c>
      <c r="EJ113" s="408" t="n"/>
      <c r="EK113" s="322" t="n">
        <v>28</v>
      </c>
      <c r="EL113" s="408" t="n"/>
      <c r="EM113" s="307" t="n">
        <v>0</v>
      </c>
      <c r="EN113" s="408" t="n"/>
      <c r="EO113" s="322" t="n">
        <v>28</v>
      </c>
      <c r="EP113" s="408" t="n"/>
      <c r="EQ113" s="307" t="n">
        <v>0</v>
      </c>
      <c r="ER113" s="408" t="n"/>
      <c r="ES113" s="322" t="n">
        <v>28</v>
      </c>
      <c r="ET113" s="408" t="n"/>
      <c r="EU113" s="307" t="n">
        <v>0</v>
      </c>
      <c r="EV113" s="408" t="n"/>
      <c r="EW113" s="322" t="n">
        <v>28</v>
      </c>
      <c r="EX113" s="408" t="n"/>
      <c r="EY113" s="307" t="n">
        <v>0</v>
      </c>
      <c r="EZ113" s="408" t="n"/>
      <c r="FA113" s="322" t="n">
        <v>28</v>
      </c>
      <c r="FB113" s="408" t="n"/>
      <c r="FC113" s="307" t="n">
        <v>0</v>
      </c>
      <c r="FD113" s="408" t="n"/>
      <c r="FE113" s="322" t="n">
        <v>28</v>
      </c>
      <c r="FF113" s="408" t="n"/>
      <c r="FG113" s="307" t="n">
        <v>0</v>
      </c>
      <c r="FH113" s="408" t="n"/>
      <c r="FI113" s="322" t="n">
        <v>28</v>
      </c>
      <c r="FJ113" s="408" t="n"/>
      <c r="FK113" s="307" t="n">
        <v>0</v>
      </c>
      <c r="FL113" s="408" t="n"/>
      <c r="FM113" s="322" t="n">
        <v>28</v>
      </c>
      <c r="FN113" s="408" t="n"/>
      <c r="FO113" s="307" t="n">
        <v>0</v>
      </c>
      <c r="FP113" s="408" t="n"/>
      <c r="FQ113" s="340" t="n"/>
      <c r="FR113" s="820">
        <f>SUMPRODUCT(--(MOD(COLUMN(DU113:ER113),4)=MOD(COLUMN(DU113),4)),DU113:ER113)+SUMPRODUCT(--(MOD(COLUMN(ES113:FP113),4)=MOD(COLUMN(ES113),4)),ES113:FP113)</f>
        <v/>
      </c>
      <c r="FS113" s="820">
        <f>SUMPRODUCT(--(MOD(COLUMN(DU113:ER113),4)=MOD(COLUMN(DU113),4)),DU113:ER113)*$I113+SUMPRODUCT(--(MOD(COLUMN(ES113:FP113),4)=MOD(COLUMN(ES113),4)),ES113:FP113)*$I113</f>
        <v/>
      </c>
      <c r="FT113" s="361" t="n"/>
    </row>
    <row r="114" outlineLevel="2">
      <c r="A114" s="445" t="inlineStr">
        <is>
          <t>ПАО «Уралавтоприцеп»</t>
        </is>
      </c>
      <c r="B114" s="446" t="inlineStr">
        <is>
          <t>Отсрочка 30 дней</t>
        </is>
      </c>
      <c r="C114" s="652" t="inlineStr">
        <is>
          <t>ВБК Восток</t>
        </is>
      </c>
      <c r="D114" s="653" t="inlineStr">
        <is>
          <t>Прасолов, Соловьёв</t>
        </is>
      </c>
      <c r="E114" s="447">
        <f>IF(ISBLANK(G114),"",IF($A$6:$A$330=$A114,COUNTIF($A$6:A114,$A114),""))</f>
        <v/>
      </c>
      <c r="F114" s="284" t="n">
        <v>1</v>
      </c>
      <c r="G114" s="304" t="n">
        <v>4235041001</v>
      </c>
      <c r="H114" s="602" t="inlineStr">
        <is>
          <t>Тормозная камера, тип 20</t>
        </is>
      </c>
      <c r="I114" s="616">
        <f>163.08/НДС_20</f>
        <v/>
      </c>
      <c r="J114" s="616" t="n"/>
      <c r="K114" s="870" t="n"/>
      <c r="L114" s="616" t="n"/>
      <c r="M114" s="871" t="n"/>
      <c r="N114" s="871">
        <f>IF(BP114&gt;0,1,IF(BN114&gt;0,2,))</f>
        <v/>
      </c>
      <c r="O114" s="322" t="n"/>
      <c r="P114" s="408" t="n"/>
      <c r="Q114" s="307" t="n"/>
      <c r="R114" s="408" t="n"/>
      <c r="S114" s="322" t="n"/>
      <c r="T114" s="408" t="n"/>
      <c r="U114" s="307" t="n"/>
      <c r="V114" s="408" t="n"/>
      <c r="W114" s="322" t="n"/>
      <c r="X114" s="408" t="n"/>
      <c r="Y114" s="307" t="n"/>
      <c r="Z114" s="408" t="n"/>
      <c r="AA114" s="322" t="n"/>
      <c r="AB114" s="408" t="n"/>
      <c r="AC114" s="307" t="n"/>
      <c r="AD114" s="408" t="n"/>
      <c r="AE114" s="322" t="n">
        <v>6</v>
      </c>
      <c r="AF114" s="408" t="n"/>
      <c r="AG114" s="307" t="n">
        <v>0</v>
      </c>
      <c r="AH114" s="408" t="n"/>
      <c r="AI114" s="322" t="n">
        <v>6</v>
      </c>
      <c r="AJ114" s="408" t="n"/>
      <c r="AK114" s="307" t="n">
        <v>0</v>
      </c>
      <c r="AL114" s="408" t="n"/>
      <c r="AM114" s="322" t="n">
        <v>6</v>
      </c>
      <c r="AN114" s="408" t="n"/>
      <c r="AO114" s="307" t="n">
        <v>0</v>
      </c>
      <c r="AP114" s="408" t="n"/>
      <c r="AQ114" s="322" t="n">
        <v>6</v>
      </c>
      <c r="AR114" s="408">
        <f>SUM(AR$110:AR$111)/3</f>
        <v/>
      </c>
      <c r="AS114" s="307" t="n">
        <v>0</v>
      </c>
      <c r="AT114" s="408" t="n"/>
      <c r="AU114" s="322" t="n">
        <v>6</v>
      </c>
      <c r="AV114" s="408">
        <f>SUM(AV$110:AV$111)/3</f>
        <v/>
      </c>
      <c r="AW114" s="307" t="n">
        <v>0</v>
      </c>
      <c r="AX114" s="408" t="n"/>
      <c r="AY114" s="322" t="n">
        <v>6</v>
      </c>
      <c r="AZ114" s="408">
        <f>SUM(AZ$110:AZ$111)/3</f>
        <v/>
      </c>
      <c r="BA114" s="307" t="n">
        <v>0</v>
      </c>
      <c r="BB114" s="408" t="n"/>
      <c r="BC114" s="322" t="n">
        <v>6</v>
      </c>
      <c r="BD114" s="408">
        <f>SUM(BD$110:BD$111)/3</f>
        <v/>
      </c>
      <c r="BE114" s="307" t="n">
        <v>0</v>
      </c>
      <c r="BF114" s="408" t="n"/>
      <c r="BG114" s="322" t="n">
        <v>6</v>
      </c>
      <c r="BH114" s="408">
        <f>SUM(BH$110:BH$111)/3</f>
        <v/>
      </c>
      <c r="BI114" s="307" t="n">
        <v>0</v>
      </c>
      <c r="BJ114" s="408" t="n"/>
      <c r="BK114" s="340" t="n"/>
      <c r="BL114" s="820">
        <f>SUMPRODUCT(--(MOD(COLUMN($O114:$AL114),4)=MOD(COLUMN($O114)+0,4)),$O114:$AL114)
+SUMPRODUCT(--(MOD(COLUMN($AM114:$BJ114),4)=MOD(COLUMN($AM114)+0,4)),$AM114:$BJ114)</f>
        <v/>
      </c>
      <c r="BM114" s="820">
        <f>SUMPRODUCT(--(MOD(COLUMN($O114:$AL114),4)=MOD(COLUMN($O114)+0,4)),$O114:$AL114)*
$I114+SUMPRODUCT(--(MOD(COLUMN($AM114:$BJ114),4)=MOD(COLUMN($AM114)+0,4)),$AM114:$BJ114)*$I114</f>
        <v/>
      </c>
      <c r="BN114" s="822">
        <f>SUMPRODUCT(--(MOD(COLUMN($O114:$AL114),4)=MOD(COLUMN($O114)+1,4)),$O114:$AL114)
+SUMPRODUCT(--(MOD(COLUMN($AM114:$BJ114),4)=MOD(COLUMN($AM114)+1,4)),$AM114:$BJ114)</f>
        <v/>
      </c>
      <c r="BO114" s="823">
        <f>SUMPRODUCT(--(MOD(COLUMN($O114:$AL114),4)=MOD(COLUMN($O114)+1,4)),$O114:$AL114)*
$I114+SUMPRODUCT(--(MOD(COLUMN($AM114:$BJ114),4)=MOD(COLUMN($AM114)+1,4)),$AM114:$BJ114)*$I114</f>
        <v/>
      </c>
      <c r="BP114" s="824">
        <f>SUMPRODUCT(--(MOD(COLUMN($O114:$AL114),4)=MOD(COLUMN($O114)+2,4)),$O114:$AL114)
+SUMPRODUCT(--(MOD(COLUMN($AM114:$BJ114),4)=MOD(COLUMN($AM114)+2,4)),$AM114:$BJ114)</f>
        <v/>
      </c>
      <c r="BQ114" s="825">
        <f>SUMPRODUCT(--(MOD(COLUMN($O114:$AL114),4)=MOD(COLUMN($O114)+2,4)),$O114:$AL114)*
$I114+SUMPRODUCT(--(MOD(COLUMN($AM114:$BJ114),4)=MOD(COLUMN($AM114)+2,4)),$AM114:$BJ114)*$I114</f>
        <v/>
      </c>
      <c r="BR114" s="819" t="n"/>
      <c r="BS114" s="819" t="n"/>
      <c r="BT114" s="322" t="n">
        <v>12</v>
      </c>
      <c r="BU114" s="408" t="n"/>
      <c r="BV114" s="307" t="n">
        <v>0</v>
      </c>
      <c r="BW114" s="408" t="n"/>
      <c r="BX114" s="322" t="n">
        <v>12</v>
      </c>
      <c r="BY114" s="408" t="n"/>
      <c r="BZ114" s="307" t="n">
        <v>0</v>
      </c>
      <c r="CA114" s="408" t="n"/>
      <c r="CB114" s="322" t="n">
        <v>12</v>
      </c>
      <c r="CC114" s="408" t="n"/>
      <c r="CD114" s="307" t="n">
        <v>0</v>
      </c>
      <c r="CE114" s="408" t="n"/>
      <c r="CF114" s="322" t="n">
        <v>12</v>
      </c>
      <c r="CG114" s="408" t="n"/>
      <c r="CH114" s="307" t="n">
        <v>0</v>
      </c>
      <c r="CI114" s="408" t="n"/>
      <c r="CJ114" s="322" t="n">
        <v>12</v>
      </c>
      <c r="CK114" s="408" t="n"/>
      <c r="CL114" s="307" t="n">
        <v>0</v>
      </c>
      <c r="CM114" s="408" t="n"/>
      <c r="CN114" s="322" t="n">
        <v>12</v>
      </c>
      <c r="CO114" s="408" t="n"/>
      <c r="CP114" s="307" t="n">
        <v>0</v>
      </c>
      <c r="CQ114" s="408" t="n"/>
      <c r="CR114" s="322" t="n">
        <v>12</v>
      </c>
      <c r="CS114" s="408" t="n"/>
      <c r="CT114" s="307" t="n">
        <v>0</v>
      </c>
      <c r="CU114" s="408" t="n"/>
      <c r="CV114" s="322" t="n">
        <v>12</v>
      </c>
      <c r="CW114" s="408" t="n"/>
      <c r="CX114" s="307" t="n">
        <v>0</v>
      </c>
      <c r="CY114" s="408" t="n"/>
      <c r="CZ114" s="322" t="n">
        <v>12</v>
      </c>
      <c r="DA114" s="408" t="n"/>
      <c r="DB114" s="307" t="n">
        <v>0</v>
      </c>
      <c r="DC114" s="408" t="n"/>
      <c r="DD114" s="322" t="n">
        <v>12</v>
      </c>
      <c r="DE114" s="408" t="n"/>
      <c r="DF114" s="307" t="n">
        <v>0</v>
      </c>
      <c r="DG114" s="408" t="n"/>
      <c r="DH114" s="322" t="n">
        <v>12</v>
      </c>
      <c r="DI114" s="408" t="n"/>
      <c r="DJ114" s="307" t="n">
        <v>0</v>
      </c>
      <c r="DK114" s="408" t="n"/>
      <c r="DL114" s="322" t="n">
        <v>12</v>
      </c>
      <c r="DM114" s="408" t="n"/>
      <c r="DN114" s="307" t="n">
        <v>0</v>
      </c>
      <c r="DO114" s="408" t="n"/>
      <c r="DP114" s="340" t="n"/>
      <c r="DQ114" s="820">
        <f>SUMPRODUCT(--(MOD(COLUMN(BT114:CQ114),4)=MOD(COLUMN(BT114),4)),BT114:CQ114)+SUMPRODUCT(--(MOD(COLUMN(CR114:DO114),4)=MOD(COLUMN(CR114),4)),CR114:DO114)</f>
        <v/>
      </c>
      <c r="DR114" s="820">
        <f>SUMPRODUCT(--(MOD(COLUMN(BT114:CQ114),4)=MOD(COLUMN(BT114),4)),BT114:CQ114)*$I114+SUMPRODUCT(--(MOD(COLUMN(CR114:DO114),4)=MOD(COLUMN(CR114),4)),CR114:DO114)*$I114</f>
        <v/>
      </c>
      <c r="DS114" s="819" t="n"/>
      <c r="DT114" s="819" t="n"/>
      <c r="DU114" s="322" t="n">
        <v>28</v>
      </c>
      <c r="DV114" s="408" t="n"/>
      <c r="DW114" s="307" t="n">
        <v>0</v>
      </c>
      <c r="DX114" s="408" t="n"/>
      <c r="DY114" s="322" t="n">
        <v>28</v>
      </c>
      <c r="DZ114" s="408" t="n"/>
      <c r="EA114" s="307" t="n">
        <v>0</v>
      </c>
      <c r="EB114" s="408" t="n"/>
      <c r="EC114" s="322" t="n">
        <v>28</v>
      </c>
      <c r="ED114" s="408" t="n"/>
      <c r="EE114" s="307" t="n">
        <v>0</v>
      </c>
      <c r="EF114" s="408" t="n"/>
      <c r="EG114" s="322" t="n">
        <v>28</v>
      </c>
      <c r="EH114" s="408" t="n"/>
      <c r="EI114" s="307" t="n">
        <v>0</v>
      </c>
      <c r="EJ114" s="408" t="n"/>
      <c r="EK114" s="322" t="n">
        <v>28</v>
      </c>
      <c r="EL114" s="408" t="n"/>
      <c r="EM114" s="307" t="n">
        <v>0</v>
      </c>
      <c r="EN114" s="408" t="n"/>
      <c r="EO114" s="322" t="n">
        <v>28</v>
      </c>
      <c r="EP114" s="408" t="n"/>
      <c r="EQ114" s="307" t="n">
        <v>0</v>
      </c>
      <c r="ER114" s="408" t="n"/>
      <c r="ES114" s="322" t="n">
        <v>28</v>
      </c>
      <c r="ET114" s="408" t="n"/>
      <c r="EU114" s="307" t="n">
        <v>0</v>
      </c>
      <c r="EV114" s="408" t="n"/>
      <c r="EW114" s="322" t="n">
        <v>28</v>
      </c>
      <c r="EX114" s="408" t="n"/>
      <c r="EY114" s="307" t="n">
        <v>0</v>
      </c>
      <c r="EZ114" s="408" t="n"/>
      <c r="FA114" s="322" t="n">
        <v>28</v>
      </c>
      <c r="FB114" s="408" t="n"/>
      <c r="FC114" s="307" t="n">
        <v>0</v>
      </c>
      <c r="FD114" s="408" t="n"/>
      <c r="FE114" s="322" t="n">
        <v>28</v>
      </c>
      <c r="FF114" s="408" t="n"/>
      <c r="FG114" s="307" t="n">
        <v>0</v>
      </c>
      <c r="FH114" s="408" t="n"/>
      <c r="FI114" s="322" t="n">
        <v>28</v>
      </c>
      <c r="FJ114" s="408" t="n"/>
      <c r="FK114" s="307" t="n">
        <v>0</v>
      </c>
      <c r="FL114" s="408" t="n"/>
      <c r="FM114" s="322" t="n">
        <v>28</v>
      </c>
      <c r="FN114" s="408" t="n"/>
      <c r="FO114" s="307" t="n">
        <v>0</v>
      </c>
      <c r="FP114" s="408" t="n"/>
      <c r="FQ114" s="340" t="n"/>
      <c r="FR114" s="820">
        <f>SUMPRODUCT(--(MOD(COLUMN(DU114:ER114),4)=MOD(COLUMN(DU114),4)),DU114:ER114)+SUMPRODUCT(--(MOD(COLUMN(ES114:FP114),4)=MOD(COLUMN(ES114),4)),ES114:FP114)</f>
        <v/>
      </c>
      <c r="FS114" s="820">
        <f>SUMPRODUCT(--(MOD(COLUMN(DU114:ER114),4)=MOD(COLUMN(DU114),4)),DU114:ER114)*$I114+SUMPRODUCT(--(MOD(COLUMN(ES114:FP114),4)=MOD(COLUMN(ES114),4)),ES114:FP114)*$I114</f>
        <v/>
      </c>
      <c r="FT114" s="361" t="n"/>
    </row>
    <row r="115" outlineLevel="2">
      <c r="A115" s="445" t="inlineStr">
        <is>
          <t>ПАО «Уралавтоприцеп»</t>
        </is>
      </c>
      <c r="B115" s="446" t="inlineStr">
        <is>
          <t>Отсрочка 30 дней</t>
        </is>
      </c>
      <c r="C115" s="652" t="inlineStr">
        <is>
          <t>ВБК Восток</t>
        </is>
      </c>
      <c r="D115" s="653" t="inlineStr">
        <is>
          <t>Прасолов, Соловьёв</t>
        </is>
      </c>
      <c r="E115" s="447">
        <f>IF(ISBLANK(G115),"",IF($A$6:$A$330=$A115,COUNTIF($A$6:A115,$A115),""))</f>
        <v/>
      </c>
      <c r="F115" s="284" t="n">
        <v>1</v>
      </c>
      <c r="G115" s="304" t="n">
        <v>9254800504</v>
      </c>
      <c r="H115" s="602" t="inlineStr">
        <is>
          <t>Энергоаккумулятор, тип 20/24</t>
        </is>
      </c>
      <c r="I115" s="616">
        <f>373.98/НДС_20</f>
        <v/>
      </c>
      <c r="J115" s="616" t="n"/>
      <c r="K115" s="870" t="n"/>
      <c r="L115" s="616" t="n"/>
      <c r="M115" s="871" t="n"/>
      <c r="N115" s="871">
        <f>IF(BP115&gt;0,1,IF(BN115&gt;0,2,))</f>
        <v/>
      </c>
      <c r="O115" s="322" t="n"/>
      <c r="P115" s="408" t="n"/>
      <c r="Q115" s="307" t="n"/>
      <c r="R115" s="408" t="n"/>
      <c r="S115" s="322" t="n"/>
      <c r="T115" s="408" t="n"/>
      <c r="U115" s="307" t="n"/>
      <c r="V115" s="408" t="n"/>
      <c r="W115" s="322" t="n"/>
      <c r="X115" s="408" t="n"/>
      <c r="Y115" s="307" t="n"/>
      <c r="Z115" s="408" t="n"/>
      <c r="AA115" s="322" t="n"/>
      <c r="AB115" s="408" t="n"/>
      <c r="AC115" s="307" t="n"/>
      <c r="AD115" s="408" t="n"/>
      <c r="AE115" s="322" t="n">
        <v>12</v>
      </c>
      <c r="AF115" s="408" t="n"/>
      <c r="AG115" s="307" t="n">
        <v>0</v>
      </c>
      <c r="AH115" s="408" t="n"/>
      <c r="AI115" s="322" t="n">
        <v>12</v>
      </c>
      <c r="AJ115" s="408" t="n"/>
      <c r="AK115" s="307" t="n">
        <v>0</v>
      </c>
      <c r="AL115" s="408" t="n"/>
      <c r="AM115" s="322" t="n">
        <v>12</v>
      </c>
      <c r="AN115" s="408" t="n"/>
      <c r="AO115" s="307" t="n">
        <v>0</v>
      </c>
      <c r="AP115" s="408" t="n"/>
      <c r="AQ115" s="322" t="n">
        <v>12</v>
      </c>
      <c r="AR115" s="408">
        <f>SUM(AR$110:AR$111)/3*2</f>
        <v/>
      </c>
      <c r="AS115" s="307" t="n">
        <v>0</v>
      </c>
      <c r="AT115" s="408" t="n"/>
      <c r="AU115" s="322" t="n">
        <v>12</v>
      </c>
      <c r="AV115" s="408">
        <f>SUM(AV$110:AV$111)/3*2</f>
        <v/>
      </c>
      <c r="AW115" s="307" t="n">
        <v>0</v>
      </c>
      <c r="AX115" s="408" t="n"/>
      <c r="AY115" s="322" t="n">
        <v>12</v>
      </c>
      <c r="AZ115" s="408">
        <f>SUM(AZ$110:AZ$111)/3*2</f>
        <v/>
      </c>
      <c r="BA115" s="307" t="n">
        <v>0</v>
      </c>
      <c r="BB115" s="408" t="n"/>
      <c r="BC115" s="322" t="n">
        <v>12</v>
      </c>
      <c r="BD115" s="408">
        <f>SUM(BD$110:BD$111)/3*2</f>
        <v/>
      </c>
      <c r="BE115" s="307" t="n">
        <v>0</v>
      </c>
      <c r="BF115" s="408" t="n"/>
      <c r="BG115" s="322" t="n">
        <v>12</v>
      </c>
      <c r="BH115" s="408">
        <f>SUM(BH$110:BH$111)/3*2</f>
        <v/>
      </c>
      <c r="BI115" s="307" t="n">
        <v>0</v>
      </c>
      <c r="BJ115" s="408" t="n"/>
      <c r="BK115" s="340" t="n"/>
      <c r="BL115" s="820">
        <f>SUMPRODUCT(--(MOD(COLUMN($O115:$AL115),4)=MOD(COLUMN($O115)+0,4)),$O115:$AL115)
+SUMPRODUCT(--(MOD(COLUMN($AM115:$BJ115),4)=MOD(COLUMN($AM115)+0,4)),$AM115:$BJ115)</f>
        <v/>
      </c>
      <c r="BM115" s="820">
        <f>SUMPRODUCT(--(MOD(COLUMN($O115:$AL115),4)=MOD(COLUMN($O115)+0,4)),$O115:$AL115)*
$I115+SUMPRODUCT(--(MOD(COLUMN($AM115:$BJ115),4)=MOD(COLUMN($AM115)+0,4)),$AM115:$BJ115)*$I115</f>
        <v/>
      </c>
      <c r="BN115" s="822">
        <f>SUMPRODUCT(--(MOD(COLUMN($O115:$AL115),4)=MOD(COLUMN($O115)+1,4)),$O115:$AL115)
+SUMPRODUCT(--(MOD(COLUMN($AM115:$BJ115),4)=MOD(COLUMN($AM115)+1,4)),$AM115:$BJ115)</f>
        <v/>
      </c>
      <c r="BO115" s="823">
        <f>SUMPRODUCT(--(MOD(COLUMN($O115:$AL115),4)=MOD(COLUMN($O115)+1,4)),$O115:$AL115)*
$I115+SUMPRODUCT(--(MOD(COLUMN($AM115:$BJ115),4)=MOD(COLUMN($AM115)+1,4)),$AM115:$BJ115)*$I115</f>
        <v/>
      </c>
      <c r="BP115" s="824">
        <f>SUMPRODUCT(--(MOD(COLUMN($O115:$AL115),4)=MOD(COLUMN($O115)+2,4)),$O115:$AL115)
+SUMPRODUCT(--(MOD(COLUMN($AM115:$BJ115),4)=MOD(COLUMN($AM115)+2,4)),$AM115:$BJ115)</f>
        <v/>
      </c>
      <c r="BQ115" s="825">
        <f>SUMPRODUCT(--(MOD(COLUMN($O115:$AL115),4)=MOD(COLUMN($O115)+2,4)),$O115:$AL115)*
$I115+SUMPRODUCT(--(MOD(COLUMN($AM115:$BJ115),4)=MOD(COLUMN($AM115)+2,4)),$AM115:$BJ115)*$I115</f>
        <v/>
      </c>
      <c r="BR115" s="819" t="n"/>
      <c r="BS115" s="819" t="n"/>
      <c r="BT115" s="322" t="n">
        <v>24</v>
      </c>
      <c r="BU115" s="408" t="n"/>
      <c r="BV115" s="307" t="n">
        <v>0</v>
      </c>
      <c r="BW115" s="408" t="n"/>
      <c r="BX115" s="322" t="n">
        <v>24</v>
      </c>
      <c r="BY115" s="408" t="n"/>
      <c r="BZ115" s="307" t="n">
        <v>0</v>
      </c>
      <c r="CA115" s="408" t="n"/>
      <c r="CB115" s="322" t="n">
        <v>24</v>
      </c>
      <c r="CC115" s="408" t="n"/>
      <c r="CD115" s="307" t="n">
        <v>0</v>
      </c>
      <c r="CE115" s="408" t="n"/>
      <c r="CF115" s="322" t="n">
        <v>24</v>
      </c>
      <c r="CG115" s="408" t="n"/>
      <c r="CH115" s="307" t="n">
        <v>0</v>
      </c>
      <c r="CI115" s="408" t="n"/>
      <c r="CJ115" s="322" t="n">
        <v>24</v>
      </c>
      <c r="CK115" s="408" t="n"/>
      <c r="CL115" s="307" t="n">
        <v>0</v>
      </c>
      <c r="CM115" s="408" t="n"/>
      <c r="CN115" s="322" t="n">
        <v>24</v>
      </c>
      <c r="CO115" s="408" t="n"/>
      <c r="CP115" s="307" t="n">
        <v>0</v>
      </c>
      <c r="CQ115" s="408" t="n"/>
      <c r="CR115" s="322" t="n">
        <v>24</v>
      </c>
      <c r="CS115" s="408" t="n"/>
      <c r="CT115" s="307" t="n">
        <v>0</v>
      </c>
      <c r="CU115" s="408" t="n"/>
      <c r="CV115" s="322" t="n">
        <v>24</v>
      </c>
      <c r="CW115" s="408" t="n"/>
      <c r="CX115" s="307" t="n">
        <v>0</v>
      </c>
      <c r="CY115" s="408" t="n"/>
      <c r="CZ115" s="322" t="n">
        <v>24</v>
      </c>
      <c r="DA115" s="408" t="n"/>
      <c r="DB115" s="307" t="n">
        <v>0</v>
      </c>
      <c r="DC115" s="408" t="n"/>
      <c r="DD115" s="322" t="n">
        <v>24</v>
      </c>
      <c r="DE115" s="408" t="n"/>
      <c r="DF115" s="307" t="n">
        <v>0</v>
      </c>
      <c r="DG115" s="408" t="n"/>
      <c r="DH115" s="322" t="n">
        <v>24</v>
      </c>
      <c r="DI115" s="408" t="n"/>
      <c r="DJ115" s="307" t="n">
        <v>0</v>
      </c>
      <c r="DK115" s="408" t="n"/>
      <c r="DL115" s="322" t="n">
        <v>24</v>
      </c>
      <c r="DM115" s="408" t="n"/>
      <c r="DN115" s="307" t="n">
        <v>0</v>
      </c>
      <c r="DO115" s="408" t="n"/>
      <c r="DP115" s="340" t="n"/>
      <c r="DQ115" s="820">
        <f>SUMPRODUCT(--(MOD(COLUMN(BT115:CQ115),4)=MOD(COLUMN(BT115),4)),BT115:CQ115)+SUMPRODUCT(--(MOD(COLUMN(CR115:DO115),4)=MOD(COLUMN(CR115),4)),CR115:DO115)</f>
        <v/>
      </c>
      <c r="DR115" s="820">
        <f>SUMPRODUCT(--(MOD(COLUMN(BT115:CQ115),4)=MOD(COLUMN(BT115),4)),BT115:CQ115)*$I115+SUMPRODUCT(--(MOD(COLUMN(CR115:DO115),4)=MOD(COLUMN(CR115),4)),CR115:DO115)*$I115</f>
        <v/>
      </c>
      <c r="DS115" s="819" t="n"/>
      <c r="DT115" s="819" t="n"/>
      <c r="DU115" s="322" t="n">
        <v>56</v>
      </c>
      <c r="DV115" s="408" t="n"/>
      <c r="DW115" s="307" t="n">
        <v>0</v>
      </c>
      <c r="DX115" s="408" t="n"/>
      <c r="DY115" s="322" t="n">
        <v>56</v>
      </c>
      <c r="DZ115" s="408" t="n"/>
      <c r="EA115" s="307" t="n">
        <v>0</v>
      </c>
      <c r="EB115" s="408" t="n"/>
      <c r="EC115" s="322" t="n">
        <v>56</v>
      </c>
      <c r="ED115" s="408" t="n"/>
      <c r="EE115" s="307" t="n">
        <v>0</v>
      </c>
      <c r="EF115" s="408" t="n"/>
      <c r="EG115" s="322" t="n">
        <v>56</v>
      </c>
      <c r="EH115" s="408" t="n"/>
      <c r="EI115" s="307" t="n">
        <v>0</v>
      </c>
      <c r="EJ115" s="408" t="n"/>
      <c r="EK115" s="322" t="n">
        <v>56</v>
      </c>
      <c r="EL115" s="408" t="n"/>
      <c r="EM115" s="307" t="n">
        <v>0</v>
      </c>
      <c r="EN115" s="408" t="n"/>
      <c r="EO115" s="322" t="n">
        <v>56</v>
      </c>
      <c r="EP115" s="408" t="n"/>
      <c r="EQ115" s="307" t="n">
        <v>0</v>
      </c>
      <c r="ER115" s="408" t="n"/>
      <c r="ES115" s="322" t="n">
        <v>56</v>
      </c>
      <c r="ET115" s="408" t="n"/>
      <c r="EU115" s="307" t="n">
        <v>0</v>
      </c>
      <c r="EV115" s="408" t="n"/>
      <c r="EW115" s="322" t="n">
        <v>56</v>
      </c>
      <c r="EX115" s="408" t="n"/>
      <c r="EY115" s="307" t="n">
        <v>0</v>
      </c>
      <c r="EZ115" s="408" t="n"/>
      <c r="FA115" s="322" t="n">
        <v>56</v>
      </c>
      <c r="FB115" s="408" t="n"/>
      <c r="FC115" s="307" t="n">
        <v>0</v>
      </c>
      <c r="FD115" s="408" t="n"/>
      <c r="FE115" s="322" t="n">
        <v>56</v>
      </c>
      <c r="FF115" s="408" t="n"/>
      <c r="FG115" s="307" t="n">
        <v>0</v>
      </c>
      <c r="FH115" s="408" t="n"/>
      <c r="FI115" s="322" t="n">
        <v>56</v>
      </c>
      <c r="FJ115" s="408" t="n"/>
      <c r="FK115" s="307" t="n">
        <v>0</v>
      </c>
      <c r="FL115" s="408" t="n"/>
      <c r="FM115" s="322" t="n">
        <v>56</v>
      </c>
      <c r="FN115" s="408" t="n"/>
      <c r="FO115" s="307" t="n">
        <v>0</v>
      </c>
      <c r="FP115" s="408" t="n"/>
      <c r="FQ115" s="340" t="n"/>
      <c r="FR115" s="820">
        <f>SUMPRODUCT(--(MOD(COLUMN(DU115:ER115),4)=MOD(COLUMN(DU115),4)),DU115:ER115)+SUMPRODUCT(--(MOD(COLUMN(ES115:FP115),4)=MOD(COLUMN(ES115),4)),ES115:FP115)</f>
        <v/>
      </c>
      <c r="FS115" s="820">
        <f>SUMPRODUCT(--(MOD(COLUMN(DU115:ER115),4)=MOD(COLUMN(DU115),4)),DU115:ER115)*$I115+SUMPRODUCT(--(MOD(COLUMN(ES115:FP115),4)=MOD(COLUMN(ES115),4)),ES115:FP115)*$I115</f>
        <v/>
      </c>
      <c r="FT115" s="361" t="n"/>
    </row>
    <row r="116" outlineLevel="2">
      <c r="A116" s="445" t="inlineStr">
        <is>
          <t>ПАО «Уралавтоприцеп»</t>
        </is>
      </c>
      <c r="B116" s="446" t="inlineStr">
        <is>
          <t>Отсрочка 30 дней</t>
        </is>
      </c>
      <c r="C116" s="652" t="inlineStr">
        <is>
          <t>ВБК РУС</t>
        </is>
      </c>
      <c r="D116" s="653" t="inlineStr">
        <is>
          <t>Прасолов, Соловьёв</t>
        </is>
      </c>
      <c r="E116" s="447">
        <f>IF(ISBLANK(G116),"",IF($A$6:$A$330=$A116,COUNTIF($A$6:A116,$A116),""))</f>
        <v/>
      </c>
      <c r="F116" s="284" t="n">
        <v>1</v>
      </c>
      <c r="G116" s="304" t="n">
        <v>4494300600</v>
      </c>
      <c r="H116" s="602" t="inlineStr">
        <is>
          <t>Кабель клапана ускорительного TEBS (6 м)</t>
        </is>
      </c>
      <c r="I116" s="616">
        <f>486/НДС</f>
        <v/>
      </c>
      <c r="J116" s="616" t="n"/>
      <c r="K116" s="870" t="n"/>
      <c r="L116" s="616" t="n"/>
      <c r="M116" s="871" t="n"/>
      <c r="N116" s="871">
        <f>IF(BP116&gt;0,1,IF(BN116&gt;0,2,))</f>
        <v/>
      </c>
      <c r="O116" s="322" t="n"/>
      <c r="P116" s="408" t="n"/>
      <c r="Q116" s="307" t="n"/>
      <c r="R116" s="408" t="n"/>
      <c r="S116" s="322" t="n"/>
      <c r="T116" s="408" t="n"/>
      <c r="U116" s="307" t="n"/>
      <c r="V116" s="408" t="n"/>
      <c r="W116" s="322" t="n"/>
      <c r="X116" s="408" t="n"/>
      <c r="Y116" s="307" t="n"/>
      <c r="Z116" s="408" t="n"/>
      <c r="AA116" s="322" t="n"/>
      <c r="AB116" s="408" t="n"/>
      <c r="AC116" s="307" t="n">
        <v>0</v>
      </c>
      <c r="AD116" s="408" t="n"/>
      <c r="AE116" s="322" t="n"/>
      <c r="AF116" s="408" t="n"/>
      <c r="AG116" s="307" t="n">
        <v>19</v>
      </c>
      <c r="AH116" s="408" t="n"/>
      <c r="AI116" s="322" t="n"/>
      <c r="AJ116" s="408">
        <f>2+1</f>
        <v/>
      </c>
      <c r="AK116" s="307" t="n">
        <v>0</v>
      </c>
      <c r="AL116" s="408" t="n"/>
      <c r="AM116" s="322" t="n"/>
      <c r="AN116" s="408" t="n"/>
      <c r="AO116" s="307" t="n">
        <v>0</v>
      </c>
      <c r="AP116" s="408" t="n"/>
      <c r="AQ116" s="322" t="n"/>
      <c r="AR116" s="408" t="n"/>
      <c r="AS116" s="307" t="n">
        <v>0</v>
      </c>
      <c r="AT116" s="408" t="n"/>
      <c r="AU116" s="322" t="n"/>
      <c r="AV116" s="408" t="n"/>
      <c r="AW116" s="307" t="n">
        <v>0</v>
      </c>
      <c r="AX116" s="408" t="n"/>
      <c r="AY116" s="322" t="n"/>
      <c r="AZ116" s="408" t="n"/>
      <c r="BA116" s="307" t="n">
        <v>0</v>
      </c>
      <c r="BB116" s="408" t="n"/>
      <c r="BC116" s="322" t="n"/>
      <c r="BD116" s="408" t="n"/>
      <c r="BE116" s="307" t="n">
        <v>0</v>
      </c>
      <c r="BF116" s="408" t="n"/>
      <c r="BG116" s="322" t="n"/>
      <c r="BH116" s="408" t="n"/>
      <c r="BI116" s="307" t="n">
        <v>0</v>
      </c>
      <c r="BJ116" s="408" t="n"/>
      <c r="BK116" s="340" t="n"/>
      <c r="BL116" s="820">
        <f>SUMPRODUCT(--(MOD(COLUMN($O116:$AL116),4)=MOD(COLUMN($O116)+0,4)),$O116:$AL116)
+SUMPRODUCT(--(MOD(COLUMN($AM116:$BJ116),4)=MOD(COLUMN($AM116)+0,4)),$AM116:$BJ116)</f>
        <v/>
      </c>
      <c r="BM116" s="820">
        <f>SUMPRODUCT(--(MOD(COLUMN($O116:$AL116),4)=MOD(COLUMN($O116)+0,4)),$O116:$AL116)*
$I116+SUMPRODUCT(--(MOD(COLUMN($AM116:$BJ116),4)=MOD(COLUMN($AM116)+0,4)),$AM116:$BJ116)*$I116</f>
        <v/>
      </c>
      <c r="BN116" s="822">
        <f>SUMPRODUCT(--(MOD(COLUMN($O116:$AL116),4)=MOD(COLUMN($O116)+1,4)),$O116:$AL116)
+SUMPRODUCT(--(MOD(COLUMN($AM116:$BJ116),4)=MOD(COLUMN($AM116)+1,4)),$AM116:$BJ116)</f>
        <v/>
      </c>
      <c r="BO116" s="823">
        <f>SUMPRODUCT(--(MOD(COLUMN($O116:$AL116),4)=MOD(COLUMN($O116)+1,4)),$O116:$AL116)*
$I116+SUMPRODUCT(--(MOD(COLUMN($AM116:$BJ116),4)=MOD(COLUMN($AM116)+1,4)),$AM116:$BJ116)*$I116</f>
        <v/>
      </c>
      <c r="BP116" s="824">
        <f>SUMPRODUCT(--(MOD(COLUMN($O116:$AL116),4)=MOD(COLUMN($O116)+2,4)),$O116:$AL116)
+SUMPRODUCT(--(MOD(COLUMN($AM116:$BJ116),4)=MOD(COLUMN($AM116)+2,4)),$AM116:$BJ116)</f>
        <v/>
      </c>
      <c r="BQ116" s="825">
        <f>SUMPRODUCT(--(MOD(COLUMN($O116:$AL116),4)=MOD(COLUMN($O116)+2,4)),$O116:$AL116)*
$I116+SUMPRODUCT(--(MOD(COLUMN($AM116:$BJ116),4)=MOD(COLUMN($AM116)+2,4)),$AM116:$BJ116)*$I116</f>
        <v/>
      </c>
      <c r="BR116" s="819" t="n"/>
      <c r="BS116" s="819" t="n"/>
      <c r="BT116" s="322" t="n"/>
      <c r="BU116" s="408" t="n"/>
      <c r="BV116" s="307" t="n"/>
      <c r="BW116" s="408" t="n"/>
      <c r="BX116" s="322" t="n"/>
      <c r="BY116" s="408" t="n"/>
      <c r="BZ116" s="307" t="n"/>
      <c r="CA116" s="408" t="n"/>
      <c r="CB116" s="322" t="n"/>
      <c r="CC116" s="408" t="n"/>
      <c r="CD116" s="307" t="n"/>
      <c r="CE116" s="408" t="n"/>
      <c r="CF116" s="322" t="n"/>
      <c r="CG116" s="408" t="n"/>
      <c r="CH116" s="307" t="n"/>
      <c r="CI116" s="408" t="n"/>
      <c r="CJ116" s="322" t="n"/>
      <c r="CK116" s="408" t="n"/>
      <c r="CL116" s="307" t="n"/>
      <c r="CM116" s="408" t="n"/>
      <c r="CN116" s="322" t="n"/>
      <c r="CO116" s="408" t="n"/>
      <c r="CP116" s="307" t="n"/>
      <c r="CQ116" s="408" t="n"/>
      <c r="CR116" s="322" t="n"/>
      <c r="CS116" s="408" t="n"/>
      <c r="CT116" s="307" t="n"/>
      <c r="CU116" s="408" t="n"/>
      <c r="CV116" s="322" t="n"/>
      <c r="CW116" s="408" t="n"/>
      <c r="CX116" s="307" t="n"/>
      <c r="CY116" s="408" t="n"/>
      <c r="CZ116" s="322" t="n"/>
      <c r="DA116" s="408" t="n"/>
      <c r="DB116" s="307" t="n"/>
      <c r="DC116" s="408" t="n"/>
      <c r="DD116" s="322" t="n"/>
      <c r="DE116" s="408" t="n"/>
      <c r="DF116" s="307" t="n"/>
      <c r="DG116" s="408" t="n"/>
      <c r="DH116" s="322" t="n"/>
      <c r="DI116" s="408" t="n"/>
      <c r="DJ116" s="307" t="n"/>
      <c r="DK116" s="408" t="n"/>
      <c r="DL116" s="322" t="n"/>
      <c r="DM116" s="408" t="n"/>
      <c r="DN116" s="307" t="n"/>
      <c r="DO116" s="408" t="n"/>
      <c r="DP116" s="340" t="n"/>
      <c r="DQ116" s="820" t="n"/>
      <c r="DR116" s="820" t="n"/>
      <c r="DS116" s="819" t="n"/>
      <c r="DT116" s="819" t="n"/>
      <c r="DU116" s="322" t="n"/>
      <c r="DV116" s="408" t="n"/>
      <c r="DW116" s="307" t="n"/>
      <c r="DX116" s="408" t="n"/>
      <c r="DY116" s="322" t="n"/>
      <c r="DZ116" s="408" t="n"/>
      <c r="EA116" s="307" t="n"/>
      <c r="EB116" s="408" t="n"/>
      <c r="EC116" s="322" t="n"/>
      <c r="ED116" s="408" t="n"/>
      <c r="EE116" s="307" t="n"/>
      <c r="EF116" s="408" t="n"/>
      <c r="EG116" s="322" t="n"/>
      <c r="EH116" s="408" t="n"/>
      <c r="EI116" s="307" t="n"/>
      <c r="EJ116" s="408" t="n"/>
      <c r="EK116" s="322" t="n"/>
      <c r="EL116" s="408" t="n"/>
      <c r="EM116" s="307" t="n"/>
      <c r="EN116" s="408" t="n"/>
      <c r="EO116" s="322" t="n"/>
      <c r="EP116" s="408" t="n"/>
      <c r="EQ116" s="307" t="n"/>
      <c r="ER116" s="408" t="n"/>
      <c r="ES116" s="322" t="n"/>
      <c r="ET116" s="408" t="n"/>
      <c r="EU116" s="307" t="n"/>
      <c r="EV116" s="408" t="n"/>
      <c r="EW116" s="322" t="n"/>
      <c r="EX116" s="408" t="n"/>
      <c r="EY116" s="307" t="n"/>
      <c r="EZ116" s="408" t="n"/>
      <c r="FA116" s="322" t="n"/>
      <c r="FB116" s="408" t="n"/>
      <c r="FC116" s="307" t="n"/>
      <c r="FD116" s="408" t="n"/>
      <c r="FE116" s="322" t="n"/>
      <c r="FF116" s="408" t="n"/>
      <c r="FG116" s="307" t="n"/>
      <c r="FH116" s="408" t="n"/>
      <c r="FI116" s="322" t="n"/>
      <c r="FJ116" s="408" t="n"/>
      <c r="FK116" s="307" t="n"/>
      <c r="FL116" s="408" t="n"/>
      <c r="FM116" s="322" t="n"/>
      <c r="FN116" s="408" t="n"/>
      <c r="FO116" s="307" t="n"/>
      <c r="FP116" s="408" t="n"/>
      <c r="FQ116" s="340" t="n"/>
      <c r="FR116" s="820" t="n"/>
      <c r="FS116" s="820" t="n"/>
      <c r="FT116" s="361" t="n"/>
    </row>
    <row r="117" outlineLevel="2">
      <c r="A117" s="445" t="inlineStr">
        <is>
          <t>ПАО «Уралавтоприцеп»</t>
        </is>
      </c>
      <c r="B117" s="446" t="inlineStr">
        <is>
          <t>Отсрочка 30 дней</t>
        </is>
      </c>
      <c r="C117" s="652" t="inlineStr">
        <is>
          <t>ВБК РУС</t>
        </is>
      </c>
      <c r="D117" s="653" t="inlineStr">
        <is>
          <t>Прасолов, Соловьёв</t>
        </is>
      </c>
      <c r="E117" s="447">
        <f>IF(ISBLANK(G117),"",IF($A$6:$A$330=$A117,COUNTIF($A$6:A117,$A117),""))</f>
        <v/>
      </c>
      <c r="F117" s="284" t="n">
        <v>1</v>
      </c>
      <c r="G117" s="304" t="n">
        <v>4497230800</v>
      </c>
      <c r="H117" s="602" t="inlineStr">
        <is>
          <t>Кабель датчика АБС, 8 м</t>
        </is>
      </c>
      <c r="I117" s="616">
        <f>255.5/НДС</f>
        <v/>
      </c>
      <c r="J117" s="616" t="n"/>
      <c r="K117" s="870" t="n"/>
      <c r="L117" s="616" t="n"/>
      <c r="M117" s="871" t="n"/>
      <c r="N117" s="871">
        <f>IF(BP117&gt;0,1,IF(BN117&gt;0,2,))</f>
        <v/>
      </c>
      <c r="O117" s="322" t="n"/>
      <c r="P117" s="408" t="n"/>
      <c r="Q117" s="307" t="n"/>
      <c r="R117" s="408" t="n"/>
      <c r="S117" s="322" t="n"/>
      <c r="T117" s="408" t="n"/>
      <c r="U117" s="307" t="n"/>
      <c r="V117" s="408" t="n"/>
      <c r="W117" s="322" t="n"/>
      <c r="X117" s="408" t="n"/>
      <c r="Y117" s="307" t="n"/>
      <c r="Z117" s="408" t="n"/>
      <c r="AA117" s="322" t="n"/>
      <c r="AB117" s="408" t="n"/>
      <c r="AC117" s="307" t="n">
        <v>0</v>
      </c>
      <c r="AD117" s="408" t="n"/>
      <c r="AE117" s="322" t="n"/>
      <c r="AF117" s="408" t="n"/>
      <c r="AG117" s="307" t="n">
        <v>38</v>
      </c>
      <c r="AH117" s="408" t="n"/>
      <c r="AI117" s="322" t="n"/>
      <c r="AJ117" s="408">
        <f>4+2</f>
        <v/>
      </c>
      <c r="AK117" s="307" t="n">
        <v>0</v>
      </c>
      <c r="AL117" s="408" t="n"/>
      <c r="AM117" s="322" t="n"/>
      <c r="AN117" s="408" t="n"/>
      <c r="AO117" s="307" t="n">
        <v>0</v>
      </c>
      <c r="AP117" s="408" t="n"/>
      <c r="AQ117" s="322" t="n"/>
      <c r="AR117" s="408" t="n"/>
      <c r="AS117" s="307" t="n">
        <v>0</v>
      </c>
      <c r="AT117" s="408" t="n"/>
      <c r="AU117" s="322" t="n"/>
      <c r="AV117" s="408" t="n"/>
      <c r="AW117" s="307" t="n">
        <v>0</v>
      </c>
      <c r="AX117" s="408" t="n"/>
      <c r="AY117" s="322" t="n"/>
      <c r="AZ117" s="408" t="n"/>
      <c r="BA117" s="307" t="n">
        <v>0</v>
      </c>
      <c r="BB117" s="408" t="n"/>
      <c r="BC117" s="322" t="n"/>
      <c r="BD117" s="408" t="n"/>
      <c r="BE117" s="307" t="n">
        <v>0</v>
      </c>
      <c r="BF117" s="408" t="n"/>
      <c r="BG117" s="322" t="n"/>
      <c r="BH117" s="408" t="n"/>
      <c r="BI117" s="307" t="n">
        <v>0</v>
      </c>
      <c r="BJ117" s="408" t="n"/>
      <c r="BK117" s="340" t="n"/>
      <c r="BL117" s="820">
        <f>SUMPRODUCT(--(MOD(COLUMN($O117:$AL117),4)=MOD(COLUMN($O117)+0,4)),$O117:$AL117)
+SUMPRODUCT(--(MOD(COLUMN($AM117:$BJ117),4)=MOD(COLUMN($AM117)+0,4)),$AM117:$BJ117)</f>
        <v/>
      </c>
      <c r="BM117" s="820">
        <f>SUMPRODUCT(--(MOD(COLUMN($O117:$AL117),4)=MOD(COLUMN($O117)+0,4)),$O117:$AL117)*
$I117+SUMPRODUCT(--(MOD(COLUMN($AM117:$BJ117),4)=MOD(COLUMN($AM117)+0,4)),$AM117:$BJ117)*$I117</f>
        <v/>
      </c>
      <c r="BN117" s="822">
        <f>SUMPRODUCT(--(MOD(COLUMN($O117:$AL117),4)=MOD(COLUMN($O117)+1,4)),$O117:$AL117)
+SUMPRODUCT(--(MOD(COLUMN($AM117:$BJ117),4)=MOD(COLUMN($AM117)+1,4)),$AM117:$BJ117)</f>
        <v/>
      </c>
      <c r="BO117" s="823">
        <f>SUMPRODUCT(--(MOD(COLUMN($O117:$AL117),4)=MOD(COLUMN($O117)+1,4)),$O117:$AL117)*
$I117+SUMPRODUCT(--(MOD(COLUMN($AM117:$BJ117),4)=MOD(COLUMN($AM117)+1,4)),$AM117:$BJ117)*$I117</f>
        <v/>
      </c>
      <c r="BP117" s="824">
        <f>SUMPRODUCT(--(MOD(COLUMN($O117:$AL117),4)=MOD(COLUMN($O117)+2,4)),$O117:$AL117)
+SUMPRODUCT(--(MOD(COLUMN($AM117:$BJ117),4)=MOD(COLUMN($AM117)+2,4)),$AM117:$BJ117)</f>
        <v/>
      </c>
      <c r="BQ117" s="825">
        <f>SUMPRODUCT(--(MOD(COLUMN($O117:$AL117),4)=MOD(COLUMN($O117)+2,4)),$O117:$AL117)*
$I117+SUMPRODUCT(--(MOD(COLUMN($AM117:$BJ117),4)=MOD(COLUMN($AM117)+2,4)),$AM117:$BJ117)*$I117</f>
        <v/>
      </c>
      <c r="BR117" s="819" t="n"/>
      <c r="BS117" s="819" t="n"/>
      <c r="BT117" s="322" t="n"/>
      <c r="BU117" s="408" t="n"/>
      <c r="BV117" s="307" t="n"/>
      <c r="BW117" s="408" t="n"/>
      <c r="BX117" s="322" t="n"/>
      <c r="BY117" s="408" t="n"/>
      <c r="BZ117" s="307" t="n"/>
      <c r="CA117" s="408" t="n"/>
      <c r="CB117" s="322" t="n"/>
      <c r="CC117" s="408" t="n"/>
      <c r="CD117" s="307" t="n"/>
      <c r="CE117" s="408" t="n"/>
      <c r="CF117" s="322" t="n"/>
      <c r="CG117" s="408" t="n"/>
      <c r="CH117" s="307" t="n"/>
      <c r="CI117" s="408" t="n"/>
      <c r="CJ117" s="322" t="n"/>
      <c r="CK117" s="408" t="n"/>
      <c r="CL117" s="307" t="n"/>
      <c r="CM117" s="408" t="n"/>
      <c r="CN117" s="322" t="n"/>
      <c r="CO117" s="408" t="n"/>
      <c r="CP117" s="307" t="n"/>
      <c r="CQ117" s="408" t="n"/>
      <c r="CR117" s="322" t="n"/>
      <c r="CS117" s="408" t="n"/>
      <c r="CT117" s="307" t="n"/>
      <c r="CU117" s="408" t="n"/>
      <c r="CV117" s="322" t="n"/>
      <c r="CW117" s="408" t="n"/>
      <c r="CX117" s="307" t="n"/>
      <c r="CY117" s="408" t="n"/>
      <c r="CZ117" s="322" t="n"/>
      <c r="DA117" s="408" t="n"/>
      <c r="DB117" s="307" t="n"/>
      <c r="DC117" s="408" t="n"/>
      <c r="DD117" s="322" t="n"/>
      <c r="DE117" s="408" t="n"/>
      <c r="DF117" s="307" t="n"/>
      <c r="DG117" s="408" t="n"/>
      <c r="DH117" s="322" t="n"/>
      <c r="DI117" s="408" t="n"/>
      <c r="DJ117" s="307" t="n"/>
      <c r="DK117" s="408" t="n"/>
      <c r="DL117" s="322" t="n"/>
      <c r="DM117" s="408" t="n"/>
      <c r="DN117" s="307" t="n"/>
      <c r="DO117" s="408" t="n"/>
      <c r="DP117" s="340" t="n"/>
      <c r="DQ117" s="820" t="n"/>
      <c r="DR117" s="820" t="n"/>
      <c r="DS117" s="819" t="n"/>
      <c r="DT117" s="819" t="n"/>
      <c r="DU117" s="322" t="n"/>
      <c r="DV117" s="408" t="n"/>
      <c r="DW117" s="307" t="n"/>
      <c r="DX117" s="408" t="n"/>
      <c r="DY117" s="322" t="n"/>
      <c r="DZ117" s="408" t="n"/>
      <c r="EA117" s="307" t="n"/>
      <c r="EB117" s="408" t="n"/>
      <c r="EC117" s="322" t="n"/>
      <c r="ED117" s="408" t="n"/>
      <c r="EE117" s="307" t="n"/>
      <c r="EF117" s="408" t="n"/>
      <c r="EG117" s="322" t="n"/>
      <c r="EH117" s="408" t="n"/>
      <c r="EI117" s="307" t="n"/>
      <c r="EJ117" s="408" t="n"/>
      <c r="EK117" s="322" t="n"/>
      <c r="EL117" s="408" t="n"/>
      <c r="EM117" s="307" t="n"/>
      <c r="EN117" s="408" t="n"/>
      <c r="EO117" s="322" t="n"/>
      <c r="EP117" s="408" t="n"/>
      <c r="EQ117" s="307" t="n"/>
      <c r="ER117" s="408" t="n"/>
      <c r="ES117" s="322" t="n"/>
      <c r="ET117" s="408" t="n"/>
      <c r="EU117" s="307" t="n"/>
      <c r="EV117" s="408" t="n"/>
      <c r="EW117" s="322" t="n"/>
      <c r="EX117" s="408" t="n"/>
      <c r="EY117" s="307" t="n"/>
      <c r="EZ117" s="408" t="n"/>
      <c r="FA117" s="322" t="n"/>
      <c r="FB117" s="408" t="n"/>
      <c r="FC117" s="307" t="n"/>
      <c r="FD117" s="408" t="n"/>
      <c r="FE117" s="322" t="n"/>
      <c r="FF117" s="408" t="n"/>
      <c r="FG117" s="307" t="n"/>
      <c r="FH117" s="408" t="n"/>
      <c r="FI117" s="322" t="n"/>
      <c r="FJ117" s="408" t="n"/>
      <c r="FK117" s="307" t="n"/>
      <c r="FL117" s="408" t="n"/>
      <c r="FM117" s="322" t="n"/>
      <c r="FN117" s="408" t="n"/>
      <c r="FO117" s="307" t="n"/>
      <c r="FP117" s="408" t="n"/>
      <c r="FQ117" s="340" t="n"/>
      <c r="FR117" s="820" t="n"/>
      <c r="FS117" s="820" t="n"/>
      <c r="FT117" s="361" t="n"/>
    </row>
    <row r="118" outlineLevel="2">
      <c r="A118" s="445" t="inlineStr">
        <is>
          <t>ПАО «Уралавтоприцеп»</t>
        </is>
      </c>
      <c r="B118" s="446" t="inlineStr">
        <is>
          <t>Отсрочка 30 дней</t>
        </is>
      </c>
      <c r="C118" s="652" t="inlineStr">
        <is>
          <t>ВБК РУС</t>
        </is>
      </c>
      <c r="D118" s="653" t="inlineStr">
        <is>
          <t>Прасолов, Соловьёв</t>
        </is>
      </c>
      <c r="E118" s="447">
        <f>IF(ISBLANK(G118),"",IF($A$6:$A$330=$A118,COUNTIF($A$6:A118,$A118),""))</f>
        <v/>
      </c>
      <c r="F118" s="284" t="n">
        <v>1</v>
      </c>
      <c r="G118" s="304" t="n">
        <v>4802070600</v>
      </c>
      <c r="H118" s="602" t="inlineStr">
        <is>
          <t>Клапан ускорительный TEBS</t>
        </is>
      </c>
      <c r="I118" s="616">
        <f>1224/НДС</f>
        <v/>
      </c>
      <c r="J118" s="616" t="n"/>
      <c r="K118" s="870" t="n"/>
      <c r="L118" s="616" t="n"/>
      <c r="M118" s="871" t="n"/>
      <c r="N118" s="871">
        <f>IF(BP118&gt;0,1,IF(BN118&gt;0,2,))</f>
        <v/>
      </c>
      <c r="O118" s="322" t="n"/>
      <c r="P118" s="408" t="n"/>
      <c r="Q118" s="307" t="n"/>
      <c r="R118" s="408" t="n"/>
      <c r="S118" s="322" t="n"/>
      <c r="T118" s="408" t="n"/>
      <c r="U118" s="307" t="n"/>
      <c r="V118" s="408" t="n"/>
      <c r="W118" s="322" t="n"/>
      <c r="X118" s="408" t="n"/>
      <c r="Y118" s="307" t="n"/>
      <c r="Z118" s="408" t="n"/>
      <c r="AA118" s="322" t="n"/>
      <c r="AB118" s="408" t="n"/>
      <c r="AC118" s="307" t="n">
        <v>0</v>
      </c>
      <c r="AD118" s="408" t="n"/>
      <c r="AE118" s="322" t="n"/>
      <c r="AF118" s="408" t="n"/>
      <c r="AG118" s="307" t="n">
        <v>19</v>
      </c>
      <c r="AH118" s="408" t="n"/>
      <c r="AI118" s="322" t="n"/>
      <c r="AJ118" s="408">
        <f>2+1</f>
        <v/>
      </c>
      <c r="AK118" s="307" t="n">
        <v>0</v>
      </c>
      <c r="AL118" s="408" t="n"/>
      <c r="AM118" s="322" t="n"/>
      <c r="AN118" s="408" t="n"/>
      <c r="AO118" s="307" t="n">
        <v>0</v>
      </c>
      <c r="AP118" s="408" t="n"/>
      <c r="AQ118" s="322" t="n"/>
      <c r="AR118" s="408" t="n"/>
      <c r="AS118" s="307" t="n">
        <v>0</v>
      </c>
      <c r="AT118" s="408" t="n"/>
      <c r="AU118" s="322" t="n"/>
      <c r="AV118" s="408" t="n"/>
      <c r="AW118" s="307" t="n">
        <v>0</v>
      </c>
      <c r="AX118" s="408" t="n"/>
      <c r="AY118" s="322" t="n"/>
      <c r="AZ118" s="408" t="n"/>
      <c r="BA118" s="307" t="n">
        <v>0</v>
      </c>
      <c r="BB118" s="408" t="n"/>
      <c r="BC118" s="322" t="n"/>
      <c r="BD118" s="408" t="n"/>
      <c r="BE118" s="307" t="n">
        <v>0</v>
      </c>
      <c r="BF118" s="408" t="n"/>
      <c r="BG118" s="322" t="n"/>
      <c r="BH118" s="408" t="n"/>
      <c r="BI118" s="307" t="n">
        <v>0</v>
      </c>
      <c r="BJ118" s="408" t="n"/>
      <c r="BK118" s="340" t="n"/>
      <c r="BL118" s="820">
        <f>SUMPRODUCT(--(MOD(COLUMN($O118:$AL118),4)=MOD(COLUMN($O118)+0,4)),$O118:$AL118)
+SUMPRODUCT(--(MOD(COLUMN($AM118:$BJ118),4)=MOD(COLUMN($AM118)+0,4)),$AM118:$BJ118)</f>
        <v/>
      </c>
      <c r="BM118" s="820">
        <f>SUMPRODUCT(--(MOD(COLUMN($O118:$AL118),4)=MOD(COLUMN($O118)+0,4)),$O118:$AL118)*
$I118+SUMPRODUCT(--(MOD(COLUMN($AM118:$BJ118),4)=MOD(COLUMN($AM118)+0,4)),$AM118:$BJ118)*$I118</f>
        <v/>
      </c>
      <c r="BN118" s="822">
        <f>SUMPRODUCT(--(MOD(COLUMN($O118:$AL118),4)=MOD(COLUMN($O118)+1,4)),$O118:$AL118)
+SUMPRODUCT(--(MOD(COLUMN($AM118:$BJ118),4)=MOD(COLUMN($AM118)+1,4)),$AM118:$BJ118)</f>
        <v/>
      </c>
      <c r="BO118" s="823">
        <f>SUMPRODUCT(--(MOD(COLUMN($O118:$AL118),4)=MOD(COLUMN($O118)+1,4)),$O118:$AL118)*
$I118+SUMPRODUCT(--(MOD(COLUMN($AM118:$BJ118),4)=MOD(COLUMN($AM118)+1,4)),$AM118:$BJ118)*$I118</f>
        <v/>
      </c>
      <c r="BP118" s="824">
        <f>SUMPRODUCT(--(MOD(COLUMN($O118:$AL118),4)=MOD(COLUMN($O118)+2,4)),$O118:$AL118)
+SUMPRODUCT(--(MOD(COLUMN($AM118:$BJ118),4)=MOD(COLUMN($AM118)+2,4)),$AM118:$BJ118)</f>
        <v/>
      </c>
      <c r="BQ118" s="825">
        <f>SUMPRODUCT(--(MOD(COLUMN($O118:$AL118),4)=MOD(COLUMN($O118)+2,4)),$O118:$AL118)*
$I118+SUMPRODUCT(--(MOD(COLUMN($AM118:$BJ118),4)=MOD(COLUMN($AM118)+2,4)),$AM118:$BJ118)*$I118</f>
        <v/>
      </c>
      <c r="BR118" s="819" t="n"/>
      <c r="BS118" s="819" t="n"/>
      <c r="BT118" s="322" t="n"/>
      <c r="BU118" s="408" t="n"/>
      <c r="BV118" s="307" t="n"/>
      <c r="BW118" s="408" t="n"/>
      <c r="BX118" s="322" t="n"/>
      <c r="BY118" s="408" t="n"/>
      <c r="BZ118" s="307" t="n"/>
      <c r="CA118" s="408" t="n"/>
      <c r="CB118" s="322" t="n"/>
      <c r="CC118" s="408" t="n"/>
      <c r="CD118" s="307" t="n"/>
      <c r="CE118" s="408" t="n"/>
      <c r="CF118" s="322" t="n"/>
      <c r="CG118" s="408" t="n"/>
      <c r="CH118" s="307" t="n"/>
      <c r="CI118" s="408" t="n"/>
      <c r="CJ118" s="322" t="n"/>
      <c r="CK118" s="408" t="n"/>
      <c r="CL118" s="307" t="n"/>
      <c r="CM118" s="408" t="n"/>
      <c r="CN118" s="322" t="n"/>
      <c r="CO118" s="408" t="n"/>
      <c r="CP118" s="307" t="n"/>
      <c r="CQ118" s="408" t="n"/>
      <c r="CR118" s="322" t="n"/>
      <c r="CS118" s="408" t="n"/>
      <c r="CT118" s="307" t="n"/>
      <c r="CU118" s="408" t="n"/>
      <c r="CV118" s="322" t="n"/>
      <c r="CW118" s="408" t="n"/>
      <c r="CX118" s="307" t="n"/>
      <c r="CY118" s="408" t="n"/>
      <c r="CZ118" s="322" t="n"/>
      <c r="DA118" s="408" t="n"/>
      <c r="DB118" s="307" t="n"/>
      <c r="DC118" s="408" t="n"/>
      <c r="DD118" s="322" t="n"/>
      <c r="DE118" s="408" t="n"/>
      <c r="DF118" s="307" t="n"/>
      <c r="DG118" s="408" t="n"/>
      <c r="DH118" s="322" t="n"/>
      <c r="DI118" s="408" t="n"/>
      <c r="DJ118" s="307" t="n"/>
      <c r="DK118" s="408" t="n"/>
      <c r="DL118" s="322" t="n"/>
      <c r="DM118" s="408" t="n"/>
      <c r="DN118" s="307" t="n"/>
      <c r="DO118" s="408" t="n"/>
      <c r="DP118" s="340" t="n"/>
      <c r="DQ118" s="820" t="n"/>
      <c r="DR118" s="820" t="n"/>
      <c r="DS118" s="819" t="n"/>
      <c r="DT118" s="819" t="n"/>
      <c r="DU118" s="322" t="n"/>
      <c r="DV118" s="408" t="n"/>
      <c r="DW118" s="307" t="n"/>
      <c r="DX118" s="408" t="n"/>
      <c r="DY118" s="322" t="n"/>
      <c r="DZ118" s="408" t="n"/>
      <c r="EA118" s="307" t="n"/>
      <c r="EB118" s="408" t="n"/>
      <c r="EC118" s="322" t="n"/>
      <c r="ED118" s="408" t="n"/>
      <c r="EE118" s="307" t="n"/>
      <c r="EF118" s="408" t="n"/>
      <c r="EG118" s="322" t="n"/>
      <c r="EH118" s="408" t="n"/>
      <c r="EI118" s="307" t="n"/>
      <c r="EJ118" s="408" t="n"/>
      <c r="EK118" s="322" t="n"/>
      <c r="EL118" s="408" t="n"/>
      <c r="EM118" s="307" t="n"/>
      <c r="EN118" s="408" t="n"/>
      <c r="EO118" s="322" t="n"/>
      <c r="EP118" s="408" t="n"/>
      <c r="EQ118" s="307" t="n"/>
      <c r="ER118" s="408" t="n"/>
      <c r="ES118" s="322" t="n"/>
      <c r="ET118" s="408" t="n"/>
      <c r="EU118" s="307" t="n"/>
      <c r="EV118" s="408" t="n"/>
      <c r="EW118" s="322" t="n"/>
      <c r="EX118" s="408" t="n"/>
      <c r="EY118" s="307" t="n"/>
      <c r="EZ118" s="408" t="n"/>
      <c r="FA118" s="322" t="n"/>
      <c r="FB118" s="408" t="n"/>
      <c r="FC118" s="307" t="n"/>
      <c r="FD118" s="408" t="n"/>
      <c r="FE118" s="322" t="n"/>
      <c r="FF118" s="408" t="n"/>
      <c r="FG118" s="307" t="n"/>
      <c r="FH118" s="408" t="n"/>
      <c r="FI118" s="322" t="n"/>
      <c r="FJ118" s="408" t="n"/>
      <c r="FK118" s="307" t="n"/>
      <c r="FL118" s="408" t="n"/>
      <c r="FM118" s="322" t="n"/>
      <c r="FN118" s="408" t="n"/>
      <c r="FO118" s="307" t="n"/>
      <c r="FP118" s="408" t="n"/>
      <c r="FQ118" s="340" t="n"/>
      <c r="FR118" s="820" t="n"/>
      <c r="FS118" s="820" t="n"/>
      <c r="FT118" s="361" t="n"/>
    </row>
    <row r="119" outlineLevel="2">
      <c r="A119" s="411" t="inlineStr">
        <is>
          <t>ПАО «Уралавтоприцеп»</t>
        </is>
      </c>
      <c r="B119" s="448" t="inlineStr">
        <is>
          <t>Отсрочка 30 дней</t>
        </is>
      </c>
      <c r="C119" s="590" t="inlineStr">
        <is>
          <t>ВБК РУС</t>
        </is>
      </c>
      <c r="D119" s="589" t="inlineStr">
        <is>
          <t>Прасолов, Соловьёв</t>
        </is>
      </c>
      <c r="E119" s="412">
        <f>IF(ISBLANK(G119),"",IF($A$6:$A$330=$A119,COUNTIF($A$6:A119,$A119),""))</f>
        <v/>
      </c>
      <c r="F119" s="10" t="n">
        <v>1</v>
      </c>
      <c r="G119" s="55" t="n">
        <v>828877016</v>
      </c>
      <c r="H119" s="54" t="inlineStr">
        <is>
          <t>Шланг тормозной (м)</t>
        </is>
      </c>
      <c r="I119" s="617">
        <f>J119/ЮАНЬ_2025_08_29</f>
        <v/>
      </c>
      <c r="J119" s="617">
        <f>315/НДС_20</f>
        <v/>
      </c>
      <c r="K119" s="800" t="inlineStr">
        <is>
          <t>RUB</t>
        </is>
      </c>
      <c r="L119" s="643">
        <f>IF(K119="RUB",J119/ЮАНЬ,IF(K119="EUR",J119*ЕВРО/ЮАНЬ,""))</f>
        <v/>
      </c>
      <c r="M119" s="873" t="n"/>
      <c r="N119" s="871">
        <f>IF(BP119&gt;0,1,IF(BN119&gt;0,2,))</f>
        <v/>
      </c>
      <c r="O119" s="23" t="n"/>
      <c r="P119" s="24" t="n"/>
      <c r="Q119" s="25" t="n"/>
      <c r="R119" s="24" t="n"/>
      <c r="S119" s="23" t="n"/>
      <c r="T119" s="24" t="n"/>
      <c r="U119" s="25" t="n"/>
      <c r="V119" s="24" t="n"/>
      <c r="W119" s="23" t="n"/>
      <c r="X119" s="24" t="n"/>
      <c r="Y119" s="25" t="n"/>
      <c r="Z119" s="24" t="n"/>
      <c r="AA119" s="23" t="n"/>
      <c r="AB119" s="24" t="n"/>
      <c r="AC119" s="25" t="n"/>
      <c r="AD119" s="24" t="n"/>
      <c r="AE119" s="23" t="n"/>
      <c r="AF119" s="24" t="n"/>
      <c r="AG119" s="25" t="n"/>
      <c r="AH119" s="24" t="n"/>
      <c r="AI119" s="23" t="n"/>
      <c r="AJ119" s="24" t="n"/>
      <c r="AK119" s="25" t="n"/>
      <c r="AL119" s="24" t="n"/>
      <c r="AM119" s="23" t="n"/>
      <c r="AN119" s="24" t="n"/>
      <c r="AO119" s="25" t="n"/>
      <c r="AP119" s="24" t="n"/>
      <c r="AQ119" s="23" t="n"/>
      <c r="AR119" s="24" t="n"/>
      <c r="AS119" s="25" t="n"/>
      <c r="AT119" s="24" t="n"/>
      <c r="AU119" s="23" t="n"/>
      <c r="AV119" s="24" t="n"/>
      <c r="AW119" s="25" t="n"/>
      <c r="AX119" s="24" t="n"/>
      <c r="AY119" s="23" t="n"/>
      <c r="AZ119" s="24" t="n"/>
      <c r="BA119" s="25" t="n"/>
      <c r="BB119" s="24" t="n"/>
      <c r="BC119" s="23" t="n"/>
      <c r="BD119" s="24" t="n"/>
      <c r="BE119" s="25" t="n"/>
      <c r="BF119" s="24" t="n"/>
      <c r="BG119" s="23" t="n"/>
      <c r="BH119" s="24" t="n"/>
      <c r="BI119" s="25" t="n"/>
      <c r="BJ119" s="24" t="n"/>
      <c r="BK119" s="340" t="n"/>
      <c r="BL119" s="803">
        <f>SUMPRODUCT(--(MOD(COLUMN($O119:$AL119),4)=MOD(COLUMN($O119)+0,4)),$O119:$AL119)
+SUMPRODUCT(--(MOD(COLUMN($AM119:$BJ119),4)=MOD(COLUMN($AM119)+0,4)),$AM119:$BJ119)</f>
        <v/>
      </c>
      <c r="BM119" s="803">
        <f>SUMPRODUCT(--(MOD(COLUMN($O119:$AL119),4)=MOD(COLUMN($O119)+0,4)),$O119:$AL119)*
$I119+SUMPRODUCT(--(MOD(COLUMN($AM119:$BJ119),4)=MOD(COLUMN($AM119)+0,4)),$AM119:$BJ119)*$I119</f>
        <v/>
      </c>
      <c r="BN119" s="805">
        <f>SUMPRODUCT(--(MOD(COLUMN($O119:$AL119),4)=MOD(COLUMN($O119)+1,4)),$O119:$AL119)
+SUMPRODUCT(--(MOD(COLUMN($AM119:$BJ119),4)=MOD(COLUMN($AM119)+1,4)),$AM119:$BJ119)</f>
        <v/>
      </c>
      <c r="BO119" s="806">
        <f>SUMPRODUCT(--(MOD(COLUMN($O119:$AL119),4)=MOD(COLUMN($O119)+1,4)),$O119:$AL119)*
$I119+SUMPRODUCT(--(MOD(COLUMN($AM119:$BJ119),4)=MOD(COLUMN($AM119)+1,4)),$AM119:$BJ119)*$I119</f>
        <v/>
      </c>
      <c r="BP119" s="807">
        <f>SUMPRODUCT(--(MOD(COLUMN($O119:$AL119),4)=MOD(COLUMN($O119)+2,4)),$O119:$AL119)
+SUMPRODUCT(--(MOD(COLUMN($AM119:$BJ119),4)=MOD(COLUMN($AM119)+2,4)),$AM119:$BJ119)</f>
        <v/>
      </c>
      <c r="BQ119" s="808">
        <f>SUMPRODUCT(--(MOD(COLUMN($O119:$AL119),4)=MOD(COLUMN($O119)+2,4)),$O119:$AL119)*
$I119+SUMPRODUCT(--(MOD(COLUMN($AM119:$BJ119),4)=MOD(COLUMN($AM119)+2,4)),$AM119:$BJ119)*$I119</f>
        <v/>
      </c>
      <c r="BR119" s="801" t="n"/>
      <c r="BS119" s="819" t="n"/>
      <c r="BT119" s="23" t="n"/>
      <c r="BU119" s="24" t="n"/>
      <c r="BV119" s="25" t="n"/>
      <c r="BW119" s="24" t="n"/>
      <c r="BX119" s="23" t="n"/>
      <c r="BY119" s="24" t="n"/>
      <c r="BZ119" s="25" t="n"/>
      <c r="CA119" s="24" t="n"/>
      <c r="CB119" s="23" t="n"/>
      <c r="CC119" s="24" t="n"/>
      <c r="CD119" s="25" t="n"/>
      <c r="CE119" s="24" t="n"/>
      <c r="CF119" s="23" t="n"/>
      <c r="CG119" s="24" t="n"/>
      <c r="CH119" s="25" t="n"/>
      <c r="CI119" s="24" t="n"/>
      <c r="CJ119" s="23" t="n"/>
      <c r="CK119" s="24" t="n"/>
      <c r="CL119" s="25" t="n"/>
      <c r="CM119" s="24" t="n"/>
      <c r="CN119" s="23" t="n"/>
      <c r="CO119" s="24" t="n"/>
      <c r="CP119" s="25" t="n"/>
      <c r="CQ119" s="24" t="n"/>
      <c r="CR119" s="23" t="n"/>
      <c r="CS119" s="24" t="n"/>
      <c r="CT119" s="25" t="n"/>
      <c r="CU119" s="24" t="n"/>
      <c r="CV119" s="23" t="n"/>
      <c r="CW119" s="24" t="n"/>
      <c r="CX119" s="25" t="n"/>
      <c r="CY119" s="24" t="n"/>
      <c r="CZ119" s="23" t="n"/>
      <c r="DA119" s="24" t="n"/>
      <c r="DB119" s="25" t="n"/>
      <c r="DC119" s="24" t="n"/>
      <c r="DD119" s="23" t="n"/>
      <c r="DE119" s="24" t="n"/>
      <c r="DF119" s="25" t="n"/>
      <c r="DG119" s="24" t="n"/>
      <c r="DH119" s="23" t="n"/>
      <c r="DI119" s="24" t="n"/>
      <c r="DJ119" s="25" t="n"/>
      <c r="DK119" s="24" t="n"/>
      <c r="DL119" s="23" t="n"/>
      <c r="DM119" s="24" t="n"/>
      <c r="DN119" s="25" t="n"/>
      <c r="DO119" s="24" t="n"/>
      <c r="DP119" s="340" t="n"/>
      <c r="DQ119" s="803">
        <f>SUMPRODUCT(--(MOD(COLUMN(BT119:CQ119),4)=MOD(COLUMN(BT119),4)),BT119:CQ119)+SUMPRODUCT(--(MOD(COLUMN(CR119:DO119),4)=MOD(COLUMN(CR119),4)),CR119:DO119)</f>
        <v/>
      </c>
      <c r="DR119" s="803">
        <f>SUMPRODUCT(--(MOD(COLUMN(BT119:CQ119),4)=MOD(COLUMN(BT119),4)),BT119:CQ119)*$I119+SUMPRODUCT(--(MOD(COLUMN(CR119:DO119),4)=MOD(COLUMN(CR119),4)),CR119:DO119)*$I119</f>
        <v/>
      </c>
      <c r="DS119" s="801" t="n"/>
      <c r="DT119" s="819" t="n"/>
      <c r="DU119" s="23" t="n"/>
      <c r="DV119" s="24" t="n"/>
      <c r="DW119" s="25" t="n"/>
      <c r="DX119" s="24" t="n"/>
      <c r="DY119" s="23" t="n"/>
      <c r="DZ119" s="24" t="n"/>
      <c r="EA119" s="25" t="n"/>
      <c r="EB119" s="24" t="n"/>
      <c r="EC119" s="23" t="n"/>
      <c r="ED119" s="24" t="n"/>
      <c r="EE119" s="25" t="n"/>
      <c r="EF119" s="24" t="n"/>
      <c r="EG119" s="23" t="n"/>
      <c r="EH119" s="24" t="n"/>
      <c r="EI119" s="25" t="n"/>
      <c r="EJ119" s="24" t="n"/>
      <c r="EK119" s="23" t="n"/>
      <c r="EL119" s="24" t="n"/>
      <c r="EM119" s="25" t="n"/>
      <c r="EN119" s="24" t="n"/>
      <c r="EO119" s="23" t="n"/>
      <c r="EP119" s="24" t="n"/>
      <c r="EQ119" s="25" t="n"/>
      <c r="ER119" s="24" t="n"/>
      <c r="ES119" s="23" t="n"/>
      <c r="ET119" s="24" t="n"/>
      <c r="EU119" s="25" t="n"/>
      <c r="EV119" s="24" t="n"/>
      <c r="EW119" s="23" t="n"/>
      <c r="EX119" s="24" t="n"/>
      <c r="EY119" s="25" t="n"/>
      <c r="EZ119" s="24" t="n"/>
      <c r="FA119" s="23" t="n"/>
      <c r="FB119" s="24" t="n"/>
      <c r="FC119" s="25" t="n"/>
      <c r="FD119" s="24" t="n"/>
      <c r="FE119" s="23" t="n"/>
      <c r="FF119" s="24" t="n"/>
      <c r="FG119" s="25" t="n"/>
      <c r="FH119" s="24" t="n"/>
      <c r="FI119" s="23" t="n"/>
      <c r="FJ119" s="24" t="n"/>
      <c r="FK119" s="25" t="n"/>
      <c r="FL119" s="24" t="n"/>
      <c r="FM119" s="23" t="n"/>
      <c r="FN119" s="24" t="n"/>
      <c r="FO119" s="25" t="n"/>
      <c r="FP119" s="24" t="n"/>
      <c r="FQ119" s="340" t="n"/>
      <c r="FR119" s="803">
        <f>SUMPRODUCT(--(MOD(COLUMN(DU119:ER119),4)=MOD(COLUMN(DU119),4)),DU119:ER119)+SUMPRODUCT(--(MOD(COLUMN(ES119:FP119),4)=MOD(COLUMN(ES119),4)),ES119:FP119)</f>
        <v/>
      </c>
      <c r="FS119" s="803">
        <f>SUMPRODUCT(--(MOD(COLUMN(DU119:ER119),4)=MOD(COLUMN(DU119),4)),DU119:ER119)*$I119+SUMPRODUCT(--(MOD(COLUMN(ES119:FP119),4)=MOD(COLUMN(ES119),4)),ES119:FP119)*$I119</f>
        <v/>
      </c>
      <c r="FT119" s="361" t="n"/>
    </row>
    <row r="120" outlineLevel="2">
      <c r="A120" s="56" t="inlineStr">
        <is>
          <t>ПАО «Уралавтоприцеп»</t>
        </is>
      </c>
      <c r="B120" s="387" t="inlineStr">
        <is>
          <t>Отсрочка 30 дней</t>
        </is>
      </c>
      <c r="C120" s="541" t="inlineStr">
        <is>
          <t>ВБК РУС</t>
        </is>
      </c>
      <c r="D120" s="565" t="inlineStr">
        <is>
          <t>Прасолов, Соловьёв</t>
        </is>
      </c>
      <c r="E120" s="10">
        <f>IF(ISBLANK(G120),"",IF($A$6:$A$330=$A120,COUNTIF($A$6:A120,$A120),""))</f>
        <v/>
      </c>
      <c r="F120" s="10" t="n">
        <v>1</v>
      </c>
      <c r="G120" s="55" t="n">
        <v>9730010100</v>
      </c>
      <c r="H120" s="54" t="inlineStr">
        <is>
          <t>Клапан ускорительный</t>
        </is>
      </c>
      <c r="I120" s="617">
        <f>J120/ЮАНЬ_2025_08_29</f>
        <v/>
      </c>
      <c r="J120" s="617">
        <f>1400/НДС_20</f>
        <v/>
      </c>
      <c r="K120" s="872" t="inlineStr">
        <is>
          <t>RUB</t>
        </is>
      </c>
      <c r="L120" s="617">
        <f>IF(K120="RUB",J120/ЮАНЬ,IF(K120="EUR",J120*ЕВРО/ЮАНЬ,""))</f>
        <v/>
      </c>
      <c r="M120" s="873" t="n"/>
      <c r="N120" s="871">
        <f>IF(BP120&gt;0,1,IF(BN120&gt;0,2,))</f>
        <v/>
      </c>
      <c r="O120" s="23" t="n"/>
      <c r="P120" s="24" t="n"/>
      <c r="Q120" s="25" t="n"/>
      <c r="R120" s="24" t="n"/>
      <c r="S120" s="23" t="n"/>
      <c r="T120" s="24" t="n"/>
      <c r="U120" s="25" t="n"/>
      <c r="V120" s="24" t="n"/>
      <c r="W120" s="23" t="n"/>
      <c r="X120" s="24" t="n"/>
      <c r="Y120" s="25" t="n"/>
      <c r="Z120" s="24" t="n"/>
      <c r="AA120" s="23" t="n"/>
      <c r="AB120" s="24" t="n"/>
      <c r="AC120" s="25" t="n"/>
      <c r="AD120" s="24" t="n"/>
      <c r="AE120" s="23" t="n"/>
      <c r="AF120" s="24" t="n"/>
      <c r="AG120" s="25" t="n"/>
      <c r="AH120" s="24" t="n"/>
      <c r="AI120" s="23" t="n"/>
      <c r="AJ120" s="24" t="n"/>
      <c r="AK120" s="25" t="n"/>
      <c r="AL120" s="24" t="n"/>
      <c r="AM120" s="23" t="n"/>
      <c r="AN120" s="24" t="n"/>
      <c r="AO120" s="25" t="n"/>
      <c r="AP120" s="24" t="n"/>
      <c r="AQ120" s="23" t="n"/>
      <c r="AR120" s="24" t="n"/>
      <c r="AS120" s="25" t="n"/>
      <c r="AT120" s="24" t="n"/>
      <c r="AU120" s="23" t="n"/>
      <c r="AV120" s="24" t="n"/>
      <c r="AW120" s="25" t="n"/>
      <c r="AX120" s="24" t="n"/>
      <c r="AY120" s="23" t="n"/>
      <c r="AZ120" s="24" t="n"/>
      <c r="BA120" s="25" t="n"/>
      <c r="BB120" s="24" t="n"/>
      <c r="BC120" s="23" t="n"/>
      <c r="BD120" s="24" t="n"/>
      <c r="BE120" s="25" t="n"/>
      <c r="BF120" s="24" t="n"/>
      <c r="BG120" s="23" t="n"/>
      <c r="BH120" s="24" t="n"/>
      <c r="BI120" s="25" t="n"/>
      <c r="BJ120" s="24" t="n"/>
      <c r="BK120" s="340" t="n"/>
      <c r="BL120" s="803">
        <f>SUMPRODUCT(--(MOD(COLUMN($O120:$AL120),4)=MOD(COLUMN($O120)+0,4)),$O120:$AL120)
+SUMPRODUCT(--(MOD(COLUMN($AM120:$BJ120),4)=MOD(COLUMN($AM120)+0,4)),$AM120:$BJ120)</f>
        <v/>
      </c>
      <c r="BM120" s="803">
        <f>SUMPRODUCT(--(MOD(COLUMN($O120:$AL120),4)=MOD(COLUMN($O120)+0,4)),$O120:$AL120)*
$I120+SUMPRODUCT(--(MOD(COLUMN($AM120:$BJ120),4)=MOD(COLUMN($AM120)+0,4)),$AM120:$BJ120)*$I120</f>
        <v/>
      </c>
      <c r="BN120" s="805">
        <f>SUMPRODUCT(--(MOD(COLUMN($O120:$AL120),4)=MOD(COLUMN($O120)+1,4)),$O120:$AL120)
+SUMPRODUCT(--(MOD(COLUMN($AM120:$BJ120),4)=MOD(COLUMN($AM120)+1,4)),$AM120:$BJ120)</f>
        <v/>
      </c>
      <c r="BO120" s="806">
        <f>SUMPRODUCT(--(MOD(COLUMN($O120:$AL120),4)=MOD(COLUMN($O120)+1,4)),$O120:$AL120)*
$I120+SUMPRODUCT(--(MOD(COLUMN($AM120:$BJ120),4)=MOD(COLUMN($AM120)+1,4)),$AM120:$BJ120)*$I120</f>
        <v/>
      </c>
      <c r="BP120" s="807">
        <f>SUMPRODUCT(--(MOD(COLUMN($O120:$AL120),4)=MOD(COLUMN($O120)+2,4)),$O120:$AL120)
+SUMPRODUCT(--(MOD(COLUMN($AM120:$BJ120),4)=MOD(COLUMN($AM120)+2,4)),$AM120:$BJ120)</f>
        <v/>
      </c>
      <c r="BQ120" s="808">
        <f>SUMPRODUCT(--(MOD(COLUMN($O120:$AL120),4)=MOD(COLUMN($O120)+2,4)),$O120:$AL120)*
$I120+SUMPRODUCT(--(MOD(COLUMN($AM120:$BJ120),4)=MOD(COLUMN($AM120)+2,4)),$AM120:$BJ120)*$I120</f>
        <v/>
      </c>
      <c r="BR120" s="801" t="n"/>
      <c r="BS120" s="819" t="n"/>
      <c r="BT120" s="23" t="n"/>
      <c r="BU120" s="24" t="n"/>
      <c r="BV120" s="25" t="n"/>
      <c r="BW120" s="24" t="n"/>
      <c r="BX120" s="23" t="n"/>
      <c r="BY120" s="24" t="n"/>
      <c r="BZ120" s="25" t="n"/>
      <c r="CA120" s="24" t="n"/>
      <c r="CB120" s="23" t="n"/>
      <c r="CC120" s="24" t="n"/>
      <c r="CD120" s="25" t="n"/>
      <c r="CE120" s="24" t="n"/>
      <c r="CF120" s="23" t="n"/>
      <c r="CG120" s="24" t="n"/>
      <c r="CH120" s="25" t="n"/>
      <c r="CI120" s="24" t="n"/>
      <c r="CJ120" s="23" t="n"/>
      <c r="CK120" s="24" t="n"/>
      <c r="CL120" s="25" t="n"/>
      <c r="CM120" s="24" t="n"/>
      <c r="CN120" s="23" t="n"/>
      <c r="CO120" s="24" t="n"/>
      <c r="CP120" s="25" t="n"/>
      <c r="CQ120" s="24" t="n"/>
      <c r="CR120" s="23" t="n"/>
      <c r="CS120" s="24" t="n"/>
      <c r="CT120" s="25" t="n"/>
      <c r="CU120" s="24" t="n"/>
      <c r="CV120" s="23" t="n"/>
      <c r="CW120" s="24" t="n"/>
      <c r="CX120" s="25" t="n"/>
      <c r="CY120" s="24" t="n"/>
      <c r="CZ120" s="23" t="n"/>
      <c r="DA120" s="24" t="n"/>
      <c r="DB120" s="25" t="n"/>
      <c r="DC120" s="24" t="n"/>
      <c r="DD120" s="23" t="n"/>
      <c r="DE120" s="24" t="n"/>
      <c r="DF120" s="25" t="n"/>
      <c r="DG120" s="24" t="n"/>
      <c r="DH120" s="23" t="n"/>
      <c r="DI120" s="24" t="n"/>
      <c r="DJ120" s="25" t="n"/>
      <c r="DK120" s="24" t="n"/>
      <c r="DL120" s="23" t="n"/>
      <c r="DM120" s="24" t="n"/>
      <c r="DN120" s="25" t="n"/>
      <c r="DO120" s="24" t="n"/>
      <c r="DP120" s="340" t="n"/>
      <c r="DQ120" s="803">
        <f>SUMPRODUCT(--(MOD(COLUMN(BT120:CQ120),4)=MOD(COLUMN(BT120),4)),BT120:CQ120)+SUMPRODUCT(--(MOD(COLUMN(CR120:DO120),4)=MOD(COLUMN(CR120),4)),CR120:DO120)</f>
        <v/>
      </c>
      <c r="DR120" s="803">
        <f>SUMPRODUCT(--(MOD(COLUMN(BT120:CQ120),4)=MOD(COLUMN(BT120),4)),BT120:CQ120)*$I120+SUMPRODUCT(--(MOD(COLUMN(CR120:DO120),4)=MOD(COLUMN(CR120),4)),CR120:DO120)*$I120</f>
        <v/>
      </c>
      <c r="DS120" s="801" t="n"/>
      <c r="DT120" s="819" t="n"/>
      <c r="DU120" s="23" t="n"/>
      <c r="DV120" s="24" t="n"/>
      <c r="DW120" s="25" t="n"/>
      <c r="DX120" s="24" t="n"/>
      <c r="DY120" s="23" t="n"/>
      <c r="DZ120" s="24" t="n"/>
      <c r="EA120" s="25" t="n"/>
      <c r="EB120" s="24" t="n"/>
      <c r="EC120" s="23" t="n"/>
      <c r="ED120" s="24" t="n"/>
      <c r="EE120" s="25" t="n"/>
      <c r="EF120" s="24" t="n"/>
      <c r="EG120" s="23" t="n"/>
      <c r="EH120" s="24" t="n"/>
      <c r="EI120" s="25" t="n"/>
      <c r="EJ120" s="24" t="n"/>
      <c r="EK120" s="23" t="n"/>
      <c r="EL120" s="24" t="n"/>
      <c r="EM120" s="25" t="n"/>
      <c r="EN120" s="24" t="n"/>
      <c r="EO120" s="23" t="n"/>
      <c r="EP120" s="24" t="n"/>
      <c r="EQ120" s="25" t="n"/>
      <c r="ER120" s="24" t="n"/>
      <c r="ES120" s="23" t="n"/>
      <c r="ET120" s="24" t="n"/>
      <c r="EU120" s="25" t="n"/>
      <c r="EV120" s="24" t="n"/>
      <c r="EW120" s="23" t="n"/>
      <c r="EX120" s="24" t="n"/>
      <c r="EY120" s="25" t="n"/>
      <c r="EZ120" s="24" t="n"/>
      <c r="FA120" s="23" t="n"/>
      <c r="FB120" s="24" t="n"/>
      <c r="FC120" s="25" t="n"/>
      <c r="FD120" s="24" t="n"/>
      <c r="FE120" s="23" t="n"/>
      <c r="FF120" s="24" t="n"/>
      <c r="FG120" s="25" t="n"/>
      <c r="FH120" s="24" t="n"/>
      <c r="FI120" s="23" t="n"/>
      <c r="FJ120" s="24" t="n"/>
      <c r="FK120" s="25" t="n"/>
      <c r="FL120" s="24" t="n"/>
      <c r="FM120" s="23" t="n"/>
      <c r="FN120" s="24" t="n"/>
      <c r="FO120" s="25" t="n"/>
      <c r="FP120" s="24" t="n"/>
      <c r="FQ120" s="340" t="n"/>
      <c r="FR120" s="803">
        <f>SUMPRODUCT(--(MOD(COLUMN(DU120:ER120),4)=MOD(COLUMN(DU120),4)),DU120:ER120)+SUMPRODUCT(--(MOD(COLUMN(ES120:FP120),4)=MOD(COLUMN(ES120),4)),ES120:FP120)</f>
        <v/>
      </c>
      <c r="FS120" s="803">
        <f>SUMPRODUCT(--(MOD(COLUMN(DU120:ER120),4)=MOD(COLUMN(DU120),4)),DU120:ER120)*$I120+SUMPRODUCT(--(MOD(COLUMN(ES120:FP120),4)=MOD(COLUMN(ES120),4)),ES120:FP120)*$I120</f>
        <v/>
      </c>
      <c r="FT120" s="361" t="n"/>
    </row>
    <row r="121" outlineLevel="2">
      <c r="A121" s="413" t="inlineStr">
        <is>
          <t>ПАО «Уралавтоприцеп»</t>
        </is>
      </c>
      <c r="B121" s="444" t="inlineStr">
        <is>
          <t>Отсрочка 30 дней</t>
        </is>
      </c>
      <c r="C121" s="587" t="inlineStr">
        <is>
          <t>ВБК РУС</t>
        </is>
      </c>
      <c r="D121" s="580" t="inlineStr">
        <is>
          <t>Прасолов, Соловьёв</t>
        </is>
      </c>
      <c r="E121" s="414">
        <f>IF(ISBLANK(G121),"",IF($A$6:$A$330=$A121,COUNTIF($A$6:A121,$A121),""))</f>
        <v/>
      </c>
      <c r="F121" s="284" t="n">
        <v>1</v>
      </c>
      <c r="G121" s="304" t="n">
        <v>9730110000</v>
      </c>
      <c r="H121" s="602" t="inlineStr">
        <is>
          <t>Клапан ускорительный</t>
        </is>
      </c>
      <c r="I121" s="623">
        <f>160/НДС</f>
        <v/>
      </c>
      <c r="J121" s="623" t="n"/>
      <c r="K121" s="885" t="n"/>
      <c r="L121" s="623" t="n"/>
      <c r="M121" s="871" t="n"/>
      <c r="N121" s="871">
        <f>IF(BP121&gt;0,1,IF(BN121&gt;0,2,))</f>
        <v/>
      </c>
      <c r="O121" s="322" t="n"/>
      <c r="P121" s="408" t="n"/>
      <c r="Q121" s="307" t="n"/>
      <c r="R121" s="408" t="n"/>
      <c r="S121" s="322" t="n"/>
      <c r="T121" s="408">
        <f>3+1</f>
        <v/>
      </c>
      <c r="U121" s="307" t="n">
        <v>4</v>
      </c>
      <c r="V121" s="408" t="n"/>
      <c r="W121" s="322" t="n"/>
      <c r="X121" s="408" t="n"/>
      <c r="Y121" s="307" t="n"/>
      <c r="Z121" s="408" t="n"/>
      <c r="AA121" s="322" t="n"/>
      <c r="AB121" s="408" t="n"/>
      <c r="AC121" s="307" t="n"/>
      <c r="AD121" s="408" t="n"/>
      <c r="AE121" s="322" t="n"/>
      <c r="AF121" s="408">
        <f>5+9</f>
        <v/>
      </c>
      <c r="AG121" s="307" t="n">
        <v>14</v>
      </c>
      <c r="AH121" s="408" t="n"/>
      <c r="AI121" s="322" t="n"/>
      <c r="AJ121" s="408" t="n"/>
      <c r="AK121" s="307" t="n"/>
      <c r="AL121" s="408" t="n"/>
      <c r="AM121" s="322" t="n"/>
      <c r="AN121" s="408" t="n"/>
      <c r="AO121" s="307" t="n"/>
      <c r="AP121" s="408" t="n"/>
      <c r="AQ121" s="322" t="n"/>
      <c r="AR121" s="408" t="n"/>
      <c r="AS121" s="307" t="n"/>
      <c r="AT121" s="408" t="n"/>
      <c r="AU121" s="322" t="n"/>
      <c r="AV121" s="408" t="n"/>
      <c r="AW121" s="307" t="n"/>
      <c r="AX121" s="408" t="n"/>
      <c r="AY121" s="322" t="n"/>
      <c r="AZ121" s="408" t="n"/>
      <c r="BA121" s="307" t="n"/>
      <c r="BB121" s="408" t="n"/>
      <c r="BC121" s="322" t="n"/>
      <c r="BD121" s="408" t="n"/>
      <c r="BE121" s="307" t="n"/>
      <c r="BF121" s="408" t="n"/>
      <c r="BG121" s="322" t="n"/>
      <c r="BH121" s="408" t="n"/>
      <c r="BI121" s="307" t="n"/>
      <c r="BJ121" s="408" t="n"/>
      <c r="BK121" s="340" t="n"/>
      <c r="BL121" s="820">
        <f>SUMPRODUCT(--(MOD(COLUMN($O121:$AL121),4)=MOD(COLUMN($O121)+0,4)),$O121:$AL121)
+SUMPRODUCT(--(MOD(COLUMN($AM121:$BJ121),4)=MOD(COLUMN($AM121)+0,4)),$AM121:$BJ121)</f>
        <v/>
      </c>
      <c r="BM121" s="820">
        <f>SUMPRODUCT(--(MOD(COLUMN($O121:$AL121),4)=MOD(COLUMN($O121)+0,4)),$O121:$AL121)*
$I121+SUMPRODUCT(--(MOD(COLUMN($AM121:$BJ121),4)=MOD(COLUMN($AM121)+0,4)),$AM121:$BJ121)*$I121</f>
        <v/>
      </c>
      <c r="BN121" s="822">
        <f>SUMPRODUCT(--(MOD(COLUMN($O121:$AL121),4)=MOD(COLUMN($O121)+1,4)),$O121:$AL121)
+SUMPRODUCT(--(MOD(COLUMN($AM121:$BJ121),4)=MOD(COLUMN($AM121)+1,4)),$AM121:$BJ121)</f>
        <v/>
      </c>
      <c r="BO121" s="823">
        <f>SUMPRODUCT(--(MOD(COLUMN($O121:$AL121),4)=MOD(COLUMN($O121)+1,4)),$O121:$AL121)*
$I121+SUMPRODUCT(--(MOD(COLUMN($AM121:$BJ121),4)=MOD(COLUMN($AM121)+1,4)),$AM121:$BJ121)*$I121</f>
        <v/>
      </c>
      <c r="BP121" s="824">
        <f>SUMPRODUCT(--(MOD(COLUMN($O121:$AL121),4)=MOD(COLUMN($O121)+2,4)),$O121:$AL121)
+SUMPRODUCT(--(MOD(COLUMN($AM121:$BJ121),4)=MOD(COLUMN($AM121)+2,4)),$AM121:$BJ121)</f>
        <v/>
      </c>
      <c r="BQ121" s="825">
        <f>SUMPRODUCT(--(MOD(COLUMN($O121:$AL121),4)=MOD(COLUMN($O121)+2,4)),$O121:$AL121)*
$I121+SUMPRODUCT(--(MOD(COLUMN($AM121:$BJ121),4)=MOD(COLUMN($AM121)+2,4)),$AM121:$BJ121)*$I121</f>
        <v/>
      </c>
      <c r="BR121" s="819" t="n"/>
      <c r="BS121" s="819" t="n"/>
      <c r="BT121" s="322" t="n"/>
      <c r="BU121" s="408" t="n"/>
      <c r="BV121" s="307" t="n"/>
      <c r="BW121" s="408" t="n"/>
      <c r="BX121" s="322" t="n"/>
      <c r="BY121" s="408" t="n"/>
      <c r="BZ121" s="307" t="n"/>
      <c r="CA121" s="408" t="n"/>
      <c r="CB121" s="322" t="n"/>
      <c r="CC121" s="408" t="n"/>
      <c r="CD121" s="307" t="n"/>
      <c r="CE121" s="408" t="n"/>
      <c r="CF121" s="322" t="n"/>
      <c r="CG121" s="408" t="n"/>
      <c r="CH121" s="307" t="n"/>
      <c r="CI121" s="408" t="n"/>
      <c r="CJ121" s="322" t="n"/>
      <c r="CK121" s="408" t="n"/>
      <c r="CL121" s="307" t="n"/>
      <c r="CM121" s="408" t="n"/>
      <c r="CN121" s="322" t="n"/>
      <c r="CO121" s="408" t="n"/>
      <c r="CP121" s="307" t="n"/>
      <c r="CQ121" s="408" t="n"/>
      <c r="CR121" s="322" t="n"/>
      <c r="CS121" s="408" t="n"/>
      <c r="CT121" s="307" t="n"/>
      <c r="CU121" s="408" t="n"/>
      <c r="CV121" s="322" t="n"/>
      <c r="CW121" s="408" t="n"/>
      <c r="CX121" s="307" t="n"/>
      <c r="CY121" s="408" t="n"/>
      <c r="CZ121" s="322" t="n"/>
      <c r="DA121" s="408" t="n"/>
      <c r="DB121" s="307" t="n"/>
      <c r="DC121" s="408" t="n"/>
      <c r="DD121" s="322" t="n"/>
      <c r="DE121" s="408" t="n"/>
      <c r="DF121" s="307" t="n"/>
      <c r="DG121" s="408" t="n"/>
      <c r="DH121" s="322" t="n"/>
      <c r="DI121" s="408" t="n"/>
      <c r="DJ121" s="307" t="n"/>
      <c r="DK121" s="408" t="n"/>
      <c r="DL121" s="322" t="n"/>
      <c r="DM121" s="408" t="n"/>
      <c r="DN121" s="307" t="n"/>
      <c r="DO121" s="408" t="n"/>
      <c r="DP121" s="340" t="n"/>
      <c r="DQ121" s="820" t="n"/>
      <c r="DR121" s="820" t="n"/>
      <c r="DS121" s="819" t="n"/>
      <c r="DT121" s="819" t="n"/>
      <c r="DU121" s="322" t="n"/>
      <c r="DV121" s="408" t="n"/>
      <c r="DW121" s="307" t="n"/>
      <c r="DX121" s="408" t="n"/>
      <c r="DY121" s="322" t="n"/>
      <c r="DZ121" s="408" t="n"/>
      <c r="EA121" s="307" t="n"/>
      <c r="EB121" s="408" t="n"/>
      <c r="EC121" s="322" t="n"/>
      <c r="ED121" s="408" t="n"/>
      <c r="EE121" s="307" t="n"/>
      <c r="EF121" s="408" t="n"/>
      <c r="EG121" s="322" t="n"/>
      <c r="EH121" s="408" t="n"/>
      <c r="EI121" s="307" t="n"/>
      <c r="EJ121" s="408" t="n"/>
      <c r="EK121" s="322" t="n"/>
      <c r="EL121" s="408" t="n"/>
      <c r="EM121" s="307" t="n"/>
      <c r="EN121" s="408" t="n"/>
      <c r="EO121" s="322" t="n"/>
      <c r="EP121" s="408" t="n"/>
      <c r="EQ121" s="307" t="n"/>
      <c r="ER121" s="408" t="n"/>
      <c r="ES121" s="322" t="n"/>
      <c r="ET121" s="408" t="n"/>
      <c r="EU121" s="307" t="n"/>
      <c r="EV121" s="408" t="n"/>
      <c r="EW121" s="322" t="n"/>
      <c r="EX121" s="408" t="n"/>
      <c r="EY121" s="307" t="n"/>
      <c r="EZ121" s="408" t="n"/>
      <c r="FA121" s="322" t="n"/>
      <c r="FB121" s="408" t="n"/>
      <c r="FC121" s="307" t="n"/>
      <c r="FD121" s="408" t="n"/>
      <c r="FE121" s="322" t="n"/>
      <c r="FF121" s="408" t="n"/>
      <c r="FG121" s="307" t="n"/>
      <c r="FH121" s="408" t="n"/>
      <c r="FI121" s="322" t="n"/>
      <c r="FJ121" s="408" t="n"/>
      <c r="FK121" s="307" t="n"/>
      <c r="FL121" s="408" t="n"/>
      <c r="FM121" s="322" t="n"/>
      <c r="FN121" s="408" t="n"/>
      <c r="FO121" s="307" t="n"/>
      <c r="FP121" s="408" t="n"/>
      <c r="FQ121" s="340" t="n"/>
      <c r="FR121" s="820" t="n"/>
      <c r="FS121" s="820" t="n"/>
      <c r="FT121" s="361" t="n"/>
    </row>
    <row r="122" outlineLevel="2">
      <c r="A122" s="56" t="inlineStr">
        <is>
          <t>ПАО «Уралавтоприцеп»</t>
        </is>
      </c>
      <c r="B122" s="387" t="inlineStr">
        <is>
          <t>Отсрочка 30 дней</t>
        </is>
      </c>
      <c r="C122" s="541" t="inlineStr">
        <is>
          <t>ВБК РУС</t>
        </is>
      </c>
      <c r="D122" s="565" t="inlineStr">
        <is>
          <t>Прасолов, Соловьёв</t>
        </is>
      </c>
      <c r="E122" s="10">
        <f>IF(ISBLANK(G122),"",IF($A$6:$A$330=$A122,COUNTIF($A$6:A122,$A122),""))</f>
        <v/>
      </c>
      <c r="F122" s="10" t="n">
        <v>1</v>
      </c>
      <c r="G122" s="55" t="n">
        <v>4750103050</v>
      </c>
      <c r="H122" s="54" t="inlineStr">
        <is>
          <t>Клапан ограничения давления</t>
        </is>
      </c>
      <c r="I122" s="617">
        <f>J122/ЮАНЬ_2025_08_29</f>
        <v/>
      </c>
      <c r="J122" s="617">
        <f>1398/НДС_20</f>
        <v/>
      </c>
      <c r="K122" s="872" t="inlineStr">
        <is>
          <t>RUB</t>
        </is>
      </c>
      <c r="L122" s="617">
        <f>IF(K122="RUB",J122/ЮАНЬ,IF(K122="EUR",J122*ЕВРО/ЮАНЬ,""))</f>
        <v/>
      </c>
      <c r="M122" s="873" t="n"/>
      <c r="N122" s="871">
        <f>IF(BP122&gt;0,1,IF(BN122&gt;0,2,))</f>
        <v/>
      </c>
      <c r="O122" s="23" t="n"/>
      <c r="P122" s="24" t="n"/>
      <c r="Q122" s="25" t="n"/>
      <c r="R122" s="24" t="n"/>
      <c r="S122" s="23" t="n"/>
      <c r="T122" s="24" t="n"/>
      <c r="U122" s="25" t="n"/>
      <c r="V122" s="24" t="n"/>
      <c r="W122" s="23" t="n"/>
      <c r="X122" s="24" t="n"/>
      <c r="Y122" s="25" t="n"/>
      <c r="Z122" s="24" t="n"/>
      <c r="AA122" s="23" t="n"/>
      <c r="AB122" s="24" t="n"/>
      <c r="AC122" s="25" t="n"/>
      <c r="AD122" s="24" t="n"/>
      <c r="AE122" s="23" t="n"/>
      <c r="AF122" s="24" t="n"/>
      <c r="AG122" s="25" t="n"/>
      <c r="AH122" s="24" t="n"/>
      <c r="AI122" s="23" t="n"/>
      <c r="AJ122" s="24" t="n"/>
      <c r="AK122" s="25" t="n"/>
      <c r="AL122" s="24" t="n"/>
      <c r="AM122" s="23" t="n"/>
      <c r="AN122" s="24" t="n"/>
      <c r="AO122" s="25" t="n"/>
      <c r="AP122" s="24" t="n"/>
      <c r="AQ122" s="23" t="n"/>
      <c r="AR122" s="24" t="n"/>
      <c r="AS122" s="25" t="n"/>
      <c r="AT122" s="24" t="n"/>
      <c r="AU122" s="23" t="n"/>
      <c r="AV122" s="24" t="n"/>
      <c r="AW122" s="25" t="n"/>
      <c r="AX122" s="24" t="n"/>
      <c r="AY122" s="23" t="n"/>
      <c r="AZ122" s="24" t="n"/>
      <c r="BA122" s="25" t="n"/>
      <c r="BB122" s="24" t="n"/>
      <c r="BC122" s="23" t="n"/>
      <c r="BD122" s="24" t="n"/>
      <c r="BE122" s="25" t="n"/>
      <c r="BF122" s="24" t="n"/>
      <c r="BG122" s="23" t="n"/>
      <c r="BH122" s="24" t="n"/>
      <c r="BI122" s="25" t="n"/>
      <c r="BJ122" s="24" t="n"/>
      <c r="BK122" s="340" t="n"/>
      <c r="BL122" s="803">
        <f>SUMPRODUCT(--(MOD(COLUMN($O122:$AL122),4)=MOD(COLUMN($O122)+0,4)),$O122:$AL122)
+SUMPRODUCT(--(MOD(COLUMN($AM122:$BJ122),4)=MOD(COLUMN($AM122)+0,4)),$AM122:$BJ122)</f>
        <v/>
      </c>
      <c r="BM122" s="803">
        <f>SUMPRODUCT(--(MOD(COLUMN($O122:$AL122),4)=MOD(COLUMN($O122)+0,4)),$O122:$AL122)*
$I122+SUMPRODUCT(--(MOD(COLUMN($AM122:$BJ122),4)=MOD(COLUMN($AM122)+0,4)),$AM122:$BJ122)*$I122</f>
        <v/>
      </c>
      <c r="BN122" s="805">
        <f>SUMPRODUCT(--(MOD(COLUMN($O122:$AL122),4)=MOD(COLUMN($O122)+1,4)),$O122:$AL122)
+SUMPRODUCT(--(MOD(COLUMN($AM122:$BJ122),4)=MOD(COLUMN($AM122)+1,4)),$AM122:$BJ122)</f>
        <v/>
      </c>
      <c r="BO122" s="806">
        <f>SUMPRODUCT(--(MOD(COLUMN($O122:$AL122),4)=MOD(COLUMN($O122)+1,4)),$O122:$AL122)*
$I122+SUMPRODUCT(--(MOD(COLUMN($AM122:$BJ122),4)=MOD(COLUMN($AM122)+1,4)),$AM122:$BJ122)*$I122</f>
        <v/>
      </c>
      <c r="BP122" s="807">
        <f>SUMPRODUCT(--(MOD(COLUMN($O122:$AL122),4)=MOD(COLUMN($O122)+2,4)),$O122:$AL122)
+SUMPRODUCT(--(MOD(COLUMN($AM122:$BJ122),4)=MOD(COLUMN($AM122)+2,4)),$AM122:$BJ122)</f>
        <v/>
      </c>
      <c r="BQ122" s="808">
        <f>SUMPRODUCT(--(MOD(COLUMN($O122:$AL122),4)=MOD(COLUMN($O122)+2,4)),$O122:$AL122)*
$I122+SUMPRODUCT(--(MOD(COLUMN($AM122:$BJ122),4)=MOD(COLUMN($AM122)+2,4)),$AM122:$BJ122)*$I122</f>
        <v/>
      </c>
      <c r="BR122" s="801" t="n"/>
      <c r="BS122" s="819" t="n"/>
      <c r="BT122" s="23" t="n"/>
      <c r="BU122" s="24" t="n"/>
      <c r="BV122" s="25" t="n"/>
      <c r="BW122" s="24" t="n"/>
      <c r="BX122" s="23" t="n"/>
      <c r="BY122" s="24" t="n"/>
      <c r="BZ122" s="25" t="n"/>
      <c r="CA122" s="24" t="n"/>
      <c r="CB122" s="23" t="n"/>
      <c r="CC122" s="24" t="n"/>
      <c r="CD122" s="25" t="n"/>
      <c r="CE122" s="24" t="n"/>
      <c r="CF122" s="23" t="n"/>
      <c r="CG122" s="24" t="n"/>
      <c r="CH122" s="25" t="n"/>
      <c r="CI122" s="24" t="n"/>
      <c r="CJ122" s="23" t="n"/>
      <c r="CK122" s="24" t="n"/>
      <c r="CL122" s="25" t="n"/>
      <c r="CM122" s="24" t="n"/>
      <c r="CN122" s="23" t="n"/>
      <c r="CO122" s="24" t="n"/>
      <c r="CP122" s="25" t="n"/>
      <c r="CQ122" s="24" t="n"/>
      <c r="CR122" s="23" t="n"/>
      <c r="CS122" s="24" t="n"/>
      <c r="CT122" s="25" t="n"/>
      <c r="CU122" s="24" t="n"/>
      <c r="CV122" s="23" t="n"/>
      <c r="CW122" s="24" t="n"/>
      <c r="CX122" s="25" t="n"/>
      <c r="CY122" s="24" t="n"/>
      <c r="CZ122" s="23" t="n"/>
      <c r="DA122" s="24" t="n"/>
      <c r="DB122" s="25" t="n"/>
      <c r="DC122" s="24" t="n"/>
      <c r="DD122" s="23" t="n"/>
      <c r="DE122" s="24" t="n"/>
      <c r="DF122" s="25" t="n"/>
      <c r="DG122" s="24" t="n"/>
      <c r="DH122" s="23" t="n"/>
      <c r="DI122" s="24" t="n"/>
      <c r="DJ122" s="25" t="n"/>
      <c r="DK122" s="24" t="n"/>
      <c r="DL122" s="23" t="n"/>
      <c r="DM122" s="24" t="n"/>
      <c r="DN122" s="25" t="n"/>
      <c r="DO122" s="24" t="n"/>
      <c r="DP122" s="340" t="n"/>
      <c r="DQ122" s="803">
        <f>SUMPRODUCT(--(MOD(COLUMN(BT122:CQ122),4)=MOD(COLUMN(BT122),4)),BT122:CQ122)+SUMPRODUCT(--(MOD(COLUMN(CR122:DO122),4)=MOD(COLUMN(CR122),4)),CR122:DO122)</f>
        <v/>
      </c>
      <c r="DR122" s="803">
        <f>SUMPRODUCT(--(MOD(COLUMN(BT122:CQ122),4)=MOD(COLUMN(BT122),4)),BT122:CQ122)*$I122+SUMPRODUCT(--(MOD(COLUMN(CR122:DO122),4)=MOD(COLUMN(CR122),4)),CR122:DO122)*$I122</f>
        <v/>
      </c>
      <c r="DS122" s="801" t="n"/>
      <c r="DT122" s="819" t="n"/>
      <c r="DU122" s="23" t="n"/>
      <c r="DV122" s="24" t="n"/>
      <c r="DW122" s="25" t="n"/>
      <c r="DX122" s="24" t="n"/>
      <c r="DY122" s="23" t="n"/>
      <c r="DZ122" s="24" t="n"/>
      <c r="EA122" s="25" t="n"/>
      <c r="EB122" s="24" t="n"/>
      <c r="EC122" s="23" t="n"/>
      <c r="ED122" s="24" t="n"/>
      <c r="EE122" s="25" t="n"/>
      <c r="EF122" s="24" t="n"/>
      <c r="EG122" s="23" t="n"/>
      <c r="EH122" s="24" t="n"/>
      <c r="EI122" s="25" t="n"/>
      <c r="EJ122" s="24" t="n"/>
      <c r="EK122" s="23" t="n"/>
      <c r="EL122" s="24" t="n"/>
      <c r="EM122" s="25" t="n"/>
      <c r="EN122" s="24" t="n"/>
      <c r="EO122" s="23" t="n"/>
      <c r="EP122" s="24" t="n"/>
      <c r="EQ122" s="25" t="n"/>
      <c r="ER122" s="24" t="n"/>
      <c r="ES122" s="23" t="n"/>
      <c r="ET122" s="24" t="n"/>
      <c r="EU122" s="25" t="n"/>
      <c r="EV122" s="24" t="n"/>
      <c r="EW122" s="23" t="n"/>
      <c r="EX122" s="24" t="n"/>
      <c r="EY122" s="25" t="n"/>
      <c r="EZ122" s="24" t="n"/>
      <c r="FA122" s="23" t="n"/>
      <c r="FB122" s="24" t="n"/>
      <c r="FC122" s="25" t="n"/>
      <c r="FD122" s="24" t="n"/>
      <c r="FE122" s="23" t="n"/>
      <c r="FF122" s="24" t="n"/>
      <c r="FG122" s="25" t="n"/>
      <c r="FH122" s="24" t="n"/>
      <c r="FI122" s="23" t="n"/>
      <c r="FJ122" s="24" t="n"/>
      <c r="FK122" s="25" t="n"/>
      <c r="FL122" s="24" t="n"/>
      <c r="FM122" s="23" t="n"/>
      <c r="FN122" s="24" t="n"/>
      <c r="FO122" s="25" t="n"/>
      <c r="FP122" s="24" t="n"/>
      <c r="FQ122" s="340" t="n"/>
      <c r="FR122" s="803">
        <f>SUMPRODUCT(--(MOD(COLUMN(DU122:ER122),4)=MOD(COLUMN(DU122),4)),DU122:ER122)+SUMPRODUCT(--(MOD(COLUMN(ES122:FP122),4)=MOD(COLUMN(ES122),4)),ES122:FP122)</f>
        <v/>
      </c>
      <c r="FS122" s="803">
        <f>SUMPRODUCT(--(MOD(COLUMN(DU122:ER122),4)=MOD(COLUMN(DU122),4)),DU122:ER122)*$I122+SUMPRODUCT(--(MOD(COLUMN(ES122:FP122),4)=MOD(COLUMN(ES122),4)),ES122:FP122)*$I122</f>
        <v/>
      </c>
      <c r="FT122" s="361" t="n"/>
    </row>
    <row r="123" outlineLevel="2">
      <c r="A123" s="56" t="inlineStr">
        <is>
          <t>ПАО «Уралавтоприцеп»</t>
        </is>
      </c>
      <c r="B123" s="387" t="inlineStr">
        <is>
          <t>Отсрочка 30 дней</t>
        </is>
      </c>
      <c r="C123" s="541" t="inlineStr">
        <is>
          <t>ВБК РУС</t>
        </is>
      </c>
      <c r="D123" s="565" t="inlineStr">
        <is>
          <t>Прасолов, Соловьёв</t>
        </is>
      </c>
      <c r="E123" s="10">
        <f>IF(ISBLANK(G123),"",IF($A$6:$A$330=$A123,COUNTIF($A$6:A123,$A123),""))</f>
        <v/>
      </c>
      <c r="F123" s="10" t="n">
        <v>2</v>
      </c>
      <c r="G123" s="55" t="n">
        <v>4640061000</v>
      </c>
      <c r="H123" s="54" t="inlineStr">
        <is>
          <t>Кран уровня пола</t>
        </is>
      </c>
      <c r="I123" s="617">
        <f>J123/ЮАНЬ_2025_08_29</f>
        <v/>
      </c>
      <c r="J123" s="617">
        <f>11107.08/НДС</f>
        <v/>
      </c>
      <c r="K123" s="872" t="inlineStr">
        <is>
          <t>RUB</t>
        </is>
      </c>
      <c r="L123" s="617">
        <f>IF(K123="RUB",J123/ЮАНЬ,IF(K123="EUR",J123*ЕВРО/ЮАНЬ,""))</f>
        <v/>
      </c>
      <c r="M123" s="873" t="n"/>
      <c r="N123" s="871">
        <f>IF(BP123&gt;0,1,IF(BN123&gt;0,2,))</f>
        <v/>
      </c>
      <c r="O123" s="23" t="n"/>
      <c r="P123" s="24">
        <f>2</f>
        <v/>
      </c>
      <c r="Q123" s="25" t="n">
        <v>2</v>
      </c>
      <c r="R123" s="24" t="n"/>
      <c r="S123" s="23" t="n"/>
      <c r="T123" s="24">
        <f>1+3+1</f>
        <v/>
      </c>
      <c r="U123" s="25" t="n">
        <v>5</v>
      </c>
      <c r="V123" s="24" t="n"/>
      <c r="W123" s="23" t="n"/>
      <c r="X123" s="24" t="n"/>
      <c r="Y123" s="25" t="n">
        <v>20</v>
      </c>
      <c r="Z123" s="24" t="n"/>
      <c r="AA123" s="23" t="n"/>
      <c r="AB123" s="24">
        <f>1</f>
        <v/>
      </c>
      <c r="AC123" s="25" t="n">
        <v>1</v>
      </c>
      <c r="AD123" s="24" t="n"/>
      <c r="AE123" s="23" t="n"/>
      <c r="AF123" s="24" t="n"/>
      <c r="AG123" s="25" t="n">
        <v>27</v>
      </c>
      <c r="AH123" s="24" t="n"/>
      <c r="AI123" s="23" t="n"/>
      <c r="AJ123" s="24" t="n"/>
      <c r="AK123" s="25" t="n">
        <v>0</v>
      </c>
      <c r="AL123" s="24" t="n"/>
      <c r="AM123" s="23" t="n"/>
      <c r="AN123" s="24" t="n"/>
      <c r="AO123" s="25" t="n">
        <v>0</v>
      </c>
      <c r="AP123" s="24" t="n"/>
      <c r="AQ123" s="23" t="n"/>
      <c r="AR123" s="24" t="n"/>
      <c r="AS123" s="25" t="n">
        <v>0</v>
      </c>
      <c r="AT123" s="24" t="n"/>
      <c r="AU123" s="23" t="n"/>
      <c r="AV123" s="24" t="n"/>
      <c r="AW123" s="25" t="n">
        <v>0</v>
      </c>
      <c r="AX123" s="24" t="n"/>
      <c r="AY123" s="23" t="n"/>
      <c r="AZ123" s="24" t="n"/>
      <c r="BA123" s="25" t="n">
        <v>0</v>
      </c>
      <c r="BB123" s="24" t="n"/>
      <c r="BC123" s="23" t="n"/>
      <c r="BD123" s="24" t="n"/>
      <c r="BE123" s="25" t="n">
        <v>0</v>
      </c>
      <c r="BF123" s="24" t="n"/>
      <c r="BG123" s="23" t="n"/>
      <c r="BH123" s="24" t="n"/>
      <c r="BI123" s="25" t="n">
        <v>0</v>
      </c>
      <c r="BJ123" s="24" t="n"/>
      <c r="BK123" s="340" t="n"/>
      <c r="BL123" s="803">
        <f>SUMPRODUCT(--(MOD(COLUMN($O123:$AL123),4)=MOD(COLUMN($O123)+0,4)),$O123:$AL123)
+SUMPRODUCT(--(MOD(COLUMN($AM123:$BJ123),4)=MOD(COLUMN($AM123)+0,4)),$AM123:$BJ123)</f>
        <v/>
      </c>
      <c r="BM123" s="803">
        <f>SUMPRODUCT(--(MOD(COLUMN($O123:$AL123),4)=MOD(COLUMN($O123)+0,4)),$O123:$AL123)*
$I123+SUMPRODUCT(--(MOD(COLUMN($AM123:$BJ123),4)=MOD(COLUMN($AM123)+0,4)),$AM123:$BJ123)*$I123</f>
        <v/>
      </c>
      <c r="BN123" s="805">
        <f>SUMPRODUCT(--(MOD(COLUMN($O123:$AL123),4)=MOD(COLUMN($O123)+1,4)),$O123:$AL123)
+SUMPRODUCT(--(MOD(COLUMN($AM123:$BJ123),4)=MOD(COLUMN($AM123)+1,4)),$AM123:$BJ123)</f>
        <v/>
      </c>
      <c r="BO123" s="806">
        <f>SUMPRODUCT(--(MOD(COLUMN($O123:$AL123),4)=MOD(COLUMN($O123)+1,4)),$O123:$AL123)*
$I123+SUMPRODUCT(--(MOD(COLUMN($AM123:$BJ123),4)=MOD(COLUMN($AM123)+1,4)),$AM123:$BJ123)*$I123</f>
        <v/>
      </c>
      <c r="BP123" s="807">
        <f>SUMPRODUCT(--(MOD(COLUMN($O123:$AL123),4)=MOD(COLUMN($O123)+2,4)),$O123:$AL123)
+SUMPRODUCT(--(MOD(COLUMN($AM123:$BJ123),4)=MOD(COLUMN($AM123)+2,4)),$AM123:$BJ123)</f>
        <v/>
      </c>
      <c r="BQ123" s="808">
        <f>SUMPRODUCT(--(MOD(COLUMN($O123:$AL123),4)=MOD(COLUMN($O123)+2,4)),$O123:$AL123)*
$I123+SUMPRODUCT(--(MOD(COLUMN($AM123:$BJ123),4)=MOD(COLUMN($AM123)+2,4)),$AM123:$BJ123)*$I123</f>
        <v/>
      </c>
      <c r="BR123" s="801" t="n"/>
      <c r="BS123" s="819" t="n"/>
      <c r="BT123" s="23" t="n"/>
      <c r="BU123" s="24" t="n"/>
      <c r="BV123" s="25" t="n">
        <v>0</v>
      </c>
      <c r="BW123" s="24" t="n"/>
      <c r="BX123" s="23" t="n"/>
      <c r="BY123" s="24" t="n"/>
      <c r="BZ123" s="25" t="n">
        <v>0</v>
      </c>
      <c r="CA123" s="24" t="n"/>
      <c r="CB123" s="23" t="n"/>
      <c r="CC123" s="24" t="n"/>
      <c r="CD123" s="25" t="n">
        <v>0</v>
      </c>
      <c r="CE123" s="24" t="n"/>
      <c r="CF123" s="23" t="n"/>
      <c r="CG123" s="24" t="n"/>
      <c r="CH123" s="25" t="n">
        <v>0</v>
      </c>
      <c r="CI123" s="24" t="n"/>
      <c r="CJ123" s="23" t="n"/>
      <c r="CK123" s="24" t="n"/>
      <c r="CL123" s="25" t="n">
        <v>0</v>
      </c>
      <c r="CM123" s="24" t="n"/>
      <c r="CN123" s="23" t="n"/>
      <c r="CO123" s="24" t="n"/>
      <c r="CP123" s="25" t="n">
        <v>0</v>
      </c>
      <c r="CQ123" s="24" t="n"/>
      <c r="CR123" s="23" t="n"/>
      <c r="CS123" s="24" t="n"/>
      <c r="CT123" s="25" t="n">
        <v>0</v>
      </c>
      <c r="CU123" s="24" t="n"/>
      <c r="CV123" s="23" t="n"/>
      <c r="CW123" s="24" t="n"/>
      <c r="CX123" s="25" t="n">
        <v>0</v>
      </c>
      <c r="CY123" s="24" t="n"/>
      <c r="CZ123" s="23" t="n"/>
      <c r="DA123" s="24" t="n"/>
      <c r="DB123" s="25" t="n">
        <v>0</v>
      </c>
      <c r="DC123" s="24" t="n"/>
      <c r="DD123" s="23" t="n"/>
      <c r="DE123" s="24" t="n"/>
      <c r="DF123" s="25" t="n">
        <v>0</v>
      </c>
      <c r="DG123" s="24" t="n"/>
      <c r="DH123" s="23" t="n"/>
      <c r="DI123" s="24" t="n"/>
      <c r="DJ123" s="25" t="n">
        <v>0</v>
      </c>
      <c r="DK123" s="24" t="n"/>
      <c r="DL123" s="23" t="n"/>
      <c r="DM123" s="24" t="n"/>
      <c r="DN123" s="25" t="n">
        <v>0</v>
      </c>
      <c r="DO123" s="24" t="n"/>
      <c r="DP123" s="340" t="n"/>
      <c r="DQ123" s="803">
        <f>SUMPRODUCT(--(MOD(COLUMN(BT123:CQ123),4)=MOD(COLUMN(BT123),4)),BT123:CQ123)+SUMPRODUCT(--(MOD(COLUMN(CR123:DO123),4)=MOD(COLUMN(CR123),4)),CR123:DO123)</f>
        <v/>
      </c>
      <c r="DR123" s="803">
        <f>SUMPRODUCT(--(MOD(COLUMN(BT123:CQ123),4)=MOD(COLUMN(BT123),4)),BT123:CQ123)*$I123+SUMPRODUCT(--(MOD(COLUMN(CR123:DO123),4)=MOD(COLUMN(CR123),4)),CR123:DO123)*$I123</f>
        <v/>
      </c>
      <c r="DS123" s="801" t="n"/>
      <c r="DT123" s="819" t="n"/>
      <c r="DU123" s="23" t="n"/>
      <c r="DV123" s="24" t="n"/>
      <c r="DW123" s="25" t="n">
        <v>0</v>
      </c>
      <c r="DX123" s="24" t="n"/>
      <c r="DY123" s="23" t="n"/>
      <c r="DZ123" s="24" t="n"/>
      <c r="EA123" s="25" t="n">
        <v>0</v>
      </c>
      <c r="EB123" s="24" t="n"/>
      <c r="EC123" s="23" t="n"/>
      <c r="ED123" s="24" t="n"/>
      <c r="EE123" s="25" t="n">
        <v>0</v>
      </c>
      <c r="EF123" s="24" t="n"/>
      <c r="EG123" s="23" t="n"/>
      <c r="EH123" s="24" t="n"/>
      <c r="EI123" s="25" t="n">
        <v>0</v>
      </c>
      <c r="EJ123" s="24" t="n"/>
      <c r="EK123" s="23" t="n"/>
      <c r="EL123" s="24" t="n"/>
      <c r="EM123" s="25" t="n">
        <v>0</v>
      </c>
      <c r="EN123" s="24" t="n"/>
      <c r="EO123" s="23" t="n"/>
      <c r="EP123" s="24" t="n"/>
      <c r="EQ123" s="25" t="n">
        <v>0</v>
      </c>
      <c r="ER123" s="24" t="n"/>
      <c r="ES123" s="23" t="n"/>
      <c r="ET123" s="24" t="n"/>
      <c r="EU123" s="25" t="n">
        <v>0</v>
      </c>
      <c r="EV123" s="24" t="n"/>
      <c r="EW123" s="23" t="n"/>
      <c r="EX123" s="24" t="n"/>
      <c r="EY123" s="25" t="n">
        <v>0</v>
      </c>
      <c r="EZ123" s="24" t="n"/>
      <c r="FA123" s="23" t="n"/>
      <c r="FB123" s="24" t="n"/>
      <c r="FC123" s="25" t="n">
        <v>0</v>
      </c>
      <c r="FD123" s="24" t="n"/>
      <c r="FE123" s="23" t="n"/>
      <c r="FF123" s="24" t="n"/>
      <c r="FG123" s="25" t="n">
        <v>0</v>
      </c>
      <c r="FH123" s="24" t="n"/>
      <c r="FI123" s="23" t="n"/>
      <c r="FJ123" s="24" t="n"/>
      <c r="FK123" s="25" t="n">
        <v>0</v>
      </c>
      <c r="FL123" s="24" t="n"/>
      <c r="FM123" s="23" t="n"/>
      <c r="FN123" s="24" t="n"/>
      <c r="FO123" s="25" t="n">
        <v>0</v>
      </c>
      <c r="FP123" s="24" t="n"/>
      <c r="FQ123" s="340" t="n"/>
      <c r="FR123" s="803">
        <f>SUMPRODUCT(--(MOD(COLUMN(DU123:ER123),4)=MOD(COLUMN(DU123),4)),DU123:ER123)+SUMPRODUCT(--(MOD(COLUMN(ES123:FP123),4)=MOD(COLUMN(ES123),4)),ES123:FP123)</f>
        <v/>
      </c>
      <c r="FS123" s="803">
        <f>SUMPRODUCT(--(MOD(COLUMN(DU123:ER123),4)=MOD(COLUMN(DU123),4)),DU123:ER123)*$I123+SUMPRODUCT(--(MOD(COLUMN(ES123:FP123),4)=MOD(COLUMN(ES123),4)),ES123:FP123)*$I123</f>
        <v/>
      </c>
      <c r="FT123" s="361" t="n"/>
    </row>
    <row r="124" outlineLevel="2">
      <c r="A124" s="56" t="inlineStr">
        <is>
          <t>ПАО «Уралавтоприцеп»</t>
        </is>
      </c>
      <c r="B124" s="387" t="inlineStr">
        <is>
          <t>Отсрочка 30 дней</t>
        </is>
      </c>
      <c r="C124" s="541" t="inlineStr">
        <is>
          <t>ВБК РУС</t>
        </is>
      </c>
      <c r="D124" s="565" t="inlineStr">
        <is>
          <t>Прасолов, Соловьёв</t>
        </is>
      </c>
      <c r="E124" s="10">
        <f>IF(ISBLANK(G124),"",IF($A$6:$A$330=$A124,COUNTIF($A$6:A124,$A124),""))</f>
        <v/>
      </c>
      <c r="F124" s="10" t="n">
        <v>2</v>
      </c>
      <c r="G124" s="55" t="n">
        <v>4630320200</v>
      </c>
      <c r="H124" s="54" t="inlineStr">
        <is>
          <t>Кран ручного управления</t>
        </is>
      </c>
      <c r="I124" s="617">
        <f>J124/ЮАНЬ_2025_08_29</f>
        <v/>
      </c>
      <c r="J124" s="617">
        <f>11706.92/НДС</f>
        <v/>
      </c>
      <c r="K124" s="872" t="inlineStr">
        <is>
          <t>RUB</t>
        </is>
      </c>
      <c r="L124" s="617">
        <f>IF(K124="RUB",J124/ЮАНЬ,IF(K124="EUR",J124*ЕВРО/ЮАНЬ,""))</f>
        <v/>
      </c>
      <c r="M124" s="873" t="n"/>
      <c r="N124" s="871">
        <f>IF(BP124&gt;0,1,IF(BN124&gt;0,2,))</f>
        <v/>
      </c>
      <c r="O124" s="23" t="n"/>
      <c r="P124" s="24">
        <f>2</f>
        <v/>
      </c>
      <c r="Q124" s="25" t="n">
        <v>2</v>
      </c>
      <c r="R124" s="24" t="n"/>
      <c r="S124" s="23" t="n"/>
      <c r="T124" s="24">
        <f>1+3+1</f>
        <v/>
      </c>
      <c r="U124" s="25" t="n">
        <v>5</v>
      </c>
      <c r="V124" s="24" t="n"/>
      <c r="W124" s="23" t="n"/>
      <c r="X124" s="24" t="n"/>
      <c r="Y124" s="25" t="n">
        <v>20</v>
      </c>
      <c r="Z124" s="24" t="n"/>
      <c r="AA124" s="23" t="n"/>
      <c r="AB124" s="24">
        <f>1</f>
        <v/>
      </c>
      <c r="AC124" s="25" t="n">
        <v>1</v>
      </c>
      <c r="AD124" s="24" t="n"/>
      <c r="AE124" s="23" t="n"/>
      <c r="AF124" s="24" t="n"/>
      <c r="AG124" s="25" t="n">
        <v>27</v>
      </c>
      <c r="AH124" s="24" t="n"/>
      <c r="AI124" s="23" t="n"/>
      <c r="AJ124" s="24" t="n"/>
      <c r="AK124" s="25" t="n">
        <v>0</v>
      </c>
      <c r="AL124" s="24" t="n"/>
      <c r="AM124" s="23" t="n"/>
      <c r="AN124" s="24" t="n"/>
      <c r="AO124" s="25" t="n">
        <v>0</v>
      </c>
      <c r="AP124" s="24" t="n"/>
      <c r="AQ124" s="23" t="n"/>
      <c r="AR124" s="24" t="n"/>
      <c r="AS124" s="25" t="n">
        <v>0</v>
      </c>
      <c r="AT124" s="24" t="n"/>
      <c r="AU124" s="23" t="n"/>
      <c r="AV124" s="24" t="n"/>
      <c r="AW124" s="25" t="n">
        <v>0</v>
      </c>
      <c r="AX124" s="24" t="n"/>
      <c r="AY124" s="23" t="n"/>
      <c r="AZ124" s="24" t="n"/>
      <c r="BA124" s="25" t="n">
        <v>0</v>
      </c>
      <c r="BB124" s="24" t="n"/>
      <c r="BC124" s="23" t="n"/>
      <c r="BD124" s="24" t="n"/>
      <c r="BE124" s="25" t="n">
        <v>0</v>
      </c>
      <c r="BF124" s="24" t="n"/>
      <c r="BG124" s="23" t="n"/>
      <c r="BH124" s="24" t="n"/>
      <c r="BI124" s="25" t="n">
        <v>0</v>
      </c>
      <c r="BJ124" s="24" t="n"/>
      <c r="BK124" s="340" t="n"/>
      <c r="BL124" s="803">
        <f>SUMPRODUCT(--(MOD(COLUMN($O124:$AL124),4)=MOD(COLUMN($O124)+0,4)),$O124:$AL124)
+SUMPRODUCT(--(MOD(COLUMN($AM124:$BJ124),4)=MOD(COLUMN($AM124)+0,4)),$AM124:$BJ124)</f>
        <v/>
      </c>
      <c r="BM124" s="803">
        <f>SUMPRODUCT(--(MOD(COLUMN($O124:$AL124),4)=MOD(COLUMN($O124)+0,4)),$O124:$AL124)*
$I124+SUMPRODUCT(--(MOD(COLUMN($AM124:$BJ124),4)=MOD(COLUMN($AM124)+0,4)),$AM124:$BJ124)*$I124</f>
        <v/>
      </c>
      <c r="BN124" s="805">
        <f>SUMPRODUCT(--(MOD(COLUMN($O124:$AL124),4)=MOD(COLUMN($O124)+1,4)),$O124:$AL124)
+SUMPRODUCT(--(MOD(COLUMN($AM124:$BJ124),4)=MOD(COLUMN($AM124)+1,4)),$AM124:$BJ124)</f>
        <v/>
      </c>
      <c r="BO124" s="806">
        <f>SUMPRODUCT(--(MOD(COLUMN($O124:$AL124),4)=MOD(COLUMN($O124)+1,4)),$O124:$AL124)*
$I124+SUMPRODUCT(--(MOD(COLUMN($AM124:$BJ124),4)=MOD(COLUMN($AM124)+1,4)),$AM124:$BJ124)*$I124</f>
        <v/>
      </c>
      <c r="BP124" s="807">
        <f>SUMPRODUCT(--(MOD(COLUMN($O124:$AL124),4)=MOD(COLUMN($O124)+2,4)),$O124:$AL124)
+SUMPRODUCT(--(MOD(COLUMN($AM124:$BJ124),4)=MOD(COLUMN($AM124)+2,4)),$AM124:$BJ124)</f>
        <v/>
      </c>
      <c r="BQ124" s="808">
        <f>SUMPRODUCT(--(MOD(COLUMN($O124:$AL124),4)=MOD(COLUMN($O124)+2,4)),$O124:$AL124)*
$I124+SUMPRODUCT(--(MOD(COLUMN($AM124:$BJ124),4)=MOD(COLUMN($AM124)+2,4)),$AM124:$BJ124)*$I124</f>
        <v/>
      </c>
      <c r="BR124" s="801" t="n"/>
      <c r="BS124" s="819" t="n"/>
      <c r="BT124" s="23" t="n"/>
      <c r="BU124" s="24" t="n"/>
      <c r="BV124" s="25" t="n">
        <v>0</v>
      </c>
      <c r="BW124" s="24" t="n"/>
      <c r="BX124" s="23" t="n"/>
      <c r="BY124" s="24" t="n"/>
      <c r="BZ124" s="25" t="n">
        <v>0</v>
      </c>
      <c r="CA124" s="24" t="n"/>
      <c r="CB124" s="23" t="n"/>
      <c r="CC124" s="24" t="n"/>
      <c r="CD124" s="25" t="n">
        <v>0</v>
      </c>
      <c r="CE124" s="24" t="n"/>
      <c r="CF124" s="23" t="n"/>
      <c r="CG124" s="24" t="n"/>
      <c r="CH124" s="25" t="n">
        <v>0</v>
      </c>
      <c r="CI124" s="24" t="n"/>
      <c r="CJ124" s="23" t="n"/>
      <c r="CK124" s="24" t="n"/>
      <c r="CL124" s="25" t="n">
        <v>0</v>
      </c>
      <c r="CM124" s="24" t="n"/>
      <c r="CN124" s="23" t="n"/>
      <c r="CO124" s="24" t="n"/>
      <c r="CP124" s="25" t="n">
        <v>0</v>
      </c>
      <c r="CQ124" s="24" t="n"/>
      <c r="CR124" s="23" t="n"/>
      <c r="CS124" s="24" t="n"/>
      <c r="CT124" s="25" t="n">
        <v>0</v>
      </c>
      <c r="CU124" s="24" t="n"/>
      <c r="CV124" s="23" t="n"/>
      <c r="CW124" s="24" t="n"/>
      <c r="CX124" s="25" t="n">
        <v>0</v>
      </c>
      <c r="CY124" s="24" t="n"/>
      <c r="CZ124" s="23" t="n"/>
      <c r="DA124" s="24" t="n"/>
      <c r="DB124" s="25" t="n">
        <v>0</v>
      </c>
      <c r="DC124" s="24" t="n"/>
      <c r="DD124" s="23" t="n"/>
      <c r="DE124" s="24" t="n"/>
      <c r="DF124" s="25" t="n">
        <v>0</v>
      </c>
      <c r="DG124" s="24" t="n"/>
      <c r="DH124" s="23" t="n"/>
      <c r="DI124" s="24" t="n"/>
      <c r="DJ124" s="25" t="n">
        <v>0</v>
      </c>
      <c r="DK124" s="24" t="n"/>
      <c r="DL124" s="23" t="n"/>
      <c r="DM124" s="24" t="n"/>
      <c r="DN124" s="25" t="n">
        <v>0</v>
      </c>
      <c r="DO124" s="24" t="n"/>
      <c r="DP124" s="340" t="n"/>
      <c r="DQ124" s="803">
        <f>SUMPRODUCT(--(MOD(COLUMN(BT124:CQ124),4)=MOD(COLUMN(BT124),4)),BT124:CQ124)+SUMPRODUCT(--(MOD(COLUMN(CR124:DO124),4)=MOD(COLUMN(CR124),4)),CR124:DO124)</f>
        <v/>
      </c>
      <c r="DR124" s="803">
        <f>SUMPRODUCT(--(MOD(COLUMN(BT124:CQ124),4)=MOD(COLUMN(BT124),4)),BT124:CQ124)*$I124+SUMPRODUCT(--(MOD(COLUMN(CR124:DO124),4)=MOD(COLUMN(CR124),4)),CR124:DO124)*$I124</f>
        <v/>
      </c>
      <c r="DS124" s="801" t="n"/>
      <c r="DT124" s="819" t="n"/>
      <c r="DU124" s="23" t="n"/>
      <c r="DV124" s="24" t="n"/>
      <c r="DW124" s="25" t="n">
        <v>0</v>
      </c>
      <c r="DX124" s="24" t="n"/>
      <c r="DY124" s="23" t="n"/>
      <c r="DZ124" s="24" t="n"/>
      <c r="EA124" s="25" t="n">
        <v>0</v>
      </c>
      <c r="EB124" s="24" t="n"/>
      <c r="EC124" s="23" t="n"/>
      <c r="ED124" s="24" t="n"/>
      <c r="EE124" s="25" t="n">
        <v>0</v>
      </c>
      <c r="EF124" s="24" t="n"/>
      <c r="EG124" s="23" t="n"/>
      <c r="EH124" s="24" t="n"/>
      <c r="EI124" s="25" t="n">
        <v>0</v>
      </c>
      <c r="EJ124" s="24" t="n"/>
      <c r="EK124" s="23" t="n"/>
      <c r="EL124" s="24" t="n"/>
      <c r="EM124" s="25" t="n">
        <v>0</v>
      </c>
      <c r="EN124" s="24" t="n"/>
      <c r="EO124" s="23" t="n"/>
      <c r="EP124" s="24" t="n"/>
      <c r="EQ124" s="25" t="n">
        <v>0</v>
      </c>
      <c r="ER124" s="24" t="n"/>
      <c r="ES124" s="23" t="n"/>
      <c r="ET124" s="24" t="n"/>
      <c r="EU124" s="25" t="n">
        <v>0</v>
      </c>
      <c r="EV124" s="24" t="n"/>
      <c r="EW124" s="23" t="n"/>
      <c r="EX124" s="24" t="n"/>
      <c r="EY124" s="25" t="n">
        <v>0</v>
      </c>
      <c r="EZ124" s="24" t="n"/>
      <c r="FA124" s="23" t="n"/>
      <c r="FB124" s="24" t="n"/>
      <c r="FC124" s="25" t="n">
        <v>0</v>
      </c>
      <c r="FD124" s="24" t="n"/>
      <c r="FE124" s="23" t="n"/>
      <c r="FF124" s="24" t="n"/>
      <c r="FG124" s="25" t="n">
        <v>0</v>
      </c>
      <c r="FH124" s="24" t="n"/>
      <c r="FI124" s="23" t="n"/>
      <c r="FJ124" s="24" t="n"/>
      <c r="FK124" s="25" t="n">
        <v>0</v>
      </c>
      <c r="FL124" s="24" t="n"/>
      <c r="FM124" s="23" t="n"/>
      <c r="FN124" s="24" t="n"/>
      <c r="FO124" s="25" t="n">
        <v>0</v>
      </c>
      <c r="FP124" s="24" t="n"/>
      <c r="FQ124" s="340" t="n"/>
      <c r="FR124" s="803">
        <f>SUMPRODUCT(--(MOD(COLUMN(DU124:ER124),4)=MOD(COLUMN(DU124),4)),DU124:ER124)+SUMPRODUCT(--(MOD(COLUMN(ES124:FP124),4)=MOD(COLUMN(ES124),4)),ES124:FP124)</f>
        <v/>
      </c>
      <c r="FS124" s="803">
        <f>SUMPRODUCT(--(MOD(COLUMN(DU124:ER124),4)=MOD(COLUMN(DU124),4)),DU124:ER124)*$I124+SUMPRODUCT(--(MOD(COLUMN(ES124:FP124),4)=MOD(COLUMN(ES124),4)),ES124:FP124)*$I124</f>
        <v/>
      </c>
      <c r="FT124" s="361" t="n"/>
    </row>
    <row r="125" outlineLevel="2">
      <c r="A125" s="56" t="inlineStr">
        <is>
          <t>ПАО «Уралавтоприцеп»</t>
        </is>
      </c>
      <c r="B125" s="387" t="inlineStr">
        <is>
          <t>Отсрочка 30 дней</t>
        </is>
      </c>
      <c r="C125" s="541" t="inlineStr">
        <is>
          <t>ВБК РУС</t>
        </is>
      </c>
      <c r="D125" s="565" t="inlineStr">
        <is>
          <t>Прасолов, Соловьёв</t>
        </is>
      </c>
      <c r="E125" s="10">
        <f>IF(ISBLANK(G125),"",IF($A$6:$A$330=$A125,COUNTIF($A$6:A125,$A125),""))</f>
        <v/>
      </c>
      <c r="F125" s="10" t="n">
        <v>2</v>
      </c>
      <c r="G125" s="55" t="n">
        <v>4334010030</v>
      </c>
      <c r="H125" s="54" t="inlineStr">
        <is>
          <t>Упругий элемент</t>
        </is>
      </c>
      <c r="I125" s="617">
        <f>J125/ЮАНЬ_2025_08_29</f>
        <v/>
      </c>
      <c r="J125" s="617">
        <f>935.33/НДС</f>
        <v/>
      </c>
      <c r="K125" s="872" t="inlineStr">
        <is>
          <t>RUB</t>
        </is>
      </c>
      <c r="L125" s="617">
        <f>IF(K125="RUB",J125/ЮАНЬ,IF(K125="EUR",J125*ЕВРО/ЮАНЬ,""))</f>
        <v/>
      </c>
      <c r="M125" s="873" t="n"/>
      <c r="N125" s="871">
        <f>IF(BP125&gt;0,1,IF(BN125&gt;0,2,))</f>
        <v/>
      </c>
      <c r="O125" s="23" t="n"/>
      <c r="P125" s="24">
        <f>2</f>
        <v/>
      </c>
      <c r="Q125" s="25" t="n">
        <v>2</v>
      </c>
      <c r="R125" s="24" t="n"/>
      <c r="S125" s="23" t="n"/>
      <c r="T125" s="24">
        <f>1+3+1</f>
        <v/>
      </c>
      <c r="U125" s="25" t="n">
        <v>5</v>
      </c>
      <c r="V125" s="24" t="n"/>
      <c r="W125" s="23" t="n"/>
      <c r="X125" s="24" t="n"/>
      <c r="Y125" s="25" t="n">
        <v>20</v>
      </c>
      <c r="Z125" s="24" t="n"/>
      <c r="AA125" s="23" t="n"/>
      <c r="AB125" s="24">
        <f>1</f>
        <v/>
      </c>
      <c r="AC125" s="25" t="n">
        <v>1</v>
      </c>
      <c r="AD125" s="24" t="n"/>
      <c r="AE125" s="23" t="n"/>
      <c r="AF125" s="24" t="n"/>
      <c r="AG125" s="25" t="n">
        <v>27</v>
      </c>
      <c r="AH125" s="24" t="n"/>
      <c r="AI125" s="23" t="n"/>
      <c r="AJ125" s="24" t="n"/>
      <c r="AK125" s="25" t="n">
        <v>0</v>
      </c>
      <c r="AL125" s="24" t="n"/>
      <c r="AM125" s="23" t="n"/>
      <c r="AN125" s="24" t="n"/>
      <c r="AO125" s="25" t="n">
        <v>0</v>
      </c>
      <c r="AP125" s="24" t="n"/>
      <c r="AQ125" s="23" t="n"/>
      <c r="AR125" s="24" t="n"/>
      <c r="AS125" s="25" t="n">
        <v>0</v>
      </c>
      <c r="AT125" s="24" t="n"/>
      <c r="AU125" s="23" t="n"/>
      <c r="AV125" s="24" t="n"/>
      <c r="AW125" s="25" t="n">
        <v>0</v>
      </c>
      <c r="AX125" s="24" t="n"/>
      <c r="AY125" s="23" t="n"/>
      <c r="AZ125" s="24" t="n"/>
      <c r="BA125" s="25" t="n">
        <v>0</v>
      </c>
      <c r="BB125" s="24" t="n"/>
      <c r="BC125" s="23" t="n"/>
      <c r="BD125" s="24" t="n"/>
      <c r="BE125" s="25" t="n">
        <v>0</v>
      </c>
      <c r="BF125" s="24" t="n"/>
      <c r="BG125" s="23" t="n"/>
      <c r="BH125" s="24" t="n"/>
      <c r="BI125" s="25" t="n">
        <v>0</v>
      </c>
      <c r="BJ125" s="24" t="n"/>
      <c r="BK125" s="340" t="n"/>
      <c r="BL125" s="803">
        <f>SUMPRODUCT(--(MOD(COLUMN($O125:$AL125),4)=MOD(COLUMN($O125)+0,4)),$O125:$AL125)
+SUMPRODUCT(--(MOD(COLUMN($AM125:$BJ125),4)=MOD(COLUMN($AM125)+0,4)),$AM125:$BJ125)</f>
        <v/>
      </c>
      <c r="BM125" s="803">
        <f>SUMPRODUCT(--(MOD(COLUMN($O125:$AL125),4)=MOD(COLUMN($O125)+0,4)),$O125:$AL125)*
$I125+SUMPRODUCT(--(MOD(COLUMN($AM125:$BJ125),4)=MOD(COLUMN($AM125)+0,4)),$AM125:$BJ125)*$I125</f>
        <v/>
      </c>
      <c r="BN125" s="805">
        <f>SUMPRODUCT(--(MOD(COLUMN($O125:$AL125),4)=MOD(COLUMN($O125)+1,4)),$O125:$AL125)
+SUMPRODUCT(--(MOD(COLUMN($AM125:$BJ125),4)=MOD(COLUMN($AM125)+1,4)),$AM125:$BJ125)</f>
        <v/>
      </c>
      <c r="BO125" s="806">
        <f>SUMPRODUCT(--(MOD(COLUMN($O125:$AL125),4)=MOD(COLUMN($O125)+1,4)),$O125:$AL125)*
$I125+SUMPRODUCT(--(MOD(COLUMN($AM125:$BJ125),4)=MOD(COLUMN($AM125)+1,4)),$AM125:$BJ125)*$I125</f>
        <v/>
      </c>
      <c r="BP125" s="807">
        <f>SUMPRODUCT(--(MOD(COLUMN($O125:$AL125),4)=MOD(COLUMN($O125)+2,4)),$O125:$AL125)
+SUMPRODUCT(--(MOD(COLUMN($AM125:$BJ125),4)=MOD(COLUMN($AM125)+2,4)),$AM125:$BJ125)</f>
        <v/>
      </c>
      <c r="BQ125" s="808">
        <f>SUMPRODUCT(--(MOD(COLUMN($O125:$AL125),4)=MOD(COLUMN($O125)+2,4)),$O125:$AL125)*
$I125+SUMPRODUCT(--(MOD(COLUMN($AM125:$BJ125),4)=MOD(COLUMN($AM125)+2,4)),$AM125:$BJ125)*$I125</f>
        <v/>
      </c>
      <c r="BR125" s="801" t="n"/>
      <c r="BS125" s="819" t="n"/>
      <c r="BT125" s="23" t="n"/>
      <c r="BU125" s="24" t="n"/>
      <c r="BV125" s="25" t="n">
        <v>0</v>
      </c>
      <c r="BW125" s="24" t="n"/>
      <c r="BX125" s="23" t="n"/>
      <c r="BY125" s="24" t="n"/>
      <c r="BZ125" s="25" t="n">
        <v>0</v>
      </c>
      <c r="CA125" s="24" t="n"/>
      <c r="CB125" s="23" t="n"/>
      <c r="CC125" s="24" t="n"/>
      <c r="CD125" s="25" t="n">
        <v>0</v>
      </c>
      <c r="CE125" s="24" t="n"/>
      <c r="CF125" s="23" t="n"/>
      <c r="CG125" s="24" t="n"/>
      <c r="CH125" s="25" t="n">
        <v>0</v>
      </c>
      <c r="CI125" s="24" t="n"/>
      <c r="CJ125" s="23" t="n"/>
      <c r="CK125" s="24" t="n"/>
      <c r="CL125" s="25" t="n">
        <v>0</v>
      </c>
      <c r="CM125" s="24" t="n"/>
      <c r="CN125" s="23" t="n"/>
      <c r="CO125" s="24" t="n"/>
      <c r="CP125" s="25" t="n">
        <v>0</v>
      </c>
      <c r="CQ125" s="24" t="n"/>
      <c r="CR125" s="23" t="n"/>
      <c r="CS125" s="24" t="n"/>
      <c r="CT125" s="25" t="n">
        <v>0</v>
      </c>
      <c r="CU125" s="24" t="n"/>
      <c r="CV125" s="23" t="n"/>
      <c r="CW125" s="24" t="n"/>
      <c r="CX125" s="25" t="n">
        <v>0</v>
      </c>
      <c r="CY125" s="24" t="n"/>
      <c r="CZ125" s="23" t="n"/>
      <c r="DA125" s="24" t="n"/>
      <c r="DB125" s="25" t="n">
        <v>0</v>
      </c>
      <c r="DC125" s="24" t="n"/>
      <c r="DD125" s="23" t="n"/>
      <c r="DE125" s="24" t="n"/>
      <c r="DF125" s="25" t="n">
        <v>0</v>
      </c>
      <c r="DG125" s="24" t="n"/>
      <c r="DH125" s="23" t="n"/>
      <c r="DI125" s="24" t="n"/>
      <c r="DJ125" s="25" t="n">
        <v>0</v>
      </c>
      <c r="DK125" s="24" t="n"/>
      <c r="DL125" s="23" t="n"/>
      <c r="DM125" s="24" t="n"/>
      <c r="DN125" s="25" t="n">
        <v>0</v>
      </c>
      <c r="DO125" s="24" t="n"/>
      <c r="DP125" s="340" t="n"/>
      <c r="DQ125" s="803">
        <f>SUMPRODUCT(--(MOD(COLUMN(BT125:CQ125),4)=MOD(COLUMN(BT125),4)),BT125:CQ125)+SUMPRODUCT(--(MOD(COLUMN(CR125:DO125),4)=MOD(COLUMN(CR125),4)),CR125:DO125)</f>
        <v/>
      </c>
      <c r="DR125" s="803">
        <f>SUMPRODUCT(--(MOD(COLUMN(BT125:CQ125),4)=MOD(COLUMN(BT125),4)),BT125:CQ125)*$I125+SUMPRODUCT(--(MOD(COLUMN(CR125:DO125),4)=MOD(COLUMN(CR125),4)),CR125:DO125)*$I125</f>
        <v/>
      </c>
      <c r="DS125" s="801" t="n"/>
      <c r="DT125" s="819" t="n"/>
      <c r="DU125" s="23" t="n"/>
      <c r="DV125" s="24" t="n"/>
      <c r="DW125" s="25" t="n">
        <v>0</v>
      </c>
      <c r="DX125" s="24" t="n"/>
      <c r="DY125" s="23" t="n"/>
      <c r="DZ125" s="24" t="n"/>
      <c r="EA125" s="25" t="n">
        <v>0</v>
      </c>
      <c r="EB125" s="24" t="n"/>
      <c r="EC125" s="23" t="n"/>
      <c r="ED125" s="24" t="n"/>
      <c r="EE125" s="25" t="n">
        <v>0</v>
      </c>
      <c r="EF125" s="24" t="n"/>
      <c r="EG125" s="23" t="n"/>
      <c r="EH125" s="24" t="n"/>
      <c r="EI125" s="25" t="n">
        <v>0</v>
      </c>
      <c r="EJ125" s="24" t="n"/>
      <c r="EK125" s="23" t="n"/>
      <c r="EL125" s="24" t="n"/>
      <c r="EM125" s="25" t="n">
        <v>0</v>
      </c>
      <c r="EN125" s="24" t="n"/>
      <c r="EO125" s="23" t="n"/>
      <c r="EP125" s="24" t="n"/>
      <c r="EQ125" s="25" t="n">
        <v>0</v>
      </c>
      <c r="ER125" s="24" t="n"/>
      <c r="ES125" s="23" t="n"/>
      <c r="ET125" s="24" t="n"/>
      <c r="EU125" s="25" t="n">
        <v>0</v>
      </c>
      <c r="EV125" s="24" t="n"/>
      <c r="EW125" s="23" t="n"/>
      <c r="EX125" s="24" t="n"/>
      <c r="EY125" s="25" t="n">
        <v>0</v>
      </c>
      <c r="EZ125" s="24" t="n"/>
      <c r="FA125" s="23" t="n"/>
      <c r="FB125" s="24" t="n"/>
      <c r="FC125" s="25" t="n">
        <v>0</v>
      </c>
      <c r="FD125" s="24" t="n"/>
      <c r="FE125" s="23" t="n"/>
      <c r="FF125" s="24" t="n"/>
      <c r="FG125" s="25" t="n">
        <v>0</v>
      </c>
      <c r="FH125" s="24" t="n"/>
      <c r="FI125" s="23" t="n"/>
      <c r="FJ125" s="24" t="n"/>
      <c r="FK125" s="25" t="n">
        <v>0</v>
      </c>
      <c r="FL125" s="24" t="n"/>
      <c r="FM125" s="23" t="n"/>
      <c r="FN125" s="24" t="n"/>
      <c r="FO125" s="25" t="n">
        <v>0</v>
      </c>
      <c r="FP125" s="24" t="n"/>
      <c r="FQ125" s="340" t="n"/>
      <c r="FR125" s="803">
        <f>SUMPRODUCT(--(MOD(COLUMN(DU125:ER125),4)=MOD(COLUMN(DU125),4)),DU125:ER125)+SUMPRODUCT(--(MOD(COLUMN(ES125:FP125),4)=MOD(COLUMN(ES125),4)),ES125:FP125)</f>
        <v/>
      </c>
      <c r="FS125" s="803">
        <f>SUMPRODUCT(--(MOD(COLUMN(DU125:ER125),4)=MOD(COLUMN(DU125),4)),DU125:ER125)*$I125+SUMPRODUCT(--(MOD(COLUMN(ES125:FP125),4)=MOD(COLUMN(ES125),4)),ES125:FP125)*$I125</f>
        <v/>
      </c>
      <c r="FT125" s="361" t="n"/>
    </row>
    <row r="126" outlineLevel="2">
      <c r="A126" s="411" t="inlineStr">
        <is>
          <t>ПАО «Уралавтоприцеп»</t>
        </is>
      </c>
      <c r="B126" s="448" t="inlineStr">
        <is>
          <t>Отсрочка 30 дней</t>
        </is>
      </c>
      <c r="C126" s="590" t="inlineStr">
        <is>
          <t>ВБК РУС</t>
        </is>
      </c>
      <c r="D126" s="589" t="inlineStr">
        <is>
          <t>Прасолов, Соловьёв</t>
        </is>
      </c>
      <c r="E126" s="412">
        <f>IF(ISBLANK(G126),"",IF($A$6:$A$330=$A126,COUNTIF($A$6:A126,$A126),""))</f>
        <v/>
      </c>
      <c r="F126" s="10" t="n">
        <v>2</v>
      </c>
      <c r="G126" s="55" t="n">
        <v>4497490300</v>
      </c>
      <c r="H126" s="54" t="inlineStr">
        <is>
          <t>Кабель-удлинитель датчика ABS, 3 м</t>
        </is>
      </c>
      <c r="I126" s="617">
        <f>J126/ЮАНЬ_2025_08_29</f>
        <v/>
      </c>
      <c r="J126" s="617">
        <f>915/НДС</f>
        <v/>
      </c>
      <c r="K126" s="872" t="inlineStr">
        <is>
          <t>RUB</t>
        </is>
      </c>
      <c r="L126" s="617">
        <f>IF(K126="RUB",J126/ЮАНЬ,IF(K126="EUR",J126*ЕВРО/ЮАНЬ,""))</f>
        <v/>
      </c>
      <c r="M126" s="873" t="n"/>
      <c r="N126" s="871">
        <f>IF(BP126&gt;0,1,IF(BN126&gt;0,2,))</f>
        <v/>
      </c>
      <c r="O126" s="23" t="n"/>
      <c r="P126" s="24">
        <f>4</f>
        <v/>
      </c>
      <c r="Q126" s="25" t="n">
        <v>4</v>
      </c>
      <c r="R126" s="24" t="n"/>
      <c r="S126" s="23" t="n"/>
      <c r="T126" s="24">
        <f>2</f>
        <v/>
      </c>
      <c r="U126" s="25" t="n">
        <v>2</v>
      </c>
      <c r="V126" s="24" t="n"/>
      <c r="W126" s="23" t="n"/>
      <c r="X126" s="24" t="n"/>
      <c r="Y126" s="25" t="n">
        <v>50</v>
      </c>
      <c r="Z126" s="24" t="n"/>
      <c r="AA126" s="23" t="n"/>
      <c r="AB126" s="24">
        <f>2</f>
        <v/>
      </c>
      <c r="AC126" s="25" t="n">
        <v>2</v>
      </c>
      <c r="AD126" s="24" t="n"/>
      <c r="AE126" s="23" t="n"/>
      <c r="AF126" s="24" t="n"/>
      <c r="AG126" s="25" t="n">
        <v>0</v>
      </c>
      <c r="AH126" s="24" t="n"/>
      <c r="AI126" s="23" t="n"/>
      <c r="AJ126" s="24" t="n"/>
      <c r="AK126" s="25" t="n">
        <v>0</v>
      </c>
      <c r="AL126" s="24" t="n"/>
      <c r="AM126" s="23" t="n"/>
      <c r="AN126" s="24" t="n"/>
      <c r="AO126" s="25" t="n">
        <v>0</v>
      </c>
      <c r="AP126" s="24" t="n"/>
      <c r="AQ126" s="23" t="n"/>
      <c r="AR126" s="24" t="n"/>
      <c r="AS126" s="25" t="n">
        <v>0</v>
      </c>
      <c r="AT126" s="24" t="n"/>
      <c r="AU126" s="23" t="n"/>
      <c r="AV126" s="24" t="n"/>
      <c r="AW126" s="25" t="n">
        <v>0</v>
      </c>
      <c r="AX126" s="24" t="n"/>
      <c r="AY126" s="23" t="n"/>
      <c r="AZ126" s="24" t="n"/>
      <c r="BA126" s="25" t="n">
        <v>0</v>
      </c>
      <c r="BB126" s="24" t="n"/>
      <c r="BC126" s="23" t="n"/>
      <c r="BD126" s="24" t="n"/>
      <c r="BE126" s="25" t="n">
        <v>0</v>
      </c>
      <c r="BF126" s="24" t="n"/>
      <c r="BG126" s="23" t="n"/>
      <c r="BH126" s="24" t="n"/>
      <c r="BI126" s="25" t="n">
        <v>0</v>
      </c>
      <c r="BJ126" s="24" t="n"/>
      <c r="BK126" s="340" t="n"/>
      <c r="BL126" s="803">
        <f>SUMPRODUCT(--(MOD(COLUMN($O126:$AL126),4)=MOD(COLUMN($O126)+0,4)),$O126:$AL126)
+SUMPRODUCT(--(MOD(COLUMN($AM126:$BJ126),4)=MOD(COLUMN($AM126)+0,4)),$AM126:$BJ126)</f>
        <v/>
      </c>
      <c r="BM126" s="803">
        <f>SUMPRODUCT(--(MOD(COLUMN($O126:$AL126),4)=MOD(COLUMN($O126)+0,4)),$O126:$AL126)*
$I126+SUMPRODUCT(--(MOD(COLUMN($AM126:$BJ126),4)=MOD(COLUMN($AM126)+0,4)),$AM126:$BJ126)*$I126</f>
        <v/>
      </c>
      <c r="BN126" s="805">
        <f>SUMPRODUCT(--(MOD(COLUMN($O126:$AL126),4)=MOD(COLUMN($O126)+1,4)),$O126:$AL126)
+SUMPRODUCT(--(MOD(COLUMN($AM126:$BJ126),4)=MOD(COLUMN($AM126)+1,4)),$AM126:$BJ126)</f>
        <v/>
      </c>
      <c r="BO126" s="806">
        <f>SUMPRODUCT(--(MOD(COLUMN($O126:$AL126),4)=MOD(COLUMN($O126)+1,4)),$O126:$AL126)*
$I126+SUMPRODUCT(--(MOD(COLUMN($AM126:$BJ126),4)=MOD(COLUMN($AM126)+1,4)),$AM126:$BJ126)*$I126</f>
        <v/>
      </c>
      <c r="BP126" s="807">
        <f>SUMPRODUCT(--(MOD(COLUMN($O126:$AL126),4)=MOD(COLUMN($O126)+2,4)),$O126:$AL126)
+SUMPRODUCT(--(MOD(COLUMN($AM126:$BJ126),4)=MOD(COLUMN($AM126)+2,4)),$AM126:$BJ126)</f>
        <v/>
      </c>
      <c r="BQ126" s="808">
        <f>SUMPRODUCT(--(MOD(COLUMN($O126:$AL126),4)=MOD(COLUMN($O126)+2,4)),$O126:$AL126)*
$I126+SUMPRODUCT(--(MOD(COLUMN($AM126:$BJ126),4)=MOD(COLUMN($AM126)+2,4)),$AM126:$BJ126)*$I126</f>
        <v/>
      </c>
      <c r="BR126" s="801" t="n"/>
      <c r="BS126" s="819" t="n"/>
      <c r="BT126" s="23" t="n"/>
      <c r="BU126" s="24" t="n"/>
      <c r="BV126" s="25" t="n">
        <v>0</v>
      </c>
      <c r="BW126" s="24" t="n"/>
      <c r="BX126" s="23" t="n"/>
      <c r="BY126" s="24" t="n"/>
      <c r="BZ126" s="25" t="n">
        <v>0</v>
      </c>
      <c r="CA126" s="24" t="n"/>
      <c r="CB126" s="23" t="n"/>
      <c r="CC126" s="24" t="n"/>
      <c r="CD126" s="25" t="n">
        <v>0</v>
      </c>
      <c r="CE126" s="24" t="n"/>
      <c r="CF126" s="23" t="n"/>
      <c r="CG126" s="24" t="n"/>
      <c r="CH126" s="25" t="n">
        <v>0</v>
      </c>
      <c r="CI126" s="24" t="n"/>
      <c r="CJ126" s="23" t="n"/>
      <c r="CK126" s="24" t="n"/>
      <c r="CL126" s="25" t="n">
        <v>0</v>
      </c>
      <c r="CM126" s="24" t="n"/>
      <c r="CN126" s="23" t="n"/>
      <c r="CO126" s="24" t="n"/>
      <c r="CP126" s="25" t="n">
        <v>0</v>
      </c>
      <c r="CQ126" s="24" t="n"/>
      <c r="CR126" s="23" t="n"/>
      <c r="CS126" s="24" t="n"/>
      <c r="CT126" s="25" t="n">
        <v>0</v>
      </c>
      <c r="CU126" s="24" t="n"/>
      <c r="CV126" s="23" t="n"/>
      <c r="CW126" s="24" t="n"/>
      <c r="CX126" s="25" t="n">
        <v>0</v>
      </c>
      <c r="CY126" s="24" t="n"/>
      <c r="CZ126" s="23" t="n"/>
      <c r="DA126" s="24" t="n"/>
      <c r="DB126" s="25" t="n">
        <v>0</v>
      </c>
      <c r="DC126" s="24" t="n"/>
      <c r="DD126" s="23" t="n"/>
      <c r="DE126" s="24" t="n"/>
      <c r="DF126" s="25" t="n">
        <v>0</v>
      </c>
      <c r="DG126" s="24" t="n"/>
      <c r="DH126" s="23" t="n"/>
      <c r="DI126" s="24" t="n"/>
      <c r="DJ126" s="25" t="n">
        <v>0</v>
      </c>
      <c r="DK126" s="24" t="n"/>
      <c r="DL126" s="23" t="n"/>
      <c r="DM126" s="24" t="n"/>
      <c r="DN126" s="25" t="n">
        <v>0</v>
      </c>
      <c r="DO126" s="24" t="n"/>
      <c r="DP126" s="340" t="n"/>
      <c r="DQ126" s="803">
        <f>SUMPRODUCT(--(MOD(COLUMN(BT126:CQ126),4)=MOD(COLUMN(BT126),4)),BT126:CQ126)+SUMPRODUCT(--(MOD(COLUMN(CR126:DO126),4)=MOD(COLUMN(CR126),4)),CR126:DO126)</f>
        <v/>
      </c>
      <c r="DR126" s="803">
        <f>SUMPRODUCT(--(MOD(COLUMN(BT126:CQ126),4)=MOD(COLUMN(BT126),4)),BT126:CQ126)*$I126+SUMPRODUCT(--(MOD(COLUMN(CR126:DO126),4)=MOD(COLUMN(CR126),4)),CR126:DO126)*$I126</f>
        <v/>
      </c>
      <c r="DS126" s="801" t="n"/>
      <c r="DT126" s="819" t="n"/>
      <c r="DU126" s="23" t="n"/>
      <c r="DV126" s="24" t="n"/>
      <c r="DW126" s="25" t="n">
        <v>0</v>
      </c>
      <c r="DX126" s="24" t="n"/>
      <c r="DY126" s="23" t="n"/>
      <c r="DZ126" s="24" t="n"/>
      <c r="EA126" s="25" t="n">
        <v>0</v>
      </c>
      <c r="EB126" s="24" t="n"/>
      <c r="EC126" s="23" t="n"/>
      <c r="ED126" s="24" t="n"/>
      <c r="EE126" s="25" t="n">
        <v>0</v>
      </c>
      <c r="EF126" s="24" t="n"/>
      <c r="EG126" s="23" t="n"/>
      <c r="EH126" s="24" t="n"/>
      <c r="EI126" s="25" t="n">
        <v>0</v>
      </c>
      <c r="EJ126" s="24" t="n"/>
      <c r="EK126" s="23" t="n"/>
      <c r="EL126" s="24" t="n"/>
      <c r="EM126" s="25" t="n">
        <v>0</v>
      </c>
      <c r="EN126" s="24" t="n"/>
      <c r="EO126" s="23" t="n"/>
      <c r="EP126" s="24" t="n"/>
      <c r="EQ126" s="25" t="n">
        <v>0</v>
      </c>
      <c r="ER126" s="24" t="n"/>
      <c r="ES126" s="23" t="n"/>
      <c r="ET126" s="24" t="n"/>
      <c r="EU126" s="25" t="n">
        <v>0</v>
      </c>
      <c r="EV126" s="24" t="n"/>
      <c r="EW126" s="23" t="n"/>
      <c r="EX126" s="24" t="n"/>
      <c r="EY126" s="25" t="n">
        <v>0</v>
      </c>
      <c r="EZ126" s="24" t="n"/>
      <c r="FA126" s="23" t="n"/>
      <c r="FB126" s="24" t="n"/>
      <c r="FC126" s="25" t="n">
        <v>0</v>
      </c>
      <c r="FD126" s="24" t="n"/>
      <c r="FE126" s="23" t="n"/>
      <c r="FF126" s="24" t="n"/>
      <c r="FG126" s="25" t="n">
        <v>0</v>
      </c>
      <c r="FH126" s="24" t="n"/>
      <c r="FI126" s="23" t="n"/>
      <c r="FJ126" s="24" t="n"/>
      <c r="FK126" s="25" t="n">
        <v>0</v>
      </c>
      <c r="FL126" s="24" t="n"/>
      <c r="FM126" s="23" t="n"/>
      <c r="FN126" s="24" t="n"/>
      <c r="FO126" s="25" t="n">
        <v>0</v>
      </c>
      <c r="FP126" s="24" t="n"/>
      <c r="FQ126" s="340" t="n"/>
      <c r="FR126" s="803">
        <f>SUMPRODUCT(--(MOD(COLUMN(DU126:ER126),4)=MOD(COLUMN(DU126),4)),DU126:ER126)+SUMPRODUCT(--(MOD(COLUMN(ES126:FP126),4)=MOD(COLUMN(ES126),4)),ES126:FP126)</f>
        <v/>
      </c>
      <c r="FS126" s="803">
        <f>SUMPRODUCT(--(MOD(COLUMN(DU126:ER126),4)=MOD(COLUMN(DU126),4)),DU126:ER126)*$I126+SUMPRODUCT(--(MOD(COLUMN(ES126:FP126),4)=MOD(COLUMN(ES126),4)),ES126:FP126)*$I126</f>
        <v/>
      </c>
      <c r="FT126" s="361" t="n"/>
    </row>
    <row r="127" outlineLevel="2">
      <c r="A127" s="413" t="inlineStr">
        <is>
          <t>ПАО «Уралавтоприцеп»</t>
        </is>
      </c>
      <c r="B127" s="444" t="inlineStr">
        <is>
          <t>Отсрочка 30 дней</t>
        </is>
      </c>
      <c r="C127" s="587" t="inlineStr">
        <is>
          <t>ВБК РУС</t>
        </is>
      </c>
      <c r="D127" s="580" t="inlineStr">
        <is>
          <t>Прасолов, Соловьёв</t>
        </is>
      </c>
      <c r="E127" s="414">
        <f>IF(ISBLANK(G127),"",IF($A$6:$A$330=$A127,COUNTIF($A$6:A127,$A127),""))</f>
        <v/>
      </c>
      <c r="F127" s="284" t="n">
        <v>1</v>
      </c>
      <c r="G127" s="304" t="n">
        <v>4497120000</v>
      </c>
      <c r="H127" s="602" t="inlineStr">
        <is>
          <t>Кабель-удлинитель датчика ABS, 3 м</t>
        </is>
      </c>
      <c r="I127" s="616">
        <f>J127/ЮАНЬ_2025_08_29</f>
        <v/>
      </c>
      <c r="J127" s="616">
        <f>915/НДС</f>
        <v/>
      </c>
      <c r="K127" s="870" t="inlineStr">
        <is>
          <t>RUB</t>
        </is>
      </c>
      <c r="L127" s="616">
        <f>IF(K127="RUB",J127/ЮАНЬ,IF(K127="EUR",J127*ЕВРО/ЮАНЬ,""))</f>
        <v/>
      </c>
      <c r="M127" s="871" t="n"/>
      <c r="N127" s="871">
        <f>IF(BP127&gt;0,1,IF(BN127&gt;0,2,))</f>
        <v/>
      </c>
      <c r="O127" s="322" t="n"/>
      <c r="P127" s="408" t="n"/>
      <c r="Q127" s="307" t="n"/>
      <c r="R127" s="408" t="n"/>
      <c r="S127" s="322" t="n"/>
      <c r="T127" s="408">
        <f>6+2</f>
        <v/>
      </c>
      <c r="U127" s="307" t="n">
        <v>8</v>
      </c>
      <c r="V127" s="408" t="n"/>
      <c r="W127" s="322" t="n"/>
      <c r="X127" s="408" t="n"/>
      <c r="Y127" s="307" t="n"/>
      <c r="Z127" s="408" t="n"/>
      <c r="AA127" s="322" t="n"/>
      <c r="AB127" s="408" t="n"/>
      <c r="AC127" s="307" t="n"/>
      <c r="AD127" s="408" t="n"/>
      <c r="AE127" s="322" t="n"/>
      <c r="AF127" s="408" t="n"/>
      <c r="AG127" s="307" t="n"/>
      <c r="AH127" s="408" t="n"/>
      <c r="AI127" s="322" t="n"/>
      <c r="AJ127" s="408" t="n"/>
      <c r="AK127" s="307" t="n"/>
      <c r="AL127" s="408" t="n"/>
      <c r="AM127" s="322" t="n"/>
      <c r="AN127" s="408" t="n"/>
      <c r="AO127" s="307" t="n"/>
      <c r="AP127" s="408" t="n"/>
      <c r="AQ127" s="322" t="n"/>
      <c r="AR127" s="408" t="n"/>
      <c r="AS127" s="307" t="n"/>
      <c r="AT127" s="408" t="n"/>
      <c r="AU127" s="322" t="n"/>
      <c r="AV127" s="408" t="n"/>
      <c r="AW127" s="307" t="n"/>
      <c r="AX127" s="408" t="n"/>
      <c r="AY127" s="322" t="n"/>
      <c r="AZ127" s="408" t="n"/>
      <c r="BA127" s="307" t="n"/>
      <c r="BB127" s="408" t="n"/>
      <c r="BC127" s="322" t="n"/>
      <c r="BD127" s="408" t="n"/>
      <c r="BE127" s="307" t="n"/>
      <c r="BF127" s="408" t="n"/>
      <c r="BG127" s="322" t="n"/>
      <c r="BH127" s="408" t="n"/>
      <c r="BI127" s="307" t="n"/>
      <c r="BJ127" s="408" t="n"/>
      <c r="BK127" s="340" t="n"/>
      <c r="BL127" s="820">
        <f>SUMPRODUCT(--(MOD(COLUMN($O127:$AL127),4)=MOD(COLUMN($O127)+0,4)),$O127:$AL127)
+SUMPRODUCT(--(MOD(COLUMN($AM127:$BJ127),4)=MOD(COLUMN($AM127)+0,4)),$AM127:$BJ127)</f>
        <v/>
      </c>
      <c r="BM127" s="820">
        <f>SUMPRODUCT(--(MOD(COLUMN($O127:$AL127),4)=MOD(COLUMN($O127)+0,4)),$O127:$AL127)*
$I127+SUMPRODUCT(--(MOD(COLUMN($AM127:$BJ127),4)=MOD(COLUMN($AM127)+0,4)),$AM127:$BJ127)*$I127</f>
        <v/>
      </c>
      <c r="BN127" s="822">
        <f>SUMPRODUCT(--(MOD(COLUMN($O127:$AL127),4)=MOD(COLUMN($O127)+1,4)),$O127:$AL127)
+SUMPRODUCT(--(MOD(COLUMN($AM127:$BJ127),4)=MOD(COLUMN($AM127)+1,4)),$AM127:$BJ127)</f>
        <v/>
      </c>
      <c r="BO127" s="823">
        <f>SUMPRODUCT(--(MOD(COLUMN($O127:$AL127),4)=MOD(COLUMN($O127)+1,4)),$O127:$AL127)*
$I127+SUMPRODUCT(--(MOD(COLUMN($AM127:$BJ127),4)=MOD(COLUMN($AM127)+1,4)),$AM127:$BJ127)*$I127</f>
        <v/>
      </c>
      <c r="BP127" s="824">
        <f>SUMPRODUCT(--(MOD(COLUMN($O127:$AL127),4)=MOD(COLUMN($O127)+2,4)),$O127:$AL127)
+SUMPRODUCT(--(MOD(COLUMN($AM127:$BJ127),4)=MOD(COLUMN($AM127)+2,4)),$AM127:$BJ127)</f>
        <v/>
      </c>
      <c r="BQ127" s="825">
        <f>SUMPRODUCT(--(MOD(COLUMN($O127:$AL127),4)=MOD(COLUMN($O127)+2,4)),$O127:$AL127)*
$I127+SUMPRODUCT(--(MOD(COLUMN($AM127:$BJ127),4)=MOD(COLUMN($AM127)+2,4)),$AM127:$BJ127)*$I127</f>
        <v/>
      </c>
      <c r="BR127" s="819" t="n"/>
      <c r="BS127" s="819" t="n"/>
      <c r="BT127" s="322" t="n"/>
      <c r="BU127" s="408" t="n"/>
      <c r="BV127" s="307" t="n"/>
      <c r="BW127" s="408" t="n"/>
      <c r="BX127" s="322" t="n"/>
      <c r="BY127" s="408" t="n"/>
      <c r="BZ127" s="307" t="n"/>
      <c r="CA127" s="408" t="n"/>
      <c r="CB127" s="322" t="n"/>
      <c r="CC127" s="408" t="n"/>
      <c r="CD127" s="307" t="n"/>
      <c r="CE127" s="408" t="n"/>
      <c r="CF127" s="322" t="n"/>
      <c r="CG127" s="408" t="n"/>
      <c r="CH127" s="307" t="n"/>
      <c r="CI127" s="408" t="n"/>
      <c r="CJ127" s="322" t="n"/>
      <c r="CK127" s="408" t="n"/>
      <c r="CL127" s="307" t="n"/>
      <c r="CM127" s="408" t="n"/>
      <c r="CN127" s="322" t="n"/>
      <c r="CO127" s="408" t="n"/>
      <c r="CP127" s="307" t="n"/>
      <c r="CQ127" s="408" t="n"/>
      <c r="CR127" s="322" t="n"/>
      <c r="CS127" s="408" t="n"/>
      <c r="CT127" s="307" t="n"/>
      <c r="CU127" s="408" t="n"/>
      <c r="CV127" s="322" t="n"/>
      <c r="CW127" s="408" t="n"/>
      <c r="CX127" s="307" t="n"/>
      <c r="CY127" s="408" t="n"/>
      <c r="CZ127" s="322" t="n"/>
      <c r="DA127" s="408" t="n"/>
      <c r="DB127" s="307" t="n"/>
      <c r="DC127" s="408" t="n"/>
      <c r="DD127" s="322" t="n"/>
      <c r="DE127" s="408" t="n"/>
      <c r="DF127" s="307" t="n"/>
      <c r="DG127" s="408" t="n"/>
      <c r="DH127" s="322" t="n"/>
      <c r="DI127" s="408" t="n"/>
      <c r="DJ127" s="307" t="n"/>
      <c r="DK127" s="408" t="n"/>
      <c r="DL127" s="322" t="n"/>
      <c r="DM127" s="408" t="n"/>
      <c r="DN127" s="307" t="n"/>
      <c r="DO127" s="408" t="n"/>
      <c r="DP127" s="340" t="n"/>
      <c r="DQ127" s="820" t="n"/>
      <c r="DR127" s="820" t="n"/>
      <c r="DS127" s="819" t="n"/>
      <c r="DT127" s="819" t="n"/>
      <c r="DU127" s="322" t="n"/>
      <c r="DV127" s="408" t="n"/>
      <c r="DW127" s="307" t="n"/>
      <c r="DX127" s="408" t="n"/>
      <c r="DY127" s="322" t="n"/>
      <c r="DZ127" s="408" t="n"/>
      <c r="EA127" s="307" t="n"/>
      <c r="EB127" s="408" t="n"/>
      <c r="EC127" s="322" t="n"/>
      <c r="ED127" s="408" t="n"/>
      <c r="EE127" s="307" t="n"/>
      <c r="EF127" s="408" t="n"/>
      <c r="EG127" s="322" t="n"/>
      <c r="EH127" s="408" t="n"/>
      <c r="EI127" s="307" t="n"/>
      <c r="EJ127" s="408" t="n"/>
      <c r="EK127" s="322" t="n"/>
      <c r="EL127" s="408" t="n"/>
      <c r="EM127" s="307" t="n"/>
      <c r="EN127" s="408" t="n"/>
      <c r="EO127" s="322" t="n"/>
      <c r="EP127" s="408" t="n"/>
      <c r="EQ127" s="307" t="n"/>
      <c r="ER127" s="408" t="n"/>
      <c r="ES127" s="322" t="n"/>
      <c r="ET127" s="408" t="n"/>
      <c r="EU127" s="307" t="n"/>
      <c r="EV127" s="408" t="n"/>
      <c r="EW127" s="322" t="n"/>
      <c r="EX127" s="408" t="n"/>
      <c r="EY127" s="307" t="n"/>
      <c r="EZ127" s="408" t="n"/>
      <c r="FA127" s="322" t="n"/>
      <c r="FB127" s="408" t="n"/>
      <c r="FC127" s="307" t="n"/>
      <c r="FD127" s="408" t="n"/>
      <c r="FE127" s="322" t="n"/>
      <c r="FF127" s="408" t="n"/>
      <c r="FG127" s="307" t="n"/>
      <c r="FH127" s="408" t="n"/>
      <c r="FI127" s="322" t="n"/>
      <c r="FJ127" s="408" t="n"/>
      <c r="FK127" s="307" t="n"/>
      <c r="FL127" s="408" t="n"/>
      <c r="FM127" s="322" t="n"/>
      <c r="FN127" s="408" t="n"/>
      <c r="FO127" s="307" t="n"/>
      <c r="FP127" s="408" t="n"/>
      <c r="FQ127" s="340" t="n"/>
      <c r="FR127" s="820" t="n"/>
      <c r="FS127" s="820" t="n"/>
      <c r="FT127" s="361" t="n"/>
    </row>
    <row r="128" outlineLevel="2">
      <c r="A128" s="375" t="inlineStr">
        <is>
          <t>ПАО «Уралавтоприцеп»</t>
        </is>
      </c>
      <c r="B128" s="389" t="inlineStr">
        <is>
          <t>Отсрочка 30 дней</t>
        </is>
      </c>
      <c r="C128" s="432" t="inlineStr">
        <is>
          <t>ВБК РУС</t>
        </is>
      </c>
      <c r="D128" s="575" t="inlineStr">
        <is>
          <t>Прасолов, Соловьёв</t>
        </is>
      </c>
      <c r="E128" s="284">
        <f>IF(ISBLANK(G128),"",IF($A$6:$A$330=$A128,COUNTIF($A$6:A128,$A128),""))</f>
        <v/>
      </c>
      <c r="F128" s="284" t="n">
        <v>1</v>
      </c>
      <c r="G128" s="304" t="n">
        <v>4494430600</v>
      </c>
      <c r="H128" s="602" t="inlineStr">
        <is>
          <t>Кабель клапана управления подъемом оси, 6 м</t>
        </is>
      </c>
      <c r="I128" s="616">
        <f>204.2/НДС</f>
        <v/>
      </c>
      <c r="J128" s="616" t="n"/>
      <c r="K128" s="870" t="n"/>
      <c r="L128" s="616" t="n"/>
      <c r="M128" s="871" t="n"/>
      <c r="N128" s="871">
        <f>IF(BP128&gt;0,1,IF(BN128&gt;0,2,))</f>
        <v/>
      </c>
      <c r="O128" s="322" t="n"/>
      <c r="P128" s="408" t="n"/>
      <c r="Q128" s="307" t="n"/>
      <c r="R128" s="408" t="n"/>
      <c r="S128" s="322" t="n"/>
      <c r="T128" s="408" t="n"/>
      <c r="U128" s="307" t="n">
        <v>5</v>
      </c>
      <c r="V128" s="408" t="n"/>
      <c r="W128" s="322" t="n"/>
      <c r="X128" s="408" t="n"/>
      <c r="Y128" s="307" t="n"/>
      <c r="Z128" s="408" t="n"/>
      <c r="AA128" s="322" t="n"/>
      <c r="AB128" s="408">
        <f>1</f>
        <v/>
      </c>
      <c r="AC128" s="307" t="n">
        <v>1</v>
      </c>
      <c r="AD128" s="408" t="n"/>
      <c r="AE128" s="322" t="n"/>
      <c r="AF128" s="408" t="n"/>
      <c r="AG128" s="307" t="n"/>
      <c r="AH128" s="408" t="n"/>
      <c r="AI128" s="322" t="n"/>
      <c r="AJ128" s="408" t="n"/>
      <c r="AK128" s="307" t="n"/>
      <c r="AL128" s="408" t="n"/>
      <c r="AM128" s="322" t="n"/>
      <c r="AN128" s="408" t="n"/>
      <c r="AO128" s="307" t="n"/>
      <c r="AP128" s="408" t="n"/>
      <c r="AQ128" s="322" t="n"/>
      <c r="AR128" s="408" t="n"/>
      <c r="AS128" s="307" t="n"/>
      <c r="AT128" s="408" t="n"/>
      <c r="AU128" s="322" t="n"/>
      <c r="AV128" s="408" t="n"/>
      <c r="AW128" s="307" t="n"/>
      <c r="AX128" s="408" t="n"/>
      <c r="AY128" s="322" t="n"/>
      <c r="AZ128" s="408" t="n"/>
      <c r="BA128" s="307" t="n"/>
      <c r="BB128" s="408" t="n"/>
      <c r="BC128" s="322" t="n"/>
      <c r="BD128" s="408" t="n"/>
      <c r="BE128" s="307" t="n"/>
      <c r="BF128" s="408" t="n"/>
      <c r="BG128" s="322" t="n"/>
      <c r="BH128" s="408" t="n"/>
      <c r="BI128" s="307" t="n"/>
      <c r="BJ128" s="408" t="n"/>
      <c r="BK128" s="340" t="n"/>
      <c r="BL128" s="820">
        <f>SUMPRODUCT(--(MOD(COLUMN($O128:$AL128),4)=MOD(COLUMN($O128)+0,4)),$O128:$AL128)
+SUMPRODUCT(--(MOD(COLUMN($AM128:$BJ128),4)=MOD(COLUMN($AM128)+0,4)),$AM128:$BJ128)</f>
        <v/>
      </c>
      <c r="BM128" s="820">
        <f>SUMPRODUCT(--(MOD(COLUMN($O128:$AL128),4)=MOD(COLUMN($O128)+0,4)),$O128:$AL128)*
$I128+SUMPRODUCT(--(MOD(COLUMN($AM128:$BJ128),4)=MOD(COLUMN($AM128)+0,4)),$AM128:$BJ128)*$I128</f>
        <v/>
      </c>
      <c r="BN128" s="822">
        <f>SUMPRODUCT(--(MOD(COLUMN($O128:$AL128),4)=MOD(COLUMN($O128)+1,4)),$O128:$AL128)
+SUMPRODUCT(--(MOD(COLUMN($AM128:$BJ128),4)=MOD(COLUMN($AM128)+1,4)),$AM128:$BJ128)</f>
        <v/>
      </c>
      <c r="BO128" s="823">
        <f>SUMPRODUCT(--(MOD(COLUMN($O128:$AL128),4)=MOD(COLUMN($O128)+1,4)),$O128:$AL128)*
$I128+SUMPRODUCT(--(MOD(COLUMN($AM128:$BJ128),4)=MOD(COLUMN($AM128)+1,4)),$AM128:$BJ128)*$I128</f>
        <v/>
      </c>
      <c r="BP128" s="824">
        <f>SUMPRODUCT(--(MOD(COLUMN($O128:$AL128),4)=MOD(COLUMN($O128)+2,4)),$O128:$AL128)
+SUMPRODUCT(--(MOD(COLUMN($AM128:$BJ128),4)=MOD(COLUMN($AM128)+2,4)),$AM128:$BJ128)</f>
        <v/>
      </c>
      <c r="BQ128" s="825">
        <f>SUMPRODUCT(--(MOD(COLUMN($O128:$AL128),4)=MOD(COLUMN($O128)+2,4)),$O128:$AL128)*
$I128+SUMPRODUCT(--(MOD(COLUMN($AM128:$BJ128),4)=MOD(COLUMN($AM128)+2,4)),$AM128:$BJ128)*$I128</f>
        <v/>
      </c>
      <c r="BR128" s="819" t="n"/>
      <c r="BS128" s="819" t="n"/>
      <c r="BT128" s="322" t="n"/>
      <c r="BU128" s="408" t="n"/>
      <c r="BV128" s="307" t="n"/>
      <c r="BW128" s="408" t="n"/>
      <c r="BX128" s="322" t="n"/>
      <c r="BY128" s="408" t="n"/>
      <c r="BZ128" s="307" t="n"/>
      <c r="CA128" s="408" t="n"/>
      <c r="CB128" s="322" t="n"/>
      <c r="CC128" s="408" t="n"/>
      <c r="CD128" s="307" t="n"/>
      <c r="CE128" s="408" t="n"/>
      <c r="CF128" s="322" t="n"/>
      <c r="CG128" s="408" t="n"/>
      <c r="CH128" s="307" t="n"/>
      <c r="CI128" s="408" t="n"/>
      <c r="CJ128" s="322" t="n"/>
      <c r="CK128" s="408" t="n"/>
      <c r="CL128" s="307" t="n"/>
      <c r="CM128" s="408" t="n"/>
      <c r="CN128" s="322" t="n"/>
      <c r="CO128" s="408" t="n"/>
      <c r="CP128" s="307" t="n"/>
      <c r="CQ128" s="408" t="n"/>
      <c r="CR128" s="322" t="n"/>
      <c r="CS128" s="408" t="n"/>
      <c r="CT128" s="307" t="n"/>
      <c r="CU128" s="408" t="n"/>
      <c r="CV128" s="322" t="n"/>
      <c r="CW128" s="408" t="n"/>
      <c r="CX128" s="307" t="n"/>
      <c r="CY128" s="408" t="n"/>
      <c r="CZ128" s="322" t="n"/>
      <c r="DA128" s="408" t="n"/>
      <c r="DB128" s="307" t="n"/>
      <c r="DC128" s="408" t="n"/>
      <c r="DD128" s="322" t="n"/>
      <c r="DE128" s="408" t="n"/>
      <c r="DF128" s="307" t="n"/>
      <c r="DG128" s="408" t="n"/>
      <c r="DH128" s="322" t="n"/>
      <c r="DI128" s="408" t="n"/>
      <c r="DJ128" s="307" t="n"/>
      <c r="DK128" s="408" t="n"/>
      <c r="DL128" s="322" t="n"/>
      <c r="DM128" s="408" t="n"/>
      <c r="DN128" s="307" t="n"/>
      <c r="DO128" s="408" t="n"/>
      <c r="DP128" s="340" t="n"/>
      <c r="DQ128" s="820" t="n"/>
      <c r="DR128" s="820" t="n"/>
      <c r="DS128" s="819" t="n"/>
      <c r="DT128" s="819" t="n"/>
      <c r="DU128" s="322" t="n"/>
      <c r="DV128" s="408" t="n"/>
      <c r="DW128" s="307" t="n"/>
      <c r="DX128" s="408" t="n"/>
      <c r="DY128" s="322" t="n"/>
      <c r="DZ128" s="408" t="n"/>
      <c r="EA128" s="307" t="n"/>
      <c r="EB128" s="408" t="n"/>
      <c r="EC128" s="322" t="n"/>
      <c r="ED128" s="408" t="n"/>
      <c r="EE128" s="307" t="n"/>
      <c r="EF128" s="408" t="n"/>
      <c r="EG128" s="322" t="n"/>
      <c r="EH128" s="408" t="n"/>
      <c r="EI128" s="307" t="n"/>
      <c r="EJ128" s="408" t="n"/>
      <c r="EK128" s="322" t="n"/>
      <c r="EL128" s="408" t="n"/>
      <c r="EM128" s="307" t="n"/>
      <c r="EN128" s="408" t="n"/>
      <c r="EO128" s="322" t="n"/>
      <c r="EP128" s="408" t="n"/>
      <c r="EQ128" s="307" t="n"/>
      <c r="ER128" s="408" t="n"/>
      <c r="ES128" s="322" t="n"/>
      <c r="ET128" s="408" t="n"/>
      <c r="EU128" s="307" t="n"/>
      <c r="EV128" s="408" t="n"/>
      <c r="EW128" s="322" t="n"/>
      <c r="EX128" s="408" t="n"/>
      <c r="EY128" s="307" t="n"/>
      <c r="EZ128" s="408" t="n"/>
      <c r="FA128" s="322" t="n"/>
      <c r="FB128" s="408" t="n"/>
      <c r="FC128" s="307" t="n"/>
      <c r="FD128" s="408" t="n"/>
      <c r="FE128" s="322" t="n"/>
      <c r="FF128" s="408" t="n"/>
      <c r="FG128" s="307" t="n"/>
      <c r="FH128" s="408" t="n"/>
      <c r="FI128" s="322" t="n"/>
      <c r="FJ128" s="408" t="n"/>
      <c r="FK128" s="307" t="n"/>
      <c r="FL128" s="408" t="n"/>
      <c r="FM128" s="322" t="n"/>
      <c r="FN128" s="408" t="n"/>
      <c r="FO128" s="307" t="n"/>
      <c r="FP128" s="408" t="n"/>
      <c r="FQ128" s="340" t="n"/>
      <c r="FR128" s="820" t="n"/>
      <c r="FS128" s="820" t="n"/>
      <c r="FT128" s="361" t="n"/>
    </row>
    <row r="129" outlineLevel="2" customFormat="1" s="574">
      <c r="A129" s="589" t="inlineStr">
        <is>
          <t>ПАО «Уралавтоприцеп»</t>
        </is>
      </c>
      <c r="B129" s="589" t="inlineStr">
        <is>
          <t>Отсрочка 30 дней</t>
        </is>
      </c>
      <c r="C129" s="590" t="inlineStr">
        <is>
          <t>ВБК РУС</t>
        </is>
      </c>
      <c r="D129" s="589" t="inlineStr">
        <is>
          <t>Прасолов, Соловьёв</t>
        </is>
      </c>
      <c r="E129" s="584">
        <f>IF(ISBLANK(G129),"",IF($A$6:$A$330=$A129,COUNTIF($A$6:A129,$A129),""))</f>
        <v/>
      </c>
      <c r="F129" s="566" t="inlineStr">
        <is>
          <t>S</t>
        </is>
      </c>
      <c r="G129" s="591" t="inlineStr">
        <is>
          <t>4006061140К3</t>
        </is>
      </c>
      <c r="H129" s="609" t="inlineStr">
        <is>
          <t>Комплект "ABS 2S/2M базовый W"</t>
        </is>
      </c>
      <c r="I129" s="621">
        <f>5032.5/НДС</f>
        <v/>
      </c>
      <c r="J129" s="618" t="n"/>
      <c r="K129" s="874" t="n"/>
      <c r="L129" s="618">
        <f>IF(K129="RUB",J129/ЮАНЬ,IF(K129="EUR",J129*ЕВРО/ЮАНЬ,""))</f>
        <v/>
      </c>
      <c r="M129" s="875" t="n"/>
      <c r="N129" s="813">
        <f>IF(BP129&gt;0,1,IF(BN129&gt;0,2,))</f>
        <v/>
      </c>
      <c r="O129" s="569" t="n">
        <v>30</v>
      </c>
      <c r="P129" s="570" t="n"/>
      <c r="Q129" s="571" t="n">
        <v>0</v>
      </c>
      <c r="R129" s="570" t="n"/>
      <c r="S129" s="569" t="n">
        <v>30</v>
      </c>
      <c r="T129" s="570" t="n"/>
      <c r="U129" s="571" t="n">
        <v>0</v>
      </c>
      <c r="V129" s="570" t="n"/>
      <c r="W129" s="569" t="n">
        <v>30</v>
      </c>
      <c r="X129" s="570" t="n"/>
      <c r="Y129" s="571" t="n">
        <v>0</v>
      </c>
      <c r="Z129" s="570" t="n"/>
      <c r="AA129" s="569" t="n">
        <v>15</v>
      </c>
      <c r="AB129" s="570" t="n"/>
      <c r="AC129" s="571" t="n">
        <v>0</v>
      </c>
      <c r="AD129" s="570" t="n"/>
      <c r="AE129" s="569" t="n">
        <v>15</v>
      </c>
      <c r="AF129" s="570" t="n"/>
      <c r="AG129" s="571" t="n">
        <v>0</v>
      </c>
      <c r="AH129" s="570" t="n"/>
      <c r="AI129" s="569" t="n">
        <v>15</v>
      </c>
      <c r="AJ129" s="570" t="n"/>
      <c r="AK129" s="571" t="n">
        <v>0</v>
      </c>
      <c r="AL129" s="570" t="n"/>
      <c r="AM129" s="569" t="n">
        <v>15</v>
      </c>
      <c r="AN129" s="570" t="n"/>
      <c r="AO129" s="571" t="n">
        <v>0</v>
      </c>
      <c r="AP129" s="570" t="n"/>
      <c r="AQ129" s="569" t="n">
        <v>15</v>
      </c>
      <c r="AR129" s="570" t="n"/>
      <c r="AS129" s="571" t="n">
        <v>0</v>
      </c>
      <c r="AT129" s="570" t="n"/>
      <c r="AU129" s="569" t="n">
        <v>15</v>
      </c>
      <c r="AV129" s="570" t="n"/>
      <c r="AW129" s="571" t="n">
        <v>0</v>
      </c>
      <c r="AX129" s="570" t="n"/>
      <c r="AY129" s="569" t="n">
        <v>15</v>
      </c>
      <c r="AZ129" s="570" t="n"/>
      <c r="BA129" s="571" t="n">
        <v>0</v>
      </c>
      <c r="BB129" s="570" t="n"/>
      <c r="BC129" s="569" t="n">
        <v>15</v>
      </c>
      <c r="BD129" s="570" t="n"/>
      <c r="BE129" s="571" t="n">
        <v>0</v>
      </c>
      <c r="BF129" s="570" t="n"/>
      <c r="BG129" s="569" t="n">
        <v>15</v>
      </c>
      <c r="BH129" s="570" t="n"/>
      <c r="BI129" s="571" t="n">
        <v>0</v>
      </c>
      <c r="BJ129" s="570" t="n"/>
      <c r="BK129" s="572" t="n"/>
      <c r="BL129" s="803">
        <f>SUMPRODUCT(--(MOD(COLUMN($O129:$AL129),4)=MOD(COLUMN($O129)+0,4)),$O129:$AL129)
+SUMPRODUCT(--(MOD(COLUMN($AM129:$BJ129),4)=MOD(COLUMN($AM129)+0,4)),$AM129:$BJ129)</f>
        <v/>
      </c>
      <c r="BM129" s="803">
        <f>SUMPRODUCT(--(MOD(COLUMN($O129:$AL129),4)=MOD(COLUMN($O129)+0,4)),$O129:$AL129)*
$I129+SUMPRODUCT(--(MOD(COLUMN($AM129:$BJ129),4)=MOD(COLUMN($AM129)+0,4)),$AM129:$BJ129)*$I129</f>
        <v/>
      </c>
      <c r="BN129" s="805">
        <f>SUMPRODUCT(--(MOD(COLUMN($O129:$AL129),4)=MOD(COLUMN($O129)+1,4)),$O129:$AL129)
+SUMPRODUCT(--(MOD(COLUMN($AM129:$BJ129),4)=MOD(COLUMN($AM129)+1,4)),$AM129:$BJ129)</f>
        <v/>
      </c>
      <c r="BO129" s="806">
        <f>SUMPRODUCT(--(MOD(COLUMN($O129:$AL129),4)=MOD(COLUMN($O129)+1,4)),$O129:$AL129)*
$I129+SUMPRODUCT(--(MOD(COLUMN($AM129:$BJ129),4)=MOD(COLUMN($AM129)+1,4)),$AM129:$BJ129)*$I129</f>
        <v/>
      </c>
      <c r="BP129" s="807">
        <f>SUMPRODUCT(--(MOD(COLUMN($O129:$AL129),4)=MOD(COLUMN($O129)+2,4)),$O129:$AL129)
+SUMPRODUCT(--(MOD(COLUMN($AM129:$BJ129),4)=MOD(COLUMN($AM129)+2,4)),$AM129:$BJ129)</f>
        <v/>
      </c>
      <c r="BQ129" s="808">
        <f>SUMPRODUCT(--(MOD(COLUMN($O129:$AL129),4)=MOD(COLUMN($O129)+2,4)),$O129:$AL129)*
$I129+SUMPRODUCT(--(MOD(COLUMN($AM129:$BJ129),4)=MOD(COLUMN($AM129)+2,4)),$AM129:$BJ129)*$I129</f>
        <v/>
      </c>
      <c r="BR129" s="801" t="n"/>
      <c r="BS129" s="819" t="n"/>
      <c r="BT129" s="569" t="n">
        <v>30</v>
      </c>
      <c r="BU129" s="570" t="n"/>
      <c r="BV129" s="571" t="n">
        <v>0</v>
      </c>
      <c r="BW129" s="570" t="n"/>
      <c r="BX129" s="569" t="n">
        <v>30</v>
      </c>
      <c r="BY129" s="570" t="n"/>
      <c r="BZ129" s="571" t="n">
        <v>0</v>
      </c>
      <c r="CA129" s="570" t="n"/>
      <c r="CB129" s="569" t="n">
        <v>30</v>
      </c>
      <c r="CC129" s="570" t="n"/>
      <c r="CD129" s="571" t="n">
        <v>0</v>
      </c>
      <c r="CE129" s="570" t="n"/>
      <c r="CF129" s="569" t="n">
        <v>30</v>
      </c>
      <c r="CG129" s="570" t="n"/>
      <c r="CH129" s="571" t="n">
        <v>0</v>
      </c>
      <c r="CI129" s="570" t="n"/>
      <c r="CJ129" s="569" t="n">
        <v>30</v>
      </c>
      <c r="CK129" s="570" t="n"/>
      <c r="CL129" s="571" t="n">
        <v>0</v>
      </c>
      <c r="CM129" s="570" t="n"/>
      <c r="CN129" s="569" t="n">
        <v>30</v>
      </c>
      <c r="CO129" s="570" t="n"/>
      <c r="CP129" s="571" t="n">
        <v>0</v>
      </c>
      <c r="CQ129" s="570" t="n"/>
      <c r="CR129" s="569" t="n">
        <v>30</v>
      </c>
      <c r="CS129" s="570" t="n"/>
      <c r="CT129" s="571" t="n">
        <v>0</v>
      </c>
      <c r="CU129" s="570" t="n"/>
      <c r="CV129" s="569" t="n">
        <v>30</v>
      </c>
      <c r="CW129" s="570" t="n"/>
      <c r="CX129" s="571" t="n">
        <v>0</v>
      </c>
      <c r="CY129" s="570" t="n"/>
      <c r="CZ129" s="569" t="n">
        <v>30</v>
      </c>
      <c r="DA129" s="570" t="n"/>
      <c r="DB129" s="571" t="n">
        <v>0</v>
      </c>
      <c r="DC129" s="570" t="n"/>
      <c r="DD129" s="569" t="n">
        <v>30</v>
      </c>
      <c r="DE129" s="570" t="n"/>
      <c r="DF129" s="571" t="n">
        <v>0</v>
      </c>
      <c r="DG129" s="570" t="n"/>
      <c r="DH129" s="569" t="n">
        <v>30</v>
      </c>
      <c r="DI129" s="570" t="n"/>
      <c r="DJ129" s="571" t="n">
        <v>0</v>
      </c>
      <c r="DK129" s="570" t="n"/>
      <c r="DL129" s="569" t="n">
        <v>30</v>
      </c>
      <c r="DM129" s="570" t="n"/>
      <c r="DN129" s="571" t="n">
        <v>0</v>
      </c>
      <c r="DO129" s="570" t="n"/>
      <c r="DP129" s="572" t="n"/>
      <c r="DQ129" s="803">
        <f>SUMPRODUCT(--(MOD(COLUMN(BT129:CQ129),4)=MOD(COLUMN(BT129),4)),BT129:CQ129)+SUMPRODUCT(--(MOD(COLUMN(CR129:DO129),4)=MOD(COLUMN(CR129),4)),CR129:DO129)</f>
        <v/>
      </c>
      <c r="DR129" s="803">
        <f>SUMPRODUCT(--(MOD(COLUMN(BT129:CQ129),4)=MOD(COLUMN(BT129),4)),BT129:CQ129)*$I129+SUMPRODUCT(--(MOD(COLUMN(CR129:DO129),4)=MOD(COLUMN(CR129),4)),CR129:DO129)*$I129</f>
        <v/>
      </c>
      <c r="DS129" s="801" t="n"/>
      <c r="DT129" s="819" t="n"/>
      <c r="DU129" s="569" t="n">
        <v>40</v>
      </c>
      <c r="DV129" s="570" t="n"/>
      <c r="DW129" s="571" t="n">
        <v>0</v>
      </c>
      <c r="DX129" s="570" t="n"/>
      <c r="DY129" s="569" t="n">
        <v>40</v>
      </c>
      <c r="DZ129" s="570" t="n"/>
      <c r="EA129" s="571" t="n">
        <v>0</v>
      </c>
      <c r="EB129" s="570" t="n"/>
      <c r="EC129" s="569" t="n">
        <v>40</v>
      </c>
      <c r="ED129" s="570" t="n"/>
      <c r="EE129" s="571" t="n">
        <v>0</v>
      </c>
      <c r="EF129" s="570" t="n"/>
      <c r="EG129" s="569" t="n">
        <v>40</v>
      </c>
      <c r="EH129" s="570" t="n"/>
      <c r="EI129" s="571" t="n">
        <v>0</v>
      </c>
      <c r="EJ129" s="570" t="n"/>
      <c r="EK129" s="569" t="n">
        <v>40</v>
      </c>
      <c r="EL129" s="570" t="n"/>
      <c r="EM129" s="571" t="n">
        <v>0</v>
      </c>
      <c r="EN129" s="570" t="n"/>
      <c r="EO129" s="569" t="n">
        <v>40</v>
      </c>
      <c r="EP129" s="570" t="n"/>
      <c r="EQ129" s="571" t="n">
        <v>0</v>
      </c>
      <c r="ER129" s="570" t="n"/>
      <c r="ES129" s="569" t="n">
        <v>40</v>
      </c>
      <c r="ET129" s="570" t="n"/>
      <c r="EU129" s="571" t="n">
        <v>0</v>
      </c>
      <c r="EV129" s="570" t="n"/>
      <c r="EW129" s="569" t="n">
        <v>40</v>
      </c>
      <c r="EX129" s="570" t="n"/>
      <c r="EY129" s="571" t="n">
        <v>0</v>
      </c>
      <c r="EZ129" s="570" t="n"/>
      <c r="FA129" s="569" t="n">
        <v>40</v>
      </c>
      <c r="FB129" s="570" t="n"/>
      <c r="FC129" s="571" t="n">
        <v>0</v>
      </c>
      <c r="FD129" s="570" t="n"/>
      <c r="FE129" s="569" t="n">
        <v>40</v>
      </c>
      <c r="FF129" s="570" t="n"/>
      <c r="FG129" s="571" t="n">
        <v>0</v>
      </c>
      <c r="FH129" s="570" t="n"/>
      <c r="FI129" s="569" t="n">
        <v>40</v>
      </c>
      <c r="FJ129" s="570" t="n"/>
      <c r="FK129" s="571" t="n">
        <v>0</v>
      </c>
      <c r="FL129" s="570" t="n"/>
      <c r="FM129" s="569" t="n">
        <v>40</v>
      </c>
      <c r="FN129" s="570" t="n"/>
      <c r="FO129" s="571" t="n">
        <v>0</v>
      </c>
      <c r="FP129" s="570" t="n"/>
      <c r="FQ129" s="572" t="n"/>
      <c r="FR129" s="803">
        <f>SUMPRODUCT(--(MOD(COLUMN(DU129:ER129),4)=MOD(COLUMN(DU129),4)),DU129:ER129)+SUMPRODUCT(--(MOD(COLUMN(ES129:FP129),4)=MOD(COLUMN(ES129),4)),ES129:FP129)</f>
        <v/>
      </c>
      <c r="FS129" s="803">
        <f>SUMPRODUCT(--(MOD(COLUMN(DU129:ER129),4)=MOD(COLUMN(DU129),4)),DU129:ER129)*$I129+SUMPRODUCT(--(MOD(COLUMN(ES129:FP129),4)=MOD(COLUMN(ES129),4)),ES129:FP129)*$I129</f>
        <v/>
      </c>
      <c r="FT129" s="573" t="n"/>
    </row>
    <row r="130" outlineLevel="2" customFormat="1" s="574">
      <c r="A130" s="580" t="inlineStr">
        <is>
          <t>ПАО «Уралавтоприцеп»</t>
        </is>
      </c>
      <c r="B130" s="580" t="inlineStr">
        <is>
          <t>Отсрочка 30 дней</t>
        </is>
      </c>
      <c r="C130" s="587" t="inlineStr">
        <is>
          <t>ВБК РУС</t>
        </is>
      </c>
      <c r="D130" s="580" t="inlineStr">
        <is>
          <t>Прасолов, Соловьёв</t>
        </is>
      </c>
      <c r="E130" s="588">
        <f>IF(ISBLANK(G130),"",IF($A$6:$A$330=$A130,COUNTIF($A$6:A130,$A130),""))</f>
        <v/>
      </c>
      <c r="F130" s="671" t="inlineStr">
        <is>
          <t>S</t>
        </is>
      </c>
      <c r="G130" s="331" t="n">
        <v>4441000120</v>
      </c>
      <c r="H130" s="606" t="inlineStr">
        <is>
          <t>Комплект базовый "ABS W 2S/2M (15 м)"</t>
        </is>
      </c>
      <c r="I130" s="621">
        <f>5032.5/НДС</f>
        <v/>
      </c>
      <c r="J130" s="619" t="n"/>
      <c r="K130" s="876" t="n"/>
      <c r="L130" s="619" t="n"/>
      <c r="M130" s="813" t="n"/>
      <c r="N130" s="813">
        <f>IF(BP130&gt;0,1,IF(BN130&gt;0,2,))</f>
        <v/>
      </c>
      <c r="O130" s="578" t="n"/>
      <c r="P130" s="498" t="n"/>
      <c r="Q130" s="579" t="n"/>
      <c r="R130" s="498" t="n"/>
      <c r="S130" s="578" t="n"/>
      <c r="T130" s="498" t="n"/>
      <c r="U130" s="579" t="n"/>
      <c r="V130" s="498" t="n"/>
      <c r="W130" s="578" t="n"/>
      <c r="X130" s="498" t="n"/>
      <c r="Y130" s="579" t="n"/>
      <c r="Z130" s="498" t="n"/>
      <c r="AA130" s="578" t="n"/>
      <c r="AB130" s="498" t="n"/>
      <c r="AC130" s="579" t="n"/>
      <c r="AD130" s="498" t="n"/>
      <c r="AE130" s="578" t="n"/>
      <c r="AF130" s="498" t="n"/>
      <c r="AG130" s="579" t="n"/>
      <c r="AH130" s="498" t="n"/>
      <c r="AI130" s="578" t="n"/>
      <c r="AJ130" s="498" t="n"/>
      <c r="AK130" s="579" t="n"/>
      <c r="AL130" s="498" t="n"/>
      <c r="AM130" s="578" t="n"/>
      <c r="AN130" s="498" t="n"/>
      <c r="AO130" s="579" t="n"/>
      <c r="AP130" s="498" t="n"/>
      <c r="AQ130" s="578" t="n"/>
      <c r="AR130" s="498" t="n"/>
      <c r="AS130" s="579" t="n"/>
      <c r="AT130" s="498" t="n"/>
      <c r="AU130" s="578" t="n"/>
      <c r="AV130" s="498" t="n"/>
      <c r="AW130" s="579" t="n"/>
      <c r="AX130" s="498" t="n"/>
      <c r="AY130" s="578" t="n"/>
      <c r="AZ130" s="498" t="n"/>
      <c r="BA130" s="579" t="n"/>
      <c r="BB130" s="498" t="n"/>
      <c r="BC130" s="578" t="n"/>
      <c r="BD130" s="498" t="n"/>
      <c r="BE130" s="579" t="n"/>
      <c r="BF130" s="498" t="n"/>
      <c r="BG130" s="578" t="n"/>
      <c r="BH130" s="498" t="n"/>
      <c r="BI130" s="579" t="n"/>
      <c r="BJ130" s="498" t="n"/>
      <c r="BK130" s="572" t="n"/>
      <c r="BL130" s="820">
        <f>SUMPRODUCT(--(MOD(COLUMN($O130:$AL130),4)=MOD(COLUMN($O130)+0,4)),$O130:$AL130)
+SUMPRODUCT(--(MOD(COLUMN($AM130:$BJ130),4)=MOD(COLUMN($AM130)+0,4)),$AM130:$BJ130)</f>
        <v/>
      </c>
      <c r="BM130" s="820">
        <f>SUMPRODUCT(--(MOD(COLUMN($O130:$AL130),4)=MOD(COLUMN($O130)+0,4)),$O130:$AL130)*
$I130+SUMPRODUCT(--(MOD(COLUMN($AM130:$BJ130),4)=MOD(COLUMN($AM130)+0,4)),$AM130:$BJ130)*$I130</f>
        <v/>
      </c>
      <c r="BN130" s="822">
        <f>SUMPRODUCT(--(MOD(COLUMN($O130:$AL130),4)=MOD(COLUMN($O130)+1,4)),$O130:$AL130)
+SUMPRODUCT(--(MOD(COLUMN($AM130:$BJ130),4)=MOD(COLUMN($AM130)+1,4)),$AM130:$BJ130)</f>
        <v/>
      </c>
      <c r="BO130" s="823">
        <f>SUMPRODUCT(--(MOD(COLUMN($O130:$AL130),4)=MOD(COLUMN($O130)+1,4)),$O130:$AL130)*
$I130+SUMPRODUCT(--(MOD(COLUMN($AM130:$BJ130),4)=MOD(COLUMN($AM130)+1,4)),$AM130:$BJ130)*$I130</f>
        <v/>
      </c>
      <c r="BP130" s="824">
        <f>SUMPRODUCT(--(MOD(COLUMN($O130:$AL130),4)=MOD(COLUMN($O130)+2,4)),$O130:$AL130)
+SUMPRODUCT(--(MOD(COLUMN($AM130:$BJ130),4)=MOD(COLUMN($AM130)+2,4)),$AM130:$BJ130)</f>
        <v/>
      </c>
      <c r="BQ130" s="825">
        <f>SUMPRODUCT(--(MOD(COLUMN($O130:$AL130),4)=MOD(COLUMN($O130)+2,4)),$O130:$AL130)*
$I130+SUMPRODUCT(--(MOD(COLUMN($AM130:$BJ130),4)=MOD(COLUMN($AM130)+2,4)),$AM130:$BJ130)*$I130</f>
        <v/>
      </c>
      <c r="BR130" s="819" t="n"/>
      <c r="BS130" s="819" t="n"/>
      <c r="BT130" s="578" t="n"/>
      <c r="BU130" s="498" t="n"/>
      <c r="BV130" s="579" t="n"/>
      <c r="BW130" s="498" t="n"/>
      <c r="BX130" s="578" t="n"/>
      <c r="BY130" s="498" t="n"/>
      <c r="BZ130" s="579" t="n"/>
      <c r="CA130" s="498" t="n"/>
      <c r="CB130" s="578" t="n"/>
      <c r="CC130" s="498" t="n"/>
      <c r="CD130" s="579" t="n"/>
      <c r="CE130" s="498" t="n"/>
      <c r="CF130" s="578" t="n"/>
      <c r="CG130" s="498" t="n"/>
      <c r="CH130" s="579" t="n"/>
      <c r="CI130" s="498" t="n"/>
      <c r="CJ130" s="578" t="n"/>
      <c r="CK130" s="498" t="n"/>
      <c r="CL130" s="579" t="n"/>
      <c r="CM130" s="498" t="n"/>
      <c r="CN130" s="578" t="n"/>
      <c r="CO130" s="498" t="n"/>
      <c r="CP130" s="579" t="n"/>
      <c r="CQ130" s="498" t="n"/>
      <c r="CR130" s="578" t="n"/>
      <c r="CS130" s="498" t="n"/>
      <c r="CT130" s="579" t="n"/>
      <c r="CU130" s="498" t="n"/>
      <c r="CV130" s="578" t="n"/>
      <c r="CW130" s="498" t="n"/>
      <c r="CX130" s="579" t="n"/>
      <c r="CY130" s="498" t="n"/>
      <c r="CZ130" s="578" t="n"/>
      <c r="DA130" s="498" t="n"/>
      <c r="DB130" s="579" t="n"/>
      <c r="DC130" s="498" t="n"/>
      <c r="DD130" s="578" t="n"/>
      <c r="DE130" s="498" t="n"/>
      <c r="DF130" s="579" t="n"/>
      <c r="DG130" s="498" t="n"/>
      <c r="DH130" s="578" t="n"/>
      <c r="DI130" s="498" t="n"/>
      <c r="DJ130" s="579" t="n"/>
      <c r="DK130" s="498" t="n"/>
      <c r="DL130" s="578" t="n"/>
      <c r="DM130" s="498" t="n"/>
      <c r="DN130" s="579" t="n"/>
      <c r="DO130" s="498" t="n"/>
      <c r="DP130" s="572" t="n"/>
      <c r="DQ130" s="820" t="n"/>
      <c r="DR130" s="820">
        <f>SUMPRODUCT(--(MOD(COLUMN(BT130:CQ130),4)=MOD(COLUMN(BT130),4)),BT130:CQ130)*$I130+SUMPRODUCT(--(MOD(COLUMN(CR130:DO130),4)=MOD(COLUMN(CR130),4)),CR130:DO130)*$I130</f>
        <v/>
      </c>
      <c r="DS130" s="819" t="n"/>
      <c r="DT130" s="819" t="n"/>
      <c r="DU130" s="578" t="n"/>
      <c r="DV130" s="498" t="n"/>
      <c r="DW130" s="579" t="n"/>
      <c r="DX130" s="498" t="n"/>
      <c r="DY130" s="578" t="n"/>
      <c r="DZ130" s="498" t="n"/>
      <c r="EA130" s="579" t="n"/>
      <c r="EB130" s="498" t="n"/>
      <c r="EC130" s="578" t="n"/>
      <c r="ED130" s="498" t="n"/>
      <c r="EE130" s="579" t="n"/>
      <c r="EF130" s="498" t="n"/>
      <c r="EG130" s="578" t="n"/>
      <c r="EH130" s="498" t="n"/>
      <c r="EI130" s="579" t="n"/>
      <c r="EJ130" s="498" t="n"/>
      <c r="EK130" s="578" t="n"/>
      <c r="EL130" s="498" t="n"/>
      <c r="EM130" s="579" t="n"/>
      <c r="EN130" s="498" t="n"/>
      <c r="EO130" s="578" t="n"/>
      <c r="EP130" s="498" t="n"/>
      <c r="EQ130" s="579" t="n"/>
      <c r="ER130" s="498" t="n"/>
      <c r="ES130" s="578" t="n"/>
      <c r="ET130" s="498" t="n"/>
      <c r="EU130" s="579" t="n"/>
      <c r="EV130" s="498" t="n"/>
      <c r="EW130" s="578" t="n"/>
      <c r="EX130" s="498" t="n"/>
      <c r="EY130" s="579" t="n"/>
      <c r="EZ130" s="498" t="n"/>
      <c r="FA130" s="578" t="n"/>
      <c r="FB130" s="498" t="n"/>
      <c r="FC130" s="579" t="n"/>
      <c r="FD130" s="498" t="n"/>
      <c r="FE130" s="578" t="n"/>
      <c r="FF130" s="498" t="n"/>
      <c r="FG130" s="579" t="n"/>
      <c r="FH130" s="498" t="n"/>
      <c r="FI130" s="578" t="n"/>
      <c r="FJ130" s="498" t="n"/>
      <c r="FK130" s="579" t="n"/>
      <c r="FL130" s="498" t="n"/>
      <c r="FM130" s="578" t="n"/>
      <c r="FN130" s="498" t="n"/>
      <c r="FO130" s="579" t="n"/>
      <c r="FP130" s="498" t="n"/>
      <c r="FQ130" s="572" t="n"/>
      <c r="FR130" s="820" t="n"/>
      <c r="FS130" s="820">
        <f>SUMPRODUCT(--(MOD(COLUMN(DU130:ER130),4)=MOD(COLUMN(DU130),4)),DU130:ER130)*$I130+SUMPRODUCT(--(MOD(COLUMN(ES130:FP130),4)=MOD(COLUMN(ES130),4)),ES130:FP130)*$I130</f>
        <v/>
      </c>
      <c r="FT130" s="573" t="n"/>
    </row>
    <row r="131" outlineLevel="2" customFormat="1" s="574">
      <c r="A131" s="580" t="inlineStr">
        <is>
          <t>ПАО «Уралавтоприцеп»</t>
        </is>
      </c>
      <c r="B131" s="580" t="inlineStr">
        <is>
          <t>Отсрочка 30 дней</t>
        </is>
      </c>
      <c r="C131" s="587" t="inlineStr">
        <is>
          <t>ВБК РУС</t>
        </is>
      </c>
      <c r="D131" s="580" t="inlineStr">
        <is>
          <t>Прасолов, Соловьёв</t>
        </is>
      </c>
      <c r="E131" s="588">
        <f>IF(ISBLANK(G131),"",IF($A$6:$A$330=$A131,COUNTIF($A$6:A131,$A131),""))</f>
        <v/>
      </c>
      <c r="F131" s="671" t="inlineStr">
        <is>
          <t>S</t>
        </is>
      </c>
      <c r="G131" s="331" t="n">
        <v>4441000480</v>
      </c>
      <c r="H131" s="606" t="inlineStr">
        <is>
          <t>Комплект базовый "ABS W 2S/2M (15 м)"</t>
        </is>
      </c>
      <c r="I131" s="621">
        <f>5032.5/НДС</f>
        <v/>
      </c>
      <c r="J131" s="619" t="n"/>
      <c r="K131" s="876" t="n"/>
      <c r="L131" s="619" t="n"/>
      <c r="M131" s="813" t="n"/>
      <c r="N131" s="813">
        <f>IF(BP131&gt;0,1,IF(BN131&gt;0,2,))</f>
        <v/>
      </c>
      <c r="O131" s="578" t="n"/>
      <c r="P131" s="498" t="n"/>
      <c r="Q131" s="579" t="n"/>
      <c r="R131" s="498" t="n"/>
      <c r="S131" s="578" t="n"/>
      <c r="T131" s="498" t="n"/>
      <c r="U131" s="579" t="n"/>
      <c r="V131" s="498" t="n"/>
      <c r="W131" s="578" t="n"/>
      <c r="X131" s="498" t="n"/>
      <c r="Y131" s="579" t="n"/>
      <c r="Z131" s="498" t="n"/>
      <c r="AA131" s="578" t="n"/>
      <c r="AB131" s="498" t="n"/>
      <c r="AC131" s="579" t="n"/>
      <c r="AD131" s="498" t="n"/>
      <c r="AE131" s="578" t="n"/>
      <c r="AF131" s="498" t="n"/>
      <c r="AG131" s="579" t="n"/>
      <c r="AH131" s="498" t="n"/>
      <c r="AI131" s="578" t="n"/>
      <c r="AJ131" s="498" t="n"/>
      <c r="AK131" s="579" t="n"/>
      <c r="AL131" s="498" t="n"/>
      <c r="AM131" s="578" t="n"/>
      <c r="AN131" s="498" t="n"/>
      <c r="AO131" s="579" t="n"/>
      <c r="AP131" s="498" t="n"/>
      <c r="AQ131" s="578" t="n"/>
      <c r="AR131" s="498" t="n"/>
      <c r="AS131" s="579" t="n"/>
      <c r="AT131" s="498" t="n"/>
      <c r="AU131" s="578" t="n"/>
      <c r="AV131" s="498" t="n"/>
      <c r="AW131" s="579" t="n"/>
      <c r="AX131" s="498" t="n"/>
      <c r="AY131" s="578" t="n"/>
      <c r="AZ131" s="498" t="n"/>
      <c r="BA131" s="579" t="n"/>
      <c r="BB131" s="498" t="n"/>
      <c r="BC131" s="578" t="n"/>
      <c r="BD131" s="498" t="n"/>
      <c r="BE131" s="579" t="n"/>
      <c r="BF131" s="498" t="n"/>
      <c r="BG131" s="578" t="n"/>
      <c r="BH131" s="498" t="n"/>
      <c r="BI131" s="579" t="n"/>
      <c r="BJ131" s="498" t="n"/>
      <c r="BK131" s="572" t="n"/>
      <c r="BL131" s="820">
        <f>SUMPRODUCT(--(MOD(COLUMN($O131:$AL131),4)=MOD(COLUMN($O131)+0,4)),$O131:$AL131)
+SUMPRODUCT(--(MOD(COLUMN($AM131:$BJ131),4)=MOD(COLUMN($AM131)+0,4)),$AM131:$BJ131)</f>
        <v/>
      </c>
      <c r="BM131" s="820">
        <f>SUMPRODUCT(--(MOD(COLUMN($O131:$AL131),4)=MOD(COLUMN($O131)+0,4)),$O131:$AL131)*
$I131+SUMPRODUCT(--(MOD(COLUMN($AM131:$BJ131),4)=MOD(COLUMN($AM131)+0,4)),$AM131:$BJ131)*$I131</f>
        <v/>
      </c>
      <c r="BN131" s="822">
        <f>SUMPRODUCT(--(MOD(COLUMN($O131:$AL131),4)=MOD(COLUMN($O131)+1,4)),$O131:$AL131)
+SUMPRODUCT(--(MOD(COLUMN($AM131:$BJ131),4)=MOD(COLUMN($AM131)+1,4)),$AM131:$BJ131)</f>
        <v/>
      </c>
      <c r="BO131" s="823">
        <f>SUMPRODUCT(--(MOD(COLUMN($O131:$AL131),4)=MOD(COLUMN($O131)+1,4)),$O131:$AL131)*
$I131+SUMPRODUCT(--(MOD(COLUMN($AM131:$BJ131),4)=MOD(COLUMN($AM131)+1,4)),$AM131:$BJ131)*$I131</f>
        <v/>
      </c>
      <c r="BP131" s="824">
        <f>SUMPRODUCT(--(MOD(COLUMN($O131:$AL131),4)=MOD(COLUMN($O131)+2,4)),$O131:$AL131)
+SUMPRODUCT(--(MOD(COLUMN($AM131:$BJ131),4)=MOD(COLUMN($AM131)+2,4)),$AM131:$BJ131)</f>
        <v/>
      </c>
      <c r="BQ131" s="825">
        <f>SUMPRODUCT(--(MOD(COLUMN($O131:$AL131),4)=MOD(COLUMN($O131)+2,4)),$O131:$AL131)*
$I131+SUMPRODUCT(--(MOD(COLUMN($AM131:$BJ131),4)=MOD(COLUMN($AM131)+2,4)),$AM131:$BJ131)*$I131</f>
        <v/>
      </c>
      <c r="BR131" s="819" t="n"/>
      <c r="BS131" s="819" t="n"/>
      <c r="BT131" s="578" t="n"/>
      <c r="BU131" s="498" t="n"/>
      <c r="BV131" s="579" t="n"/>
      <c r="BW131" s="498" t="n"/>
      <c r="BX131" s="578" t="n"/>
      <c r="BY131" s="498" t="n"/>
      <c r="BZ131" s="579" t="n"/>
      <c r="CA131" s="498" t="n"/>
      <c r="CB131" s="578" t="n"/>
      <c r="CC131" s="498" t="n"/>
      <c r="CD131" s="579" t="n"/>
      <c r="CE131" s="498" t="n"/>
      <c r="CF131" s="578" t="n"/>
      <c r="CG131" s="498" t="n"/>
      <c r="CH131" s="579" t="n"/>
      <c r="CI131" s="498" t="n"/>
      <c r="CJ131" s="578" t="n"/>
      <c r="CK131" s="498" t="n"/>
      <c r="CL131" s="579" t="n"/>
      <c r="CM131" s="498" t="n"/>
      <c r="CN131" s="578" t="n"/>
      <c r="CO131" s="498" t="n"/>
      <c r="CP131" s="579" t="n"/>
      <c r="CQ131" s="498" t="n"/>
      <c r="CR131" s="578" t="n"/>
      <c r="CS131" s="498" t="n"/>
      <c r="CT131" s="579" t="n"/>
      <c r="CU131" s="498" t="n"/>
      <c r="CV131" s="578" t="n"/>
      <c r="CW131" s="498" t="n"/>
      <c r="CX131" s="579" t="n"/>
      <c r="CY131" s="498" t="n"/>
      <c r="CZ131" s="578" t="n"/>
      <c r="DA131" s="498" t="n"/>
      <c r="DB131" s="579" t="n"/>
      <c r="DC131" s="498" t="n"/>
      <c r="DD131" s="578" t="n"/>
      <c r="DE131" s="498" t="n"/>
      <c r="DF131" s="579" t="n"/>
      <c r="DG131" s="498" t="n"/>
      <c r="DH131" s="578" t="n"/>
      <c r="DI131" s="498" t="n"/>
      <c r="DJ131" s="579" t="n"/>
      <c r="DK131" s="498" t="n"/>
      <c r="DL131" s="578" t="n"/>
      <c r="DM131" s="498" t="n"/>
      <c r="DN131" s="579" t="n"/>
      <c r="DO131" s="498" t="n"/>
      <c r="DP131" s="572" t="n"/>
      <c r="DQ131" s="820" t="n"/>
      <c r="DR131" s="820">
        <f>SUMPRODUCT(--(MOD(COLUMN(BT131:CQ131),4)=MOD(COLUMN(BT131),4)),BT131:CQ131)*$I131+SUMPRODUCT(--(MOD(COLUMN(CR131:DO131),4)=MOD(COLUMN(CR131),4)),CR131:DO131)*$I131</f>
        <v/>
      </c>
      <c r="DS131" s="819" t="n"/>
      <c r="DT131" s="819" t="n"/>
      <c r="DU131" s="578" t="n"/>
      <c r="DV131" s="498" t="n"/>
      <c r="DW131" s="579" t="n"/>
      <c r="DX131" s="498" t="n"/>
      <c r="DY131" s="578" t="n"/>
      <c r="DZ131" s="498" t="n"/>
      <c r="EA131" s="579" t="n"/>
      <c r="EB131" s="498" t="n"/>
      <c r="EC131" s="578" t="n"/>
      <c r="ED131" s="498" t="n"/>
      <c r="EE131" s="579" t="n"/>
      <c r="EF131" s="498" t="n"/>
      <c r="EG131" s="578" t="n"/>
      <c r="EH131" s="498" t="n"/>
      <c r="EI131" s="579" t="n"/>
      <c r="EJ131" s="498" t="n"/>
      <c r="EK131" s="578" t="n"/>
      <c r="EL131" s="498" t="n"/>
      <c r="EM131" s="579" t="n"/>
      <c r="EN131" s="498" t="n"/>
      <c r="EO131" s="578" t="n"/>
      <c r="EP131" s="498" t="n"/>
      <c r="EQ131" s="579" t="n"/>
      <c r="ER131" s="498" t="n"/>
      <c r="ES131" s="578" t="n"/>
      <c r="ET131" s="498" t="n"/>
      <c r="EU131" s="579" t="n"/>
      <c r="EV131" s="498" t="n"/>
      <c r="EW131" s="578" t="n"/>
      <c r="EX131" s="498" t="n"/>
      <c r="EY131" s="579" t="n"/>
      <c r="EZ131" s="498" t="n"/>
      <c r="FA131" s="578" t="n"/>
      <c r="FB131" s="498" t="n"/>
      <c r="FC131" s="579" t="n"/>
      <c r="FD131" s="498" t="n"/>
      <c r="FE131" s="578" t="n"/>
      <c r="FF131" s="498" t="n"/>
      <c r="FG131" s="579" t="n"/>
      <c r="FH131" s="498" t="n"/>
      <c r="FI131" s="578" t="n"/>
      <c r="FJ131" s="498" t="n"/>
      <c r="FK131" s="579" t="n"/>
      <c r="FL131" s="498" t="n"/>
      <c r="FM131" s="578" t="n"/>
      <c r="FN131" s="498" t="n"/>
      <c r="FO131" s="579" t="n"/>
      <c r="FP131" s="498" t="n"/>
      <c r="FQ131" s="572" t="n"/>
      <c r="FR131" s="820" t="n"/>
      <c r="FS131" s="820">
        <f>SUMPRODUCT(--(MOD(COLUMN(DU131:ER131),4)=MOD(COLUMN(DU131),4)),DU131:ER131)*$I131+SUMPRODUCT(--(MOD(COLUMN(ES131:FP131),4)=MOD(COLUMN(ES131),4)),ES131:FP131)*$I131</f>
        <v/>
      </c>
      <c r="FT131" s="573" t="n"/>
    </row>
    <row r="132" outlineLevel="2" customFormat="1" s="574">
      <c r="A132" s="580" t="inlineStr">
        <is>
          <t>ПАО «Уралавтоприцеп»</t>
        </is>
      </c>
      <c r="B132" s="580" t="inlineStr">
        <is>
          <t>Отсрочка 30 дней</t>
        </is>
      </c>
      <c r="C132" s="587" t="inlineStr">
        <is>
          <t>ВБК РУС</t>
        </is>
      </c>
      <c r="D132" s="580" t="inlineStr">
        <is>
          <t>Прасолов, Соловьёв</t>
        </is>
      </c>
      <c r="E132" s="588">
        <f>IF(ISBLANK(G132),"",IF($A$6:$A$330=$A132,COUNTIF($A$6:A132,$A132),""))</f>
        <v/>
      </c>
      <c r="F132" s="671" t="inlineStr">
        <is>
          <t>S</t>
        </is>
      </c>
      <c r="G132" s="331" t="n">
        <v>4441000050</v>
      </c>
      <c r="H132" s="606" t="inlineStr">
        <is>
          <t>Комплект базовый "ABS W 2S/2M (12 м)"</t>
        </is>
      </c>
      <c r="I132" s="621">
        <f>5032.5/НДС</f>
        <v/>
      </c>
      <c r="J132" s="619" t="n"/>
      <c r="K132" s="876" t="n"/>
      <c r="L132" s="619" t="n"/>
      <c r="M132" s="813" t="n"/>
      <c r="N132" s="813">
        <f>IF(BP132&gt;0,1,IF(BN132&gt;0,2,))</f>
        <v/>
      </c>
      <c r="O132" s="578" t="n"/>
      <c r="P132" s="498" t="n"/>
      <c r="Q132" s="579" t="n"/>
      <c r="R132" s="498" t="n"/>
      <c r="S132" s="578" t="n"/>
      <c r="T132" s="498" t="n"/>
      <c r="U132" s="579" t="n"/>
      <c r="V132" s="498" t="n"/>
      <c r="W132" s="578" t="n"/>
      <c r="X132" s="498" t="n"/>
      <c r="Y132" s="579" t="n"/>
      <c r="Z132" s="498" t="n"/>
      <c r="AA132" s="578" t="n"/>
      <c r="AB132" s="498" t="n"/>
      <c r="AC132" s="579" t="n"/>
      <c r="AD132" s="498" t="n"/>
      <c r="AE132" s="578" t="n"/>
      <c r="AF132" s="498" t="n"/>
      <c r="AG132" s="579" t="n"/>
      <c r="AH132" s="498" t="n"/>
      <c r="AI132" s="578" t="n"/>
      <c r="AJ132" s="498" t="n"/>
      <c r="AK132" s="579" t="n"/>
      <c r="AL132" s="498" t="n"/>
      <c r="AM132" s="578" t="n"/>
      <c r="AN132" s="498" t="n"/>
      <c r="AO132" s="579" t="n"/>
      <c r="AP132" s="498" t="n"/>
      <c r="AQ132" s="578" t="n"/>
      <c r="AR132" s="498" t="n"/>
      <c r="AS132" s="579" t="n"/>
      <c r="AT132" s="498" t="n"/>
      <c r="AU132" s="578" t="n"/>
      <c r="AV132" s="498" t="n">
        <v>5</v>
      </c>
      <c r="AW132" s="579" t="n">
        <v>0</v>
      </c>
      <c r="AX132" s="498" t="n"/>
      <c r="AY132" s="578" t="n"/>
      <c r="AZ132" s="498" t="n">
        <v>15</v>
      </c>
      <c r="BA132" s="579" t="n">
        <v>0</v>
      </c>
      <c r="BB132" s="498" t="n"/>
      <c r="BC132" s="578" t="n"/>
      <c r="BD132" s="498" t="n">
        <v>15</v>
      </c>
      <c r="BE132" s="579" t="n">
        <v>0</v>
      </c>
      <c r="BF132" s="498" t="n"/>
      <c r="BG132" s="578" t="n"/>
      <c r="BH132" s="498" t="n">
        <v>15</v>
      </c>
      <c r="BI132" s="579" t="n">
        <v>0</v>
      </c>
      <c r="BJ132" s="498" t="n"/>
      <c r="BK132" s="572" t="n"/>
      <c r="BL132" s="820">
        <f>SUMPRODUCT(--(MOD(COLUMN($O132:$AL132),4)=MOD(COLUMN($O132)+0,4)),$O132:$AL132)
+SUMPRODUCT(--(MOD(COLUMN($AM132:$BJ132),4)=MOD(COLUMN($AM132)+0,4)),$AM132:$BJ132)</f>
        <v/>
      </c>
      <c r="BM132" s="820">
        <f>SUMPRODUCT(--(MOD(COLUMN($O132:$AL132),4)=MOD(COLUMN($O132)+0,4)),$O132:$AL132)*
$I132+SUMPRODUCT(--(MOD(COLUMN($AM132:$BJ132),4)=MOD(COLUMN($AM132)+0,4)),$AM132:$BJ132)*$I132</f>
        <v/>
      </c>
      <c r="BN132" s="822">
        <f>SUMPRODUCT(--(MOD(COLUMN($O132:$AL132),4)=MOD(COLUMN($O132)+1,4)),$O132:$AL132)
+SUMPRODUCT(--(MOD(COLUMN($AM132:$BJ132),4)=MOD(COLUMN($AM132)+1,4)),$AM132:$BJ132)</f>
        <v/>
      </c>
      <c r="BO132" s="823">
        <f>SUMPRODUCT(--(MOD(COLUMN($O132:$AL132),4)=MOD(COLUMN($O132)+1,4)),$O132:$AL132)*
$I132+SUMPRODUCT(--(MOD(COLUMN($AM132:$BJ132),4)=MOD(COLUMN($AM132)+1,4)),$AM132:$BJ132)*$I132</f>
        <v/>
      </c>
      <c r="BP132" s="824">
        <f>SUMPRODUCT(--(MOD(COLUMN($O132:$AL132),4)=MOD(COLUMN($O132)+2,4)),$O132:$AL132)
+SUMPRODUCT(--(MOD(COLUMN($AM132:$BJ132),4)=MOD(COLUMN($AM132)+2,4)),$AM132:$BJ132)</f>
        <v/>
      </c>
      <c r="BQ132" s="825">
        <f>SUMPRODUCT(--(MOD(COLUMN($O132:$AL132),4)=MOD(COLUMN($O132)+2,4)),$O132:$AL132)*
$I132+SUMPRODUCT(--(MOD(COLUMN($AM132:$BJ132),4)=MOD(COLUMN($AM132)+2,4)),$AM132:$BJ132)*$I132</f>
        <v/>
      </c>
      <c r="BR132" s="819" t="n"/>
      <c r="BS132" s="819" t="n"/>
      <c r="BT132" s="578" t="n"/>
      <c r="BU132" s="498" t="n"/>
      <c r="BV132" s="579" t="n"/>
      <c r="BW132" s="498" t="n"/>
      <c r="BX132" s="578" t="n"/>
      <c r="BY132" s="498" t="n"/>
      <c r="BZ132" s="579" t="n"/>
      <c r="CA132" s="498" t="n"/>
      <c r="CB132" s="578" t="n"/>
      <c r="CC132" s="498" t="n"/>
      <c r="CD132" s="579" t="n"/>
      <c r="CE132" s="498" t="n"/>
      <c r="CF132" s="578" t="n"/>
      <c r="CG132" s="498" t="n"/>
      <c r="CH132" s="579" t="n"/>
      <c r="CI132" s="498" t="n"/>
      <c r="CJ132" s="578" t="n"/>
      <c r="CK132" s="498" t="n"/>
      <c r="CL132" s="579" t="n"/>
      <c r="CM132" s="498" t="n"/>
      <c r="CN132" s="578" t="n"/>
      <c r="CO132" s="498" t="n"/>
      <c r="CP132" s="579" t="n"/>
      <c r="CQ132" s="498" t="n"/>
      <c r="CR132" s="578" t="n"/>
      <c r="CS132" s="498" t="n"/>
      <c r="CT132" s="579" t="n"/>
      <c r="CU132" s="498" t="n"/>
      <c r="CV132" s="578" t="n"/>
      <c r="CW132" s="498" t="n"/>
      <c r="CX132" s="579" t="n"/>
      <c r="CY132" s="498" t="n"/>
      <c r="CZ132" s="578" t="n"/>
      <c r="DA132" s="498" t="n"/>
      <c r="DB132" s="579" t="n"/>
      <c r="DC132" s="498" t="n"/>
      <c r="DD132" s="578" t="n"/>
      <c r="DE132" s="498" t="n"/>
      <c r="DF132" s="579" t="n"/>
      <c r="DG132" s="498" t="n"/>
      <c r="DH132" s="578" t="n"/>
      <c r="DI132" s="498" t="n"/>
      <c r="DJ132" s="579" t="n"/>
      <c r="DK132" s="498" t="n"/>
      <c r="DL132" s="578" t="n"/>
      <c r="DM132" s="498" t="n"/>
      <c r="DN132" s="579" t="n"/>
      <c r="DO132" s="498" t="n"/>
      <c r="DP132" s="572" t="n"/>
      <c r="DQ132" s="820" t="n"/>
      <c r="DR132" s="820">
        <f>SUMPRODUCT(--(MOD(COLUMN(BT132:CQ132),4)=MOD(COLUMN(BT132),4)),BT132:CQ132)*$I132+SUMPRODUCT(--(MOD(COLUMN(CR132:DO132),4)=MOD(COLUMN(CR132),4)),CR132:DO132)*$I132</f>
        <v/>
      </c>
      <c r="DS132" s="819" t="n"/>
      <c r="DT132" s="819" t="n"/>
      <c r="DU132" s="578" t="n"/>
      <c r="DV132" s="498" t="n"/>
      <c r="DW132" s="579" t="n"/>
      <c r="DX132" s="498" t="n"/>
      <c r="DY132" s="578" t="n"/>
      <c r="DZ132" s="498" t="n"/>
      <c r="EA132" s="579" t="n"/>
      <c r="EB132" s="498" t="n"/>
      <c r="EC132" s="578" t="n"/>
      <c r="ED132" s="498" t="n"/>
      <c r="EE132" s="579" t="n"/>
      <c r="EF132" s="498" t="n"/>
      <c r="EG132" s="578" t="n"/>
      <c r="EH132" s="498" t="n"/>
      <c r="EI132" s="579" t="n"/>
      <c r="EJ132" s="498" t="n"/>
      <c r="EK132" s="578" t="n"/>
      <c r="EL132" s="498" t="n"/>
      <c r="EM132" s="579" t="n"/>
      <c r="EN132" s="498" t="n"/>
      <c r="EO132" s="578" t="n"/>
      <c r="EP132" s="498" t="n"/>
      <c r="EQ132" s="579" t="n"/>
      <c r="ER132" s="498" t="n"/>
      <c r="ES132" s="578" t="n"/>
      <c r="ET132" s="498" t="n"/>
      <c r="EU132" s="579" t="n"/>
      <c r="EV132" s="498" t="n"/>
      <c r="EW132" s="578" t="n"/>
      <c r="EX132" s="498" t="n"/>
      <c r="EY132" s="579" t="n"/>
      <c r="EZ132" s="498" t="n"/>
      <c r="FA132" s="578" t="n"/>
      <c r="FB132" s="498" t="n"/>
      <c r="FC132" s="579" t="n"/>
      <c r="FD132" s="498" t="n"/>
      <c r="FE132" s="578" t="n"/>
      <c r="FF132" s="498" t="n"/>
      <c r="FG132" s="579" t="n"/>
      <c r="FH132" s="498" t="n"/>
      <c r="FI132" s="578" t="n"/>
      <c r="FJ132" s="498" t="n"/>
      <c r="FK132" s="579" t="n"/>
      <c r="FL132" s="498" t="n"/>
      <c r="FM132" s="578" t="n"/>
      <c r="FN132" s="498" t="n"/>
      <c r="FO132" s="579" t="n"/>
      <c r="FP132" s="498" t="n"/>
      <c r="FQ132" s="572" t="n"/>
      <c r="FR132" s="820" t="n"/>
      <c r="FS132" s="820">
        <f>SUMPRODUCT(--(MOD(COLUMN(DU132:ER132),4)=MOD(COLUMN(DU132),4)),DU132:ER132)*$I132+SUMPRODUCT(--(MOD(COLUMN(ES132:FP132),4)=MOD(COLUMN(ES132),4)),ES132:FP132)*$I132</f>
        <v/>
      </c>
      <c r="FT132" s="573" t="n"/>
    </row>
    <row r="133" outlineLevel="2" customFormat="1" s="574">
      <c r="A133" s="580" t="inlineStr">
        <is>
          <t>ПАО «Уралавтоприцеп»</t>
        </is>
      </c>
      <c r="B133" s="580" t="inlineStr">
        <is>
          <t>Отсрочка 30 дней</t>
        </is>
      </c>
      <c r="C133" s="587" t="inlineStr">
        <is>
          <t>ВБК РУС</t>
        </is>
      </c>
      <c r="D133" s="580" t="inlineStr">
        <is>
          <t>Прасолов, Соловьёв</t>
        </is>
      </c>
      <c r="E133" s="588">
        <f>IF(ISBLANK(G133),"",IF($A$6:$A$330=$A133,COUNTIF($A$6:A133,$A133),""))</f>
        <v/>
      </c>
      <c r="F133" s="671" t="inlineStr">
        <is>
          <t>S</t>
        </is>
      </c>
      <c r="G133" s="331" t="n">
        <v>4441000060</v>
      </c>
      <c r="H133" s="606" t="inlineStr">
        <is>
          <t>Комплект базовый "ABS W 2S/2M (12 м)"</t>
        </is>
      </c>
      <c r="I133" s="621">
        <f>5032.5/НДС</f>
        <v/>
      </c>
      <c r="J133" s="619" t="n"/>
      <c r="K133" s="876" t="n"/>
      <c r="L133" s="619" t="n"/>
      <c r="M133" s="813" t="n"/>
      <c r="N133" s="813">
        <f>IF(BP133&gt;0,1,IF(BN133&gt;0,2,))</f>
        <v/>
      </c>
      <c r="O133" s="578" t="n"/>
      <c r="P133" s="498" t="n"/>
      <c r="Q133" s="579" t="n"/>
      <c r="R133" s="498" t="n"/>
      <c r="S133" s="578" t="n"/>
      <c r="T133" s="498" t="n"/>
      <c r="U133" s="579" t="n"/>
      <c r="V133" s="498" t="n"/>
      <c r="W133" s="578" t="n"/>
      <c r="X133" s="498" t="n"/>
      <c r="Y133" s="579" t="n"/>
      <c r="Z133" s="498" t="n"/>
      <c r="AA133" s="578" t="n"/>
      <c r="AB133" s="498" t="n"/>
      <c r="AC133" s="579" t="n"/>
      <c r="AD133" s="498" t="n"/>
      <c r="AE133" s="578" t="n"/>
      <c r="AF133" s="498" t="n"/>
      <c r="AG133" s="579" t="n"/>
      <c r="AH133" s="498" t="n"/>
      <c r="AI133" s="578" t="n"/>
      <c r="AJ133" s="498" t="n">
        <v>5</v>
      </c>
      <c r="AK133" s="579" t="n">
        <v>0</v>
      </c>
      <c r="AL133" s="498" t="n"/>
      <c r="AM133" s="578" t="n"/>
      <c r="AN133" s="498" t="n">
        <v>5</v>
      </c>
      <c r="AO133" s="579" t="n">
        <v>0</v>
      </c>
      <c r="AP133" s="498" t="n"/>
      <c r="AQ133" s="578" t="n"/>
      <c r="AR133" s="498" t="n">
        <v>5</v>
      </c>
      <c r="AS133" s="579" t="n">
        <v>0</v>
      </c>
      <c r="AT133" s="498" t="n"/>
      <c r="AU133" s="578" t="n"/>
      <c r="AV133" s="498" t="n"/>
      <c r="AW133" s="579" t="n"/>
      <c r="AX133" s="498" t="n"/>
      <c r="AY133" s="578" t="n"/>
      <c r="AZ133" s="498" t="n"/>
      <c r="BA133" s="579" t="n"/>
      <c r="BB133" s="498" t="n"/>
      <c r="BC133" s="578" t="n"/>
      <c r="BD133" s="498" t="n"/>
      <c r="BE133" s="579" t="n"/>
      <c r="BF133" s="498" t="n"/>
      <c r="BG133" s="578" t="n"/>
      <c r="BH133" s="498" t="n"/>
      <c r="BI133" s="579" t="n"/>
      <c r="BJ133" s="498" t="n"/>
      <c r="BK133" s="572" t="n"/>
      <c r="BL133" s="820">
        <f>SUMPRODUCT(--(MOD(COLUMN($O133:$AL133),4)=MOD(COLUMN($O133)+0,4)),$O133:$AL133)
+SUMPRODUCT(--(MOD(COLUMN($AM133:$BJ133),4)=MOD(COLUMN($AM133)+0,4)),$AM133:$BJ133)</f>
        <v/>
      </c>
      <c r="BM133" s="820">
        <f>SUMPRODUCT(--(MOD(COLUMN($O133:$AL133),4)=MOD(COLUMN($O133)+0,4)),$O133:$AL133)*
$I133+SUMPRODUCT(--(MOD(COLUMN($AM133:$BJ133),4)=MOD(COLUMN($AM133)+0,4)),$AM133:$BJ133)*$I133</f>
        <v/>
      </c>
      <c r="BN133" s="822">
        <f>SUMPRODUCT(--(MOD(COLUMN($O133:$AL133),4)=MOD(COLUMN($O133)+1,4)),$O133:$AL133)
+SUMPRODUCT(--(MOD(COLUMN($AM133:$BJ133),4)=MOD(COLUMN($AM133)+1,4)),$AM133:$BJ133)</f>
        <v/>
      </c>
      <c r="BO133" s="823">
        <f>SUMPRODUCT(--(MOD(COLUMN($O133:$AL133),4)=MOD(COLUMN($O133)+1,4)),$O133:$AL133)*
$I133+SUMPRODUCT(--(MOD(COLUMN($AM133:$BJ133),4)=MOD(COLUMN($AM133)+1,4)),$AM133:$BJ133)*$I133</f>
        <v/>
      </c>
      <c r="BP133" s="824">
        <f>SUMPRODUCT(--(MOD(COLUMN($O133:$AL133),4)=MOD(COLUMN($O133)+2,4)),$O133:$AL133)
+SUMPRODUCT(--(MOD(COLUMN($AM133:$BJ133),4)=MOD(COLUMN($AM133)+2,4)),$AM133:$BJ133)</f>
        <v/>
      </c>
      <c r="BQ133" s="825">
        <f>SUMPRODUCT(--(MOD(COLUMN($O133:$AL133),4)=MOD(COLUMN($O133)+2,4)),$O133:$AL133)*
$I133+SUMPRODUCT(--(MOD(COLUMN($AM133:$BJ133),4)=MOD(COLUMN($AM133)+2,4)),$AM133:$BJ133)*$I133</f>
        <v/>
      </c>
      <c r="BR133" s="819" t="n"/>
      <c r="BS133" s="819" t="n"/>
      <c r="BT133" s="578" t="n"/>
      <c r="BU133" s="498" t="n"/>
      <c r="BV133" s="579" t="n"/>
      <c r="BW133" s="498" t="n"/>
      <c r="BX133" s="578" t="n"/>
      <c r="BY133" s="498" t="n"/>
      <c r="BZ133" s="579" t="n"/>
      <c r="CA133" s="498" t="n"/>
      <c r="CB133" s="578" t="n"/>
      <c r="CC133" s="498" t="n"/>
      <c r="CD133" s="579" t="n"/>
      <c r="CE133" s="498" t="n"/>
      <c r="CF133" s="578" t="n"/>
      <c r="CG133" s="498" t="n"/>
      <c r="CH133" s="579" t="n"/>
      <c r="CI133" s="498" t="n"/>
      <c r="CJ133" s="578" t="n"/>
      <c r="CK133" s="498" t="n"/>
      <c r="CL133" s="579" t="n"/>
      <c r="CM133" s="498" t="n"/>
      <c r="CN133" s="578" t="n"/>
      <c r="CO133" s="498" t="n"/>
      <c r="CP133" s="579" t="n"/>
      <c r="CQ133" s="498" t="n"/>
      <c r="CR133" s="578" t="n"/>
      <c r="CS133" s="498" t="n"/>
      <c r="CT133" s="579" t="n"/>
      <c r="CU133" s="498" t="n"/>
      <c r="CV133" s="578" t="n"/>
      <c r="CW133" s="498" t="n"/>
      <c r="CX133" s="579" t="n"/>
      <c r="CY133" s="498" t="n"/>
      <c r="CZ133" s="578" t="n"/>
      <c r="DA133" s="498" t="n"/>
      <c r="DB133" s="579" t="n"/>
      <c r="DC133" s="498" t="n"/>
      <c r="DD133" s="578" t="n"/>
      <c r="DE133" s="498" t="n"/>
      <c r="DF133" s="579" t="n"/>
      <c r="DG133" s="498" t="n"/>
      <c r="DH133" s="578" t="n"/>
      <c r="DI133" s="498" t="n"/>
      <c r="DJ133" s="579" t="n"/>
      <c r="DK133" s="498" t="n"/>
      <c r="DL133" s="578" t="n"/>
      <c r="DM133" s="498" t="n"/>
      <c r="DN133" s="579" t="n"/>
      <c r="DO133" s="498" t="n"/>
      <c r="DP133" s="572" t="n"/>
      <c r="DQ133" s="820" t="n"/>
      <c r="DR133" s="820">
        <f>SUMPRODUCT(--(MOD(COLUMN(BT133:CQ133),4)=MOD(COLUMN(BT133),4)),BT133:CQ133)*$I133+SUMPRODUCT(--(MOD(COLUMN(CR133:DO133),4)=MOD(COLUMN(CR133),4)),CR133:DO133)*$I133</f>
        <v/>
      </c>
      <c r="DS133" s="819" t="n"/>
      <c r="DT133" s="819" t="n"/>
      <c r="DU133" s="578" t="n"/>
      <c r="DV133" s="498" t="n"/>
      <c r="DW133" s="579" t="n"/>
      <c r="DX133" s="498" t="n"/>
      <c r="DY133" s="578" t="n"/>
      <c r="DZ133" s="498" t="n"/>
      <c r="EA133" s="579" t="n"/>
      <c r="EB133" s="498" t="n"/>
      <c r="EC133" s="578" t="n"/>
      <c r="ED133" s="498" t="n"/>
      <c r="EE133" s="579" t="n"/>
      <c r="EF133" s="498" t="n"/>
      <c r="EG133" s="578" t="n"/>
      <c r="EH133" s="498" t="n"/>
      <c r="EI133" s="579" t="n"/>
      <c r="EJ133" s="498" t="n"/>
      <c r="EK133" s="578" t="n"/>
      <c r="EL133" s="498" t="n"/>
      <c r="EM133" s="579" t="n"/>
      <c r="EN133" s="498" t="n"/>
      <c r="EO133" s="578" t="n"/>
      <c r="EP133" s="498" t="n"/>
      <c r="EQ133" s="579" t="n"/>
      <c r="ER133" s="498" t="n"/>
      <c r="ES133" s="578" t="n"/>
      <c r="ET133" s="498" t="n"/>
      <c r="EU133" s="579" t="n"/>
      <c r="EV133" s="498" t="n"/>
      <c r="EW133" s="578" t="n"/>
      <c r="EX133" s="498" t="n"/>
      <c r="EY133" s="579" t="n"/>
      <c r="EZ133" s="498" t="n"/>
      <c r="FA133" s="578" t="n"/>
      <c r="FB133" s="498" t="n"/>
      <c r="FC133" s="579" t="n"/>
      <c r="FD133" s="498" t="n"/>
      <c r="FE133" s="578" t="n"/>
      <c r="FF133" s="498" t="n"/>
      <c r="FG133" s="579" t="n"/>
      <c r="FH133" s="498" t="n"/>
      <c r="FI133" s="578" t="n"/>
      <c r="FJ133" s="498" t="n"/>
      <c r="FK133" s="579" t="n"/>
      <c r="FL133" s="498" t="n"/>
      <c r="FM133" s="578" t="n"/>
      <c r="FN133" s="498" t="n"/>
      <c r="FO133" s="579" t="n"/>
      <c r="FP133" s="498" t="n"/>
      <c r="FQ133" s="572" t="n"/>
      <c r="FR133" s="820" t="n"/>
      <c r="FS133" s="820">
        <f>SUMPRODUCT(--(MOD(COLUMN(DU133:ER133),4)=MOD(COLUMN(DU133),4)),DU133:ER133)*$I133+SUMPRODUCT(--(MOD(COLUMN(ES133:FP133),4)=MOD(COLUMN(ES133),4)),ES133:FP133)*$I133</f>
        <v/>
      </c>
      <c r="FT133" s="573" t="n"/>
    </row>
    <row r="134" outlineLevel="2" customFormat="1" s="574">
      <c r="A134" s="580" t="inlineStr">
        <is>
          <t>ПАО «Уралавтоприцеп»</t>
        </is>
      </c>
      <c r="B134" s="580" t="inlineStr">
        <is>
          <t>Отсрочка 30 дней</t>
        </is>
      </c>
      <c r="C134" s="587" t="inlineStr">
        <is>
          <t>ВБК РУС</t>
        </is>
      </c>
      <c r="D134" s="580" t="inlineStr">
        <is>
          <t>Прасолов, Соловьёв</t>
        </is>
      </c>
      <c r="E134" s="588">
        <f>IF(ISBLANK(G134),"",IF($A$6:$A$330=$A134,COUNTIF($A$6:A134,$A134),""))</f>
        <v/>
      </c>
      <c r="F134" s="671" t="inlineStr">
        <is>
          <t>S</t>
        </is>
      </c>
      <c r="G134" s="331" t="n">
        <v>4441000450</v>
      </c>
      <c r="H134" s="606" t="inlineStr">
        <is>
          <t>Комплект базовый "ABS W 2S/2M (12 м)"</t>
        </is>
      </c>
      <c r="I134" s="621">
        <f>5032.5/НДС</f>
        <v/>
      </c>
      <c r="J134" s="619" t="n"/>
      <c r="K134" s="876" t="n"/>
      <c r="L134" s="619" t="n"/>
      <c r="M134" s="813" t="n"/>
      <c r="N134" s="813">
        <f>IF(BP134&gt;0,1,IF(BN134&gt;0,2,))</f>
        <v/>
      </c>
      <c r="O134" s="578" t="n"/>
      <c r="P134" s="498">
        <f>20</f>
        <v/>
      </c>
      <c r="Q134" s="579" t="n">
        <v>20</v>
      </c>
      <c r="R134" s="498" t="n"/>
      <c r="S134" s="578" t="n"/>
      <c r="T134" s="498">
        <f>15+15</f>
        <v/>
      </c>
      <c r="U134" s="579" t="n">
        <v>30</v>
      </c>
      <c r="V134" s="498" t="n"/>
      <c r="W134" s="578" t="n"/>
      <c r="X134" s="498">
        <f>15</f>
        <v/>
      </c>
      <c r="Y134" s="579" t="n">
        <v>15</v>
      </c>
      <c r="Z134" s="498" t="n"/>
      <c r="AA134" s="578" t="n"/>
      <c r="AB134" s="498" t="n"/>
      <c r="AC134" s="579" t="n"/>
      <c r="AD134" s="498" t="n"/>
      <c r="AE134" s="578" t="n"/>
      <c r="AF134" s="498" t="n"/>
      <c r="AG134" s="579" t="n"/>
      <c r="AH134" s="498" t="n"/>
      <c r="AI134" s="578" t="n"/>
      <c r="AJ134" s="498" t="n"/>
      <c r="AK134" s="579" t="n"/>
      <c r="AL134" s="498" t="n"/>
      <c r="AM134" s="578" t="n"/>
      <c r="AN134" s="498" t="n"/>
      <c r="AO134" s="579" t="n"/>
      <c r="AP134" s="498" t="n"/>
      <c r="AQ134" s="578" t="n"/>
      <c r="AR134" s="498" t="n"/>
      <c r="AS134" s="579" t="n"/>
      <c r="AT134" s="498" t="n"/>
      <c r="AU134" s="578" t="n"/>
      <c r="AV134" s="498" t="n"/>
      <c r="AW134" s="579" t="n"/>
      <c r="AX134" s="498" t="n"/>
      <c r="AY134" s="578" t="n"/>
      <c r="AZ134" s="498" t="n"/>
      <c r="BA134" s="579" t="n"/>
      <c r="BB134" s="498" t="n"/>
      <c r="BC134" s="578" t="n"/>
      <c r="BD134" s="498" t="n"/>
      <c r="BE134" s="579" t="n"/>
      <c r="BF134" s="498" t="n"/>
      <c r="BG134" s="578" t="n"/>
      <c r="BH134" s="498" t="n"/>
      <c r="BI134" s="579" t="n"/>
      <c r="BJ134" s="498" t="n"/>
      <c r="BK134" s="572" t="n"/>
      <c r="BL134" s="820">
        <f>SUMPRODUCT(--(MOD(COLUMN($O134:$AL134),4)=MOD(COLUMN($O134)+0,4)),$O134:$AL134)
+SUMPRODUCT(--(MOD(COLUMN($AM134:$BJ134),4)=MOD(COLUMN($AM134)+0,4)),$AM134:$BJ134)</f>
        <v/>
      </c>
      <c r="BM134" s="820">
        <f>SUMPRODUCT(--(MOD(COLUMN($O134:$AL134),4)=MOD(COLUMN($O134)+0,4)),$O134:$AL134)*
$I134+SUMPRODUCT(--(MOD(COLUMN($AM134:$BJ134),4)=MOD(COLUMN($AM134)+0,4)),$AM134:$BJ134)*$I134</f>
        <v/>
      </c>
      <c r="BN134" s="822">
        <f>SUMPRODUCT(--(MOD(COLUMN($O134:$AL134),4)=MOD(COLUMN($O134)+1,4)),$O134:$AL134)
+SUMPRODUCT(--(MOD(COLUMN($AM134:$BJ134),4)=MOD(COLUMN($AM134)+1,4)),$AM134:$BJ134)</f>
        <v/>
      </c>
      <c r="BO134" s="823">
        <f>SUMPRODUCT(--(MOD(COLUMN($O134:$AL134),4)=MOD(COLUMN($O134)+1,4)),$O134:$AL134)*
$I134+SUMPRODUCT(--(MOD(COLUMN($AM134:$BJ134),4)=MOD(COLUMN($AM134)+1,4)),$AM134:$BJ134)*$I134</f>
        <v/>
      </c>
      <c r="BP134" s="824">
        <f>SUMPRODUCT(--(MOD(COLUMN($O134:$AL134),4)=MOD(COLUMN($O134)+2,4)),$O134:$AL134)
+SUMPRODUCT(--(MOD(COLUMN($AM134:$BJ134),4)=MOD(COLUMN($AM134)+2,4)),$AM134:$BJ134)</f>
        <v/>
      </c>
      <c r="BQ134" s="825">
        <f>SUMPRODUCT(--(MOD(COLUMN($O134:$AL134),4)=MOD(COLUMN($O134)+2,4)),$O134:$AL134)*
$I134+SUMPRODUCT(--(MOD(COLUMN($AM134:$BJ134),4)=MOD(COLUMN($AM134)+2,4)),$AM134:$BJ134)*$I134</f>
        <v/>
      </c>
      <c r="BR134" s="819" t="n"/>
      <c r="BS134" s="819" t="n"/>
      <c r="BT134" s="578" t="n"/>
      <c r="BU134" s="498" t="n"/>
      <c r="BV134" s="579" t="n"/>
      <c r="BW134" s="498" t="n"/>
      <c r="BX134" s="578" t="n"/>
      <c r="BY134" s="498" t="n"/>
      <c r="BZ134" s="579" t="n"/>
      <c r="CA134" s="498" t="n"/>
      <c r="CB134" s="578" t="n"/>
      <c r="CC134" s="498" t="n"/>
      <c r="CD134" s="579" t="n"/>
      <c r="CE134" s="498" t="n"/>
      <c r="CF134" s="578" t="n"/>
      <c r="CG134" s="498" t="n"/>
      <c r="CH134" s="579" t="n"/>
      <c r="CI134" s="498" t="n"/>
      <c r="CJ134" s="578" t="n"/>
      <c r="CK134" s="498" t="n"/>
      <c r="CL134" s="579" t="n"/>
      <c r="CM134" s="498" t="n"/>
      <c r="CN134" s="578" t="n"/>
      <c r="CO134" s="498" t="n"/>
      <c r="CP134" s="579" t="n"/>
      <c r="CQ134" s="498" t="n"/>
      <c r="CR134" s="578" t="n"/>
      <c r="CS134" s="498" t="n"/>
      <c r="CT134" s="579" t="n"/>
      <c r="CU134" s="498" t="n"/>
      <c r="CV134" s="578" t="n"/>
      <c r="CW134" s="498" t="n"/>
      <c r="CX134" s="579" t="n"/>
      <c r="CY134" s="498" t="n"/>
      <c r="CZ134" s="578" t="n"/>
      <c r="DA134" s="498" t="n"/>
      <c r="DB134" s="579" t="n"/>
      <c r="DC134" s="498" t="n"/>
      <c r="DD134" s="578" t="n"/>
      <c r="DE134" s="498" t="n"/>
      <c r="DF134" s="579" t="n"/>
      <c r="DG134" s="498" t="n"/>
      <c r="DH134" s="578" t="n"/>
      <c r="DI134" s="498" t="n"/>
      <c r="DJ134" s="579" t="n"/>
      <c r="DK134" s="498" t="n"/>
      <c r="DL134" s="578" t="n"/>
      <c r="DM134" s="498" t="n"/>
      <c r="DN134" s="579" t="n"/>
      <c r="DO134" s="498" t="n"/>
      <c r="DP134" s="572" t="n"/>
      <c r="DQ134" s="820" t="n"/>
      <c r="DR134" s="820">
        <f>SUMPRODUCT(--(MOD(COLUMN(BT134:CQ134),4)=MOD(COLUMN(BT134),4)),BT134:CQ134)*$I134+SUMPRODUCT(--(MOD(COLUMN(CR134:DO134),4)=MOD(COLUMN(CR134),4)),CR134:DO134)*$I134</f>
        <v/>
      </c>
      <c r="DS134" s="819" t="n"/>
      <c r="DT134" s="819" t="n"/>
      <c r="DU134" s="578" t="n"/>
      <c r="DV134" s="498" t="n"/>
      <c r="DW134" s="579" t="n"/>
      <c r="DX134" s="498" t="n"/>
      <c r="DY134" s="578" t="n"/>
      <c r="DZ134" s="498" t="n"/>
      <c r="EA134" s="579" t="n"/>
      <c r="EB134" s="498" t="n"/>
      <c r="EC134" s="578" t="n"/>
      <c r="ED134" s="498" t="n"/>
      <c r="EE134" s="579" t="n"/>
      <c r="EF134" s="498" t="n"/>
      <c r="EG134" s="578" t="n"/>
      <c r="EH134" s="498" t="n"/>
      <c r="EI134" s="579" t="n"/>
      <c r="EJ134" s="498" t="n"/>
      <c r="EK134" s="578" t="n"/>
      <c r="EL134" s="498" t="n"/>
      <c r="EM134" s="579" t="n"/>
      <c r="EN134" s="498" t="n"/>
      <c r="EO134" s="578" t="n"/>
      <c r="EP134" s="498" t="n"/>
      <c r="EQ134" s="579" t="n"/>
      <c r="ER134" s="498" t="n"/>
      <c r="ES134" s="578" t="n"/>
      <c r="ET134" s="498" t="n"/>
      <c r="EU134" s="579" t="n"/>
      <c r="EV134" s="498" t="n"/>
      <c r="EW134" s="578" t="n"/>
      <c r="EX134" s="498" t="n"/>
      <c r="EY134" s="579" t="n"/>
      <c r="EZ134" s="498" t="n"/>
      <c r="FA134" s="578" t="n"/>
      <c r="FB134" s="498" t="n"/>
      <c r="FC134" s="579" t="n"/>
      <c r="FD134" s="498" t="n"/>
      <c r="FE134" s="578" t="n"/>
      <c r="FF134" s="498" t="n"/>
      <c r="FG134" s="579" t="n"/>
      <c r="FH134" s="498" t="n"/>
      <c r="FI134" s="578" t="n"/>
      <c r="FJ134" s="498" t="n"/>
      <c r="FK134" s="579" t="n"/>
      <c r="FL134" s="498" t="n"/>
      <c r="FM134" s="578" t="n"/>
      <c r="FN134" s="498" t="n"/>
      <c r="FO134" s="579" t="n"/>
      <c r="FP134" s="498" t="n"/>
      <c r="FQ134" s="572" t="n"/>
      <c r="FR134" s="820" t="n"/>
      <c r="FS134" s="820">
        <f>SUMPRODUCT(--(MOD(COLUMN(DU134:ER134),4)=MOD(COLUMN(DU134),4)),DU134:ER134)*$I134+SUMPRODUCT(--(MOD(COLUMN(ES134:FP134),4)=MOD(COLUMN(ES134),4)),ES134:FP134)*$I134</f>
        <v/>
      </c>
      <c r="FT134" s="573" t="n"/>
    </row>
    <row r="135" outlineLevel="2" customFormat="1" s="574">
      <c r="A135" s="589" t="inlineStr">
        <is>
          <t>ПАО «Уралавтоприцеп»</t>
        </is>
      </c>
      <c r="B135" s="589" t="inlineStr">
        <is>
          <t>Отсрочка 30 дней</t>
        </is>
      </c>
      <c r="C135" s="590" t="inlineStr">
        <is>
          <t>ВБК РУС</t>
        </is>
      </c>
      <c r="D135" s="589" t="inlineStr">
        <is>
          <t>Прасолов, Соловьёв</t>
        </is>
      </c>
      <c r="E135" s="584">
        <f>IF(ISBLANK(G135),"",IF($A$6:$A$330=$A135,COUNTIF($A$6:A135,$A135),""))</f>
        <v/>
      </c>
      <c r="F135" s="566" t="inlineStr">
        <is>
          <t>S</t>
        </is>
      </c>
      <c r="G135" s="591" t="inlineStr">
        <is>
          <t>4006061140К1.</t>
        </is>
      </c>
      <c r="H135" s="609" t="inlineStr">
        <is>
          <t>Комплект "ABS 2S/2M базовый W" +3-й модулятор</t>
        </is>
      </c>
      <c r="I135" s="621">
        <f>5586.58/НДС</f>
        <v/>
      </c>
      <c r="J135" s="618" t="n"/>
      <c r="K135" s="874" t="n"/>
      <c r="L135" s="618">
        <f>IF(K135="RUB",J135/ЮАНЬ,IF(K135="EUR",J135*ЕВРО/ЮАНЬ,""))</f>
        <v/>
      </c>
      <c r="M135" s="875" t="n"/>
      <c r="N135" s="813">
        <f>IF(BP135&gt;0,1,IF(BN135&gt;0,2,))</f>
        <v/>
      </c>
      <c r="O135" s="569" t="n">
        <v>10</v>
      </c>
      <c r="P135" s="570" t="n"/>
      <c r="Q135" s="571" t="n">
        <v>0</v>
      </c>
      <c r="R135" s="570" t="n"/>
      <c r="S135" s="569" t="n">
        <v>10</v>
      </c>
      <c r="T135" s="570" t="n"/>
      <c r="U135" s="571" t="n">
        <v>0</v>
      </c>
      <c r="V135" s="570" t="n"/>
      <c r="W135" s="569" t="n">
        <v>10</v>
      </c>
      <c r="X135" s="570" t="n"/>
      <c r="Y135" s="571" t="n">
        <v>0</v>
      </c>
      <c r="Z135" s="570" t="n"/>
      <c r="AA135" s="569" t="n">
        <v>5</v>
      </c>
      <c r="AB135" s="570" t="n"/>
      <c r="AC135" s="571" t="n">
        <v>0</v>
      </c>
      <c r="AD135" s="570" t="n"/>
      <c r="AE135" s="569" t="n">
        <v>5</v>
      </c>
      <c r="AF135" s="570" t="n"/>
      <c r="AG135" s="571" t="n">
        <v>0</v>
      </c>
      <c r="AH135" s="570" t="n"/>
      <c r="AI135" s="569" t="n">
        <v>5</v>
      </c>
      <c r="AJ135" s="570" t="n"/>
      <c r="AK135" s="571" t="n">
        <v>0</v>
      </c>
      <c r="AL135" s="570" t="n"/>
      <c r="AM135" s="569" t="n">
        <v>5</v>
      </c>
      <c r="AN135" s="570" t="n"/>
      <c r="AO135" s="571" t="n">
        <v>0</v>
      </c>
      <c r="AP135" s="570" t="n"/>
      <c r="AQ135" s="569" t="n">
        <v>5</v>
      </c>
      <c r="AR135" s="570" t="n"/>
      <c r="AS135" s="571" t="n">
        <v>0</v>
      </c>
      <c r="AT135" s="570" t="n"/>
      <c r="AU135" s="569" t="n">
        <v>5</v>
      </c>
      <c r="AV135" s="570" t="n">
        <v>5</v>
      </c>
      <c r="AW135" s="571" t="n">
        <v>0</v>
      </c>
      <c r="AX135" s="570" t="n"/>
      <c r="AY135" s="569" t="n">
        <v>5</v>
      </c>
      <c r="AZ135" s="570" t="n">
        <v>5</v>
      </c>
      <c r="BA135" s="571" t="n">
        <v>0</v>
      </c>
      <c r="BB135" s="570" t="n"/>
      <c r="BC135" s="569" t="n">
        <v>5</v>
      </c>
      <c r="BD135" s="570" t="n">
        <v>5</v>
      </c>
      <c r="BE135" s="571" t="n">
        <v>0</v>
      </c>
      <c r="BF135" s="570" t="n"/>
      <c r="BG135" s="569" t="n">
        <v>5</v>
      </c>
      <c r="BH135" s="570" t="n">
        <v>5</v>
      </c>
      <c r="BI135" s="571" t="n">
        <v>0</v>
      </c>
      <c r="BJ135" s="570" t="n"/>
      <c r="BK135" s="572" t="n"/>
      <c r="BL135" s="803">
        <f>SUMPRODUCT(--(MOD(COLUMN($O135:$AL135),4)=MOD(COLUMN($O135)+0,4)),$O135:$AL135)
+SUMPRODUCT(--(MOD(COLUMN($AM135:$BJ135),4)=MOD(COLUMN($AM135)+0,4)),$AM135:$BJ135)</f>
        <v/>
      </c>
      <c r="BM135" s="803">
        <f>SUMPRODUCT(--(MOD(COLUMN($O135:$AL135),4)=MOD(COLUMN($O135)+0,4)),$O135:$AL135)*
$I135+SUMPRODUCT(--(MOD(COLUMN($AM135:$BJ135),4)=MOD(COLUMN($AM135)+0,4)),$AM135:$BJ135)*$I135</f>
        <v/>
      </c>
      <c r="BN135" s="805">
        <f>SUMPRODUCT(--(MOD(COLUMN($O135:$AL135),4)=MOD(COLUMN($O135)+1,4)),$O135:$AL135)
+SUMPRODUCT(--(MOD(COLUMN($AM135:$BJ135),4)=MOD(COLUMN($AM135)+1,4)),$AM135:$BJ135)</f>
        <v/>
      </c>
      <c r="BO135" s="806">
        <f>SUMPRODUCT(--(MOD(COLUMN($O135:$AL135),4)=MOD(COLUMN($O135)+1,4)),$O135:$AL135)*
$I135+SUMPRODUCT(--(MOD(COLUMN($AM135:$BJ135),4)=MOD(COLUMN($AM135)+1,4)),$AM135:$BJ135)*$I135</f>
        <v/>
      </c>
      <c r="BP135" s="807">
        <f>SUMPRODUCT(--(MOD(COLUMN($O135:$AL135),4)=MOD(COLUMN($O135)+2,4)),$O135:$AL135)
+SUMPRODUCT(--(MOD(COLUMN($AM135:$BJ135),4)=MOD(COLUMN($AM135)+2,4)),$AM135:$BJ135)</f>
        <v/>
      </c>
      <c r="BQ135" s="808">
        <f>SUMPRODUCT(--(MOD(COLUMN($O135:$AL135),4)=MOD(COLUMN($O135)+2,4)),$O135:$AL135)*
$I135+SUMPRODUCT(--(MOD(COLUMN($AM135:$BJ135),4)=MOD(COLUMN($AM135)+2,4)),$AM135:$BJ135)*$I135</f>
        <v/>
      </c>
      <c r="BR135" s="801" t="n"/>
      <c r="BS135" s="819" t="n"/>
      <c r="BT135" s="569" t="n">
        <v>10</v>
      </c>
      <c r="BU135" s="570" t="n"/>
      <c r="BV135" s="571" t="n">
        <v>0</v>
      </c>
      <c r="BW135" s="570" t="n"/>
      <c r="BX135" s="569" t="n">
        <v>10</v>
      </c>
      <c r="BY135" s="570" t="n"/>
      <c r="BZ135" s="571" t="n">
        <v>0</v>
      </c>
      <c r="CA135" s="570" t="n"/>
      <c r="CB135" s="569" t="n">
        <v>10</v>
      </c>
      <c r="CC135" s="570" t="n"/>
      <c r="CD135" s="571" t="n">
        <v>0</v>
      </c>
      <c r="CE135" s="570" t="n"/>
      <c r="CF135" s="569" t="n">
        <v>10</v>
      </c>
      <c r="CG135" s="570" t="n"/>
      <c r="CH135" s="571" t="n">
        <v>0</v>
      </c>
      <c r="CI135" s="570" t="n"/>
      <c r="CJ135" s="569" t="n">
        <v>10</v>
      </c>
      <c r="CK135" s="570" t="n"/>
      <c r="CL135" s="571" t="n">
        <v>0</v>
      </c>
      <c r="CM135" s="570" t="n"/>
      <c r="CN135" s="569" t="n">
        <v>10</v>
      </c>
      <c r="CO135" s="570" t="n"/>
      <c r="CP135" s="571" t="n">
        <v>0</v>
      </c>
      <c r="CQ135" s="570" t="n"/>
      <c r="CR135" s="569" t="n">
        <v>10</v>
      </c>
      <c r="CS135" s="570" t="n"/>
      <c r="CT135" s="571" t="n">
        <v>0</v>
      </c>
      <c r="CU135" s="570" t="n"/>
      <c r="CV135" s="569" t="n">
        <v>10</v>
      </c>
      <c r="CW135" s="570" t="n"/>
      <c r="CX135" s="571" t="n">
        <v>0</v>
      </c>
      <c r="CY135" s="570" t="n"/>
      <c r="CZ135" s="569" t="n">
        <v>10</v>
      </c>
      <c r="DA135" s="570" t="n"/>
      <c r="DB135" s="571" t="n">
        <v>0</v>
      </c>
      <c r="DC135" s="570" t="n"/>
      <c r="DD135" s="569" t="n">
        <v>10</v>
      </c>
      <c r="DE135" s="570" t="n"/>
      <c r="DF135" s="571" t="n">
        <v>0</v>
      </c>
      <c r="DG135" s="570" t="n"/>
      <c r="DH135" s="569" t="n">
        <v>10</v>
      </c>
      <c r="DI135" s="570" t="n"/>
      <c r="DJ135" s="571" t="n">
        <v>0</v>
      </c>
      <c r="DK135" s="570" t="n"/>
      <c r="DL135" s="569" t="n">
        <v>10</v>
      </c>
      <c r="DM135" s="570" t="n"/>
      <c r="DN135" s="571" t="n">
        <v>0</v>
      </c>
      <c r="DO135" s="570" t="n"/>
      <c r="DP135" s="572" t="n"/>
      <c r="DQ135" s="803">
        <f>SUMPRODUCT(--(MOD(COLUMN(BT135:CQ135),4)=MOD(COLUMN(BT135),4)),BT135:CQ135)+SUMPRODUCT(--(MOD(COLUMN(CR135:DO135),4)=MOD(COLUMN(CR135),4)),CR135:DO135)</f>
        <v/>
      </c>
      <c r="DR135" s="803">
        <f>SUMPRODUCT(--(MOD(COLUMN(BT135:CQ135),4)=MOD(COLUMN(BT135),4)),BT135:CQ135)*$I135+SUMPRODUCT(--(MOD(COLUMN(CR135:DO135),4)=MOD(COLUMN(CR135),4)),CR135:DO135)*$I135</f>
        <v/>
      </c>
      <c r="DS135" s="801" t="n"/>
      <c r="DT135" s="819" t="n"/>
      <c r="DU135" s="569" t="n">
        <v>10</v>
      </c>
      <c r="DV135" s="570" t="n"/>
      <c r="DW135" s="571" t="n">
        <v>0</v>
      </c>
      <c r="DX135" s="570" t="n"/>
      <c r="DY135" s="569" t="n">
        <v>10</v>
      </c>
      <c r="DZ135" s="570" t="n"/>
      <c r="EA135" s="571" t="n">
        <v>0</v>
      </c>
      <c r="EB135" s="570" t="n"/>
      <c r="EC135" s="569" t="n">
        <v>10</v>
      </c>
      <c r="ED135" s="570" t="n"/>
      <c r="EE135" s="571" t="n">
        <v>0</v>
      </c>
      <c r="EF135" s="570" t="n"/>
      <c r="EG135" s="569" t="n">
        <v>10</v>
      </c>
      <c r="EH135" s="570" t="n"/>
      <c r="EI135" s="571" t="n">
        <v>0</v>
      </c>
      <c r="EJ135" s="570" t="n"/>
      <c r="EK135" s="569" t="n">
        <v>10</v>
      </c>
      <c r="EL135" s="570" t="n"/>
      <c r="EM135" s="571" t="n">
        <v>0</v>
      </c>
      <c r="EN135" s="570" t="n"/>
      <c r="EO135" s="569" t="n">
        <v>10</v>
      </c>
      <c r="EP135" s="570" t="n"/>
      <c r="EQ135" s="571" t="n">
        <v>0</v>
      </c>
      <c r="ER135" s="570" t="n"/>
      <c r="ES135" s="569" t="n">
        <v>10</v>
      </c>
      <c r="ET135" s="570" t="n"/>
      <c r="EU135" s="571" t="n">
        <v>0</v>
      </c>
      <c r="EV135" s="570" t="n"/>
      <c r="EW135" s="569" t="n">
        <v>10</v>
      </c>
      <c r="EX135" s="570" t="n"/>
      <c r="EY135" s="571" t="n">
        <v>0</v>
      </c>
      <c r="EZ135" s="570" t="n"/>
      <c r="FA135" s="569" t="n">
        <v>10</v>
      </c>
      <c r="FB135" s="570" t="n"/>
      <c r="FC135" s="571" t="n">
        <v>0</v>
      </c>
      <c r="FD135" s="570" t="n"/>
      <c r="FE135" s="569" t="n">
        <v>10</v>
      </c>
      <c r="FF135" s="570" t="n"/>
      <c r="FG135" s="571" t="n">
        <v>0</v>
      </c>
      <c r="FH135" s="570" t="n"/>
      <c r="FI135" s="569" t="n">
        <v>10</v>
      </c>
      <c r="FJ135" s="570" t="n"/>
      <c r="FK135" s="571" t="n">
        <v>0</v>
      </c>
      <c r="FL135" s="570" t="n"/>
      <c r="FM135" s="569" t="n">
        <v>10</v>
      </c>
      <c r="FN135" s="570" t="n"/>
      <c r="FO135" s="571" t="n">
        <v>0</v>
      </c>
      <c r="FP135" s="570" t="n"/>
      <c r="FQ135" s="572" t="n"/>
      <c r="FR135" s="803">
        <f>SUMPRODUCT(--(MOD(COLUMN(DU135:ER135),4)=MOD(COLUMN(DU135),4)),DU135:ER135)+SUMPRODUCT(--(MOD(COLUMN(ES135:FP135),4)=MOD(COLUMN(ES135),4)),ES135:FP135)</f>
        <v/>
      </c>
      <c r="FS135" s="803">
        <f>SUMPRODUCT(--(MOD(COLUMN(DU135:ER135),4)=MOD(COLUMN(DU135),4)),DU135:ER135)*$I135+SUMPRODUCT(--(MOD(COLUMN(ES135:FP135),4)=MOD(COLUMN(ES135),4)),ES135:FP135)*$I135</f>
        <v/>
      </c>
      <c r="FT135" s="573" t="n"/>
    </row>
    <row r="136" outlineLevel="2" customFormat="1" s="574">
      <c r="A136" s="580" t="inlineStr">
        <is>
          <t>ПАО «Уралавтоприцеп»</t>
        </is>
      </c>
      <c r="B136" s="580" t="inlineStr">
        <is>
          <t>Отсрочка 30 дней</t>
        </is>
      </c>
      <c r="C136" s="587" t="inlineStr">
        <is>
          <t>ВБК РУС</t>
        </is>
      </c>
      <c r="D136" s="580" t="inlineStr">
        <is>
          <t>Прасолов, Соловьёв</t>
        </is>
      </c>
      <c r="E136" s="588">
        <f>IF(ISBLANK(G136),"",IF($A$6:$A$330=$A136,COUNTIF($A$6:A136,$A136),""))</f>
        <v/>
      </c>
      <c r="F136" s="671" t="inlineStr">
        <is>
          <t>S</t>
        </is>
      </c>
      <c r="G136" s="331" t="n">
        <v>4441000160</v>
      </c>
      <c r="H136" s="606" t="inlineStr">
        <is>
          <t>Комплект базовый "ABS W 4S/3M (15 м)"</t>
        </is>
      </c>
      <c r="I136" s="621">
        <f>5586.58/НДС</f>
        <v/>
      </c>
      <c r="J136" s="619" t="n"/>
      <c r="K136" s="876" t="n"/>
      <c r="L136" s="619" t="n"/>
      <c r="M136" s="813" t="n"/>
      <c r="N136" s="813">
        <f>IF(BP136&gt;0,1,IF(BN136&gt;0,2,))</f>
        <v/>
      </c>
      <c r="O136" s="578" t="n"/>
      <c r="P136" s="498" t="n"/>
      <c r="Q136" s="579" t="n"/>
      <c r="R136" s="498" t="n"/>
      <c r="S136" s="578" t="n"/>
      <c r="T136" s="498" t="n"/>
      <c r="U136" s="579" t="n"/>
      <c r="V136" s="498" t="n"/>
      <c r="W136" s="578" t="n"/>
      <c r="X136" s="498" t="n"/>
      <c r="Y136" s="579" t="n"/>
      <c r="Z136" s="498" t="n"/>
      <c r="AA136" s="578" t="n"/>
      <c r="AB136" s="498" t="n"/>
      <c r="AC136" s="579" t="n"/>
      <c r="AD136" s="498" t="n"/>
      <c r="AE136" s="578" t="n"/>
      <c r="AF136" s="498" t="n"/>
      <c r="AG136" s="579" t="n"/>
      <c r="AH136" s="498" t="n"/>
      <c r="AI136" s="578" t="n"/>
      <c r="AJ136" s="498" t="n">
        <v>5</v>
      </c>
      <c r="AK136" s="579" t="n">
        <v>0</v>
      </c>
      <c r="AL136" s="498" t="n"/>
      <c r="AM136" s="578" t="n"/>
      <c r="AN136" s="498" t="n">
        <v>5</v>
      </c>
      <c r="AO136" s="579" t="n">
        <v>0</v>
      </c>
      <c r="AP136" s="498" t="n"/>
      <c r="AQ136" s="578" t="n"/>
      <c r="AR136" s="498" t="n">
        <v>5</v>
      </c>
      <c r="AS136" s="579" t="n">
        <v>0</v>
      </c>
      <c r="AT136" s="498" t="n"/>
      <c r="AU136" s="578" t="n"/>
      <c r="AV136" s="498" t="n"/>
      <c r="AW136" s="579" t="n"/>
      <c r="AX136" s="498" t="n"/>
      <c r="AY136" s="578" t="n"/>
      <c r="AZ136" s="498" t="n"/>
      <c r="BA136" s="579" t="n"/>
      <c r="BB136" s="498" t="n"/>
      <c r="BC136" s="578" t="n"/>
      <c r="BD136" s="498" t="n"/>
      <c r="BE136" s="579" t="n"/>
      <c r="BF136" s="498" t="n"/>
      <c r="BG136" s="578" t="n"/>
      <c r="BH136" s="498" t="n"/>
      <c r="BI136" s="579" t="n"/>
      <c r="BJ136" s="498" t="n"/>
      <c r="BK136" s="572" t="n"/>
      <c r="BL136" s="820">
        <f>SUMPRODUCT(--(MOD(COLUMN($O136:$AL136),4)=MOD(COLUMN($O136)+0,4)),$O136:$AL136)
+SUMPRODUCT(--(MOD(COLUMN($AM136:$BJ136),4)=MOD(COLUMN($AM136)+0,4)),$AM136:$BJ136)</f>
        <v/>
      </c>
      <c r="BM136" s="820">
        <f>SUMPRODUCT(--(MOD(COLUMN($O136:$AL136),4)=MOD(COLUMN($O136)+0,4)),$O136:$AL136)*
$I136+SUMPRODUCT(--(MOD(COLUMN($AM136:$BJ136),4)=MOD(COLUMN($AM136)+0,4)),$AM136:$BJ136)*$I136</f>
        <v/>
      </c>
      <c r="BN136" s="822">
        <f>SUMPRODUCT(--(MOD(COLUMN($O136:$AL136),4)=MOD(COLUMN($O136)+1,4)),$O136:$AL136)
+SUMPRODUCT(--(MOD(COLUMN($AM136:$BJ136),4)=MOD(COLUMN($AM136)+1,4)),$AM136:$BJ136)</f>
        <v/>
      </c>
      <c r="BO136" s="823">
        <f>SUMPRODUCT(--(MOD(COLUMN($O136:$AL136),4)=MOD(COLUMN($O136)+1,4)),$O136:$AL136)*
$I136+SUMPRODUCT(--(MOD(COLUMN($AM136:$BJ136),4)=MOD(COLUMN($AM136)+1,4)),$AM136:$BJ136)*$I136</f>
        <v/>
      </c>
      <c r="BP136" s="824">
        <f>SUMPRODUCT(--(MOD(COLUMN($O136:$AL136),4)=MOD(COLUMN($O136)+2,4)),$O136:$AL136)
+SUMPRODUCT(--(MOD(COLUMN($AM136:$BJ136),4)=MOD(COLUMN($AM136)+2,4)),$AM136:$BJ136)</f>
        <v/>
      </c>
      <c r="BQ136" s="825">
        <f>SUMPRODUCT(--(MOD(COLUMN($O136:$AL136),4)=MOD(COLUMN($O136)+2,4)),$O136:$AL136)*
$I136+SUMPRODUCT(--(MOD(COLUMN($AM136:$BJ136),4)=MOD(COLUMN($AM136)+2,4)),$AM136:$BJ136)*$I136</f>
        <v/>
      </c>
      <c r="BR136" s="819" t="n"/>
      <c r="BS136" s="819" t="n"/>
      <c r="BT136" s="578" t="n"/>
      <c r="BU136" s="498" t="n"/>
      <c r="BV136" s="579" t="n"/>
      <c r="BW136" s="498" t="n"/>
      <c r="BX136" s="578" t="n"/>
      <c r="BY136" s="498" t="n"/>
      <c r="BZ136" s="579" t="n"/>
      <c r="CA136" s="498" t="n"/>
      <c r="CB136" s="578" t="n"/>
      <c r="CC136" s="498" t="n"/>
      <c r="CD136" s="579" t="n"/>
      <c r="CE136" s="498" t="n"/>
      <c r="CF136" s="578" t="n"/>
      <c r="CG136" s="498" t="n"/>
      <c r="CH136" s="579" t="n"/>
      <c r="CI136" s="498" t="n"/>
      <c r="CJ136" s="578" t="n"/>
      <c r="CK136" s="498" t="n"/>
      <c r="CL136" s="579" t="n"/>
      <c r="CM136" s="498" t="n"/>
      <c r="CN136" s="578" t="n"/>
      <c r="CO136" s="498" t="n"/>
      <c r="CP136" s="579" t="n"/>
      <c r="CQ136" s="498" t="n"/>
      <c r="CR136" s="578" t="n"/>
      <c r="CS136" s="498" t="n"/>
      <c r="CT136" s="579" t="n"/>
      <c r="CU136" s="498" t="n"/>
      <c r="CV136" s="578" t="n"/>
      <c r="CW136" s="498" t="n"/>
      <c r="CX136" s="579" t="n"/>
      <c r="CY136" s="498" t="n"/>
      <c r="CZ136" s="578" t="n"/>
      <c r="DA136" s="498" t="n"/>
      <c r="DB136" s="579" t="n"/>
      <c r="DC136" s="498" t="n"/>
      <c r="DD136" s="578" t="n"/>
      <c r="DE136" s="498" t="n"/>
      <c r="DF136" s="579" t="n"/>
      <c r="DG136" s="498" t="n"/>
      <c r="DH136" s="578" t="n"/>
      <c r="DI136" s="498" t="n"/>
      <c r="DJ136" s="579" t="n"/>
      <c r="DK136" s="498" t="n"/>
      <c r="DL136" s="578" t="n"/>
      <c r="DM136" s="498" t="n"/>
      <c r="DN136" s="579" t="n"/>
      <c r="DO136" s="498" t="n"/>
      <c r="DP136" s="572" t="n"/>
      <c r="DQ136" s="820" t="n"/>
      <c r="DR136" s="820">
        <f>SUMPRODUCT(--(MOD(COLUMN(BT136:CQ136),4)=MOD(COLUMN(BT136),4)),BT136:CQ136)*$I136+SUMPRODUCT(--(MOD(COLUMN(CR136:DO136),4)=MOD(COLUMN(CR136),4)),CR136:DO136)*$I136</f>
        <v/>
      </c>
      <c r="DS136" s="819" t="n"/>
      <c r="DT136" s="819" t="n"/>
      <c r="DU136" s="578" t="n"/>
      <c r="DV136" s="498" t="n"/>
      <c r="DW136" s="579" t="n"/>
      <c r="DX136" s="498" t="n"/>
      <c r="DY136" s="578" t="n"/>
      <c r="DZ136" s="498" t="n"/>
      <c r="EA136" s="579" t="n"/>
      <c r="EB136" s="498" t="n"/>
      <c r="EC136" s="578" t="n"/>
      <c r="ED136" s="498" t="n"/>
      <c r="EE136" s="579" t="n"/>
      <c r="EF136" s="498" t="n"/>
      <c r="EG136" s="578" t="n"/>
      <c r="EH136" s="498" t="n"/>
      <c r="EI136" s="579" t="n"/>
      <c r="EJ136" s="498" t="n"/>
      <c r="EK136" s="578" t="n"/>
      <c r="EL136" s="498" t="n"/>
      <c r="EM136" s="579" t="n"/>
      <c r="EN136" s="498" t="n"/>
      <c r="EO136" s="578" t="n"/>
      <c r="EP136" s="498" t="n"/>
      <c r="EQ136" s="579" t="n"/>
      <c r="ER136" s="498" t="n"/>
      <c r="ES136" s="578" t="n"/>
      <c r="ET136" s="498" t="n"/>
      <c r="EU136" s="579" t="n"/>
      <c r="EV136" s="498" t="n"/>
      <c r="EW136" s="578" t="n"/>
      <c r="EX136" s="498" t="n"/>
      <c r="EY136" s="579" t="n"/>
      <c r="EZ136" s="498" t="n"/>
      <c r="FA136" s="578" t="n"/>
      <c r="FB136" s="498" t="n"/>
      <c r="FC136" s="579" t="n"/>
      <c r="FD136" s="498" t="n"/>
      <c r="FE136" s="578" t="n"/>
      <c r="FF136" s="498" t="n"/>
      <c r="FG136" s="579" t="n"/>
      <c r="FH136" s="498" t="n"/>
      <c r="FI136" s="578" t="n"/>
      <c r="FJ136" s="498" t="n"/>
      <c r="FK136" s="579" t="n"/>
      <c r="FL136" s="498" t="n"/>
      <c r="FM136" s="578" t="n"/>
      <c r="FN136" s="498" t="n"/>
      <c r="FO136" s="579" t="n"/>
      <c r="FP136" s="498" t="n"/>
      <c r="FQ136" s="572" t="n"/>
      <c r="FR136" s="820" t="n"/>
      <c r="FS136" s="820">
        <f>SUMPRODUCT(--(MOD(COLUMN(DU136:ER136),4)=MOD(COLUMN(DU136),4)),DU136:ER136)*$I136+SUMPRODUCT(--(MOD(COLUMN(ES136:FP136),4)=MOD(COLUMN(ES136),4)),ES136:FP136)*$I136</f>
        <v/>
      </c>
      <c r="FT136" s="573" t="n"/>
    </row>
    <row r="137" outlineLevel="2" customFormat="1" s="574">
      <c r="A137" s="580" t="inlineStr">
        <is>
          <t>ПАО «Уралавтоприцеп»</t>
        </is>
      </c>
      <c r="B137" s="580" t="inlineStr">
        <is>
          <t>Отсрочка 30 дней</t>
        </is>
      </c>
      <c r="C137" s="587" t="inlineStr">
        <is>
          <t>ВБК РУС</t>
        </is>
      </c>
      <c r="D137" s="580" t="inlineStr">
        <is>
          <t>Прасолов, Соловьёв</t>
        </is>
      </c>
      <c r="E137" s="588">
        <f>IF(ISBLANK(G137),"",IF($A$6:$A$330=$A137,COUNTIF($A$6:A137,$A137),""))</f>
        <v/>
      </c>
      <c r="F137" s="671" t="inlineStr">
        <is>
          <t>S</t>
        </is>
      </c>
      <c r="G137" s="331" t="n">
        <v>4441000500</v>
      </c>
      <c r="H137" s="606" t="inlineStr">
        <is>
          <t>Комплект базовый "ABS W 4S/3M (15 м)"</t>
        </is>
      </c>
      <c r="I137" s="621">
        <f>5586.58/НДС</f>
        <v/>
      </c>
      <c r="J137" s="619" t="n"/>
      <c r="K137" s="876" t="n"/>
      <c r="L137" s="619" t="n"/>
      <c r="M137" s="813" t="n"/>
      <c r="N137" s="813">
        <f>IF(BP137&gt;0,1,IF(BN137&gt;0,2,))</f>
        <v/>
      </c>
      <c r="O137" s="578" t="n"/>
      <c r="P137" s="498">
        <f>8</f>
        <v/>
      </c>
      <c r="Q137" s="579" t="n">
        <v>8</v>
      </c>
      <c r="R137" s="498" t="n"/>
      <c r="S137" s="578" t="n"/>
      <c r="T137" s="498">
        <f>5+5</f>
        <v/>
      </c>
      <c r="U137" s="579" t="n">
        <v>10</v>
      </c>
      <c r="V137" s="498" t="n"/>
      <c r="W137" s="578" t="n"/>
      <c r="X137" s="498">
        <f>5</f>
        <v/>
      </c>
      <c r="Y137" s="579" t="n">
        <v>5</v>
      </c>
      <c r="Z137" s="498" t="n"/>
      <c r="AA137" s="578" t="n"/>
      <c r="AB137" s="498" t="n"/>
      <c r="AC137" s="579" t="n"/>
      <c r="AD137" s="498" t="n"/>
      <c r="AE137" s="578" t="n"/>
      <c r="AF137" s="498" t="n"/>
      <c r="AG137" s="579" t="n"/>
      <c r="AH137" s="498" t="n"/>
      <c r="AI137" s="578" t="n"/>
      <c r="AJ137" s="498" t="n"/>
      <c r="AK137" s="579" t="n"/>
      <c r="AL137" s="498" t="n"/>
      <c r="AM137" s="578" t="n"/>
      <c r="AN137" s="498" t="n"/>
      <c r="AO137" s="579" t="n"/>
      <c r="AP137" s="498" t="n"/>
      <c r="AQ137" s="578" t="n"/>
      <c r="AR137" s="498" t="n"/>
      <c r="AS137" s="579" t="n"/>
      <c r="AT137" s="498" t="n"/>
      <c r="AU137" s="578" t="n"/>
      <c r="AV137" s="498" t="n"/>
      <c r="AW137" s="579" t="n"/>
      <c r="AX137" s="498" t="n"/>
      <c r="AY137" s="578" t="n"/>
      <c r="AZ137" s="498" t="n"/>
      <c r="BA137" s="579" t="n"/>
      <c r="BB137" s="498" t="n"/>
      <c r="BC137" s="578" t="n"/>
      <c r="BD137" s="498" t="n"/>
      <c r="BE137" s="579" t="n"/>
      <c r="BF137" s="498" t="n"/>
      <c r="BG137" s="578" t="n"/>
      <c r="BH137" s="498" t="n"/>
      <c r="BI137" s="579" t="n"/>
      <c r="BJ137" s="498" t="n"/>
      <c r="BK137" s="572" t="n"/>
      <c r="BL137" s="820">
        <f>SUMPRODUCT(--(MOD(COLUMN($O137:$AL137),4)=MOD(COLUMN($O137)+0,4)),$O137:$AL137)
+SUMPRODUCT(--(MOD(COLUMN($AM137:$BJ137),4)=MOD(COLUMN($AM137)+0,4)),$AM137:$BJ137)</f>
        <v/>
      </c>
      <c r="BM137" s="820">
        <f>SUMPRODUCT(--(MOD(COLUMN($O137:$AL137),4)=MOD(COLUMN($O137)+0,4)),$O137:$AL137)*
$I137+SUMPRODUCT(--(MOD(COLUMN($AM137:$BJ137),4)=MOD(COLUMN($AM137)+0,4)),$AM137:$BJ137)*$I137</f>
        <v/>
      </c>
      <c r="BN137" s="822">
        <f>SUMPRODUCT(--(MOD(COLUMN($O137:$AL137),4)=MOD(COLUMN($O137)+1,4)),$O137:$AL137)
+SUMPRODUCT(--(MOD(COLUMN($AM137:$BJ137),4)=MOD(COLUMN($AM137)+1,4)),$AM137:$BJ137)</f>
        <v/>
      </c>
      <c r="BO137" s="823">
        <f>SUMPRODUCT(--(MOD(COLUMN($O137:$AL137),4)=MOD(COLUMN($O137)+1,4)),$O137:$AL137)*
$I137+SUMPRODUCT(--(MOD(COLUMN($AM137:$BJ137),4)=MOD(COLUMN($AM137)+1,4)),$AM137:$BJ137)*$I137</f>
        <v/>
      </c>
      <c r="BP137" s="824">
        <f>SUMPRODUCT(--(MOD(COLUMN($O137:$AL137),4)=MOD(COLUMN($O137)+2,4)),$O137:$AL137)
+SUMPRODUCT(--(MOD(COLUMN($AM137:$BJ137),4)=MOD(COLUMN($AM137)+2,4)),$AM137:$BJ137)</f>
        <v/>
      </c>
      <c r="BQ137" s="825">
        <f>SUMPRODUCT(--(MOD(COLUMN($O137:$AL137),4)=MOD(COLUMN($O137)+2,4)),$O137:$AL137)*
$I137+SUMPRODUCT(--(MOD(COLUMN($AM137:$BJ137),4)=MOD(COLUMN($AM137)+2,4)),$AM137:$BJ137)*$I137</f>
        <v/>
      </c>
      <c r="BR137" s="819" t="n"/>
      <c r="BS137" s="819" t="n"/>
      <c r="BT137" s="578" t="n"/>
      <c r="BU137" s="498" t="n"/>
      <c r="BV137" s="579" t="n"/>
      <c r="BW137" s="498" t="n"/>
      <c r="BX137" s="578" t="n"/>
      <c r="BY137" s="498" t="n"/>
      <c r="BZ137" s="579" t="n"/>
      <c r="CA137" s="498" t="n"/>
      <c r="CB137" s="578" t="n"/>
      <c r="CC137" s="498" t="n"/>
      <c r="CD137" s="579" t="n"/>
      <c r="CE137" s="498" t="n"/>
      <c r="CF137" s="578" t="n"/>
      <c r="CG137" s="498" t="n"/>
      <c r="CH137" s="579" t="n"/>
      <c r="CI137" s="498" t="n"/>
      <c r="CJ137" s="578" t="n"/>
      <c r="CK137" s="498" t="n"/>
      <c r="CL137" s="579" t="n"/>
      <c r="CM137" s="498" t="n"/>
      <c r="CN137" s="578" t="n"/>
      <c r="CO137" s="498" t="n"/>
      <c r="CP137" s="579" t="n"/>
      <c r="CQ137" s="498" t="n"/>
      <c r="CR137" s="578" t="n"/>
      <c r="CS137" s="498" t="n"/>
      <c r="CT137" s="579" t="n"/>
      <c r="CU137" s="498" t="n"/>
      <c r="CV137" s="578" t="n"/>
      <c r="CW137" s="498" t="n"/>
      <c r="CX137" s="579" t="n"/>
      <c r="CY137" s="498" t="n"/>
      <c r="CZ137" s="578" t="n"/>
      <c r="DA137" s="498" t="n"/>
      <c r="DB137" s="579" t="n"/>
      <c r="DC137" s="498" t="n"/>
      <c r="DD137" s="578" t="n"/>
      <c r="DE137" s="498" t="n"/>
      <c r="DF137" s="579" t="n"/>
      <c r="DG137" s="498" t="n"/>
      <c r="DH137" s="578" t="n"/>
      <c r="DI137" s="498" t="n"/>
      <c r="DJ137" s="579" t="n"/>
      <c r="DK137" s="498" t="n"/>
      <c r="DL137" s="578" t="n"/>
      <c r="DM137" s="498" t="n"/>
      <c r="DN137" s="579" t="n"/>
      <c r="DO137" s="498" t="n"/>
      <c r="DP137" s="572" t="n"/>
      <c r="DQ137" s="820" t="n"/>
      <c r="DR137" s="820">
        <f>SUMPRODUCT(--(MOD(COLUMN(BT137:CQ137),4)=MOD(COLUMN(BT137),4)),BT137:CQ137)*$I137+SUMPRODUCT(--(MOD(COLUMN(CR137:DO137),4)=MOD(COLUMN(CR137),4)),CR137:DO137)*$I137</f>
        <v/>
      </c>
      <c r="DS137" s="819" t="n"/>
      <c r="DT137" s="819" t="n"/>
      <c r="DU137" s="578" t="n"/>
      <c r="DV137" s="498" t="n"/>
      <c r="DW137" s="579" t="n"/>
      <c r="DX137" s="498" t="n"/>
      <c r="DY137" s="578" t="n"/>
      <c r="DZ137" s="498" t="n"/>
      <c r="EA137" s="579" t="n"/>
      <c r="EB137" s="498" t="n"/>
      <c r="EC137" s="578" t="n"/>
      <c r="ED137" s="498" t="n"/>
      <c r="EE137" s="579" t="n"/>
      <c r="EF137" s="498" t="n"/>
      <c r="EG137" s="578" t="n"/>
      <c r="EH137" s="498" t="n"/>
      <c r="EI137" s="579" t="n"/>
      <c r="EJ137" s="498" t="n"/>
      <c r="EK137" s="578" t="n"/>
      <c r="EL137" s="498" t="n"/>
      <c r="EM137" s="579" t="n"/>
      <c r="EN137" s="498" t="n"/>
      <c r="EO137" s="578" t="n"/>
      <c r="EP137" s="498" t="n"/>
      <c r="EQ137" s="579" t="n"/>
      <c r="ER137" s="498" t="n"/>
      <c r="ES137" s="578" t="n"/>
      <c r="ET137" s="498" t="n"/>
      <c r="EU137" s="579" t="n"/>
      <c r="EV137" s="498" t="n"/>
      <c r="EW137" s="578" t="n"/>
      <c r="EX137" s="498" t="n"/>
      <c r="EY137" s="579" t="n"/>
      <c r="EZ137" s="498" t="n"/>
      <c r="FA137" s="578" t="n"/>
      <c r="FB137" s="498" t="n"/>
      <c r="FC137" s="579" t="n"/>
      <c r="FD137" s="498" t="n"/>
      <c r="FE137" s="578" t="n"/>
      <c r="FF137" s="498" t="n"/>
      <c r="FG137" s="579" t="n"/>
      <c r="FH137" s="498" t="n"/>
      <c r="FI137" s="578" t="n"/>
      <c r="FJ137" s="498" t="n"/>
      <c r="FK137" s="579" t="n"/>
      <c r="FL137" s="498" t="n"/>
      <c r="FM137" s="578" t="n"/>
      <c r="FN137" s="498" t="n"/>
      <c r="FO137" s="579" t="n"/>
      <c r="FP137" s="498" t="n"/>
      <c r="FQ137" s="572" t="n"/>
      <c r="FR137" s="820" t="n"/>
      <c r="FS137" s="820">
        <f>SUMPRODUCT(--(MOD(COLUMN(DU137:ER137),4)=MOD(COLUMN(DU137),4)),DU137:ER137)*$I137+SUMPRODUCT(--(MOD(COLUMN(ES137:FP137),4)=MOD(COLUMN(ES137),4)),ES137:FP137)*$I137</f>
        <v/>
      </c>
      <c r="FT137" s="573" t="n"/>
    </row>
    <row r="138" outlineLevel="2" customFormat="1" s="574">
      <c r="A138" s="580" t="inlineStr">
        <is>
          <t>ПАО «Уралавтоприцеп»</t>
        </is>
      </c>
      <c r="B138" s="580" t="inlineStr">
        <is>
          <t>Отсрочка 30 дней</t>
        </is>
      </c>
      <c r="C138" s="587" t="inlineStr">
        <is>
          <t>ВБК РУС</t>
        </is>
      </c>
      <c r="D138" s="580" t="inlineStr">
        <is>
          <t>Прасолов, Соловьёв</t>
        </is>
      </c>
      <c r="E138" s="588">
        <f>IF(ISBLANK(G138),"",IF($A$6:$A$330=$A138,COUNTIF($A$6:A138,$A138),""))</f>
        <v/>
      </c>
      <c r="F138" s="671" t="inlineStr">
        <is>
          <t>S</t>
        </is>
      </c>
      <c r="G138" s="331" t="n">
        <v>4441000090</v>
      </c>
      <c r="H138" s="606" t="inlineStr">
        <is>
          <t>Комплект базовый "ABS W 4S/3M (12 м)"</t>
        </is>
      </c>
      <c r="I138" s="621">
        <f>5586.58/НДС</f>
        <v/>
      </c>
      <c r="J138" s="619" t="n"/>
      <c r="K138" s="876" t="n"/>
      <c r="L138" s="619" t="n"/>
      <c r="M138" s="813" t="n"/>
      <c r="N138" s="813">
        <f>IF(BP138&gt;0,1,IF(BN138&gt;0,2,))</f>
        <v/>
      </c>
      <c r="O138" s="578" t="n"/>
      <c r="P138" s="498" t="n"/>
      <c r="Q138" s="579" t="n"/>
      <c r="R138" s="498" t="n"/>
      <c r="S138" s="578" t="n"/>
      <c r="T138" s="498" t="n"/>
      <c r="U138" s="579" t="n"/>
      <c r="V138" s="498" t="n"/>
      <c r="W138" s="578" t="n"/>
      <c r="X138" s="498" t="n"/>
      <c r="Y138" s="579" t="n"/>
      <c r="Z138" s="498" t="n"/>
      <c r="AA138" s="578" t="n"/>
      <c r="AB138" s="498" t="n"/>
      <c r="AC138" s="579" t="n"/>
      <c r="AD138" s="498" t="n"/>
      <c r="AE138" s="578" t="n"/>
      <c r="AF138" s="498" t="n"/>
      <c r="AG138" s="579" t="n"/>
      <c r="AH138" s="498" t="n"/>
      <c r="AI138" s="578" t="n"/>
      <c r="AJ138" s="498" t="n"/>
      <c r="AK138" s="579" t="n"/>
      <c r="AL138" s="498" t="n"/>
      <c r="AM138" s="578" t="n"/>
      <c r="AN138" s="498" t="n"/>
      <c r="AO138" s="579" t="n"/>
      <c r="AP138" s="498" t="n"/>
      <c r="AQ138" s="578" t="n"/>
      <c r="AR138" s="498" t="n"/>
      <c r="AS138" s="579" t="n"/>
      <c r="AT138" s="498" t="n"/>
      <c r="AU138" s="578" t="n"/>
      <c r="AV138" s="498" t="n"/>
      <c r="AW138" s="579" t="n"/>
      <c r="AX138" s="498" t="n"/>
      <c r="AY138" s="578" t="n"/>
      <c r="AZ138" s="498" t="n"/>
      <c r="BA138" s="579" t="n"/>
      <c r="BB138" s="498" t="n"/>
      <c r="BC138" s="578" t="n"/>
      <c r="BD138" s="498" t="n"/>
      <c r="BE138" s="579" t="n"/>
      <c r="BF138" s="498" t="n"/>
      <c r="BG138" s="578" t="n"/>
      <c r="BH138" s="498" t="n"/>
      <c r="BI138" s="579" t="n"/>
      <c r="BJ138" s="498" t="n"/>
      <c r="BK138" s="572" t="n"/>
      <c r="BL138" s="820">
        <f>SUMPRODUCT(--(MOD(COLUMN($O138:$AL138),4)=MOD(COLUMN($O138)+0,4)),$O138:$AL138)
+SUMPRODUCT(--(MOD(COLUMN($AM138:$BJ138),4)=MOD(COLUMN($AM138)+0,4)),$AM138:$BJ138)</f>
        <v/>
      </c>
      <c r="BM138" s="820">
        <f>SUMPRODUCT(--(MOD(COLUMN($O138:$AL138),4)=MOD(COLUMN($O138)+0,4)),$O138:$AL138)*
$I138+SUMPRODUCT(--(MOD(COLUMN($AM138:$BJ138),4)=MOD(COLUMN($AM138)+0,4)),$AM138:$BJ138)*$I138</f>
        <v/>
      </c>
      <c r="BN138" s="822">
        <f>SUMPRODUCT(--(MOD(COLUMN($O138:$AL138),4)=MOD(COLUMN($O138)+1,4)),$O138:$AL138)
+SUMPRODUCT(--(MOD(COLUMN($AM138:$BJ138),4)=MOD(COLUMN($AM138)+1,4)),$AM138:$BJ138)</f>
        <v/>
      </c>
      <c r="BO138" s="823">
        <f>SUMPRODUCT(--(MOD(COLUMN($O138:$AL138),4)=MOD(COLUMN($O138)+1,4)),$O138:$AL138)*
$I138+SUMPRODUCT(--(MOD(COLUMN($AM138:$BJ138),4)=MOD(COLUMN($AM138)+1,4)),$AM138:$BJ138)*$I138</f>
        <v/>
      </c>
      <c r="BP138" s="824">
        <f>SUMPRODUCT(--(MOD(COLUMN($O138:$AL138),4)=MOD(COLUMN($O138)+2,4)),$O138:$AL138)
+SUMPRODUCT(--(MOD(COLUMN($AM138:$BJ138),4)=MOD(COLUMN($AM138)+2,4)),$AM138:$BJ138)</f>
        <v/>
      </c>
      <c r="BQ138" s="825">
        <f>SUMPRODUCT(--(MOD(COLUMN($O138:$AL138),4)=MOD(COLUMN($O138)+2,4)),$O138:$AL138)*
$I138+SUMPRODUCT(--(MOD(COLUMN($AM138:$BJ138),4)=MOD(COLUMN($AM138)+2,4)),$AM138:$BJ138)*$I138</f>
        <v/>
      </c>
      <c r="BR138" s="819" t="n"/>
      <c r="BS138" s="819" t="n"/>
      <c r="BT138" s="578" t="n"/>
      <c r="BU138" s="498" t="n"/>
      <c r="BV138" s="579" t="n"/>
      <c r="BW138" s="498" t="n"/>
      <c r="BX138" s="578" t="n"/>
      <c r="BY138" s="498" t="n"/>
      <c r="BZ138" s="579" t="n"/>
      <c r="CA138" s="498" t="n"/>
      <c r="CB138" s="578" t="n"/>
      <c r="CC138" s="498" t="n"/>
      <c r="CD138" s="579" t="n"/>
      <c r="CE138" s="498" t="n"/>
      <c r="CF138" s="578" t="n"/>
      <c r="CG138" s="498" t="n"/>
      <c r="CH138" s="579" t="n"/>
      <c r="CI138" s="498" t="n"/>
      <c r="CJ138" s="578" t="n"/>
      <c r="CK138" s="498" t="n"/>
      <c r="CL138" s="579" t="n"/>
      <c r="CM138" s="498" t="n"/>
      <c r="CN138" s="578" t="n"/>
      <c r="CO138" s="498" t="n"/>
      <c r="CP138" s="579" t="n"/>
      <c r="CQ138" s="498" t="n"/>
      <c r="CR138" s="578" t="n"/>
      <c r="CS138" s="498" t="n"/>
      <c r="CT138" s="579" t="n"/>
      <c r="CU138" s="498" t="n"/>
      <c r="CV138" s="578" t="n"/>
      <c r="CW138" s="498" t="n"/>
      <c r="CX138" s="579" t="n"/>
      <c r="CY138" s="498" t="n"/>
      <c r="CZ138" s="578" t="n"/>
      <c r="DA138" s="498" t="n"/>
      <c r="DB138" s="579" t="n"/>
      <c r="DC138" s="498" t="n"/>
      <c r="DD138" s="578" t="n"/>
      <c r="DE138" s="498" t="n"/>
      <c r="DF138" s="579" t="n"/>
      <c r="DG138" s="498" t="n"/>
      <c r="DH138" s="578" t="n"/>
      <c r="DI138" s="498" t="n"/>
      <c r="DJ138" s="579" t="n"/>
      <c r="DK138" s="498" t="n"/>
      <c r="DL138" s="578" t="n"/>
      <c r="DM138" s="498" t="n"/>
      <c r="DN138" s="579" t="n"/>
      <c r="DO138" s="498" t="n"/>
      <c r="DP138" s="572" t="n"/>
      <c r="DQ138" s="820" t="n"/>
      <c r="DR138" s="820">
        <f>SUMPRODUCT(--(MOD(COLUMN(BT138:CQ138),4)=MOD(COLUMN(BT138),4)),BT138:CQ138)*$I138+SUMPRODUCT(--(MOD(COLUMN(CR138:DO138),4)=MOD(COLUMN(CR138),4)),CR138:DO138)*$I138</f>
        <v/>
      </c>
      <c r="DS138" s="819" t="n"/>
      <c r="DT138" s="819" t="n"/>
      <c r="DU138" s="578" t="n"/>
      <c r="DV138" s="498" t="n"/>
      <c r="DW138" s="579" t="n"/>
      <c r="DX138" s="498" t="n"/>
      <c r="DY138" s="578" t="n"/>
      <c r="DZ138" s="498" t="n"/>
      <c r="EA138" s="579" t="n"/>
      <c r="EB138" s="498" t="n"/>
      <c r="EC138" s="578" t="n"/>
      <c r="ED138" s="498" t="n"/>
      <c r="EE138" s="579" t="n"/>
      <c r="EF138" s="498" t="n"/>
      <c r="EG138" s="578" t="n"/>
      <c r="EH138" s="498" t="n"/>
      <c r="EI138" s="579" t="n"/>
      <c r="EJ138" s="498" t="n"/>
      <c r="EK138" s="578" t="n"/>
      <c r="EL138" s="498" t="n"/>
      <c r="EM138" s="579" t="n"/>
      <c r="EN138" s="498" t="n"/>
      <c r="EO138" s="578" t="n"/>
      <c r="EP138" s="498" t="n"/>
      <c r="EQ138" s="579" t="n"/>
      <c r="ER138" s="498" t="n"/>
      <c r="ES138" s="578" t="n"/>
      <c r="ET138" s="498" t="n"/>
      <c r="EU138" s="579" t="n"/>
      <c r="EV138" s="498" t="n"/>
      <c r="EW138" s="578" t="n"/>
      <c r="EX138" s="498" t="n"/>
      <c r="EY138" s="579" t="n"/>
      <c r="EZ138" s="498" t="n"/>
      <c r="FA138" s="578" t="n"/>
      <c r="FB138" s="498" t="n"/>
      <c r="FC138" s="579" t="n"/>
      <c r="FD138" s="498" t="n"/>
      <c r="FE138" s="578" t="n"/>
      <c r="FF138" s="498" t="n"/>
      <c r="FG138" s="579" t="n"/>
      <c r="FH138" s="498" t="n"/>
      <c r="FI138" s="578" t="n"/>
      <c r="FJ138" s="498" t="n"/>
      <c r="FK138" s="579" t="n"/>
      <c r="FL138" s="498" t="n"/>
      <c r="FM138" s="578" t="n"/>
      <c r="FN138" s="498" t="n"/>
      <c r="FO138" s="579" t="n"/>
      <c r="FP138" s="498" t="n"/>
      <c r="FQ138" s="572" t="n"/>
      <c r="FR138" s="820" t="n"/>
      <c r="FS138" s="820">
        <f>SUMPRODUCT(--(MOD(COLUMN(DU138:ER138),4)=MOD(COLUMN(DU138),4)),DU138:ER138)*$I138+SUMPRODUCT(--(MOD(COLUMN(ES138:FP138),4)=MOD(COLUMN(ES138),4)),ES138:FP138)*$I138</f>
        <v/>
      </c>
      <c r="FT138" s="573" t="n"/>
    </row>
    <row r="139" outlineLevel="2" customFormat="1" s="574">
      <c r="A139" s="580" t="inlineStr">
        <is>
          <t>ПАО «Уралавтоприцеп»</t>
        </is>
      </c>
      <c r="B139" s="580" t="inlineStr">
        <is>
          <t>Отсрочка 30 дней</t>
        </is>
      </c>
      <c r="C139" s="587" t="inlineStr">
        <is>
          <t>ВБК РУС</t>
        </is>
      </c>
      <c r="D139" s="580" t="inlineStr">
        <is>
          <t>Прасолов, Соловьёв</t>
        </is>
      </c>
      <c r="E139" s="588">
        <f>IF(ISBLANK(G139),"",IF($A$6:$A$330=$A139,COUNTIF($A$6:A139,$A139),""))</f>
        <v/>
      </c>
      <c r="F139" s="671" t="inlineStr">
        <is>
          <t>S</t>
        </is>
      </c>
      <c r="G139" s="331" t="n">
        <v>4441000100</v>
      </c>
      <c r="H139" s="606" t="inlineStr">
        <is>
          <t>Комплект базовый "ABS W 4S/3M (12 м)"</t>
        </is>
      </c>
      <c r="I139" s="621">
        <f>5586.58/НДС</f>
        <v/>
      </c>
      <c r="J139" s="619" t="n"/>
      <c r="K139" s="876" t="n"/>
      <c r="L139" s="619" t="n"/>
      <c r="M139" s="813" t="n"/>
      <c r="N139" s="813">
        <f>IF(BP139&gt;0,1,IF(BN139&gt;0,2,))</f>
        <v/>
      </c>
      <c r="O139" s="578" t="n"/>
      <c r="P139" s="498" t="n"/>
      <c r="Q139" s="579" t="n"/>
      <c r="R139" s="498" t="n"/>
      <c r="S139" s="578" t="n"/>
      <c r="T139" s="498" t="n"/>
      <c r="U139" s="579" t="n"/>
      <c r="V139" s="498" t="n"/>
      <c r="W139" s="578" t="n"/>
      <c r="X139" s="498" t="n"/>
      <c r="Y139" s="579" t="n"/>
      <c r="Z139" s="498" t="n"/>
      <c r="AA139" s="578" t="n"/>
      <c r="AB139" s="498" t="n"/>
      <c r="AC139" s="579" t="n"/>
      <c r="AD139" s="498" t="n"/>
      <c r="AE139" s="578" t="n"/>
      <c r="AF139" s="498" t="n"/>
      <c r="AG139" s="579" t="n"/>
      <c r="AH139" s="498" t="n"/>
      <c r="AI139" s="578" t="n"/>
      <c r="AJ139" s="498" t="n"/>
      <c r="AK139" s="579" t="n"/>
      <c r="AL139" s="498" t="n"/>
      <c r="AM139" s="578" t="n"/>
      <c r="AN139" s="498" t="n"/>
      <c r="AO139" s="579" t="n"/>
      <c r="AP139" s="498" t="n"/>
      <c r="AQ139" s="578" t="n"/>
      <c r="AR139" s="498" t="n"/>
      <c r="AS139" s="579" t="n"/>
      <c r="AT139" s="498" t="n"/>
      <c r="AU139" s="578" t="n"/>
      <c r="AV139" s="498" t="n"/>
      <c r="AW139" s="579" t="n"/>
      <c r="AX139" s="498" t="n"/>
      <c r="AY139" s="578" t="n"/>
      <c r="AZ139" s="498" t="n"/>
      <c r="BA139" s="579" t="n"/>
      <c r="BB139" s="498" t="n"/>
      <c r="BC139" s="578" t="n"/>
      <c r="BD139" s="498" t="n"/>
      <c r="BE139" s="579" t="n"/>
      <c r="BF139" s="498" t="n"/>
      <c r="BG139" s="578" t="n"/>
      <c r="BH139" s="498" t="n"/>
      <c r="BI139" s="579" t="n"/>
      <c r="BJ139" s="498" t="n"/>
      <c r="BK139" s="572" t="n"/>
      <c r="BL139" s="820">
        <f>SUMPRODUCT(--(MOD(COLUMN($O139:$AL139),4)=MOD(COLUMN($O139)+0,4)),$O139:$AL139)
+SUMPRODUCT(--(MOD(COLUMN($AM139:$BJ139),4)=MOD(COLUMN($AM139)+0,4)),$AM139:$BJ139)</f>
        <v/>
      </c>
      <c r="BM139" s="820">
        <f>SUMPRODUCT(--(MOD(COLUMN($O139:$AL139),4)=MOD(COLUMN($O139)+0,4)),$O139:$AL139)*
$I139+SUMPRODUCT(--(MOD(COLUMN($AM139:$BJ139),4)=MOD(COLUMN($AM139)+0,4)),$AM139:$BJ139)*$I139</f>
        <v/>
      </c>
      <c r="BN139" s="822">
        <f>SUMPRODUCT(--(MOD(COLUMN($O139:$AL139),4)=MOD(COLUMN($O139)+1,4)),$O139:$AL139)
+SUMPRODUCT(--(MOD(COLUMN($AM139:$BJ139),4)=MOD(COLUMN($AM139)+1,4)),$AM139:$BJ139)</f>
        <v/>
      </c>
      <c r="BO139" s="823">
        <f>SUMPRODUCT(--(MOD(COLUMN($O139:$AL139),4)=MOD(COLUMN($O139)+1,4)),$O139:$AL139)*
$I139+SUMPRODUCT(--(MOD(COLUMN($AM139:$BJ139),4)=MOD(COLUMN($AM139)+1,4)),$AM139:$BJ139)*$I139</f>
        <v/>
      </c>
      <c r="BP139" s="824">
        <f>SUMPRODUCT(--(MOD(COLUMN($O139:$AL139),4)=MOD(COLUMN($O139)+2,4)),$O139:$AL139)
+SUMPRODUCT(--(MOD(COLUMN($AM139:$BJ139),4)=MOD(COLUMN($AM139)+2,4)),$AM139:$BJ139)</f>
        <v/>
      </c>
      <c r="BQ139" s="825">
        <f>SUMPRODUCT(--(MOD(COLUMN($O139:$AL139),4)=MOD(COLUMN($O139)+2,4)),$O139:$AL139)*
$I139+SUMPRODUCT(--(MOD(COLUMN($AM139:$BJ139),4)=MOD(COLUMN($AM139)+2,4)),$AM139:$BJ139)*$I139</f>
        <v/>
      </c>
      <c r="BR139" s="819" t="n"/>
      <c r="BS139" s="819" t="n"/>
      <c r="BT139" s="578" t="n"/>
      <c r="BU139" s="498" t="n"/>
      <c r="BV139" s="579" t="n"/>
      <c r="BW139" s="498" t="n"/>
      <c r="BX139" s="578" t="n"/>
      <c r="BY139" s="498" t="n"/>
      <c r="BZ139" s="579" t="n"/>
      <c r="CA139" s="498" t="n"/>
      <c r="CB139" s="578" t="n"/>
      <c r="CC139" s="498" t="n"/>
      <c r="CD139" s="579" t="n"/>
      <c r="CE139" s="498" t="n"/>
      <c r="CF139" s="578" t="n"/>
      <c r="CG139" s="498" t="n"/>
      <c r="CH139" s="579" t="n"/>
      <c r="CI139" s="498" t="n"/>
      <c r="CJ139" s="578" t="n"/>
      <c r="CK139" s="498" t="n"/>
      <c r="CL139" s="579" t="n"/>
      <c r="CM139" s="498" t="n"/>
      <c r="CN139" s="578" t="n"/>
      <c r="CO139" s="498" t="n"/>
      <c r="CP139" s="579" t="n"/>
      <c r="CQ139" s="498" t="n"/>
      <c r="CR139" s="578" t="n"/>
      <c r="CS139" s="498" t="n"/>
      <c r="CT139" s="579" t="n"/>
      <c r="CU139" s="498" t="n"/>
      <c r="CV139" s="578" t="n"/>
      <c r="CW139" s="498" t="n"/>
      <c r="CX139" s="579" t="n"/>
      <c r="CY139" s="498" t="n"/>
      <c r="CZ139" s="578" t="n"/>
      <c r="DA139" s="498" t="n"/>
      <c r="DB139" s="579" t="n"/>
      <c r="DC139" s="498" t="n"/>
      <c r="DD139" s="578" t="n"/>
      <c r="DE139" s="498" t="n"/>
      <c r="DF139" s="579" t="n"/>
      <c r="DG139" s="498" t="n"/>
      <c r="DH139" s="578" t="n"/>
      <c r="DI139" s="498" t="n"/>
      <c r="DJ139" s="579" t="n"/>
      <c r="DK139" s="498" t="n"/>
      <c r="DL139" s="578" t="n"/>
      <c r="DM139" s="498" t="n"/>
      <c r="DN139" s="579" t="n"/>
      <c r="DO139" s="498" t="n"/>
      <c r="DP139" s="572" t="n"/>
      <c r="DQ139" s="820" t="n"/>
      <c r="DR139" s="820">
        <f>SUMPRODUCT(--(MOD(COLUMN(BT139:CQ139),4)=MOD(COLUMN(BT139),4)),BT139:CQ139)*$I139+SUMPRODUCT(--(MOD(COLUMN(CR139:DO139),4)=MOD(COLUMN(CR139),4)),CR139:DO139)*$I139</f>
        <v/>
      </c>
      <c r="DS139" s="819" t="n"/>
      <c r="DT139" s="819" t="n"/>
      <c r="DU139" s="578" t="n"/>
      <c r="DV139" s="498" t="n"/>
      <c r="DW139" s="579" t="n"/>
      <c r="DX139" s="498" t="n"/>
      <c r="DY139" s="578" t="n"/>
      <c r="DZ139" s="498" t="n"/>
      <c r="EA139" s="579" t="n"/>
      <c r="EB139" s="498" t="n"/>
      <c r="EC139" s="578" t="n"/>
      <c r="ED139" s="498" t="n"/>
      <c r="EE139" s="579" t="n"/>
      <c r="EF139" s="498" t="n"/>
      <c r="EG139" s="578" t="n"/>
      <c r="EH139" s="498" t="n"/>
      <c r="EI139" s="579" t="n"/>
      <c r="EJ139" s="498" t="n"/>
      <c r="EK139" s="578" t="n"/>
      <c r="EL139" s="498" t="n"/>
      <c r="EM139" s="579" t="n"/>
      <c r="EN139" s="498" t="n"/>
      <c r="EO139" s="578" t="n"/>
      <c r="EP139" s="498" t="n"/>
      <c r="EQ139" s="579" t="n"/>
      <c r="ER139" s="498" t="n"/>
      <c r="ES139" s="578" t="n"/>
      <c r="ET139" s="498" t="n"/>
      <c r="EU139" s="579" t="n"/>
      <c r="EV139" s="498" t="n"/>
      <c r="EW139" s="578" t="n"/>
      <c r="EX139" s="498" t="n"/>
      <c r="EY139" s="579" t="n"/>
      <c r="EZ139" s="498" t="n"/>
      <c r="FA139" s="578" t="n"/>
      <c r="FB139" s="498" t="n"/>
      <c r="FC139" s="579" t="n"/>
      <c r="FD139" s="498" t="n"/>
      <c r="FE139" s="578" t="n"/>
      <c r="FF139" s="498" t="n"/>
      <c r="FG139" s="579" t="n"/>
      <c r="FH139" s="498" t="n"/>
      <c r="FI139" s="578" t="n"/>
      <c r="FJ139" s="498" t="n"/>
      <c r="FK139" s="579" t="n"/>
      <c r="FL139" s="498" t="n"/>
      <c r="FM139" s="578" t="n"/>
      <c r="FN139" s="498" t="n"/>
      <c r="FO139" s="579" t="n"/>
      <c r="FP139" s="498" t="n"/>
      <c r="FQ139" s="572" t="n"/>
      <c r="FR139" s="820" t="n"/>
      <c r="FS139" s="820">
        <f>SUMPRODUCT(--(MOD(COLUMN(DU139:ER139),4)=MOD(COLUMN(DU139),4)),DU139:ER139)*$I139+SUMPRODUCT(--(MOD(COLUMN(ES139:FP139),4)=MOD(COLUMN(ES139),4)),ES139:FP139)*$I139</f>
        <v/>
      </c>
      <c r="FT139" s="573" t="n"/>
    </row>
    <row r="140" outlineLevel="2" customFormat="1" s="574">
      <c r="A140" s="580" t="inlineStr">
        <is>
          <t>ПАО «Уралавтоприцеп»</t>
        </is>
      </c>
      <c r="B140" s="580" t="inlineStr">
        <is>
          <t>Отсрочка 30 дней</t>
        </is>
      </c>
      <c r="C140" s="587" t="inlineStr">
        <is>
          <t>ВБК РУС</t>
        </is>
      </c>
      <c r="D140" s="580" t="inlineStr">
        <is>
          <t>Прасолов, Соловьёв</t>
        </is>
      </c>
      <c r="E140" s="588">
        <f>IF(ISBLANK(G140),"",IF($A$6:$A$330=$A140,COUNTIF($A$6:A140,$A140),""))</f>
        <v/>
      </c>
      <c r="F140" s="672" t="inlineStr">
        <is>
          <t>S</t>
        </is>
      </c>
      <c r="G140" s="331" t="n">
        <v>4441000470</v>
      </c>
      <c r="H140" s="606" t="inlineStr">
        <is>
          <t>Комплект базовый "ABS W 4S/3M (12 м)"</t>
        </is>
      </c>
      <c r="I140" s="621">
        <f>5586.58/НДС</f>
        <v/>
      </c>
      <c r="J140" s="619" t="n"/>
      <c r="K140" s="876" t="n"/>
      <c r="L140" s="619" t="n"/>
      <c r="M140" s="813" t="n"/>
      <c r="N140" s="813">
        <f>IF(BP140&gt;0,1,IF(BN140&gt;0,2,))</f>
        <v/>
      </c>
      <c r="O140" s="578" t="n"/>
      <c r="P140" s="498" t="n"/>
      <c r="Q140" s="579" t="n"/>
      <c r="R140" s="498" t="n"/>
      <c r="S140" s="578" t="n"/>
      <c r="T140" s="498" t="n"/>
      <c r="U140" s="579" t="n"/>
      <c r="V140" s="498" t="n"/>
      <c r="W140" s="578" t="n"/>
      <c r="X140" s="498" t="n"/>
      <c r="Y140" s="579" t="n"/>
      <c r="Z140" s="498" t="n"/>
      <c r="AA140" s="578" t="n"/>
      <c r="AB140" s="498" t="n"/>
      <c r="AC140" s="579" t="n"/>
      <c r="AD140" s="498" t="n"/>
      <c r="AE140" s="578" t="n"/>
      <c r="AF140" s="498" t="n"/>
      <c r="AG140" s="579" t="n"/>
      <c r="AH140" s="498" t="n"/>
      <c r="AI140" s="578" t="n"/>
      <c r="AJ140" s="498" t="n"/>
      <c r="AK140" s="579" t="n"/>
      <c r="AL140" s="498" t="n"/>
      <c r="AM140" s="578" t="n"/>
      <c r="AN140" s="498" t="n"/>
      <c r="AO140" s="579" t="n"/>
      <c r="AP140" s="498" t="n"/>
      <c r="AQ140" s="578" t="n"/>
      <c r="AR140" s="498" t="n"/>
      <c r="AS140" s="579" t="n"/>
      <c r="AT140" s="498" t="n"/>
      <c r="AU140" s="578" t="n"/>
      <c r="AV140" s="498" t="n"/>
      <c r="AW140" s="579" t="n"/>
      <c r="AX140" s="498" t="n"/>
      <c r="AY140" s="578" t="n"/>
      <c r="AZ140" s="498" t="n"/>
      <c r="BA140" s="579" t="n"/>
      <c r="BB140" s="498" t="n"/>
      <c r="BC140" s="578" t="n"/>
      <c r="BD140" s="498" t="n"/>
      <c r="BE140" s="579" t="n"/>
      <c r="BF140" s="498" t="n"/>
      <c r="BG140" s="578" t="n"/>
      <c r="BH140" s="498" t="n"/>
      <c r="BI140" s="579" t="n"/>
      <c r="BJ140" s="498" t="n"/>
      <c r="BK140" s="572" t="n"/>
      <c r="BL140" s="820">
        <f>SUMPRODUCT(--(MOD(COLUMN($O140:$AL140),4)=MOD(COLUMN($O140)+0,4)),$O140:$AL140)
+SUMPRODUCT(--(MOD(COLUMN($AM140:$BJ140),4)=MOD(COLUMN($AM140)+0,4)),$AM140:$BJ140)</f>
        <v/>
      </c>
      <c r="BM140" s="820">
        <f>SUMPRODUCT(--(MOD(COLUMN($O140:$AL140),4)=MOD(COLUMN($O140)+0,4)),$O140:$AL140)*
$I140+SUMPRODUCT(--(MOD(COLUMN($AM140:$BJ140),4)=MOD(COLUMN($AM140)+0,4)),$AM140:$BJ140)*$I140</f>
        <v/>
      </c>
      <c r="BN140" s="822">
        <f>SUMPRODUCT(--(MOD(COLUMN($O140:$AL140),4)=MOD(COLUMN($O140)+1,4)),$O140:$AL140)
+SUMPRODUCT(--(MOD(COLUMN($AM140:$BJ140),4)=MOD(COLUMN($AM140)+1,4)),$AM140:$BJ140)</f>
        <v/>
      </c>
      <c r="BO140" s="823">
        <f>SUMPRODUCT(--(MOD(COLUMN($O140:$AL140),4)=MOD(COLUMN($O140)+1,4)),$O140:$AL140)*
$I140+SUMPRODUCT(--(MOD(COLUMN($AM140:$BJ140),4)=MOD(COLUMN($AM140)+1,4)),$AM140:$BJ140)*$I140</f>
        <v/>
      </c>
      <c r="BP140" s="824">
        <f>SUMPRODUCT(--(MOD(COLUMN($O140:$AL140),4)=MOD(COLUMN($O140)+2,4)),$O140:$AL140)
+SUMPRODUCT(--(MOD(COLUMN($AM140:$BJ140),4)=MOD(COLUMN($AM140)+2,4)),$AM140:$BJ140)</f>
        <v/>
      </c>
      <c r="BQ140" s="825">
        <f>SUMPRODUCT(--(MOD(COLUMN($O140:$AL140),4)=MOD(COLUMN($O140)+2,4)),$O140:$AL140)*
$I140+SUMPRODUCT(--(MOD(COLUMN($AM140:$BJ140),4)=MOD(COLUMN($AM140)+2,4)),$AM140:$BJ140)*$I140</f>
        <v/>
      </c>
      <c r="BR140" s="819" t="n"/>
      <c r="BS140" s="819" t="n"/>
      <c r="BT140" s="578" t="n"/>
      <c r="BU140" s="498" t="n"/>
      <c r="BV140" s="579" t="n"/>
      <c r="BW140" s="498" t="n"/>
      <c r="BX140" s="578" t="n"/>
      <c r="BY140" s="498" t="n"/>
      <c r="BZ140" s="579" t="n"/>
      <c r="CA140" s="498" t="n"/>
      <c r="CB140" s="578" t="n"/>
      <c r="CC140" s="498" t="n"/>
      <c r="CD140" s="579" t="n"/>
      <c r="CE140" s="498" t="n"/>
      <c r="CF140" s="578" t="n"/>
      <c r="CG140" s="498" t="n"/>
      <c r="CH140" s="579" t="n"/>
      <c r="CI140" s="498" t="n"/>
      <c r="CJ140" s="578" t="n"/>
      <c r="CK140" s="498" t="n"/>
      <c r="CL140" s="579" t="n"/>
      <c r="CM140" s="498" t="n"/>
      <c r="CN140" s="578" t="n"/>
      <c r="CO140" s="498" t="n"/>
      <c r="CP140" s="579" t="n"/>
      <c r="CQ140" s="498" t="n"/>
      <c r="CR140" s="578" t="n"/>
      <c r="CS140" s="498" t="n"/>
      <c r="CT140" s="579" t="n"/>
      <c r="CU140" s="498" t="n"/>
      <c r="CV140" s="578" t="n"/>
      <c r="CW140" s="498" t="n"/>
      <c r="CX140" s="579" t="n"/>
      <c r="CY140" s="498" t="n"/>
      <c r="CZ140" s="578" t="n"/>
      <c r="DA140" s="498" t="n"/>
      <c r="DB140" s="579" t="n"/>
      <c r="DC140" s="498" t="n"/>
      <c r="DD140" s="578" t="n"/>
      <c r="DE140" s="498" t="n"/>
      <c r="DF140" s="579" t="n"/>
      <c r="DG140" s="498" t="n"/>
      <c r="DH140" s="578" t="n"/>
      <c r="DI140" s="498" t="n"/>
      <c r="DJ140" s="579" t="n"/>
      <c r="DK140" s="498" t="n"/>
      <c r="DL140" s="578" t="n"/>
      <c r="DM140" s="498" t="n"/>
      <c r="DN140" s="579" t="n"/>
      <c r="DO140" s="498" t="n"/>
      <c r="DP140" s="572" t="n"/>
      <c r="DQ140" s="820" t="n"/>
      <c r="DR140" s="820">
        <f>SUMPRODUCT(--(MOD(COLUMN(BT140:CQ140),4)=MOD(COLUMN(BT140),4)),BT140:CQ140)*$I140+SUMPRODUCT(--(MOD(COLUMN(CR140:DO140),4)=MOD(COLUMN(CR140),4)),CR140:DO140)*$I140</f>
        <v/>
      </c>
      <c r="DS140" s="819" t="n"/>
      <c r="DT140" s="819" t="n"/>
      <c r="DU140" s="578" t="n"/>
      <c r="DV140" s="498" t="n"/>
      <c r="DW140" s="579" t="n"/>
      <c r="DX140" s="498" t="n"/>
      <c r="DY140" s="578" t="n"/>
      <c r="DZ140" s="498" t="n"/>
      <c r="EA140" s="579" t="n"/>
      <c r="EB140" s="498" t="n"/>
      <c r="EC140" s="578" t="n"/>
      <c r="ED140" s="498" t="n"/>
      <c r="EE140" s="579" t="n"/>
      <c r="EF140" s="498" t="n"/>
      <c r="EG140" s="578" t="n"/>
      <c r="EH140" s="498" t="n"/>
      <c r="EI140" s="579" t="n"/>
      <c r="EJ140" s="498" t="n"/>
      <c r="EK140" s="578" t="n"/>
      <c r="EL140" s="498" t="n"/>
      <c r="EM140" s="579" t="n"/>
      <c r="EN140" s="498" t="n"/>
      <c r="EO140" s="578" t="n"/>
      <c r="EP140" s="498" t="n"/>
      <c r="EQ140" s="579" t="n"/>
      <c r="ER140" s="498" t="n"/>
      <c r="ES140" s="578" t="n"/>
      <c r="ET140" s="498" t="n"/>
      <c r="EU140" s="579" t="n"/>
      <c r="EV140" s="498" t="n"/>
      <c r="EW140" s="578" t="n"/>
      <c r="EX140" s="498" t="n"/>
      <c r="EY140" s="579" t="n"/>
      <c r="EZ140" s="498" t="n"/>
      <c r="FA140" s="578" t="n"/>
      <c r="FB140" s="498" t="n"/>
      <c r="FC140" s="579" t="n"/>
      <c r="FD140" s="498" t="n"/>
      <c r="FE140" s="578" t="n"/>
      <c r="FF140" s="498" t="n"/>
      <c r="FG140" s="579" t="n"/>
      <c r="FH140" s="498" t="n"/>
      <c r="FI140" s="578" t="n"/>
      <c r="FJ140" s="498" t="n"/>
      <c r="FK140" s="579" t="n"/>
      <c r="FL140" s="498" t="n"/>
      <c r="FM140" s="578" t="n"/>
      <c r="FN140" s="498" t="n"/>
      <c r="FO140" s="579" t="n"/>
      <c r="FP140" s="498" t="n"/>
      <c r="FQ140" s="572" t="n"/>
      <c r="FR140" s="820" t="n"/>
      <c r="FS140" s="820">
        <f>SUMPRODUCT(--(MOD(COLUMN(DU140:ER140),4)=MOD(COLUMN(DU140),4)),DU140:ER140)*$I140+SUMPRODUCT(--(MOD(COLUMN(ES140:FP140),4)=MOD(COLUMN(ES140),4)),ES140:FP140)*$I140</f>
        <v/>
      </c>
      <c r="FT140" s="573" t="n"/>
    </row>
    <row r="141" outlineLevel="2" customFormat="1" s="574">
      <c r="A141" s="589" t="inlineStr">
        <is>
          <t>ПАО «Уралавтоприцеп»</t>
        </is>
      </c>
      <c r="B141" s="589" t="inlineStr">
        <is>
          <t>Отсрочка 30 дней</t>
        </is>
      </c>
      <c r="C141" s="590" t="inlineStr">
        <is>
          <t>ВБК РУС</t>
        </is>
      </c>
      <c r="D141" s="589" t="inlineStr">
        <is>
          <t>Прасолов, Соловьёв</t>
        </is>
      </c>
      <c r="E141" s="584">
        <f>IF(ISBLANK(G141),"",IF($A$6:$A$330=$A141,COUNTIF($A$6:A141,$A141),""))</f>
        <v/>
      </c>
      <c r="F141" s="671" t="inlineStr">
        <is>
          <t>S</t>
        </is>
      </c>
      <c r="G141" s="129" t="n">
        <v>4441000020</v>
      </c>
      <c r="H141" s="610" t="inlineStr">
        <is>
          <t>Комплект "Пневматическая подвеска с АРТС"</t>
        </is>
      </c>
      <c r="I141" s="621">
        <f>1964.2/НДС</f>
        <v/>
      </c>
      <c r="J141" s="618" t="n"/>
      <c r="K141" s="874" t="n"/>
      <c r="L141" s="618">
        <f>IF(K141="RUB",J141/ЮАНЬ,IF(K141="EUR",J141*ЕВРО/ЮАНЬ,""))</f>
        <v/>
      </c>
      <c r="M141" s="875" t="n"/>
      <c r="N141" s="813">
        <f>IF(BP141&gt;0,1,IF(BN141&gt;0,2,))</f>
        <v/>
      </c>
      <c r="O141" s="569" t="n">
        <v>20</v>
      </c>
      <c r="P141" s="570" t="n"/>
      <c r="Q141" s="571" t="n">
        <v>0</v>
      </c>
      <c r="R141" s="570" t="n"/>
      <c r="S141" s="569" t="n">
        <v>20</v>
      </c>
      <c r="T141" s="570">
        <f>33+20</f>
        <v/>
      </c>
      <c r="U141" s="571" t="n">
        <v>53</v>
      </c>
      <c r="V141" s="570" t="n"/>
      <c r="W141" s="569" t="n">
        <v>20</v>
      </c>
      <c r="X141" s="570">
        <f>20</f>
        <v/>
      </c>
      <c r="Y141" s="571" t="n">
        <v>20</v>
      </c>
      <c r="Z141" s="570" t="n"/>
      <c r="AA141" s="569" t="n">
        <v>10</v>
      </c>
      <c r="AB141" s="570" t="n"/>
      <c r="AC141" s="571" t="n">
        <v>0</v>
      </c>
      <c r="AD141" s="570" t="n"/>
      <c r="AE141" s="569" t="n">
        <v>10</v>
      </c>
      <c r="AF141" s="570" t="n"/>
      <c r="AG141" s="571" t="n">
        <v>0</v>
      </c>
      <c r="AH141" s="570" t="n"/>
      <c r="AI141" s="569" t="n">
        <v>10</v>
      </c>
      <c r="AJ141" s="570" t="n">
        <v>5</v>
      </c>
      <c r="AK141" s="571" t="n">
        <v>0</v>
      </c>
      <c r="AL141" s="570" t="n"/>
      <c r="AM141" s="569" t="n">
        <v>10</v>
      </c>
      <c r="AN141" s="570" t="n">
        <v>10</v>
      </c>
      <c r="AO141" s="571" t="n">
        <v>0</v>
      </c>
      <c r="AP141" s="570" t="n"/>
      <c r="AQ141" s="569" t="n">
        <v>10</v>
      </c>
      <c r="AR141" s="570" t="n">
        <v>10</v>
      </c>
      <c r="AS141" s="571" t="n">
        <v>0</v>
      </c>
      <c r="AT141" s="570" t="n"/>
      <c r="AU141" s="569" t="n">
        <v>10</v>
      </c>
      <c r="AV141" s="570" t="n"/>
      <c r="AW141" s="571" t="n">
        <v>0</v>
      </c>
      <c r="AX141" s="570" t="n"/>
      <c r="AY141" s="569" t="n">
        <v>10</v>
      </c>
      <c r="AZ141" s="570" t="n">
        <v>10</v>
      </c>
      <c r="BA141" s="571" t="n">
        <v>0</v>
      </c>
      <c r="BB141" s="570" t="n"/>
      <c r="BC141" s="569" t="n">
        <v>10</v>
      </c>
      <c r="BD141" s="570" t="n">
        <v>10</v>
      </c>
      <c r="BE141" s="571" t="n">
        <v>0</v>
      </c>
      <c r="BF141" s="570" t="n"/>
      <c r="BG141" s="569" t="n">
        <v>10</v>
      </c>
      <c r="BH141" s="570" t="n">
        <v>10</v>
      </c>
      <c r="BI141" s="571" t="n">
        <v>0</v>
      </c>
      <c r="BJ141" s="570" t="n"/>
      <c r="BK141" s="572" t="n"/>
      <c r="BL141" s="803">
        <f>SUMPRODUCT(--(MOD(COLUMN($O141:$AL141),4)=MOD(COLUMN($O141)+0,4)),$O141:$AL141)
+SUMPRODUCT(--(MOD(COLUMN($AM141:$BJ141),4)=MOD(COLUMN($AM141)+0,4)),$AM141:$BJ141)</f>
        <v/>
      </c>
      <c r="BM141" s="803">
        <f>SUMPRODUCT(--(MOD(COLUMN($O141:$AL141),4)=MOD(COLUMN($O141)+0,4)),$O141:$AL141)*
$I141+SUMPRODUCT(--(MOD(COLUMN($AM141:$BJ141),4)=MOD(COLUMN($AM141)+0,4)),$AM141:$BJ141)*$I141</f>
        <v/>
      </c>
      <c r="BN141" s="805">
        <f>SUMPRODUCT(--(MOD(COLUMN($O141:$AL141),4)=MOD(COLUMN($O141)+1,4)),$O141:$AL141)
+SUMPRODUCT(--(MOD(COLUMN($AM141:$BJ141),4)=MOD(COLUMN($AM141)+1,4)),$AM141:$BJ141)</f>
        <v/>
      </c>
      <c r="BO141" s="806">
        <f>SUMPRODUCT(--(MOD(COLUMN($O141:$AL141),4)=MOD(COLUMN($O141)+1,4)),$O141:$AL141)*
$I141+SUMPRODUCT(--(MOD(COLUMN($AM141:$BJ141),4)=MOD(COLUMN($AM141)+1,4)),$AM141:$BJ141)*$I141</f>
        <v/>
      </c>
      <c r="BP141" s="807">
        <f>SUMPRODUCT(--(MOD(COLUMN($O141:$AL141),4)=MOD(COLUMN($O141)+2,4)),$O141:$AL141)
+SUMPRODUCT(--(MOD(COLUMN($AM141:$BJ141),4)=MOD(COLUMN($AM141)+2,4)),$AM141:$BJ141)</f>
        <v/>
      </c>
      <c r="BQ141" s="808">
        <f>SUMPRODUCT(--(MOD(COLUMN($O141:$AL141),4)=MOD(COLUMN($O141)+2,4)),$O141:$AL141)*
$I141+SUMPRODUCT(--(MOD(COLUMN($AM141:$BJ141),4)=MOD(COLUMN($AM141)+2,4)),$AM141:$BJ141)*$I141</f>
        <v/>
      </c>
      <c r="BR141" s="801" t="n"/>
      <c r="BS141" s="819" t="n"/>
      <c r="BT141" s="569" t="n">
        <v>15</v>
      </c>
      <c r="BU141" s="570" t="n"/>
      <c r="BV141" s="571" t="n">
        <v>0</v>
      </c>
      <c r="BW141" s="570" t="n"/>
      <c r="BX141" s="569" t="n">
        <v>15</v>
      </c>
      <c r="BY141" s="570" t="n"/>
      <c r="BZ141" s="571" t="n">
        <v>0</v>
      </c>
      <c r="CA141" s="570" t="n"/>
      <c r="CB141" s="569" t="n">
        <v>15</v>
      </c>
      <c r="CC141" s="570" t="n"/>
      <c r="CD141" s="571" t="n">
        <v>0</v>
      </c>
      <c r="CE141" s="570" t="n"/>
      <c r="CF141" s="569" t="n">
        <v>15</v>
      </c>
      <c r="CG141" s="570" t="n"/>
      <c r="CH141" s="571" t="n">
        <v>0</v>
      </c>
      <c r="CI141" s="570" t="n"/>
      <c r="CJ141" s="569" t="n">
        <v>15</v>
      </c>
      <c r="CK141" s="570" t="n"/>
      <c r="CL141" s="571" t="n">
        <v>0</v>
      </c>
      <c r="CM141" s="570" t="n"/>
      <c r="CN141" s="569" t="n">
        <v>15</v>
      </c>
      <c r="CO141" s="570" t="n"/>
      <c r="CP141" s="571" t="n">
        <v>0</v>
      </c>
      <c r="CQ141" s="570" t="n"/>
      <c r="CR141" s="569" t="n">
        <v>15</v>
      </c>
      <c r="CS141" s="570" t="n"/>
      <c r="CT141" s="571" t="n">
        <v>0</v>
      </c>
      <c r="CU141" s="570" t="n"/>
      <c r="CV141" s="569" t="n">
        <v>15</v>
      </c>
      <c r="CW141" s="570" t="n"/>
      <c r="CX141" s="571" t="n">
        <v>0</v>
      </c>
      <c r="CY141" s="570" t="n"/>
      <c r="CZ141" s="569" t="n">
        <v>15</v>
      </c>
      <c r="DA141" s="570" t="n"/>
      <c r="DB141" s="571" t="n">
        <v>0</v>
      </c>
      <c r="DC141" s="570" t="n"/>
      <c r="DD141" s="569" t="n">
        <v>15</v>
      </c>
      <c r="DE141" s="570" t="n"/>
      <c r="DF141" s="571" t="n">
        <v>0</v>
      </c>
      <c r="DG141" s="570" t="n"/>
      <c r="DH141" s="569" t="n">
        <v>15</v>
      </c>
      <c r="DI141" s="570" t="n"/>
      <c r="DJ141" s="571" t="n">
        <v>0</v>
      </c>
      <c r="DK141" s="570" t="n"/>
      <c r="DL141" s="569" t="n">
        <v>15</v>
      </c>
      <c r="DM141" s="570" t="n"/>
      <c r="DN141" s="571" t="n">
        <v>0</v>
      </c>
      <c r="DO141" s="570" t="n"/>
      <c r="DP141" s="572" t="n"/>
      <c r="DQ141" s="803">
        <f>SUMPRODUCT(--(MOD(COLUMN(BT141:CQ141),4)=MOD(COLUMN(BT141),4)),BT141:CQ141)+SUMPRODUCT(--(MOD(COLUMN(CR141:DO141),4)=MOD(COLUMN(CR141),4)),CR141:DO141)</f>
        <v/>
      </c>
      <c r="DR141" s="803">
        <f>SUMPRODUCT(--(MOD(COLUMN(BT141:CQ141),4)=MOD(COLUMN(BT141),4)),BT141:CQ141)*$I141+SUMPRODUCT(--(MOD(COLUMN(CR141:DO141),4)=MOD(COLUMN(CR141),4)),CR141:DO141)*$I141</f>
        <v/>
      </c>
      <c r="DS141" s="801" t="n"/>
      <c r="DT141" s="819" t="n"/>
      <c r="DU141" s="569" t="n">
        <v>15</v>
      </c>
      <c r="DV141" s="570" t="n"/>
      <c r="DW141" s="571" t="n">
        <v>0</v>
      </c>
      <c r="DX141" s="570" t="n"/>
      <c r="DY141" s="569" t="n">
        <v>15</v>
      </c>
      <c r="DZ141" s="570" t="n"/>
      <c r="EA141" s="571" t="n">
        <v>0</v>
      </c>
      <c r="EB141" s="570" t="n"/>
      <c r="EC141" s="569" t="n">
        <v>15</v>
      </c>
      <c r="ED141" s="570" t="n"/>
      <c r="EE141" s="571" t="n">
        <v>0</v>
      </c>
      <c r="EF141" s="570" t="n"/>
      <c r="EG141" s="569" t="n">
        <v>15</v>
      </c>
      <c r="EH141" s="570" t="n"/>
      <c r="EI141" s="571" t="n">
        <v>0</v>
      </c>
      <c r="EJ141" s="570" t="n"/>
      <c r="EK141" s="569" t="n">
        <v>15</v>
      </c>
      <c r="EL141" s="570" t="n"/>
      <c r="EM141" s="571" t="n">
        <v>0</v>
      </c>
      <c r="EN141" s="570" t="n"/>
      <c r="EO141" s="569" t="n">
        <v>15</v>
      </c>
      <c r="EP141" s="570" t="n"/>
      <c r="EQ141" s="571" t="n">
        <v>0</v>
      </c>
      <c r="ER141" s="570" t="n"/>
      <c r="ES141" s="569" t="n">
        <v>15</v>
      </c>
      <c r="ET141" s="570" t="n"/>
      <c r="EU141" s="571" t="n">
        <v>0</v>
      </c>
      <c r="EV141" s="570" t="n"/>
      <c r="EW141" s="569" t="n">
        <v>15</v>
      </c>
      <c r="EX141" s="570" t="n"/>
      <c r="EY141" s="571" t="n">
        <v>0</v>
      </c>
      <c r="EZ141" s="570" t="n"/>
      <c r="FA141" s="569" t="n">
        <v>15</v>
      </c>
      <c r="FB141" s="570" t="n"/>
      <c r="FC141" s="571" t="n">
        <v>0</v>
      </c>
      <c r="FD141" s="570" t="n"/>
      <c r="FE141" s="569" t="n">
        <v>15</v>
      </c>
      <c r="FF141" s="570" t="n"/>
      <c r="FG141" s="571" t="n">
        <v>0</v>
      </c>
      <c r="FH141" s="570" t="n"/>
      <c r="FI141" s="569" t="n">
        <v>15</v>
      </c>
      <c r="FJ141" s="570" t="n"/>
      <c r="FK141" s="571" t="n">
        <v>0</v>
      </c>
      <c r="FL141" s="570" t="n"/>
      <c r="FM141" s="569" t="n">
        <v>15</v>
      </c>
      <c r="FN141" s="570" t="n"/>
      <c r="FO141" s="571" t="n">
        <v>0</v>
      </c>
      <c r="FP141" s="570" t="n"/>
      <c r="FQ141" s="572" t="n"/>
      <c r="FR141" s="803">
        <f>SUMPRODUCT(--(MOD(COLUMN(DU141:ER141),4)=MOD(COLUMN(DU141),4)),DU141:ER141)+SUMPRODUCT(--(MOD(COLUMN(ES141:FP141),4)=MOD(COLUMN(ES141),4)),ES141:FP141)</f>
        <v/>
      </c>
      <c r="FS141" s="803">
        <f>SUMPRODUCT(--(MOD(COLUMN(DU141:ER141),4)=MOD(COLUMN(DU141),4)),DU141:ER141)*$I141+SUMPRODUCT(--(MOD(COLUMN(ES141:FP141),4)=MOD(COLUMN(ES141),4)),ES141:FP141)*$I141</f>
        <v/>
      </c>
      <c r="FT141" s="573" t="n"/>
    </row>
    <row r="142" outlineLevel="2" customFormat="1" s="574">
      <c r="A142" s="580" t="inlineStr">
        <is>
          <t>ПАО «Уралавтоприцеп»</t>
        </is>
      </c>
      <c r="B142" s="580" t="inlineStr">
        <is>
          <t>Отсрочка 30 дней</t>
        </is>
      </c>
      <c r="C142" s="587" t="inlineStr">
        <is>
          <t>ВБК РУС</t>
        </is>
      </c>
      <c r="D142" s="580" t="inlineStr">
        <is>
          <t>Прасолов, Соловьёв</t>
        </is>
      </c>
      <c r="E142" s="588">
        <f>IF(ISBLANK(G142),"",IF($A$6:$A$330=$A142,COUNTIF($A$6:A142,$A142),""))</f>
        <v/>
      </c>
      <c r="F142" s="672" t="inlineStr">
        <is>
          <t>S</t>
        </is>
      </c>
      <c r="G142" s="501" t="n">
        <v>4441000380</v>
      </c>
      <c r="H142" s="611" t="inlineStr">
        <is>
          <t>Комплект базовый "TEBS 2S/2M (15 м)"</t>
        </is>
      </c>
      <c r="I142" s="622">
        <f>8402/НДС</f>
        <v/>
      </c>
      <c r="J142" s="619" t="n"/>
      <c r="K142" s="876" t="n"/>
      <c r="L142" s="619" t="n"/>
      <c r="M142" s="813" t="n"/>
      <c r="N142" s="813">
        <f>IF(BP142&gt;0,1,IF(BN142&gt;0,2,))</f>
        <v/>
      </c>
      <c r="O142" s="578" t="n"/>
      <c r="P142" s="498">
        <f>11</f>
        <v/>
      </c>
      <c r="Q142" s="579" t="n">
        <v>11</v>
      </c>
      <c r="R142" s="498" t="n"/>
      <c r="S142" s="578" t="n"/>
      <c r="T142" s="498">
        <f>11+2</f>
        <v/>
      </c>
      <c r="U142" s="579" t="n">
        <v>13</v>
      </c>
      <c r="V142" s="498" t="n"/>
      <c r="W142" s="578" t="n"/>
      <c r="X142" s="498" t="n"/>
      <c r="Y142" s="579" t="n"/>
      <c r="Z142" s="498" t="n"/>
      <c r="AA142" s="578" t="n"/>
      <c r="AB142" s="498">
        <f>5+11</f>
        <v/>
      </c>
      <c r="AC142" s="579" t="n">
        <v>16</v>
      </c>
      <c r="AD142" s="498" t="n"/>
      <c r="AE142" s="578" t="n"/>
      <c r="AF142" s="498">
        <f>6+9+12</f>
        <v/>
      </c>
      <c r="AG142" s="579" t="n">
        <v>0</v>
      </c>
      <c r="AH142" s="498" t="n"/>
      <c r="AI142" s="578" t="n"/>
      <c r="AJ142" s="498">
        <f>4+2+N(15)</f>
        <v/>
      </c>
      <c r="AK142" s="579" t="n">
        <v>0</v>
      </c>
      <c r="AL142" s="498" t="n"/>
      <c r="AM142" s="578" t="n"/>
      <c r="AN142" s="498" t="n">
        <v>20</v>
      </c>
      <c r="AO142" s="579" t="n">
        <v>0</v>
      </c>
      <c r="AP142" s="498" t="n"/>
      <c r="AQ142" s="578" t="n"/>
      <c r="AR142" s="498" t="n">
        <v>20</v>
      </c>
      <c r="AS142" s="579" t="n">
        <v>0</v>
      </c>
      <c r="AT142" s="498" t="n"/>
      <c r="AU142" s="578" t="n"/>
      <c r="AV142" s="498" t="n"/>
      <c r="AW142" s="579" t="n"/>
      <c r="AX142" s="498" t="n"/>
      <c r="AY142" s="578" t="n"/>
      <c r="AZ142" s="498" t="n"/>
      <c r="BA142" s="579" t="n"/>
      <c r="BB142" s="498" t="n"/>
      <c r="BC142" s="578" t="n"/>
      <c r="BD142" s="498" t="n"/>
      <c r="BE142" s="579" t="n"/>
      <c r="BF142" s="498" t="n"/>
      <c r="BG142" s="578" t="n"/>
      <c r="BH142" s="498" t="n"/>
      <c r="BI142" s="579" t="n"/>
      <c r="BJ142" s="498" t="n"/>
      <c r="BK142" s="572" t="n"/>
      <c r="BL142" s="820">
        <f>SUMPRODUCT(--(MOD(COLUMN($O142:$AL142),4)=MOD(COLUMN($O142)+0,4)),$O142:$AL142)
+SUMPRODUCT(--(MOD(COLUMN($AM142:$BJ142),4)=MOD(COLUMN($AM142)+0,4)),$AM142:$BJ142)</f>
        <v/>
      </c>
      <c r="BM142" s="820">
        <f>SUMPRODUCT(--(MOD(COLUMN($O142:$AL142),4)=MOD(COLUMN($O142)+0,4)),$O142:$AL142)*
$I142+SUMPRODUCT(--(MOD(COLUMN($AM142:$BJ142),4)=MOD(COLUMN($AM142)+0,4)),$AM142:$BJ142)*$I142</f>
        <v/>
      </c>
      <c r="BN142" s="822">
        <f>SUMPRODUCT(--(MOD(COLUMN($O142:$AL142),4)=MOD(COLUMN($O142)+1,4)),$O142:$AL142)
+SUMPRODUCT(--(MOD(COLUMN($AM142:$BJ142),4)=MOD(COLUMN($AM142)+1,4)),$AM142:$BJ142)</f>
        <v/>
      </c>
      <c r="BO142" s="823">
        <f>SUMPRODUCT(--(MOD(COLUMN($O142:$AL142),4)=MOD(COLUMN($O142)+1,4)),$O142:$AL142)*
$I142+SUMPRODUCT(--(MOD(COLUMN($AM142:$BJ142),4)=MOD(COLUMN($AM142)+1,4)),$AM142:$BJ142)*$I142</f>
        <v/>
      </c>
      <c r="BP142" s="824">
        <f>SUMPRODUCT(--(MOD(COLUMN($O142:$AL142),4)=MOD(COLUMN($O142)+2,4)),$O142:$AL142)
+SUMPRODUCT(--(MOD(COLUMN($AM142:$BJ142),4)=MOD(COLUMN($AM142)+2,4)),$AM142:$BJ142)</f>
        <v/>
      </c>
      <c r="BQ142" s="825">
        <f>SUMPRODUCT(--(MOD(COLUMN($O142:$AL142),4)=MOD(COLUMN($O142)+2,4)),$O142:$AL142)*
$I142+SUMPRODUCT(--(MOD(COLUMN($AM142:$BJ142),4)=MOD(COLUMN($AM142)+2,4)),$AM142:$BJ142)*$I142</f>
        <v/>
      </c>
      <c r="BR142" s="819" t="n"/>
      <c r="BS142" s="819" t="n"/>
      <c r="BT142" s="578" t="n"/>
      <c r="BU142" s="498" t="n"/>
      <c r="BV142" s="579" t="n"/>
      <c r="BW142" s="498" t="n"/>
      <c r="BX142" s="578" t="n"/>
      <c r="BY142" s="498" t="n"/>
      <c r="BZ142" s="579" t="n"/>
      <c r="CA142" s="498" t="n"/>
      <c r="CB142" s="578" t="n"/>
      <c r="CC142" s="498" t="n"/>
      <c r="CD142" s="579" t="n"/>
      <c r="CE142" s="498" t="n"/>
      <c r="CF142" s="578" t="n"/>
      <c r="CG142" s="498" t="n"/>
      <c r="CH142" s="579" t="n"/>
      <c r="CI142" s="498" t="n"/>
      <c r="CJ142" s="578" t="n"/>
      <c r="CK142" s="498" t="n"/>
      <c r="CL142" s="579" t="n"/>
      <c r="CM142" s="498" t="n"/>
      <c r="CN142" s="578" t="n"/>
      <c r="CO142" s="498" t="n"/>
      <c r="CP142" s="579" t="n"/>
      <c r="CQ142" s="498" t="n"/>
      <c r="CR142" s="578" t="n"/>
      <c r="CS142" s="498" t="n"/>
      <c r="CT142" s="579" t="n"/>
      <c r="CU142" s="498" t="n"/>
      <c r="CV142" s="578" t="n"/>
      <c r="CW142" s="498" t="n"/>
      <c r="CX142" s="579" t="n"/>
      <c r="CY142" s="498" t="n"/>
      <c r="CZ142" s="578" t="n"/>
      <c r="DA142" s="498" t="n"/>
      <c r="DB142" s="579" t="n"/>
      <c r="DC142" s="498" t="n"/>
      <c r="DD142" s="578" t="n"/>
      <c r="DE142" s="498" t="n"/>
      <c r="DF142" s="579" t="n"/>
      <c r="DG142" s="498" t="n"/>
      <c r="DH142" s="578" t="n"/>
      <c r="DI142" s="498" t="n"/>
      <c r="DJ142" s="579" t="n"/>
      <c r="DK142" s="498" t="n"/>
      <c r="DL142" s="578" t="n"/>
      <c r="DM142" s="498" t="n"/>
      <c r="DN142" s="579" t="n"/>
      <c r="DO142" s="498" t="n"/>
      <c r="DP142" s="572" t="n"/>
      <c r="DQ142" s="820" t="n"/>
      <c r="DR142" s="820">
        <f>SUMPRODUCT(--(MOD(COLUMN(BT142:CQ142),4)=MOD(COLUMN(BT142),4)),BT142:CQ142)*$I142+SUMPRODUCT(--(MOD(COLUMN(CR142:DO142),4)=MOD(COLUMN(CR142),4)),CR142:DO142)*$I142</f>
        <v/>
      </c>
      <c r="DS142" s="819" t="n"/>
      <c r="DT142" s="819" t="n"/>
      <c r="DU142" s="578" t="n"/>
      <c r="DV142" s="498" t="n"/>
      <c r="DW142" s="579" t="n"/>
      <c r="DX142" s="498" t="n"/>
      <c r="DY142" s="578" t="n"/>
      <c r="DZ142" s="498" t="n"/>
      <c r="EA142" s="579" t="n"/>
      <c r="EB142" s="498" t="n"/>
      <c r="EC142" s="578" t="n"/>
      <c r="ED142" s="498" t="n"/>
      <c r="EE142" s="579" t="n"/>
      <c r="EF142" s="498" t="n"/>
      <c r="EG142" s="578" t="n"/>
      <c r="EH142" s="498" t="n"/>
      <c r="EI142" s="579" t="n"/>
      <c r="EJ142" s="498" t="n"/>
      <c r="EK142" s="578" t="n"/>
      <c r="EL142" s="498" t="n"/>
      <c r="EM142" s="579" t="n"/>
      <c r="EN142" s="498" t="n"/>
      <c r="EO142" s="578" t="n"/>
      <c r="EP142" s="498" t="n"/>
      <c r="EQ142" s="579" t="n"/>
      <c r="ER142" s="498" t="n"/>
      <c r="ES142" s="578" t="n"/>
      <c r="ET142" s="498" t="n"/>
      <c r="EU142" s="579" t="n"/>
      <c r="EV142" s="498" t="n"/>
      <c r="EW142" s="578" t="n"/>
      <c r="EX142" s="498" t="n"/>
      <c r="EY142" s="579" t="n"/>
      <c r="EZ142" s="498" t="n"/>
      <c r="FA142" s="578" t="n"/>
      <c r="FB142" s="498" t="n"/>
      <c r="FC142" s="579" t="n"/>
      <c r="FD142" s="498" t="n"/>
      <c r="FE142" s="578" t="n"/>
      <c r="FF142" s="498" t="n"/>
      <c r="FG142" s="579" t="n"/>
      <c r="FH142" s="498" t="n"/>
      <c r="FI142" s="578" t="n"/>
      <c r="FJ142" s="498" t="n"/>
      <c r="FK142" s="579" t="n"/>
      <c r="FL142" s="498" t="n"/>
      <c r="FM142" s="578" t="n"/>
      <c r="FN142" s="498" t="n"/>
      <c r="FO142" s="579" t="n"/>
      <c r="FP142" s="498" t="n"/>
      <c r="FQ142" s="572" t="n"/>
      <c r="FR142" s="820" t="n"/>
      <c r="FS142" s="820">
        <f>SUMPRODUCT(--(MOD(COLUMN(DU142:ER142),4)=MOD(COLUMN(DU142),4)),DU142:ER142)*$I142+SUMPRODUCT(--(MOD(COLUMN(ES142:FP142),4)=MOD(COLUMN(ES142),4)),ES142:FP142)*$I142</f>
        <v/>
      </c>
      <c r="FT142" s="573" t="n"/>
    </row>
    <row r="143" outlineLevel="2" customFormat="1" s="574">
      <c r="A143" s="580" t="inlineStr">
        <is>
          <t>ПАО «Уралавтоприцеп»</t>
        </is>
      </c>
      <c r="B143" s="580" t="inlineStr">
        <is>
          <t>Отсрочка 30 дней</t>
        </is>
      </c>
      <c r="C143" s="587" t="inlineStr">
        <is>
          <t>ВБК РУС</t>
        </is>
      </c>
      <c r="D143" s="580" t="inlineStr">
        <is>
          <t>Прасолов, Соловьёв</t>
        </is>
      </c>
      <c r="E143" s="588">
        <f>IF(ISBLANK(G143),"",IF($A$6:$A$330=$A143,COUNTIF($A$6:A143,$A143),""))</f>
        <v/>
      </c>
      <c r="F143" s="672" t="inlineStr">
        <is>
          <t>S</t>
        </is>
      </c>
      <c r="G143" s="501" t="n">
        <v>4441000400</v>
      </c>
      <c r="H143" s="611" t="inlineStr">
        <is>
          <t>Комплект "TEBS 2S/2M (15 м)" стандарт</t>
        </is>
      </c>
      <c r="I143" s="622">
        <f>7678/НДС</f>
        <v/>
      </c>
      <c r="J143" s="619" t="n"/>
      <c r="K143" s="876" t="n"/>
      <c r="L143" s="619" t="n"/>
      <c r="M143" s="813" t="n"/>
      <c r="N143" s="813">
        <f>IF(BP143&gt;0,1,IF(BN143&gt;0,2,))</f>
        <v/>
      </c>
      <c r="O143" s="578" t="n"/>
      <c r="P143" s="498" t="n"/>
      <c r="Q143" s="579" t="n"/>
      <c r="R143" s="498" t="n"/>
      <c r="S143" s="578" t="n"/>
      <c r="T143" s="498" t="n"/>
      <c r="U143" s="579" t="n"/>
      <c r="V143" s="498" t="n"/>
      <c r="W143" s="578" t="n"/>
      <c r="X143" s="498" t="n"/>
      <c r="Y143" s="579" t="n"/>
      <c r="Z143" s="498" t="n"/>
      <c r="AA143" s="578" t="n"/>
      <c r="AB143" s="498">
        <f>5+3</f>
        <v/>
      </c>
      <c r="AC143" s="579" t="n">
        <v>8</v>
      </c>
      <c r="AD143" s="498" t="n"/>
      <c r="AE143" s="578" t="n"/>
      <c r="AF143" s="498">
        <f>1</f>
        <v/>
      </c>
      <c r="AG143" s="579" t="n">
        <v>0</v>
      </c>
      <c r="AH143" s="498" t="n"/>
      <c r="AI143" s="578" t="n"/>
      <c r="AJ143" s="498">
        <f>2+5+N(5)</f>
        <v/>
      </c>
      <c r="AK143" s="579" t="n">
        <v>0</v>
      </c>
      <c r="AL143" s="498" t="n"/>
      <c r="AM143" s="578" t="n"/>
      <c r="AN143" s="498" t="n">
        <v>10</v>
      </c>
      <c r="AO143" s="579" t="n">
        <v>0</v>
      </c>
      <c r="AP143" s="498" t="n"/>
      <c r="AQ143" s="578" t="n"/>
      <c r="AR143" s="498" t="n">
        <v>15</v>
      </c>
      <c r="AS143" s="579" t="n">
        <v>0</v>
      </c>
      <c r="AT143" s="498" t="n"/>
      <c r="AU143" s="578" t="n"/>
      <c r="AV143" s="498" t="n">
        <v>20</v>
      </c>
      <c r="AW143" s="579" t="n">
        <v>0</v>
      </c>
      <c r="AX143" s="498" t="n"/>
      <c r="AY143" s="578" t="n"/>
      <c r="AZ143" s="498" t="n">
        <v>20</v>
      </c>
      <c r="BA143" s="579" t="n">
        <v>0</v>
      </c>
      <c r="BB143" s="498" t="n"/>
      <c r="BC143" s="578" t="n"/>
      <c r="BD143" s="498" t="n">
        <v>20</v>
      </c>
      <c r="BE143" s="579" t="n">
        <v>0</v>
      </c>
      <c r="BF143" s="498" t="n"/>
      <c r="BG143" s="578" t="n"/>
      <c r="BH143" s="498" t="n">
        <v>20</v>
      </c>
      <c r="BI143" s="579" t="n">
        <v>0</v>
      </c>
      <c r="BJ143" s="498" t="n"/>
      <c r="BK143" s="572" t="n"/>
      <c r="BL143" s="820">
        <f>SUMPRODUCT(--(MOD(COLUMN($O143:$AL143),4)=MOD(COLUMN($O143)+0,4)),$O143:$AL143)
+SUMPRODUCT(--(MOD(COLUMN($AM143:$BJ143),4)=MOD(COLUMN($AM143)+0,4)),$AM143:$BJ143)</f>
        <v/>
      </c>
      <c r="BM143" s="820">
        <f>SUMPRODUCT(--(MOD(COLUMN($O143:$AL143),4)=MOD(COLUMN($O143)+0,4)),$O143:$AL143)*$I143
+SUMPRODUCT(--(MOD(COLUMN($AM143:$BJ143),4)=MOD(COLUMN($AM143)+0,4)),$AM143:$BJ143)*$I143</f>
        <v/>
      </c>
      <c r="BN143" s="822">
        <f>SUMPRODUCT(--(MOD(COLUMN($O143:$AL143),4)=MOD(COLUMN($O143)+1,4)),$O143:$AL143)
+SUMPRODUCT(--(MOD(COLUMN($AM143:$BJ143),4)=MOD(COLUMN($AM143)+1,4)),$AM143:$BJ143)</f>
        <v/>
      </c>
      <c r="BO143" s="823">
        <f>SUMPRODUCT(--(MOD(COLUMN($O143:$AL143),4)=MOD(COLUMN($O143)+1,4)),$O143:$AL143)*$I143
+SUMPRODUCT(--(MOD(COLUMN($AM143:$BJ143),4)=MOD(COLUMN($AM143)+1,4)),$AM143:$BJ143)*$I143</f>
        <v/>
      </c>
      <c r="BP143" s="824">
        <f>SUMPRODUCT(--(MOD(COLUMN($O143:$AL143),4)=MOD(COLUMN($O143)+2,4)),$O143:$AL143)
+SUMPRODUCT(--(MOD(COLUMN($AM143:$BJ143),4)=MOD(COLUMN($AM143)+2,4)),$AM143:$BJ143)</f>
        <v/>
      </c>
      <c r="BQ143" s="825">
        <f>SUMPRODUCT(--(MOD(COLUMN($O143:$AL143),4)=MOD(COLUMN($O143)+2,4)),$O143:$AL143)*$I143
+SUMPRODUCT(--(MOD(COLUMN($AM143:$BJ143),4)=MOD(COLUMN($AM143)+2,4)),$AM143:$BJ143)*$I143</f>
        <v/>
      </c>
      <c r="BR143" s="819" t="n"/>
      <c r="BS143" s="819" t="n"/>
      <c r="BT143" s="578" t="n"/>
      <c r="BU143" s="498" t="n"/>
      <c r="BV143" s="579" t="n"/>
      <c r="BW143" s="498" t="n"/>
      <c r="BX143" s="578" t="n"/>
      <c r="BY143" s="498" t="n"/>
      <c r="BZ143" s="579" t="n"/>
      <c r="CA143" s="498" t="n"/>
      <c r="CB143" s="578" t="n"/>
      <c r="CC143" s="498" t="n"/>
      <c r="CD143" s="579" t="n"/>
      <c r="CE143" s="498" t="n"/>
      <c r="CF143" s="578" t="n"/>
      <c r="CG143" s="498" t="n"/>
      <c r="CH143" s="579" t="n"/>
      <c r="CI143" s="498" t="n"/>
      <c r="CJ143" s="578" t="n"/>
      <c r="CK143" s="498" t="n"/>
      <c r="CL143" s="579" t="n"/>
      <c r="CM143" s="498" t="n"/>
      <c r="CN143" s="578" t="n"/>
      <c r="CO143" s="498" t="n"/>
      <c r="CP143" s="579" t="n"/>
      <c r="CQ143" s="498" t="n"/>
      <c r="CR143" s="578" t="n"/>
      <c r="CS143" s="498" t="n"/>
      <c r="CT143" s="579" t="n"/>
      <c r="CU143" s="498" t="n"/>
      <c r="CV143" s="578" t="n"/>
      <c r="CW143" s="498" t="n"/>
      <c r="CX143" s="579" t="n"/>
      <c r="CY143" s="498" t="n"/>
      <c r="CZ143" s="578" t="n"/>
      <c r="DA143" s="498" t="n"/>
      <c r="DB143" s="579" t="n"/>
      <c r="DC143" s="498" t="n"/>
      <c r="DD143" s="578" t="n"/>
      <c r="DE143" s="498" t="n"/>
      <c r="DF143" s="579" t="n"/>
      <c r="DG143" s="498" t="n"/>
      <c r="DH143" s="578" t="n"/>
      <c r="DI143" s="498" t="n"/>
      <c r="DJ143" s="579" t="n"/>
      <c r="DK143" s="498" t="n"/>
      <c r="DL143" s="578" t="n"/>
      <c r="DM143" s="498" t="n"/>
      <c r="DN143" s="579" t="n"/>
      <c r="DO143" s="498" t="n"/>
      <c r="DP143" s="572" t="n"/>
      <c r="DQ143" s="820" t="n"/>
      <c r="DR143" s="820" t="n"/>
      <c r="DS143" s="819" t="n"/>
      <c r="DT143" s="819" t="n"/>
      <c r="DU143" s="578" t="n"/>
      <c r="DV143" s="498" t="n"/>
      <c r="DW143" s="579" t="n"/>
      <c r="DX143" s="498" t="n"/>
      <c r="DY143" s="578" t="n"/>
      <c r="DZ143" s="498" t="n"/>
      <c r="EA143" s="579" t="n"/>
      <c r="EB143" s="498" t="n"/>
      <c r="EC143" s="578" t="n"/>
      <c r="ED143" s="498" t="n"/>
      <c r="EE143" s="579" t="n"/>
      <c r="EF143" s="498" t="n"/>
      <c r="EG143" s="578" t="n"/>
      <c r="EH143" s="498" t="n"/>
      <c r="EI143" s="579" t="n"/>
      <c r="EJ143" s="498" t="n"/>
      <c r="EK143" s="578" t="n"/>
      <c r="EL143" s="498" t="n"/>
      <c r="EM143" s="579" t="n"/>
      <c r="EN143" s="498" t="n"/>
      <c r="EO143" s="578" t="n"/>
      <c r="EP143" s="498" t="n"/>
      <c r="EQ143" s="579" t="n"/>
      <c r="ER143" s="498" t="n"/>
      <c r="ES143" s="578" t="n"/>
      <c r="ET143" s="498" t="n"/>
      <c r="EU143" s="579" t="n"/>
      <c r="EV143" s="498" t="n"/>
      <c r="EW143" s="578" t="n"/>
      <c r="EX143" s="498" t="n"/>
      <c r="EY143" s="579" t="n"/>
      <c r="EZ143" s="498" t="n"/>
      <c r="FA143" s="578" t="n"/>
      <c r="FB143" s="498" t="n"/>
      <c r="FC143" s="579" t="n"/>
      <c r="FD143" s="498" t="n"/>
      <c r="FE143" s="578" t="n"/>
      <c r="FF143" s="498" t="n"/>
      <c r="FG143" s="579" t="n"/>
      <c r="FH143" s="498" t="n"/>
      <c r="FI143" s="578" t="n"/>
      <c r="FJ143" s="498" t="n"/>
      <c r="FK143" s="579" t="n"/>
      <c r="FL143" s="498" t="n"/>
      <c r="FM143" s="578" t="n"/>
      <c r="FN143" s="498" t="n"/>
      <c r="FO143" s="579" t="n"/>
      <c r="FP143" s="498" t="n"/>
      <c r="FQ143" s="572" t="n"/>
      <c r="FR143" s="820" t="n"/>
      <c r="FS143" s="820" t="n"/>
      <c r="FT143" s="573" t="n"/>
    </row>
    <row r="144" outlineLevel="2" customFormat="1" s="574">
      <c r="A144" s="580" t="inlineStr">
        <is>
          <t>ПАО «Уралавтоприцеп»</t>
        </is>
      </c>
      <c r="B144" s="580" t="inlineStr">
        <is>
          <t>Отсрочка 30 дней</t>
        </is>
      </c>
      <c r="C144" s="587" t="inlineStr">
        <is>
          <t>ВБК РУС</t>
        </is>
      </c>
      <c r="D144" s="580" t="inlineStr">
        <is>
          <t>Прасолов, Соловьёв</t>
        </is>
      </c>
      <c r="E144" s="588">
        <f>IF(ISBLANK(G144),"",IF($A$6:$A$330=$A144,COUNTIF($A$6:A144,$A144),""))</f>
        <v/>
      </c>
      <c r="F144" s="672" t="inlineStr">
        <is>
          <t>S</t>
        </is>
      </c>
      <c r="G144" s="501" t="n">
        <v>4441000220</v>
      </c>
      <c r="H144" s="611" t="inlineStr">
        <is>
          <t>Комплект расширения "TEBS 3M (6 м)"</t>
        </is>
      </c>
      <c r="I144" s="622">
        <f>2221/НДС</f>
        <v/>
      </c>
      <c r="J144" s="619" t="n"/>
      <c r="K144" s="876" t="n"/>
      <c r="L144" s="619" t="n"/>
      <c r="M144" s="813" t="n"/>
      <c r="N144" s="813">
        <f>IF(BP144&gt;0,1,IF(BN144&gt;0,2,))</f>
        <v/>
      </c>
      <c r="O144" s="578" t="n"/>
      <c r="P144" s="498" t="n"/>
      <c r="Q144" s="579" t="n"/>
      <c r="R144" s="498" t="n"/>
      <c r="S144" s="578" t="n"/>
      <c r="T144" s="498" t="n"/>
      <c r="U144" s="579" t="n"/>
      <c r="V144" s="498" t="n"/>
      <c r="W144" s="578" t="n"/>
      <c r="X144" s="498" t="n"/>
      <c r="Y144" s="579" t="n"/>
      <c r="Z144" s="498" t="n"/>
      <c r="AA144" s="578" t="n"/>
      <c r="AB144" s="498">
        <f>5+4</f>
        <v/>
      </c>
      <c r="AC144" s="579" t="n">
        <v>9</v>
      </c>
      <c r="AD144" s="498" t="n"/>
      <c r="AE144" s="578" t="n"/>
      <c r="AF144" s="498">
        <f>6+9+4</f>
        <v/>
      </c>
      <c r="AG144" s="579" t="n">
        <v>0</v>
      </c>
      <c r="AH144" s="498" t="n"/>
      <c r="AI144" s="578" t="n"/>
      <c r="AJ144" s="498" t="n">
        <v>5</v>
      </c>
      <c r="AK144" s="579" t="n">
        <v>0</v>
      </c>
      <c r="AL144" s="498" t="n"/>
      <c r="AM144" s="578" t="n"/>
      <c r="AN144" s="498" t="n">
        <v>20</v>
      </c>
      <c r="AO144" s="579" t="n">
        <v>0</v>
      </c>
      <c r="AP144" s="498" t="n"/>
      <c r="AQ144" s="578" t="n"/>
      <c r="AR144" s="498" t="n">
        <v>20</v>
      </c>
      <c r="AS144" s="579" t="n">
        <v>0</v>
      </c>
      <c r="AT144" s="498" t="n"/>
      <c r="AU144" s="578" t="n"/>
      <c r="AV144" s="498" t="n">
        <v>20</v>
      </c>
      <c r="AW144" s="579" t="n">
        <v>0</v>
      </c>
      <c r="AX144" s="498" t="n"/>
      <c r="AY144" s="578" t="n"/>
      <c r="AZ144" s="498" t="n">
        <v>20</v>
      </c>
      <c r="BA144" s="579" t="n">
        <v>0</v>
      </c>
      <c r="BB144" s="498" t="n"/>
      <c r="BC144" s="578" t="n"/>
      <c r="BD144" s="498" t="n">
        <v>20</v>
      </c>
      <c r="BE144" s="579" t="n">
        <v>0</v>
      </c>
      <c r="BF144" s="498" t="n"/>
      <c r="BG144" s="578" t="n"/>
      <c r="BH144" s="498" t="n">
        <v>20</v>
      </c>
      <c r="BI144" s="579" t="n">
        <v>0</v>
      </c>
      <c r="BJ144" s="498" t="n"/>
      <c r="BK144" s="572" t="n"/>
      <c r="BL144" s="820">
        <f>SUMPRODUCT(--(MOD(COLUMN($O144:$AL144),4)=MOD(COLUMN($O144)+0,4)),$O144:$AL144)
+SUMPRODUCT(--(MOD(COLUMN($AM144:$BJ144),4)=MOD(COLUMN($AM144)+0,4)),$AM144:$BJ144)</f>
        <v/>
      </c>
      <c r="BM144" s="820">
        <f>SUMPRODUCT(--(MOD(COLUMN($O144:$AL144),4)=MOD(COLUMN($O144)+0,4)),$O144:$AL144)*
$I144+SUMPRODUCT(--(MOD(COLUMN($AM144:$BJ144),4)=MOD(COLUMN($AM144)+0,4)),$AM144:$BJ144)*$I144</f>
        <v/>
      </c>
      <c r="BN144" s="822">
        <f>SUMPRODUCT(--(MOD(COLUMN($O144:$AL144),4)=MOD(COLUMN($O144)+1,4)),$O144:$AL144)
+SUMPRODUCT(--(MOD(COLUMN($AM144:$BJ144),4)=MOD(COLUMN($AM144)+1,4)),$AM144:$BJ144)</f>
        <v/>
      </c>
      <c r="BO144" s="823">
        <f>SUMPRODUCT(--(MOD(COLUMN($O144:$AL144),4)=MOD(COLUMN($O144)+1,4)),$O144:$AL144)*
$I144+SUMPRODUCT(--(MOD(COLUMN($AM144:$BJ144),4)=MOD(COLUMN($AM144)+1,4)),$AM144:$BJ144)*$I144</f>
        <v/>
      </c>
      <c r="BP144" s="824">
        <f>SUMPRODUCT(--(MOD(COLUMN($O144:$AL144),4)=MOD(COLUMN($O144)+2,4)),$O144:$AL144)
+SUMPRODUCT(--(MOD(COLUMN($AM144:$BJ144),4)=MOD(COLUMN($AM144)+2,4)),$AM144:$BJ144)</f>
        <v/>
      </c>
      <c r="BQ144" s="825">
        <f>SUMPRODUCT(--(MOD(COLUMN($O144:$AL144),4)=MOD(COLUMN($O144)+2,4)),$O144:$AL144)*
$I144+SUMPRODUCT(--(MOD(COLUMN($AM144:$BJ144),4)=MOD(COLUMN($AM144)+2,4)),$AM144:$BJ144)*$I144</f>
        <v/>
      </c>
      <c r="BR144" s="819" t="n"/>
      <c r="BS144" s="819" t="n"/>
      <c r="BT144" s="578" t="n"/>
      <c r="BU144" s="498" t="n"/>
      <c r="BV144" s="579" t="n"/>
      <c r="BW144" s="498" t="n"/>
      <c r="BX144" s="578" t="n"/>
      <c r="BY144" s="498" t="n"/>
      <c r="BZ144" s="579" t="n"/>
      <c r="CA144" s="498" t="n"/>
      <c r="CB144" s="578" t="n"/>
      <c r="CC144" s="498" t="n"/>
      <c r="CD144" s="579" t="n"/>
      <c r="CE144" s="498" t="n"/>
      <c r="CF144" s="578" t="n"/>
      <c r="CG144" s="498" t="n"/>
      <c r="CH144" s="579" t="n"/>
      <c r="CI144" s="498" t="n"/>
      <c r="CJ144" s="578" t="n"/>
      <c r="CK144" s="498" t="n"/>
      <c r="CL144" s="579" t="n"/>
      <c r="CM144" s="498" t="n"/>
      <c r="CN144" s="578" t="n"/>
      <c r="CO144" s="498" t="n"/>
      <c r="CP144" s="579" t="n"/>
      <c r="CQ144" s="498" t="n"/>
      <c r="CR144" s="578" t="n"/>
      <c r="CS144" s="498" t="n"/>
      <c r="CT144" s="579" t="n"/>
      <c r="CU144" s="498" t="n"/>
      <c r="CV144" s="578" t="n"/>
      <c r="CW144" s="498" t="n"/>
      <c r="CX144" s="579" t="n"/>
      <c r="CY144" s="498" t="n"/>
      <c r="CZ144" s="578" t="n"/>
      <c r="DA144" s="498" t="n"/>
      <c r="DB144" s="579" t="n"/>
      <c r="DC144" s="498" t="n"/>
      <c r="DD144" s="578" t="n"/>
      <c r="DE144" s="498" t="n"/>
      <c r="DF144" s="579" t="n"/>
      <c r="DG144" s="498" t="n"/>
      <c r="DH144" s="578" t="n"/>
      <c r="DI144" s="498" t="n"/>
      <c r="DJ144" s="579" t="n"/>
      <c r="DK144" s="498" t="n"/>
      <c r="DL144" s="578" t="n"/>
      <c r="DM144" s="498" t="n"/>
      <c r="DN144" s="579" t="n"/>
      <c r="DO144" s="498" t="n"/>
      <c r="DP144" s="572" t="n"/>
      <c r="DQ144" s="820" t="n"/>
      <c r="DR144" s="820" t="n"/>
      <c r="DS144" s="819" t="n"/>
      <c r="DT144" s="819" t="n"/>
      <c r="DU144" s="578" t="n"/>
      <c r="DV144" s="498" t="n"/>
      <c r="DW144" s="579" t="n"/>
      <c r="DX144" s="498" t="n"/>
      <c r="DY144" s="578" t="n"/>
      <c r="DZ144" s="498" t="n"/>
      <c r="EA144" s="579" t="n"/>
      <c r="EB144" s="498" t="n"/>
      <c r="EC144" s="578" t="n"/>
      <c r="ED144" s="498" t="n"/>
      <c r="EE144" s="579" t="n"/>
      <c r="EF144" s="498" t="n"/>
      <c r="EG144" s="578" t="n"/>
      <c r="EH144" s="498" t="n"/>
      <c r="EI144" s="579" t="n"/>
      <c r="EJ144" s="498" t="n"/>
      <c r="EK144" s="578" t="n"/>
      <c r="EL144" s="498" t="n"/>
      <c r="EM144" s="579" t="n"/>
      <c r="EN144" s="498" t="n"/>
      <c r="EO144" s="578" t="n"/>
      <c r="EP144" s="498" t="n"/>
      <c r="EQ144" s="579" t="n"/>
      <c r="ER144" s="498" t="n"/>
      <c r="ES144" s="578" t="n"/>
      <c r="ET144" s="498" t="n"/>
      <c r="EU144" s="579" t="n"/>
      <c r="EV144" s="498" t="n"/>
      <c r="EW144" s="578" t="n"/>
      <c r="EX144" s="498" t="n"/>
      <c r="EY144" s="579" t="n"/>
      <c r="EZ144" s="498" t="n"/>
      <c r="FA144" s="578" t="n"/>
      <c r="FB144" s="498" t="n"/>
      <c r="FC144" s="579" t="n"/>
      <c r="FD144" s="498" t="n"/>
      <c r="FE144" s="578" t="n"/>
      <c r="FF144" s="498" t="n"/>
      <c r="FG144" s="579" t="n"/>
      <c r="FH144" s="498" t="n"/>
      <c r="FI144" s="578" t="n"/>
      <c r="FJ144" s="498" t="n"/>
      <c r="FK144" s="579" t="n"/>
      <c r="FL144" s="498" t="n"/>
      <c r="FM144" s="578" t="n"/>
      <c r="FN144" s="498" t="n"/>
      <c r="FO144" s="579" t="n"/>
      <c r="FP144" s="498" t="n"/>
      <c r="FQ144" s="572" t="n"/>
      <c r="FR144" s="820" t="n"/>
      <c r="FS144" s="820" t="n"/>
      <c r="FT144" s="573" t="n"/>
    </row>
    <row r="145" outlineLevel="2" customFormat="1" s="574">
      <c r="A145" s="580" t="inlineStr">
        <is>
          <t>ПАО «Уралавтоприцеп»</t>
        </is>
      </c>
      <c r="B145" s="580" t="inlineStr">
        <is>
          <t>Отсрочка 30 дней</t>
        </is>
      </c>
      <c r="C145" s="587" t="inlineStr">
        <is>
          <t>ВБК РУС</t>
        </is>
      </c>
      <c r="D145" s="580" t="inlineStr">
        <is>
          <t>Прасолов, Соловьёв</t>
        </is>
      </c>
      <c r="E145" s="588">
        <f>IF(ISBLANK(G145),"",IF($A$6:$A$330=$A145,COUNTIF($A$6:A145,$A145),""))</f>
        <v/>
      </c>
      <c r="F145" s="672" t="inlineStr">
        <is>
          <t>S</t>
        </is>
      </c>
      <c r="G145" s="501" t="n">
        <v>4441000210</v>
      </c>
      <c r="H145" s="611" t="inlineStr">
        <is>
          <t>Комплект клапана подъёма оси LACV (6 м)</t>
        </is>
      </c>
      <c r="I145" s="622">
        <f>847.9/НДС</f>
        <v/>
      </c>
      <c r="J145" s="619" t="n"/>
      <c r="K145" s="876" t="n"/>
      <c r="L145" s="619" t="n"/>
      <c r="M145" s="813" t="n"/>
      <c r="N145" s="813">
        <f>IF(BP145&gt;0,1,IF(BN145&gt;0,2,))</f>
        <v/>
      </c>
      <c r="O145" s="578" t="n"/>
      <c r="P145" s="498" t="n"/>
      <c r="Q145" s="579" t="n"/>
      <c r="R145" s="498" t="n"/>
      <c r="S145" s="578" t="n"/>
      <c r="T145" s="498">
        <f>1+3+1</f>
        <v/>
      </c>
      <c r="U145" s="579" t="n">
        <v>5</v>
      </c>
      <c r="V145" s="498" t="n"/>
      <c r="W145" s="578" t="n"/>
      <c r="X145" s="498" t="n"/>
      <c r="Y145" s="579" t="n"/>
      <c r="Z145" s="498" t="n"/>
      <c r="AA145" s="578" t="n"/>
      <c r="AB145" s="498">
        <f>1</f>
        <v/>
      </c>
      <c r="AC145" s="579" t="n">
        <v>1</v>
      </c>
      <c r="AD145" s="498" t="n"/>
      <c r="AE145" s="578" t="n"/>
      <c r="AF145" s="498" t="n"/>
      <c r="AG145" s="579" t="n"/>
      <c r="AH145" s="498" t="n"/>
      <c r="AI145" s="578" t="n"/>
      <c r="AJ145" s="498" t="n"/>
      <c r="AK145" s="579" t="n"/>
      <c r="AL145" s="498" t="n"/>
      <c r="AM145" s="578" t="n"/>
      <c r="AN145" s="498" t="n"/>
      <c r="AO145" s="579" t="n"/>
      <c r="AP145" s="498" t="n"/>
      <c r="AQ145" s="578" t="n"/>
      <c r="AR145" s="498" t="n"/>
      <c r="AS145" s="579" t="n"/>
      <c r="AT145" s="498" t="n"/>
      <c r="AU145" s="578" t="n"/>
      <c r="AV145" s="498" t="n"/>
      <c r="AW145" s="579" t="n"/>
      <c r="AX145" s="498" t="n"/>
      <c r="AY145" s="578" t="n"/>
      <c r="AZ145" s="498" t="n"/>
      <c r="BA145" s="579" t="n"/>
      <c r="BB145" s="498" t="n"/>
      <c r="BC145" s="578" t="n"/>
      <c r="BD145" s="498" t="n"/>
      <c r="BE145" s="579" t="n"/>
      <c r="BF145" s="498" t="n"/>
      <c r="BG145" s="578" t="n"/>
      <c r="BH145" s="498" t="n"/>
      <c r="BI145" s="579" t="n"/>
      <c r="BJ145" s="498" t="n"/>
      <c r="BK145" s="572" t="n"/>
      <c r="BL145" s="820">
        <f>SUMPRODUCT(--(MOD(COLUMN($O145:$AL145),4)=MOD(COLUMN($O145)+0,4)),$O145:$AL145)
+SUMPRODUCT(--(MOD(COLUMN($AM145:$BJ145),4)=MOD(COLUMN($AM145)+0,4)),$AM145:$BJ145)</f>
        <v/>
      </c>
      <c r="BM145" s="820">
        <f>SUMPRODUCT(--(MOD(COLUMN($O145:$AL145),4)=MOD(COLUMN($O145)+0,4)),$O145:$AL145)*
$I145+SUMPRODUCT(--(MOD(COLUMN($AM145:$BJ145),4)=MOD(COLUMN($AM145)+0,4)),$AM145:$BJ145)*$I145</f>
        <v/>
      </c>
      <c r="BN145" s="822">
        <f>SUMPRODUCT(--(MOD(COLUMN($O145:$AL145),4)=MOD(COLUMN($O145)+1,4)),$O145:$AL145)
+SUMPRODUCT(--(MOD(COLUMN($AM145:$BJ145),4)=MOD(COLUMN($AM145)+1,4)),$AM145:$BJ145)</f>
        <v/>
      </c>
      <c r="BO145" s="823">
        <f>SUMPRODUCT(--(MOD(COLUMN($O145:$AL145),4)=MOD(COLUMN($O145)+1,4)),$O145:$AL145)*
$I145+SUMPRODUCT(--(MOD(COLUMN($AM145:$BJ145),4)=MOD(COLUMN($AM145)+1,4)),$AM145:$BJ145)*$I145</f>
        <v/>
      </c>
      <c r="BP145" s="824">
        <f>SUMPRODUCT(--(MOD(COLUMN($O145:$AL145),4)=MOD(COLUMN($O145)+2,4)),$O145:$AL145)
+SUMPRODUCT(--(MOD(COLUMN($AM145:$BJ145),4)=MOD(COLUMN($AM145)+2,4)),$AM145:$BJ145)</f>
        <v/>
      </c>
      <c r="BQ145" s="825">
        <f>SUMPRODUCT(--(MOD(COLUMN($O145:$AL145),4)=MOD(COLUMN($O145)+2,4)),$O145:$AL145)*
$I145+SUMPRODUCT(--(MOD(COLUMN($AM145:$BJ145),4)=MOD(COLUMN($AM145)+2,4)),$AM145:$BJ145)*$I145</f>
        <v/>
      </c>
      <c r="BR145" s="819" t="n"/>
      <c r="BS145" s="819" t="n"/>
      <c r="BT145" s="578" t="n"/>
      <c r="BU145" s="498" t="n"/>
      <c r="BV145" s="579" t="n"/>
      <c r="BW145" s="498" t="n"/>
      <c r="BX145" s="578" t="n"/>
      <c r="BY145" s="498" t="n"/>
      <c r="BZ145" s="579" t="n"/>
      <c r="CA145" s="498" t="n"/>
      <c r="CB145" s="578" t="n"/>
      <c r="CC145" s="498" t="n"/>
      <c r="CD145" s="579" t="n"/>
      <c r="CE145" s="498" t="n"/>
      <c r="CF145" s="578" t="n"/>
      <c r="CG145" s="498" t="n"/>
      <c r="CH145" s="579" t="n"/>
      <c r="CI145" s="498" t="n"/>
      <c r="CJ145" s="578" t="n"/>
      <c r="CK145" s="498" t="n"/>
      <c r="CL145" s="579" t="n"/>
      <c r="CM145" s="498" t="n"/>
      <c r="CN145" s="578" t="n"/>
      <c r="CO145" s="498" t="n"/>
      <c r="CP145" s="579" t="n"/>
      <c r="CQ145" s="498" t="n"/>
      <c r="CR145" s="578" t="n"/>
      <c r="CS145" s="498" t="n"/>
      <c r="CT145" s="579" t="n"/>
      <c r="CU145" s="498" t="n"/>
      <c r="CV145" s="578" t="n"/>
      <c r="CW145" s="498" t="n"/>
      <c r="CX145" s="579" t="n"/>
      <c r="CY145" s="498" t="n"/>
      <c r="CZ145" s="578" t="n"/>
      <c r="DA145" s="498" t="n"/>
      <c r="DB145" s="579" t="n"/>
      <c r="DC145" s="498" t="n"/>
      <c r="DD145" s="578" t="n"/>
      <c r="DE145" s="498" t="n"/>
      <c r="DF145" s="579" t="n"/>
      <c r="DG145" s="498" t="n"/>
      <c r="DH145" s="578" t="n"/>
      <c r="DI145" s="498" t="n"/>
      <c r="DJ145" s="579" t="n"/>
      <c r="DK145" s="498" t="n"/>
      <c r="DL145" s="578" t="n"/>
      <c r="DM145" s="498" t="n"/>
      <c r="DN145" s="579" t="n"/>
      <c r="DO145" s="498" t="n"/>
      <c r="DP145" s="572" t="n"/>
      <c r="DQ145" s="820" t="n"/>
      <c r="DR145" s="820" t="n"/>
      <c r="DS145" s="819" t="n"/>
      <c r="DT145" s="819" t="n"/>
      <c r="DU145" s="578" t="n"/>
      <c r="DV145" s="498" t="n"/>
      <c r="DW145" s="579" t="n"/>
      <c r="DX145" s="498" t="n"/>
      <c r="DY145" s="578" t="n"/>
      <c r="DZ145" s="498" t="n"/>
      <c r="EA145" s="579" t="n"/>
      <c r="EB145" s="498" t="n"/>
      <c r="EC145" s="578" t="n"/>
      <c r="ED145" s="498" t="n"/>
      <c r="EE145" s="579" t="n"/>
      <c r="EF145" s="498" t="n"/>
      <c r="EG145" s="578" t="n"/>
      <c r="EH145" s="498" t="n"/>
      <c r="EI145" s="579" t="n"/>
      <c r="EJ145" s="498" t="n"/>
      <c r="EK145" s="578" t="n"/>
      <c r="EL145" s="498" t="n"/>
      <c r="EM145" s="579" t="n"/>
      <c r="EN145" s="498" t="n"/>
      <c r="EO145" s="578" t="n"/>
      <c r="EP145" s="498" t="n"/>
      <c r="EQ145" s="579" t="n"/>
      <c r="ER145" s="498" t="n"/>
      <c r="ES145" s="578" t="n"/>
      <c r="ET145" s="498" t="n"/>
      <c r="EU145" s="579" t="n"/>
      <c r="EV145" s="498" t="n"/>
      <c r="EW145" s="578" t="n"/>
      <c r="EX145" s="498" t="n"/>
      <c r="EY145" s="579" t="n"/>
      <c r="EZ145" s="498" t="n"/>
      <c r="FA145" s="578" t="n"/>
      <c r="FB145" s="498" t="n"/>
      <c r="FC145" s="579" t="n"/>
      <c r="FD145" s="498" t="n"/>
      <c r="FE145" s="578" t="n"/>
      <c r="FF145" s="498" t="n"/>
      <c r="FG145" s="579" t="n"/>
      <c r="FH145" s="498" t="n"/>
      <c r="FI145" s="578" t="n"/>
      <c r="FJ145" s="498" t="n"/>
      <c r="FK145" s="579" t="n"/>
      <c r="FL145" s="498" t="n"/>
      <c r="FM145" s="578" t="n"/>
      <c r="FN145" s="498" t="n"/>
      <c r="FO145" s="579" t="n"/>
      <c r="FP145" s="498" t="n"/>
      <c r="FQ145" s="572" t="n"/>
      <c r="FR145" s="820" t="n"/>
      <c r="FS145" s="820" t="n"/>
      <c r="FT145" s="573" t="n"/>
    </row>
    <row r="146" outlineLevel="2" customFormat="1" s="574">
      <c r="A146" s="565" t="inlineStr">
        <is>
          <t>ПАО «Уралавтоприцеп»</t>
        </is>
      </c>
      <c r="B146" s="565" t="inlineStr">
        <is>
          <t>Отсрочка 30 дней</t>
        </is>
      </c>
      <c r="C146" s="541" t="inlineStr">
        <is>
          <t>ВБК РУС</t>
        </is>
      </c>
      <c r="D146" s="565" t="inlineStr">
        <is>
          <t>Прасолов, Соловьёв</t>
        </is>
      </c>
      <c r="E146" s="566">
        <f>IF(ISBLANK(G146),"",IF($A$6:$A$330=$A146,COUNTIF($A$6:A146,$A146),""))</f>
        <v/>
      </c>
      <c r="F146" s="671" t="inlineStr">
        <is>
          <t>S</t>
        </is>
      </c>
      <c r="G146" s="720" t="n">
        <v>4441000180</v>
      </c>
      <c r="H146" s="721" t="inlineStr">
        <is>
          <t>Комплект базовый "TEBS W 4S/2M (12 м)"</t>
        </is>
      </c>
      <c r="I146" s="621">
        <f>J146/ЮАНЬ_2025_08_29</f>
        <v/>
      </c>
      <c r="J146" s="621">
        <f>154533.33/НДС</f>
        <v/>
      </c>
      <c r="K146" s="886" t="inlineStr">
        <is>
          <t>RUB</t>
        </is>
      </c>
      <c r="L146" s="621">
        <f>IF(K146="RUB",J146/ЮАНЬ,IF(K146="EUR",J146*ЕВРО/ЮАНЬ,""))</f>
        <v/>
      </c>
      <c r="M146" s="875" t="n"/>
      <c r="N146" s="813">
        <f>IF(BP146&gt;0,1,IF(BN146&gt;0,2,))</f>
        <v/>
      </c>
      <c r="O146" s="569" t="n"/>
      <c r="P146" s="570">
        <f>2</f>
        <v/>
      </c>
      <c r="Q146" s="571" t="n">
        <v>2</v>
      </c>
      <c r="R146" s="570" t="n"/>
      <c r="S146" s="569" t="n"/>
      <c r="T146" s="570" t="n"/>
      <c r="U146" s="571" t="n"/>
      <c r="V146" s="570" t="n"/>
      <c r="W146" s="569" t="n"/>
      <c r="X146" s="570" t="n"/>
      <c r="Y146" s="571" t="n"/>
      <c r="Z146" s="570" t="n"/>
      <c r="AA146" s="569" t="n"/>
      <c r="AB146" s="570">
        <f>1</f>
        <v/>
      </c>
      <c r="AC146" s="571" t="n">
        <v>1</v>
      </c>
      <c r="AD146" s="570" t="n"/>
      <c r="AE146" s="569" t="n"/>
      <c r="AF146" s="570" t="n"/>
      <c r="AG146" s="571" t="n"/>
      <c r="AH146" s="570" t="n"/>
      <c r="AI146" s="569" t="n"/>
      <c r="AJ146" s="570" t="n"/>
      <c r="AK146" s="571" t="n"/>
      <c r="AL146" s="570" t="n"/>
      <c r="AM146" s="569" t="n"/>
      <c r="AN146" s="570" t="n"/>
      <c r="AO146" s="571" t="n"/>
      <c r="AP146" s="570" t="n"/>
      <c r="AQ146" s="569" t="n"/>
      <c r="AR146" s="570" t="n"/>
      <c r="AS146" s="571" t="n"/>
      <c r="AT146" s="570" t="n"/>
      <c r="AU146" s="569" t="n"/>
      <c r="AV146" s="570" t="n"/>
      <c r="AW146" s="571" t="n"/>
      <c r="AX146" s="570" t="n"/>
      <c r="AY146" s="569" t="n"/>
      <c r="AZ146" s="570" t="n"/>
      <c r="BA146" s="571" t="n"/>
      <c r="BB146" s="570" t="n"/>
      <c r="BC146" s="569" t="n"/>
      <c r="BD146" s="570" t="n"/>
      <c r="BE146" s="571" t="n"/>
      <c r="BF146" s="570" t="n"/>
      <c r="BG146" s="569" t="n"/>
      <c r="BH146" s="570" t="n"/>
      <c r="BI146" s="571" t="n"/>
      <c r="BJ146" s="570" t="n"/>
      <c r="BK146" s="572" t="n"/>
      <c r="BL146" s="803">
        <f>SUMPRODUCT(--(MOD(COLUMN($O146:$AL146),4)=MOD(COLUMN($O146)+0,4)),$O146:$AL146)
+SUMPRODUCT(--(MOD(COLUMN($AM146:$BJ146),4)=MOD(COLUMN($AM146)+0,4)),$AM146:$BJ146)</f>
        <v/>
      </c>
      <c r="BM146" s="803">
        <f>SUMPRODUCT(--(MOD(COLUMN($O146:$AL146),4)=MOD(COLUMN($O146)+0,4)),$O146:$AL146)*
$I146+SUMPRODUCT(--(MOD(COLUMN($AM146:$BJ146),4)=MOD(COLUMN($AM146)+0,4)),$AM146:$BJ146)*$I146</f>
        <v/>
      </c>
      <c r="BN146" s="805">
        <f>SUMPRODUCT(--(MOD(COLUMN($O146:$AL146),4)=MOD(COLUMN($O146)+1,4)),$O146:$AL146)
+SUMPRODUCT(--(MOD(COLUMN($AM146:$BJ146),4)=MOD(COLUMN($AM146)+1,4)),$AM146:$BJ146)</f>
        <v/>
      </c>
      <c r="BO146" s="806">
        <f>SUMPRODUCT(--(MOD(COLUMN($O146:$AL146),4)=MOD(COLUMN($O146)+1,4)),$O146:$AL146)*
$I146+SUMPRODUCT(--(MOD(COLUMN($AM146:$BJ146),4)=MOD(COLUMN($AM146)+1,4)),$AM146:$BJ146)*$I146</f>
        <v/>
      </c>
      <c r="BP146" s="807">
        <f>SUMPRODUCT(--(MOD(COLUMN($O146:$AL146),4)=MOD(COLUMN($O146)+2,4)),$O146:$AL146)
+SUMPRODUCT(--(MOD(COLUMN($AM146:$BJ146),4)=MOD(COLUMN($AM146)+2,4)),$AM146:$BJ146)</f>
        <v/>
      </c>
      <c r="BQ146" s="808">
        <f>SUMPRODUCT(--(MOD(COLUMN($O146:$AL146),4)=MOD(COLUMN($O146)+2,4)),$O146:$AL146)*
$I146+SUMPRODUCT(--(MOD(COLUMN($AM146:$BJ146),4)=MOD(COLUMN($AM146)+2,4)),$AM146:$BJ146)*$I146</f>
        <v/>
      </c>
      <c r="BR146" s="801" t="n"/>
      <c r="BS146" s="819" t="n"/>
      <c r="BT146" s="569" t="n"/>
      <c r="BU146" s="570" t="n"/>
      <c r="BV146" s="571" t="n"/>
      <c r="BW146" s="570" t="n"/>
      <c r="BX146" s="569" t="n"/>
      <c r="BY146" s="570" t="n"/>
      <c r="BZ146" s="571" t="n"/>
      <c r="CA146" s="570" t="n"/>
      <c r="CB146" s="569" t="n"/>
      <c r="CC146" s="570" t="n"/>
      <c r="CD146" s="571" t="n"/>
      <c r="CE146" s="570" t="n"/>
      <c r="CF146" s="569" t="n"/>
      <c r="CG146" s="570" t="n"/>
      <c r="CH146" s="571" t="n"/>
      <c r="CI146" s="570" t="n"/>
      <c r="CJ146" s="569" t="n"/>
      <c r="CK146" s="570" t="n"/>
      <c r="CL146" s="571" t="n"/>
      <c r="CM146" s="570" t="n"/>
      <c r="CN146" s="569" t="n"/>
      <c r="CO146" s="570" t="n"/>
      <c r="CP146" s="571" t="n"/>
      <c r="CQ146" s="570" t="n"/>
      <c r="CR146" s="569" t="n"/>
      <c r="CS146" s="570" t="n"/>
      <c r="CT146" s="571" t="n"/>
      <c r="CU146" s="570" t="n"/>
      <c r="CV146" s="569" t="n"/>
      <c r="CW146" s="570" t="n"/>
      <c r="CX146" s="571" t="n"/>
      <c r="CY146" s="570" t="n"/>
      <c r="CZ146" s="569" t="n"/>
      <c r="DA146" s="570" t="n"/>
      <c r="DB146" s="571" t="n"/>
      <c r="DC146" s="570" t="n"/>
      <c r="DD146" s="569" t="n"/>
      <c r="DE146" s="570" t="n"/>
      <c r="DF146" s="571" t="n"/>
      <c r="DG146" s="570" t="n"/>
      <c r="DH146" s="569" t="n"/>
      <c r="DI146" s="570" t="n"/>
      <c r="DJ146" s="571" t="n"/>
      <c r="DK146" s="570" t="n"/>
      <c r="DL146" s="569" t="n"/>
      <c r="DM146" s="570" t="n"/>
      <c r="DN146" s="571" t="n"/>
      <c r="DO146" s="570" t="n"/>
      <c r="DP146" s="572" t="n"/>
      <c r="DQ146" s="803">
        <f>SUMPRODUCT(--(MOD(COLUMN(BT146:CQ146),4)=MOD(COLUMN(BT146),4)),BT146:CQ146)+SUMPRODUCT(--(MOD(COLUMN(CR146:DO146),4)=MOD(COLUMN(CR146),4)),CR146:DO146)</f>
        <v/>
      </c>
      <c r="DR146" s="803">
        <f>SUMPRODUCT(--(MOD(COLUMN(BT146:CQ146),4)=MOD(COLUMN(BT146),4)),BT146:CQ146)*$I146+SUMPRODUCT(--(MOD(COLUMN(CR146:DO146),4)=MOD(COLUMN(CR146),4)),CR146:DO146)*$I146</f>
        <v/>
      </c>
      <c r="DS146" s="801" t="n"/>
      <c r="DT146" s="819" t="n"/>
      <c r="DU146" s="569" t="n"/>
      <c r="DV146" s="570" t="n"/>
      <c r="DW146" s="571" t="n"/>
      <c r="DX146" s="570" t="n"/>
      <c r="DY146" s="569" t="n"/>
      <c r="DZ146" s="570" t="n"/>
      <c r="EA146" s="571" t="n"/>
      <c r="EB146" s="570" t="n"/>
      <c r="EC146" s="569" t="n"/>
      <c r="ED146" s="570" t="n"/>
      <c r="EE146" s="571" t="n"/>
      <c r="EF146" s="570" t="n"/>
      <c r="EG146" s="569" t="n"/>
      <c r="EH146" s="570" t="n"/>
      <c r="EI146" s="571" t="n"/>
      <c r="EJ146" s="570" t="n"/>
      <c r="EK146" s="569" t="n"/>
      <c r="EL146" s="570" t="n"/>
      <c r="EM146" s="571" t="n"/>
      <c r="EN146" s="570" t="n"/>
      <c r="EO146" s="569" t="n"/>
      <c r="EP146" s="570" t="n"/>
      <c r="EQ146" s="571" t="n"/>
      <c r="ER146" s="570" t="n"/>
      <c r="ES146" s="569" t="n"/>
      <c r="ET146" s="570" t="n"/>
      <c r="EU146" s="571" t="n"/>
      <c r="EV146" s="570" t="n"/>
      <c r="EW146" s="569" t="n"/>
      <c r="EX146" s="570" t="n"/>
      <c r="EY146" s="571" t="n"/>
      <c r="EZ146" s="570" t="n"/>
      <c r="FA146" s="569" t="n"/>
      <c r="FB146" s="570" t="n"/>
      <c r="FC146" s="571" t="n"/>
      <c r="FD146" s="570" t="n"/>
      <c r="FE146" s="569" t="n"/>
      <c r="FF146" s="570" t="n"/>
      <c r="FG146" s="571" t="n"/>
      <c r="FH146" s="570" t="n"/>
      <c r="FI146" s="569" t="n"/>
      <c r="FJ146" s="570" t="n"/>
      <c r="FK146" s="571" t="n"/>
      <c r="FL146" s="570" t="n"/>
      <c r="FM146" s="569" t="n"/>
      <c r="FN146" s="570" t="n"/>
      <c r="FO146" s="571" t="n"/>
      <c r="FP146" s="570" t="n"/>
      <c r="FQ146" s="572" t="n"/>
      <c r="FR146" s="803">
        <f>SUMPRODUCT(--(MOD(COLUMN(DU146:ER146),4)=MOD(COLUMN(DU146),4)),DU146:ER146)+SUMPRODUCT(--(MOD(COLUMN(ES146:FP146),4)=MOD(COLUMN(ES146),4)),ES146:FP146)</f>
        <v/>
      </c>
      <c r="FS146" s="803">
        <f>SUMPRODUCT(--(MOD(COLUMN(DU146:ER146),4)=MOD(COLUMN(DU146),4)),DU146:ER146)*$I146+SUMPRODUCT(--(MOD(COLUMN(ES146:FP146),4)=MOD(COLUMN(ES146),4)),ES146:FP146)*$I146</f>
        <v/>
      </c>
      <c r="FT146" s="573" t="n"/>
    </row>
    <row r="147" outlineLevel="2" customFormat="1" s="574">
      <c r="A147" s="580" t="inlineStr">
        <is>
          <t>ПАО «Уралавтоприцеп»</t>
        </is>
      </c>
      <c r="B147" s="580" t="inlineStr">
        <is>
          <t>Отсрочка 30 дней</t>
        </is>
      </c>
      <c r="C147" s="587" t="inlineStr">
        <is>
          <t>ВБК РУС</t>
        </is>
      </c>
      <c r="D147" s="580" t="inlineStr">
        <is>
          <t>Прасолов, Соловьёв</t>
        </is>
      </c>
      <c r="E147" s="588">
        <f>IF(ISBLANK(G147),"",IF($A$6:$A$330=$A147,COUNTIF($A$6:A147,$A147),""))</f>
        <v/>
      </c>
      <c r="F147" s="672" t="inlineStr">
        <is>
          <t>S</t>
        </is>
      </c>
      <c r="G147" s="501" t="n">
        <v>4441000590</v>
      </c>
      <c r="H147" s="611" t="inlineStr">
        <is>
          <t>Комплект "TEBS W 4S/2M (12 м)"</t>
        </is>
      </c>
      <c r="I147" s="622">
        <f>J147/ЮАНЬ_2025_08_29</f>
        <v/>
      </c>
      <c r="J147" s="622">
        <f>154533.33/НДС</f>
        <v/>
      </c>
      <c r="K147" s="884" t="inlineStr">
        <is>
          <t>RUB</t>
        </is>
      </c>
      <c r="L147" s="642">
        <f>IF(K147="RUB",J147/ЮАНЬ,IF(K147="EUR",J147*ЕВРО/ЮАНЬ,""))</f>
        <v/>
      </c>
      <c r="M147" s="813" t="n"/>
      <c r="N147" s="813">
        <f>IF(BP147&gt;0,1,IF(BN147&gt;0,2,))</f>
        <v/>
      </c>
      <c r="O147" s="578" t="n"/>
      <c r="P147" s="498" t="n"/>
      <c r="Q147" s="579" t="n"/>
      <c r="R147" s="498" t="n"/>
      <c r="S147" s="578" t="n"/>
      <c r="T147" s="498">
        <f>1+3+1</f>
        <v/>
      </c>
      <c r="U147" s="579" t="n">
        <v>5</v>
      </c>
      <c r="V147" s="498" t="n"/>
      <c r="W147" s="578" t="n"/>
      <c r="X147" s="498" t="n"/>
      <c r="Y147" s="579" t="n"/>
      <c r="Z147" s="498" t="n"/>
      <c r="AA147" s="578" t="n"/>
      <c r="AB147" s="498" t="n"/>
      <c r="AC147" s="579" t="n"/>
      <c r="AD147" s="498" t="n"/>
      <c r="AE147" s="578" t="n"/>
      <c r="AF147" s="498" t="n"/>
      <c r="AG147" s="579" t="n"/>
      <c r="AH147" s="498" t="n"/>
      <c r="AI147" s="578" t="n"/>
      <c r="AJ147" s="498" t="n"/>
      <c r="AK147" s="579" t="n"/>
      <c r="AL147" s="498" t="n"/>
      <c r="AM147" s="578" t="n"/>
      <c r="AN147" s="498" t="n"/>
      <c r="AO147" s="579" t="n"/>
      <c r="AP147" s="498" t="n"/>
      <c r="AQ147" s="578" t="n"/>
      <c r="AR147" s="498" t="n"/>
      <c r="AS147" s="579" t="n"/>
      <c r="AT147" s="498" t="n"/>
      <c r="AU147" s="578" t="n"/>
      <c r="AV147" s="498" t="n"/>
      <c r="AW147" s="579" t="n"/>
      <c r="AX147" s="498" t="n"/>
      <c r="AY147" s="578" t="n"/>
      <c r="AZ147" s="498" t="n"/>
      <c r="BA147" s="579" t="n"/>
      <c r="BB147" s="498" t="n"/>
      <c r="BC147" s="578" t="n"/>
      <c r="BD147" s="498" t="n"/>
      <c r="BE147" s="579" t="n"/>
      <c r="BF147" s="498" t="n"/>
      <c r="BG147" s="578" t="n"/>
      <c r="BH147" s="498" t="n"/>
      <c r="BI147" s="579" t="n"/>
      <c r="BJ147" s="498" t="n"/>
      <c r="BK147" s="572" t="n"/>
      <c r="BL147" s="820">
        <f>SUMPRODUCT(--(MOD(COLUMN($O147:$AL147),4)=MOD(COLUMN($O147)+0,4)),$O147:$AL147)
+SUMPRODUCT(--(MOD(COLUMN($AM147:$BJ147),4)=MOD(COLUMN($AM147)+0,4)),$AM147:$BJ147)</f>
        <v/>
      </c>
      <c r="BM147" s="820">
        <f>SUMPRODUCT(--(MOD(COLUMN($O147:$AL147),4)=MOD(COLUMN($O147)+0,4)),$O147:$AL147)*
$I147+SUMPRODUCT(--(MOD(COLUMN($AM147:$BJ147),4)=MOD(COLUMN($AM147)+0,4)),$AM147:$BJ147)*$I147</f>
        <v/>
      </c>
      <c r="BN147" s="822">
        <f>SUMPRODUCT(--(MOD(COLUMN($O147:$AL147),4)=MOD(COLUMN($O147)+1,4)),$O147:$AL147)
+SUMPRODUCT(--(MOD(COLUMN($AM147:$BJ147),4)=MOD(COLUMN($AM147)+1,4)),$AM147:$BJ147)</f>
        <v/>
      </c>
      <c r="BO147" s="823">
        <f>SUMPRODUCT(--(MOD(COLUMN($O147:$AL147),4)=MOD(COLUMN($O147)+1,4)),$O147:$AL147)*
$I147+SUMPRODUCT(--(MOD(COLUMN($AM147:$BJ147),4)=MOD(COLUMN($AM147)+1,4)),$AM147:$BJ147)*$I147</f>
        <v/>
      </c>
      <c r="BP147" s="824">
        <f>SUMPRODUCT(--(MOD(COLUMN($O147:$AL147),4)=MOD(COLUMN($O147)+2,4)),$O147:$AL147)
+SUMPRODUCT(--(MOD(COLUMN($AM147:$BJ147),4)=MOD(COLUMN($AM147)+2,4)),$AM147:$BJ147)</f>
        <v/>
      </c>
      <c r="BQ147" s="825">
        <f>SUMPRODUCT(--(MOD(COLUMN($O147:$AL147),4)=MOD(COLUMN($O147)+2,4)),$O147:$AL147)*
$I147+SUMPRODUCT(--(MOD(COLUMN($AM147:$BJ147),4)=MOD(COLUMN($AM147)+2,4)),$AM147:$BJ147)*$I147</f>
        <v/>
      </c>
      <c r="BR147" s="819" t="n"/>
      <c r="BS147" s="819" t="n"/>
      <c r="BT147" s="578" t="n"/>
      <c r="BU147" s="498" t="n"/>
      <c r="BV147" s="579" t="n"/>
      <c r="BW147" s="498" t="n"/>
      <c r="BX147" s="578" t="n"/>
      <c r="BY147" s="498" t="n"/>
      <c r="BZ147" s="579" t="n"/>
      <c r="CA147" s="498" t="n"/>
      <c r="CB147" s="578" t="n"/>
      <c r="CC147" s="498" t="n"/>
      <c r="CD147" s="579" t="n"/>
      <c r="CE147" s="498" t="n"/>
      <c r="CF147" s="578" t="n"/>
      <c r="CG147" s="498" t="n"/>
      <c r="CH147" s="579" t="n"/>
      <c r="CI147" s="498" t="n"/>
      <c r="CJ147" s="578" t="n"/>
      <c r="CK147" s="498" t="n"/>
      <c r="CL147" s="579" t="n"/>
      <c r="CM147" s="498" t="n"/>
      <c r="CN147" s="578" t="n"/>
      <c r="CO147" s="498" t="n"/>
      <c r="CP147" s="579" t="n"/>
      <c r="CQ147" s="498" t="n"/>
      <c r="CR147" s="578" t="n"/>
      <c r="CS147" s="498" t="n"/>
      <c r="CT147" s="579" t="n"/>
      <c r="CU147" s="498" t="n"/>
      <c r="CV147" s="578" t="n"/>
      <c r="CW147" s="498" t="n"/>
      <c r="CX147" s="579" t="n"/>
      <c r="CY147" s="498" t="n"/>
      <c r="CZ147" s="578" t="n"/>
      <c r="DA147" s="498" t="n"/>
      <c r="DB147" s="579" t="n"/>
      <c r="DC147" s="498" t="n"/>
      <c r="DD147" s="578" t="n"/>
      <c r="DE147" s="498" t="n"/>
      <c r="DF147" s="579" t="n"/>
      <c r="DG147" s="498" t="n"/>
      <c r="DH147" s="578" t="n"/>
      <c r="DI147" s="498" t="n"/>
      <c r="DJ147" s="579" t="n"/>
      <c r="DK147" s="498" t="n"/>
      <c r="DL147" s="578" t="n"/>
      <c r="DM147" s="498" t="n"/>
      <c r="DN147" s="579" t="n"/>
      <c r="DO147" s="498" t="n"/>
      <c r="DP147" s="572" t="n"/>
      <c r="DQ147" s="820" t="n"/>
      <c r="DR147" s="820" t="n"/>
      <c r="DS147" s="819" t="n"/>
      <c r="DT147" s="819" t="n"/>
      <c r="DU147" s="578" t="n"/>
      <c r="DV147" s="498" t="n"/>
      <c r="DW147" s="579" t="n"/>
      <c r="DX147" s="498" t="n"/>
      <c r="DY147" s="578" t="n"/>
      <c r="DZ147" s="498" t="n"/>
      <c r="EA147" s="579" t="n"/>
      <c r="EB147" s="498" t="n"/>
      <c r="EC147" s="578" t="n"/>
      <c r="ED147" s="498" t="n"/>
      <c r="EE147" s="579" t="n"/>
      <c r="EF147" s="498" t="n"/>
      <c r="EG147" s="578" t="n"/>
      <c r="EH147" s="498" t="n"/>
      <c r="EI147" s="579" t="n"/>
      <c r="EJ147" s="498" t="n"/>
      <c r="EK147" s="578" t="n"/>
      <c r="EL147" s="498" t="n"/>
      <c r="EM147" s="579" t="n"/>
      <c r="EN147" s="498" t="n"/>
      <c r="EO147" s="578" t="n"/>
      <c r="EP147" s="498" t="n"/>
      <c r="EQ147" s="579" t="n"/>
      <c r="ER147" s="498" t="n"/>
      <c r="ES147" s="578" t="n"/>
      <c r="ET147" s="498" t="n"/>
      <c r="EU147" s="579" t="n"/>
      <c r="EV147" s="498" t="n"/>
      <c r="EW147" s="578" t="n"/>
      <c r="EX147" s="498" t="n"/>
      <c r="EY147" s="579" t="n"/>
      <c r="EZ147" s="498" t="n"/>
      <c r="FA147" s="578" t="n"/>
      <c r="FB147" s="498" t="n"/>
      <c r="FC147" s="579" t="n"/>
      <c r="FD147" s="498" t="n"/>
      <c r="FE147" s="578" t="n"/>
      <c r="FF147" s="498" t="n"/>
      <c r="FG147" s="579" t="n"/>
      <c r="FH147" s="498" t="n"/>
      <c r="FI147" s="578" t="n"/>
      <c r="FJ147" s="498" t="n"/>
      <c r="FK147" s="579" t="n"/>
      <c r="FL147" s="498" t="n"/>
      <c r="FM147" s="578" t="n"/>
      <c r="FN147" s="498" t="n"/>
      <c r="FO147" s="579" t="n"/>
      <c r="FP147" s="498" t="n"/>
      <c r="FQ147" s="572" t="n"/>
      <c r="FR147" s="820" t="n"/>
      <c r="FS147" s="820" t="n"/>
      <c r="FT147" s="573" t="n"/>
    </row>
    <row r="148" outlineLevel="2" customFormat="1" s="574">
      <c r="A148" s="580" t="inlineStr">
        <is>
          <t>ПАО «Уралавтоприцеп»</t>
        </is>
      </c>
      <c r="B148" s="580" t="inlineStr">
        <is>
          <t>Отсрочка 30 дней</t>
        </is>
      </c>
      <c r="C148" s="587" t="inlineStr">
        <is>
          <t>ВБК РУС</t>
        </is>
      </c>
      <c r="D148" s="580" t="inlineStr">
        <is>
          <t>Прасолов, Соловьёв</t>
        </is>
      </c>
      <c r="E148" s="588">
        <f>IF(ISBLANK(G148),"",IF($A$6:$A$330=$A148,COUNTIF($A$6:A148,$A148),""))</f>
        <v/>
      </c>
      <c r="F148" s="672" t="inlineStr">
        <is>
          <t>S</t>
        </is>
      </c>
      <c r="G148" s="319" t="n">
        <v>4441000200</v>
      </c>
      <c r="H148" s="603" t="inlineStr">
        <is>
          <t>Комплект "CAN-Репитер W (40 м)"</t>
        </is>
      </c>
      <c r="I148" s="619">
        <f>IF(K148="RUB",J148/ЮАНЬ_2025_08_29,IF(K148="EUR",J148*ЕВРО_2025_08_29/ЮАНЬ_2025_08_29,""))</f>
        <v/>
      </c>
      <c r="J148" s="619">
        <f>1443.67/НДС</f>
        <v/>
      </c>
      <c r="K148" s="884" t="inlineStr">
        <is>
          <t>EUR</t>
        </is>
      </c>
      <c r="L148" s="642">
        <f>IF(K148="RUB",J148/ЮАНЬ,IF(K148="EUR",J148*ЕВРО/ЮАНЬ,""))</f>
        <v/>
      </c>
      <c r="M148" s="813" t="n"/>
      <c r="N148" s="813">
        <f>IF(BP148&gt;0,1,IF(BN148&gt;0,2,))</f>
        <v/>
      </c>
      <c r="O148" s="578" t="n"/>
      <c r="P148" s="498">
        <f>2</f>
        <v/>
      </c>
      <c r="Q148" s="579" t="n">
        <v>2</v>
      </c>
      <c r="R148" s="498" t="n"/>
      <c r="S148" s="578" t="n"/>
      <c r="T148" s="498" t="n"/>
      <c r="U148" s="579" t="n"/>
      <c r="V148" s="498" t="n"/>
      <c r="W148" s="578" t="n"/>
      <c r="X148" s="498" t="n"/>
      <c r="Y148" s="579" t="n"/>
      <c r="Z148" s="498" t="n"/>
      <c r="AA148" s="578" t="n"/>
      <c r="AB148" s="498">
        <f>1</f>
        <v/>
      </c>
      <c r="AC148" s="579" t="n">
        <v>1</v>
      </c>
      <c r="AD148" s="498" t="n"/>
      <c r="AE148" s="578" t="n"/>
      <c r="AF148" s="498" t="n"/>
      <c r="AG148" s="579" t="n"/>
      <c r="AH148" s="498" t="n"/>
      <c r="AI148" s="578" t="n"/>
      <c r="AJ148" s="498" t="n"/>
      <c r="AK148" s="579" t="n"/>
      <c r="AL148" s="498" t="n"/>
      <c r="AM148" s="578" t="n"/>
      <c r="AN148" s="498" t="n"/>
      <c r="AO148" s="579" t="n"/>
      <c r="AP148" s="498" t="n"/>
      <c r="AQ148" s="578" t="n"/>
      <c r="AR148" s="498" t="n"/>
      <c r="AS148" s="579" t="n"/>
      <c r="AT148" s="498" t="n"/>
      <c r="AU148" s="578" t="n"/>
      <c r="AV148" s="498" t="n"/>
      <c r="AW148" s="579" t="n"/>
      <c r="AX148" s="498" t="n"/>
      <c r="AY148" s="578" t="n"/>
      <c r="AZ148" s="498" t="n"/>
      <c r="BA148" s="579" t="n"/>
      <c r="BB148" s="498" t="n"/>
      <c r="BC148" s="578" t="n"/>
      <c r="BD148" s="498" t="n"/>
      <c r="BE148" s="579" t="n"/>
      <c r="BF148" s="498" t="n"/>
      <c r="BG148" s="578" t="n"/>
      <c r="BH148" s="498" t="n"/>
      <c r="BI148" s="579" t="n"/>
      <c r="BJ148" s="498" t="n"/>
      <c r="BK148" s="572" t="n"/>
      <c r="BL148" s="820">
        <f>SUMPRODUCT(--(MOD(COLUMN($O148:$AL148),4)=MOD(COLUMN($O148)+0,4)),$O148:$AL148)
+SUMPRODUCT(--(MOD(COLUMN($AM148:$BJ148),4)=MOD(COLUMN($AM148)+0,4)),$AM148:$BJ148)</f>
        <v/>
      </c>
      <c r="BM148" s="820">
        <f>SUMPRODUCT(--(MOD(COLUMN($O148:$AL148),4)=MOD(COLUMN($O148)+0,4)),$O148:$AL148)*
$I148+SUMPRODUCT(--(MOD(COLUMN($AM148:$BJ148),4)=MOD(COLUMN($AM148)+0,4)),$AM148:$BJ148)*$I148</f>
        <v/>
      </c>
      <c r="BN148" s="822">
        <f>SUMPRODUCT(--(MOD(COLUMN($O148:$AL148),4)=MOD(COLUMN($O148)+1,4)),$O148:$AL148)
+SUMPRODUCT(--(MOD(COLUMN($AM148:$BJ148),4)=MOD(COLUMN($AM148)+1,4)),$AM148:$BJ148)</f>
        <v/>
      </c>
      <c r="BO148" s="823">
        <f>SUMPRODUCT(--(MOD(COLUMN($O148:$AL148),4)=MOD(COLUMN($O148)+1,4)),$O148:$AL148)*
$I148+SUMPRODUCT(--(MOD(COLUMN($AM148:$BJ148),4)=MOD(COLUMN($AM148)+1,4)),$AM148:$BJ148)*$I148</f>
        <v/>
      </c>
      <c r="BP148" s="824">
        <f>SUMPRODUCT(--(MOD(COLUMN($O148:$AL148),4)=MOD(COLUMN($O148)+2,4)),$O148:$AL148)
+SUMPRODUCT(--(MOD(COLUMN($AM148:$BJ148),4)=MOD(COLUMN($AM148)+2,4)),$AM148:$BJ148)</f>
        <v/>
      </c>
      <c r="BQ148" s="825">
        <f>SUMPRODUCT(--(MOD(COLUMN($O148:$AL148),4)=MOD(COLUMN($O148)+2,4)),$O148:$AL148)*
$I148+SUMPRODUCT(--(MOD(COLUMN($AM148:$BJ148),4)=MOD(COLUMN($AM148)+2,4)),$AM148:$BJ148)*$I148</f>
        <v/>
      </c>
      <c r="BR148" s="819" t="n"/>
      <c r="BS148" s="819" t="n"/>
      <c r="BT148" s="578" t="n"/>
      <c r="BU148" s="498" t="n"/>
      <c r="BV148" s="579" t="n"/>
      <c r="BW148" s="498" t="n"/>
      <c r="BX148" s="578" t="n"/>
      <c r="BY148" s="498" t="n"/>
      <c r="BZ148" s="579" t="n"/>
      <c r="CA148" s="498" t="n"/>
      <c r="CB148" s="578" t="n"/>
      <c r="CC148" s="498" t="n"/>
      <c r="CD148" s="579" t="n"/>
      <c r="CE148" s="498" t="n"/>
      <c r="CF148" s="578" t="n"/>
      <c r="CG148" s="498" t="n"/>
      <c r="CH148" s="579" t="n"/>
      <c r="CI148" s="498" t="n"/>
      <c r="CJ148" s="578" t="n"/>
      <c r="CK148" s="498" t="n"/>
      <c r="CL148" s="579" t="n"/>
      <c r="CM148" s="498" t="n"/>
      <c r="CN148" s="578" t="n"/>
      <c r="CO148" s="498" t="n"/>
      <c r="CP148" s="579" t="n"/>
      <c r="CQ148" s="498" t="n"/>
      <c r="CR148" s="578" t="n"/>
      <c r="CS148" s="498" t="n"/>
      <c r="CT148" s="579" t="n"/>
      <c r="CU148" s="498" t="n"/>
      <c r="CV148" s="578" t="n"/>
      <c r="CW148" s="498" t="n"/>
      <c r="CX148" s="579" t="n"/>
      <c r="CY148" s="498" t="n"/>
      <c r="CZ148" s="578" t="n"/>
      <c r="DA148" s="498" t="n"/>
      <c r="DB148" s="579" t="n"/>
      <c r="DC148" s="498" t="n"/>
      <c r="DD148" s="578" t="n"/>
      <c r="DE148" s="498" t="n"/>
      <c r="DF148" s="579" t="n"/>
      <c r="DG148" s="498" t="n"/>
      <c r="DH148" s="578" t="n"/>
      <c r="DI148" s="498" t="n"/>
      <c r="DJ148" s="579" t="n"/>
      <c r="DK148" s="498" t="n"/>
      <c r="DL148" s="578" t="n"/>
      <c r="DM148" s="498" t="n"/>
      <c r="DN148" s="579" t="n"/>
      <c r="DO148" s="498" t="n"/>
      <c r="DP148" s="572" t="n"/>
      <c r="DQ148" s="820" t="n"/>
      <c r="DR148" s="820">
        <f>SUMPRODUCT(--(MOD(COLUMN(BT148:CQ148),4)=MOD(COLUMN(BT148),4)),BT148:CQ148)*$I148+SUMPRODUCT(--(MOD(COLUMN(CR148:DO148),4)=MOD(COLUMN(CR148),4)),CR148:DO148)*$I148</f>
        <v/>
      </c>
      <c r="DS148" s="819" t="n"/>
      <c r="DT148" s="819" t="n"/>
      <c r="DU148" s="578" t="n"/>
      <c r="DV148" s="498" t="n"/>
      <c r="DW148" s="579" t="n"/>
      <c r="DX148" s="498" t="n"/>
      <c r="DY148" s="578" t="n"/>
      <c r="DZ148" s="498" t="n"/>
      <c r="EA148" s="579" t="n"/>
      <c r="EB148" s="498" t="n"/>
      <c r="EC148" s="578" t="n"/>
      <c r="ED148" s="498" t="n"/>
      <c r="EE148" s="579" t="n"/>
      <c r="EF148" s="498" t="n"/>
      <c r="EG148" s="578" t="n"/>
      <c r="EH148" s="498" t="n"/>
      <c r="EI148" s="579" t="n"/>
      <c r="EJ148" s="498" t="n"/>
      <c r="EK148" s="578" t="n"/>
      <c r="EL148" s="498" t="n"/>
      <c r="EM148" s="579" t="n"/>
      <c r="EN148" s="498" t="n"/>
      <c r="EO148" s="578" t="n"/>
      <c r="EP148" s="498" t="n"/>
      <c r="EQ148" s="579" t="n"/>
      <c r="ER148" s="498" t="n"/>
      <c r="ES148" s="578" t="n"/>
      <c r="ET148" s="498" t="n"/>
      <c r="EU148" s="579" t="n"/>
      <c r="EV148" s="498" t="n"/>
      <c r="EW148" s="578" t="n"/>
      <c r="EX148" s="498" t="n"/>
      <c r="EY148" s="579" t="n"/>
      <c r="EZ148" s="498" t="n"/>
      <c r="FA148" s="578" t="n"/>
      <c r="FB148" s="498" t="n"/>
      <c r="FC148" s="579" t="n"/>
      <c r="FD148" s="498" t="n"/>
      <c r="FE148" s="578" t="n"/>
      <c r="FF148" s="498" t="n"/>
      <c r="FG148" s="579" t="n"/>
      <c r="FH148" s="498" t="n"/>
      <c r="FI148" s="578" t="n"/>
      <c r="FJ148" s="498" t="n"/>
      <c r="FK148" s="579" t="n"/>
      <c r="FL148" s="498" t="n"/>
      <c r="FM148" s="578" t="n"/>
      <c r="FN148" s="498" t="n"/>
      <c r="FO148" s="579" t="n"/>
      <c r="FP148" s="498" t="n"/>
      <c r="FQ148" s="572" t="n"/>
      <c r="FR148" s="820" t="n"/>
      <c r="FS148" s="820">
        <f>SUMPRODUCT(--(MOD(COLUMN(DU148:ER148),4)=MOD(COLUMN(DU148),4)),DU148:ER148)*$I148+SUMPRODUCT(--(MOD(COLUMN(ES148:FP148),4)=MOD(COLUMN(ES148),4)),ES148:FP148)*$I148</f>
        <v/>
      </c>
      <c r="FT148" s="573" t="n"/>
    </row>
    <row r="149" outlineLevel="2">
      <c r="A149" s="411" t="inlineStr">
        <is>
          <t>ПАО «Уралавтоприцеп»</t>
        </is>
      </c>
      <c r="B149" s="448" t="inlineStr">
        <is>
          <t>Отсрочка 30 дней</t>
        </is>
      </c>
      <c r="C149" s="590" t="inlineStr">
        <is>
          <t>ВБК РУС</t>
        </is>
      </c>
      <c r="D149" s="589" t="inlineStr">
        <is>
          <t>Прасолов, Соловьёв</t>
        </is>
      </c>
      <c r="E149" s="412">
        <f>IF(ISBLANK(G149),"",IF($A$6:$A$330=$A149,COUNTIF($A$6:A149,$A149),""))</f>
        <v/>
      </c>
      <c r="F149" s="669" t="n">
        <v>2</v>
      </c>
      <c r="G149" s="128" t="n">
        <v>4005000880</v>
      </c>
      <c r="H149" s="612" t="inlineStr">
        <is>
          <t>Модулятор ABS</t>
        </is>
      </c>
      <c r="I149" s="618" t="n">
        <v>0</v>
      </c>
      <c r="J149" s="618" t="n"/>
      <c r="K149" s="874" t="n"/>
      <c r="L149" s="618">
        <f>IF(K149="RUB",J149/ЮАНЬ,IF(K149="EUR",J149*ЕВРО/ЮАНЬ,""))</f>
        <v/>
      </c>
      <c r="M149" s="873" t="n"/>
      <c r="N149" s="871">
        <f>IF(BP149&gt;0,1,IF(BN149&gt;0,2,))</f>
        <v/>
      </c>
      <c r="O149" s="23" t="n">
        <v>40</v>
      </c>
      <c r="P149" s="24">
        <f>SUMPRODUCT((Комплекты[Пр]=$F149)*(Комплекты[Обозначение]=$G149)*Комплекты[Кол-во]*(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49" s="25" t="n">
        <v>28</v>
      </c>
      <c r="R149" s="24" t="n"/>
      <c r="S149" s="23" t="n">
        <v>40</v>
      </c>
      <c r="T149" s="24">
        <f>SUMPRODUCT((Комплекты[Пр]=$F149)*(Комплекты[Обозначение]=$G149)*Комплекты[Кол-во]*(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49" s="25" t="n">
        <v>40</v>
      </c>
      <c r="V149" s="24" t="n"/>
      <c r="W149" s="23" t="n">
        <v>40</v>
      </c>
      <c r="X149" s="24">
        <f>SUMPRODUCT((Комплекты[Пр]=$F149)*(Комплекты[Обозначение]=$G149)*Комплекты[Кол-во]*(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49" s="25" t="n">
        <v>20</v>
      </c>
      <c r="Z149" s="24" t="n"/>
      <c r="AA149" s="23" t="n">
        <v>20</v>
      </c>
      <c r="AB149" s="24">
        <f>SUMPRODUCT((Комплекты[Пр]=$F149)*(Комплекты[Обозначение]=$G149)*Комплекты[Кол-во]*(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49" s="25" t="n">
        <v>0</v>
      </c>
      <c r="AD149" s="24" t="n"/>
      <c r="AE149" s="23" t="n">
        <v>20</v>
      </c>
      <c r="AF149" s="24">
        <f>SUMPRODUCT((Комплекты[Пр]=$F149)*(Комплекты[Обозначение]=$G149)*Комплекты[Кол-во]*(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49" s="25" t="n">
        <v>0</v>
      </c>
      <c r="AH149" s="24" t="n"/>
      <c r="AI149" s="23" t="n">
        <v>20</v>
      </c>
      <c r="AJ149" s="24">
        <f>SUMPRODUCT((Комплекты[Пр]=$F149)*(Комплекты[Обозначение]=$G149)*Комплекты[Кол-во]*(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49" s="25" t="n">
        <v>0</v>
      </c>
      <c r="AL149" s="24" t="n"/>
      <c r="AM149" s="23" t="n">
        <v>20</v>
      </c>
      <c r="AN149" s="24">
        <f>SUMPRODUCT((Комплекты[Пр]=$F149)*(Комплекты[Обозначение]=$G149)*Комплекты[Кол-во]*(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49" s="25" t="n">
        <v>0</v>
      </c>
      <c r="AP149" s="24" t="n"/>
      <c r="AQ149" s="23" t="n">
        <v>20</v>
      </c>
      <c r="AR149" s="24">
        <f>SUMPRODUCT((Комплекты[Пр]=$F149)*(Комплекты[Обозначение]=$G149)*Комплекты[Кол-во]*(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49" s="25" t="n">
        <v>0</v>
      </c>
      <c r="AT149" s="24" t="n"/>
      <c r="AU149" s="23" t="n">
        <v>20</v>
      </c>
      <c r="AV149" s="24">
        <f>SUMPRODUCT((Комплекты[Пр]=$F149)*(Комплекты[Обозначение]=$G149)*Комплекты[Кол-во]*(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49" s="25" t="n">
        <v>0</v>
      </c>
      <c r="AX149" s="24" t="n"/>
      <c r="AY149" s="23" t="n">
        <v>20</v>
      </c>
      <c r="AZ149" s="24">
        <f>SUMPRODUCT((Комплекты[Пр]=$F149)*(Комплекты[Обозначение]=$G149)*Комплекты[Кол-во]*(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49" s="25" t="n">
        <v>0</v>
      </c>
      <c r="BB149" s="24" t="n"/>
      <c r="BC149" s="23" t="n">
        <v>20</v>
      </c>
      <c r="BD149" s="24">
        <f>SUMPRODUCT((Комплекты[Пр]=$F149)*(Комплекты[Обозначение]=$G149)*Комплекты[Кол-во]*(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49" s="25" t="n">
        <v>0</v>
      </c>
      <c r="BF149" s="24" t="n"/>
      <c r="BG149" s="23" t="n">
        <v>20</v>
      </c>
      <c r="BH149" s="24">
        <f>SUMPRODUCT((Комплекты[Пр]=$F149)*(Комплекты[Обозначение]=$G149)*Комплекты[Кол-во]*(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49" s="25" t="n">
        <v>0</v>
      </c>
      <c r="BJ149" s="24" t="n"/>
      <c r="BK149" s="340" t="n"/>
      <c r="BL149" s="803">
        <f>SUMPRODUCT(--(MOD(COLUMN($O149:$AL149),4)=MOD(COLUMN($O149)+0,4)),$O149:$AL149)
+SUMPRODUCT(--(MOD(COLUMN($AM149:$BJ149),4)=MOD(COLUMN($AM149)+0,4)),$AM149:$BJ149)</f>
        <v/>
      </c>
      <c r="BM149" s="803">
        <f>SUMPRODUCT(--(MOD(COLUMN($O149:$AL149),4)=MOD(COLUMN($O149)+0,4)),$O149:$AL149)*
$I149+SUMPRODUCT(--(MOD(COLUMN($AM149:$BJ149),4)=MOD(COLUMN($AM149)+0,4)),$AM149:$BJ149)*$I149</f>
        <v/>
      </c>
      <c r="BN149" s="805">
        <f>SUMPRODUCT(--(MOD(COLUMN($O149:$AL149),4)=MOD(COLUMN($O149)+1,4)),$O149:$AL149)
+SUMPRODUCT(--(MOD(COLUMN($AM149:$BJ149),4)=MOD(COLUMN($AM149)+1,4)),$AM149:$BJ149)</f>
        <v/>
      </c>
      <c r="BO149" s="806">
        <f>SUMPRODUCT(--(MOD(COLUMN($O149:$AL149),4)=MOD(COLUMN($O149)+1,4)),$O149:$AL149)*
$I149+SUMPRODUCT(--(MOD(COLUMN($AM149:$BJ149),4)=MOD(COLUMN($AM149)+1,4)),$AM149:$BJ149)*$I149</f>
        <v/>
      </c>
      <c r="BP149" s="807">
        <f>SUMPRODUCT(--(MOD(COLUMN($O149:$AL149),4)=MOD(COLUMN($O149)+2,4)),$O149:$AL149)
+SUMPRODUCT(--(MOD(COLUMN($AM149:$BJ149),4)=MOD(COLUMN($AM149)+2,4)),$AM149:$BJ149)</f>
        <v/>
      </c>
      <c r="BQ149" s="808">
        <f>SUMPRODUCT(--(MOD(COLUMN($O149:$AL149),4)=MOD(COLUMN($O149)+2,4)),$O149:$AL149)*
$I149+SUMPRODUCT(--(MOD(COLUMN($AM149:$BJ149),4)=MOD(COLUMN($AM149)+2,4)),$AM149:$BJ149)*$I149</f>
        <v/>
      </c>
      <c r="BR149" s="801" t="n"/>
      <c r="BS149" s="819" t="n"/>
      <c r="BT149" s="23" t="n">
        <v>40</v>
      </c>
      <c r="BU149" s="24" t="n"/>
      <c r="BV149" s="25" t="n">
        <v>0</v>
      </c>
      <c r="BW149" s="24" t="n"/>
      <c r="BX149" s="23" t="n">
        <v>40</v>
      </c>
      <c r="BY149" s="24" t="n"/>
      <c r="BZ149" s="25" t="n">
        <v>0</v>
      </c>
      <c r="CA149" s="24" t="n"/>
      <c r="CB149" s="23" t="n">
        <v>40</v>
      </c>
      <c r="CC149" s="24" t="n"/>
      <c r="CD149" s="25" t="n">
        <v>0</v>
      </c>
      <c r="CE149" s="24" t="n"/>
      <c r="CF149" s="23" t="n">
        <v>40</v>
      </c>
      <c r="CG149" s="24" t="n"/>
      <c r="CH149" s="25" t="n">
        <v>0</v>
      </c>
      <c r="CI149" s="24" t="n"/>
      <c r="CJ149" s="23" t="n">
        <v>40</v>
      </c>
      <c r="CK149" s="24" t="n"/>
      <c r="CL149" s="25" t="n">
        <v>0</v>
      </c>
      <c r="CM149" s="24" t="n"/>
      <c r="CN149" s="23" t="n">
        <v>40</v>
      </c>
      <c r="CO149" s="24" t="n"/>
      <c r="CP149" s="25" t="n">
        <v>0</v>
      </c>
      <c r="CQ149" s="24" t="n"/>
      <c r="CR149" s="23" t="n">
        <v>40</v>
      </c>
      <c r="CS149" s="24" t="n"/>
      <c r="CT149" s="25" t="n">
        <v>0</v>
      </c>
      <c r="CU149" s="24" t="n"/>
      <c r="CV149" s="23" t="n">
        <v>40</v>
      </c>
      <c r="CW149" s="24" t="n"/>
      <c r="CX149" s="25" t="n">
        <v>0</v>
      </c>
      <c r="CY149" s="24" t="n"/>
      <c r="CZ149" s="23" t="n">
        <v>40</v>
      </c>
      <c r="DA149" s="24" t="n"/>
      <c r="DB149" s="25" t="n">
        <v>0</v>
      </c>
      <c r="DC149" s="24" t="n"/>
      <c r="DD149" s="23" t="n">
        <v>40</v>
      </c>
      <c r="DE149" s="24" t="n"/>
      <c r="DF149" s="25" t="n">
        <v>0</v>
      </c>
      <c r="DG149" s="24" t="n"/>
      <c r="DH149" s="23" t="n">
        <v>40</v>
      </c>
      <c r="DI149" s="24" t="n"/>
      <c r="DJ149" s="25" t="n">
        <v>0</v>
      </c>
      <c r="DK149" s="24" t="n"/>
      <c r="DL149" s="23" t="n">
        <v>40</v>
      </c>
      <c r="DM149" s="24" t="n"/>
      <c r="DN149" s="25" t="n">
        <v>0</v>
      </c>
      <c r="DO149" s="24" t="n"/>
      <c r="DP149" s="340" t="n"/>
      <c r="DQ149" s="803">
        <f>SUMPRODUCT(--(MOD(COLUMN(BT149:CQ149),4)=MOD(COLUMN(BT149),4)),BT149:CQ149)+SUMPRODUCT(--(MOD(COLUMN(CR149:DO149),4)=MOD(COLUMN(CR149),4)),CR149:DO149)</f>
        <v/>
      </c>
      <c r="DR149" s="803">
        <f>SUMPRODUCT(--(MOD(COLUMN(BT149:CQ149),4)=MOD(COLUMN(BT149),4)),BT149:CQ149)*$I149+SUMPRODUCT(--(MOD(COLUMN(CR149:DO149),4)=MOD(COLUMN(CR149),4)),CR149:DO149)*$I149</f>
        <v/>
      </c>
      <c r="DS149" s="801" t="n"/>
      <c r="DT149" s="819" t="n"/>
      <c r="DU149" s="23" t="n">
        <v>50</v>
      </c>
      <c r="DV149" s="24" t="n"/>
      <c r="DW149" s="25" t="n">
        <v>0</v>
      </c>
      <c r="DX149" s="24" t="n"/>
      <c r="DY149" s="23" t="n">
        <v>50</v>
      </c>
      <c r="DZ149" s="24" t="n"/>
      <c r="EA149" s="25" t="n">
        <v>0</v>
      </c>
      <c r="EB149" s="24" t="n"/>
      <c r="EC149" s="23" t="n">
        <v>50</v>
      </c>
      <c r="ED149" s="24" t="n"/>
      <c r="EE149" s="25" t="n">
        <v>0</v>
      </c>
      <c r="EF149" s="24" t="n"/>
      <c r="EG149" s="23" t="n">
        <v>50</v>
      </c>
      <c r="EH149" s="24" t="n"/>
      <c r="EI149" s="25" t="n">
        <v>0</v>
      </c>
      <c r="EJ149" s="24" t="n"/>
      <c r="EK149" s="23" t="n">
        <v>50</v>
      </c>
      <c r="EL149" s="24" t="n"/>
      <c r="EM149" s="25" t="n">
        <v>0</v>
      </c>
      <c r="EN149" s="24" t="n"/>
      <c r="EO149" s="23" t="n">
        <v>50</v>
      </c>
      <c r="EP149" s="24" t="n"/>
      <c r="EQ149" s="25" t="n">
        <v>0</v>
      </c>
      <c r="ER149" s="24" t="n"/>
      <c r="ES149" s="23" t="n">
        <v>50</v>
      </c>
      <c r="ET149" s="24" t="n"/>
      <c r="EU149" s="25" t="n">
        <v>0</v>
      </c>
      <c r="EV149" s="24" t="n"/>
      <c r="EW149" s="23" t="n">
        <v>50</v>
      </c>
      <c r="EX149" s="24" t="n"/>
      <c r="EY149" s="25" t="n">
        <v>0</v>
      </c>
      <c r="EZ149" s="24" t="n"/>
      <c r="FA149" s="23" t="n">
        <v>50</v>
      </c>
      <c r="FB149" s="24" t="n"/>
      <c r="FC149" s="25" t="n">
        <v>0</v>
      </c>
      <c r="FD149" s="24" t="n"/>
      <c r="FE149" s="23" t="n">
        <v>50</v>
      </c>
      <c r="FF149" s="24" t="n"/>
      <c r="FG149" s="25" t="n">
        <v>0</v>
      </c>
      <c r="FH149" s="24" t="n"/>
      <c r="FI149" s="23" t="n">
        <v>50</v>
      </c>
      <c r="FJ149" s="24" t="n"/>
      <c r="FK149" s="25" t="n">
        <v>0</v>
      </c>
      <c r="FL149" s="24" t="n"/>
      <c r="FM149" s="23" t="n">
        <v>50</v>
      </c>
      <c r="FN149" s="24" t="n"/>
      <c r="FO149" s="25" t="n">
        <v>0</v>
      </c>
      <c r="FP149" s="24" t="n"/>
      <c r="FQ149" s="340" t="n"/>
      <c r="FR149" s="803">
        <f>SUMPRODUCT(--(MOD(COLUMN(DU149:ER149),4)=MOD(COLUMN(DU149),4)),DU149:ER149)+SUMPRODUCT(--(MOD(COLUMN(ES149:FP149),4)=MOD(COLUMN(ES149),4)),ES149:FP149)</f>
        <v/>
      </c>
      <c r="FS149" s="803">
        <f>SUMPRODUCT(--(MOD(COLUMN(DU149:ER149),4)=MOD(COLUMN(DU149),4)),DU149:ER149)*$I149+SUMPRODUCT(--(MOD(COLUMN(ES149:FP149),4)=MOD(COLUMN(ES149),4)),ES149:FP149)*$I149</f>
        <v/>
      </c>
      <c r="FT149" s="361" t="n"/>
    </row>
    <row r="150" outlineLevel="2">
      <c r="A150" s="411" t="inlineStr">
        <is>
          <t>ПАО «Уралавтоприцеп»</t>
        </is>
      </c>
      <c r="B150" s="448" t="inlineStr">
        <is>
          <t>Отсрочка 30 дней</t>
        </is>
      </c>
      <c r="C150" s="590" t="inlineStr">
        <is>
          <t>ВБК РУС</t>
        </is>
      </c>
      <c r="D150" s="589" t="inlineStr">
        <is>
          <t>Прасолов, Соловьёв</t>
        </is>
      </c>
      <c r="E150" s="412">
        <f>IF(ISBLANK(G150),"",IF($A$6:$A$330=$A150,COUNTIF($A$6:A150,$A150),""))</f>
        <v/>
      </c>
      <c r="F150" s="669" t="n">
        <v>2</v>
      </c>
      <c r="G150" s="128" t="n">
        <v>4493702820</v>
      </c>
      <c r="H150" s="612" t="inlineStr">
        <is>
          <t>Кабель питания ABS, часть 1</t>
        </is>
      </c>
      <c r="I150" s="618" t="n">
        <v>0</v>
      </c>
      <c r="J150" s="618" t="n"/>
      <c r="K150" s="874" t="n"/>
      <c r="L150" s="618">
        <f>IF(K150="RUB",J150/ЮАНЬ,IF(K150="EUR",J150*ЕВРО/ЮАНЬ,""))</f>
        <v/>
      </c>
      <c r="M150" s="873" t="n"/>
      <c r="N150" s="871">
        <f>IF(BP150&gt;0,1,IF(BN150&gt;0,2,))</f>
        <v/>
      </c>
      <c r="O150" s="23" t="n">
        <v>40</v>
      </c>
      <c r="P150" s="24">
        <f>SUMPRODUCT((Комплекты[Пр]=$F150)*(Комплекты[Обозначение]=$G150)*Комплекты[Кол-во]*(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50" s="25" t="n">
        <v>0</v>
      </c>
      <c r="R150" s="24" t="n"/>
      <c r="S150" s="23" t="n">
        <v>40</v>
      </c>
      <c r="T150" s="24">
        <f>SUMPRODUCT((Комплекты[Пр]=$F150)*(Комплекты[Обозначение]=$G150)*Комплекты[Кол-во]*(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50" s="25" t="n">
        <v>0</v>
      </c>
      <c r="V150" s="24" t="n"/>
      <c r="W150" s="23" t="n">
        <v>40</v>
      </c>
      <c r="X150" s="24">
        <f>SUMPRODUCT((Комплекты[Пр]=$F150)*(Комплекты[Обозначение]=$G150)*Комплекты[Кол-во]*(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50" s="25" t="n">
        <v>0</v>
      </c>
      <c r="Z150" s="24" t="n"/>
      <c r="AA150" s="23" t="n">
        <v>20</v>
      </c>
      <c r="AB150" s="24">
        <f>SUMPRODUCT((Комплекты[Пр]=$F150)*(Комплекты[Обозначение]=$G150)*Комплекты[Кол-во]*(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50" s="25" t="n">
        <v>0</v>
      </c>
      <c r="AD150" s="24" t="n"/>
      <c r="AE150" s="23" t="n">
        <v>20</v>
      </c>
      <c r="AF150" s="24">
        <f>SUMPRODUCT((Комплекты[Пр]=$F150)*(Комплекты[Обозначение]=$G150)*Комплекты[Кол-во]*(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50" s="25" t="n">
        <v>0</v>
      </c>
      <c r="AH150" s="24" t="n"/>
      <c r="AI150" s="23" t="n">
        <v>20</v>
      </c>
      <c r="AJ150" s="24">
        <f>SUMPRODUCT((Комплекты[Пр]=$F150)*(Комплекты[Обозначение]=$G150)*Комплекты[Кол-во]*(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50" s="25" t="n">
        <v>0</v>
      </c>
      <c r="AL150" s="24" t="n"/>
      <c r="AM150" s="23" t="n">
        <v>20</v>
      </c>
      <c r="AN150" s="24">
        <f>SUMPRODUCT((Комплекты[Пр]=$F150)*(Комплекты[Обозначение]=$G150)*Комплекты[Кол-во]*(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50" s="25" t="n">
        <v>0</v>
      </c>
      <c r="AP150" s="24" t="n"/>
      <c r="AQ150" s="23" t="n">
        <v>20</v>
      </c>
      <c r="AR150" s="24">
        <f>SUMPRODUCT((Комплекты[Пр]=$F150)*(Комплекты[Обозначение]=$G150)*Комплекты[Кол-во]*(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50" s="25" t="n">
        <v>0</v>
      </c>
      <c r="AT150" s="24" t="n"/>
      <c r="AU150" s="23" t="n">
        <v>20</v>
      </c>
      <c r="AV150" s="24">
        <f>SUMPRODUCT((Комплекты[Пр]=$F150)*(Комплекты[Обозначение]=$G150)*Комплекты[Кол-во]*(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50" s="25" t="n">
        <v>0</v>
      </c>
      <c r="AX150" s="24" t="n"/>
      <c r="AY150" s="23" t="n">
        <v>20</v>
      </c>
      <c r="AZ150" s="24">
        <f>SUMPRODUCT((Комплекты[Пр]=$F150)*(Комплекты[Обозначение]=$G150)*Комплекты[Кол-во]*(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50" s="25" t="n">
        <v>0</v>
      </c>
      <c r="BB150" s="24" t="n"/>
      <c r="BC150" s="23" t="n">
        <v>20</v>
      </c>
      <c r="BD150" s="24">
        <f>SUMPRODUCT((Комплекты[Пр]=$F150)*(Комплекты[Обозначение]=$G150)*Комплекты[Кол-во]*(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50" s="25" t="n">
        <v>0</v>
      </c>
      <c r="BF150" s="24" t="n"/>
      <c r="BG150" s="23" t="n">
        <v>20</v>
      </c>
      <c r="BH150" s="24">
        <f>SUMPRODUCT((Комплекты[Пр]=$F150)*(Комплекты[Обозначение]=$G150)*Комплекты[Кол-во]*(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50" s="25" t="n">
        <v>0</v>
      </c>
      <c r="BJ150" s="24" t="n"/>
      <c r="BK150" s="340" t="n"/>
      <c r="BL150" s="803">
        <f>SUMPRODUCT(--(MOD(COLUMN($O150:$AL150),4)=MOD(COLUMN($O150)+0,4)),$O150:$AL150)
+SUMPRODUCT(--(MOD(COLUMN($AM150:$BJ150),4)=MOD(COLUMN($AM150)+0,4)),$AM150:$BJ150)</f>
        <v/>
      </c>
      <c r="BM150" s="803">
        <f>SUMPRODUCT(--(MOD(COLUMN($O150:$AL150),4)=MOD(COLUMN($O150)+0,4)),$O150:$AL150)*
$I150+SUMPRODUCT(--(MOD(COLUMN($AM150:$BJ150),4)=MOD(COLUMN($AM150)+0,4)),$AM150:$BJ150)*$I150</f>
        <v/>
      </c>
      <c r="BN150" s="805">
        <f>SUMPRODUCT(--(MOD(COLUMN($O150:$AL150),4)=MOD(COLUMN($O150)+1,4)),$O150:$AL150)
+SUMPRODUCT(--(MOD(COLUMN($AM150:$BJ150),4)=MOD(COLUMN($AM150)+1,4)),$AM150:$BJ150)</f>
        <v/>
      </c>
      <c r="BO150" s="806">
        <f>SUMPRODUCT(--(MOD(COLUMN($O150:$AL150),4)=MOD(COLUMN($O150)+1,4)),$O150:$AL150)*
$I150+SUMPRODUCT(--(MOD(COLUMN($AM150:$BJ150),4)=MOD(COLUMN($AM150)+1,4)),$AM150:$BJ150)*$I150</f>
        <v/>
      </c>
      <c r="BP150" s="807">
        <f>SUMPRODUCT(--(MOD(COLUMN($O150:$AL150),4)=MOD(COLUMN($O150)+2,4)),$O150:$AL150)
+SUMPRODUCT(--(MOD(COLUMN($AM150:$BJ150),4)=MOD(COLUMN($AM150)+2,4)),$AM150:$BJ150)</f>
        <v/>
      </c>
      <c r="BQ150" s="808">
        <f>SUMPRODUCT(--(MOD(COLUMN($O150:$AL150),4)=MOD(COLUMN($O150)+2,4)),$O150:$AL150)*
$I150+SUMPRODUCT(--(MOD(COLUMN($AM150:$BJ150),4)=MOD(COLUMN($AM150)+2,4)),$AM150:$BJ150)*$I150</f>
        <v/>
      </c>
      <c r="BR150" s="801" t="n"/>
      <c r="BS150" s="819" t="n"/>
      <c r="BT150" s="23" t="n">
        <v>40</v>
      </c>
      <c r="BU150" s="24" t="n"/>
      <c r="BV150" s="25" t="n">
        <v>0</v>
      </c>
      <c r="BW150" s="24" t="n"/>
      <c r="BX150" s="23" t="n">
        <v>40</v>
      </c>
      <c r="BY150" s="24" t="n"/>
      <c r="BZ150" s="25" t="n">
        <v>0</v>
      </c>
      <c r="CA150" s="24" t="n"/>
      <c r="CB150" s="23" t="n">
        <v>40</v>
      </c>
      <c r="CC150" s="24" t="n"/>
      <c r="CD150" s="25" t="n">
        <v>0</v>
      </c>
      <c r="CE150" s="24" t="n"/>
      <c r="CF150" s="23" t="n">
        <v>40</v>
      </c>
      <c r="CG150" s="24" t="n"/>
      <c r="CH150" s="25" t="n">
        <v>0</v>
      </c>
      <c r="CI150" s="24" t="n"/>
      <c r="CJ150" s="23" t="n">
        <v>40</v>
      </c>
      <c r="CK150" s="24" t="n"/>
      <c r="CL150" s="25" t="n">
        <v>0</v>
      </c>
      <c r="CM150" s="24" t="n"/>
      <c r="CN150" s="23" t="n">
        <v>40</v>
      </c>
      <c r="CO150" s="24" t="n"/>
      <c r="CP150" s="25" t="n">
        <v>0</v>
      </c>
      <c r="CQ150" s="24" t="n"/>
      <c r="CR150" s="23" t="n">
        <v>40</v>
      </c>
      <c r="CS150" s="24" t="n"/>
      <c r="CT150" s="25" t="n">
        <v>0</v>
      </c>
      <c r="CU150" s="24" t="n"/>
      <c r="CV150" s="23" t="n">
        <v>40</v>
      </c>
      <c r="CW150" s="24" t="n"/>
      <c r="CX150" s="25" t="n">
        <v>0</v>
      </c>
      <c r="CY150" s="24" t="n"/>
      <c r="CZ150" s="23" t="n">
        <v>40</v>
      </c>
      <c r="DA150" s="24" t="n"/>
      <c r="DB150" s="25" t="n">
        <v>0</v>
      </c>
      <c r="DC150" s="24" t="n"/>
      <c r="DD150" s="23" t="n">
        <v>40</v>
      </c>
      <c r="DE150" s="24" t="n"/>
      <c r="DF150" s="25" t="n">
        <v>0</v>
      </c>
      <c r="DG150" s="24" t="n"/>
      <c r="DH150" s="23" t="n">
        <v>40</v>
      </c>
      <c r="DI150" s="24" t="n"/>
      <c r="DJ150" s="25" t="n">
        <v>0</v>
      </c>
      <c r="DK150" s="24" t="n"/>
      <c r="DL150" s="23" t="n">
        <v>40</v>
      </c>
      <c r="DM150" s="24" t="n"/>
      <c r="DN150" s="25" t="n">
        <v>0</v>
      </c>
      <c r="DO150" s="24" t="n"/>
      <c r="DP150" s="340" t="n"/>
      <c r="DQ150" s="803">
        <f>SUMPRODUCT(--(MOD(COLUMN(BT150:CQ150),4)=MOD(COLUMN(BT150),4)),BT150:CQ150)+SUMPRODUCT(--(MOD(COLUMN(CR150:DO150),4)=MOD(COLUMN(CR150),4)),CR150:DO150)</f>
        <v/>
      </c>
      <c r="DR150" s="803">
        <f>SUMPRODUCT(--(MOD(COLUMN(BT150:CQ150),4)=MOD(COLUMN(BT150),4)),BT150:CQ150)*$I150+SUMPRODUCT(--(MOD(COLUMN(CR150:DO150),4)=MOD(COLUMN(CR150),4)),CR150:DO150)*$I150</f>
        <v/>
      </c>
      <c r="DS150" s="801" t="n"/>
      <c r="DT150" s="819" t="n"/>
      <c r="DU150" s="23" t="n">
        <v>50</v>
      </c>
      <c r="DV150" s="24" t="n"/>
      <c r="DW150" s="25" t="n">
        <v>0</v>
      </c>
      <c r="DX150" s="24" t="n"/>
      <c r="DY150" s="23" t="n">
        <v>50</v>
      </c>
      <c r="DZ150" s="24" t="n"/>
      <c r="EA150" s="25" t="n">
        <v>0</v>
      </c>
      <c r="EB150" s="24" t="n"/>
      <c r="EC150" s="23" t="n">
        <v>50</v>
      </c>
      <c r="ED150" s="24" t="n"/>
      <c r="EE150" s="25" t="n">
        <v>0</v>
      </c>
      <c r="EF150" s="24" t="n"/>
      <c r="EG150" s="23" t="n">
        <v>50</v>
      </c>
      <c r="EH150" s="24" t="n"/>
      <c r="EI150" s="25" t="n">
        <v>0</v>
      </c>
      <c r="EJ150" s="24" t="n"/>
      <c r="EK150" s="23" t="n">
        <v>50</v>
      </c>
      <c r="EL150" s="24" t="n"/>
      <c r="EM150" s="25" t="n">
        <v>0</v>
      </c>
      <c r="EN150" s="24" t="n"/>
      <c r="EO150" s="23" t="n">
        <v>50</v>
      </c>
      <c r="EP150" s="24" t="n"/>
      <c r="EQ150" s="25" t="n">
        <v>0</v>
      </c>
      <c r="ER150" s="24" t="n"/>
      <c r="ES150" s="23" t="n">
        <v>50</v>
      </c>
      <c r="ET150" s="24" t="n"/>
      <c r="EU150" s="25" t="n">
        <v>0</v>
      </c>
      <c r="EV150" s="24" t="n"/>
      <c r="EW150" s="23" t="n">
        <v>50</v>
      </c>
      <c r="EX150" s="24" t="n"/>
      <c r="EY150" s="25" t="n">
        <v>0</v>
      </c>
      <c r="EZ150" s="24" t="n"/>
      <c r="FA150" s="23" t="n">
        <v>50</v>
      </c>
      <c r="FB150" s="24" t="n"/>
      <c r="FC150" s="25" t="n">
        <v>0</v>
      </c>
      <c r="FD150" s="24" t="n"/>
      <c r="FE150" s="23" t="n">
        <v>50</v>
      </c>
      <c r="FF150" s="24" t="n"/>
      <c r="FG150" s="25" t="n">
        <v>0</v>
      </c>
      <c r="FH150" s="24" t="n"/>
      <c r="FI150" s="23" t="n">
        <v>50</v>
      </c>
      <c r="FJ150" s="24" t="n"/>
      <c r="FK150" s="25" t="n">
        <v>0</v>
      </c>
      <c r="FL150" s="24" t="n"/>
      <c r="FM150" s="23" t="n">
        <v>50</v>
      </c>
      <c r="FN150" s="24" t="n"/>
      <c r="FO150" s="25" t="n">
        <v>0</v>
      </c>
      <c r="FP150" s="24" t="n"/>
      <c r="FQ150" s="340" t="n"/>
      <c r="FR150" s="803">
        <f>SUMPRODUCT(--(MOD(COLUMN(DU150:ER150),4)=MOD(COLUMN(DU150),4)),DU150:ER150)+SUMPRODUCT(--(MOD(COLUMN(ES150:FP150),4)=MOD(COLUMN(ES150),4)),ES150:FP150)</f>
        <v/>
      </c>
      <c r="FS150" s="803">
        <f>SUMPRODUCT(--(MOD(COLUMN(DU150:ER150),4)=MOD(COLUMN(DU150),4)),DU150:ER150)*$I150+SUMPRODUCT(--(MOD(COLUMN(ES150:FP150),4)=MOD(COLUMN(ES150),4)),ES150:FP150)*$I150</f>
        <v/>
      </c>
      <c r="FT150" s="361" t="n"/>
    </row>
    <row r="151" outlineLevel="2">
      <c r="A151" s="413" t="inlineStr">
        <is>
          <t>ПАО «Уралавтоприцеп»</t>
        </is>
      </c>
      <c r="B151" s="444" t="inlineStr">
        <is>
          <t>Отсрочка 30 дней</t>
        </is>
      </c>
      <c r="C151" s="587" t="inlineStr">
        <is>
          <t>ВБК РУС</t>
        </is>
      </c>
      <c r="D151" s="580" t="inlineStr">
        <is>
          <t>Прасолов, Соловьёв</t>
        </is>
      </c>
      <c r="E151" s="414">
        <f>IF(ISBLANK(G151),"",IF($A$6:$A$330=$A151,COUNTIF($A$6:A151,$A151),""))</f>
        <v/>
      </c>
      <c r="F151" s="670" t="n">
        <v>2</v>
      </c>
      <c r="G151" s="403" t="n">
        <v>4005000810</v>
      </c>
      <c r="H151" s="613" t="inlineStr">
        <is>
          <t>Модулятор ABS</t>
        </is>
      </c>
      <c r="I151" s="619" t="n">
        <v>0</v>
      </c>
      <c r="J151" s="619" t="n"/>
      <c r="K151" s="876" t="n"/>
      <c r="L151" s="619" t="n"/>
      <c r="M151" s="871" t="n"/>
      <c r="N151" s="871">
        <f>IF(BP151&gt;0,1,IF(BN151&gt;0,2,))</f>
        <v/>
      </c>
      <c r="O151" s="322" t="n"/>
      <c r="P151" s="408">
        <f>SUMPRODUCT((Комплекты[Пр]=$F151)*(Комплекты[Обозначение]=$G151)*Комплекты[Кол-во]*(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51" s="307">
        <f>SUMPRODUCT((Комплекты[Пр]=$F151)*(Комплекты[Обозначение]=$G151)*Комплекты[Кол-во]*(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/>
      </c>
      <c r="R151" s="408" t="n"/>
      <c r="S151" s="322" t="n"/>
      <c r="T151" s="408">
        <f>SUMPRODUCT((Комплекты[Пр]=$F151)*(Комплекты[Обозначение]=$G151)*Комплекты[Кол-во]*(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51" s="307">
        <f>SUMPRODUCT((Комплекты[Пр]=$F151)*(Комплекты[Обозначение]=$G151)*Комплекты[Кол-во]*(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/>
      </c>
      <c r="V151" s="408" t="n"/>
      <c r="W151" s="322" t="n"/>
      <c r="X151" s="408">
        <f>SUMPRODUCT((Комплекты[Пр]=$F151)*(Комплекты[Обозначение]=$G151)*Комплекты[Кол-во]*(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51" s="307">
        <f>SUMPRODUCT((Комплекты[Пр]=$F151)*(Комплекты[Обозначение]=$G151)*Комплекты[Кол-во]*(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51" s="408" t="n"/>
      <c r="AA151" s="322" t="n"/>
      <c r="AB151" s="408">
        <f>SUMPRODUCT((Комплекты[Пр]=$F151)*(Комплекты[Обозначение]=$G151)*Комплекты[Кол-во]*(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51" s="307" t="n"/>
      <c r="AD151" s="408" t="n"/>
      <c r="AE151" s="322" t="n"/>
      <c r="AF151" s="408">
        <f>SUMPRODUCT((Комплекты[Пр]=$F151)*(Комплекты[Обозначение]=$G151)*Комплекты[Кол-во]*(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51" s="307">
        <f>SUMPRODUCT((Комплекты[Пр]=$F151)*(Комплекты[Обозначение]=$G151)*Комплекты[Кол-во]*(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51" s="408" t="n"/>
      <c r="AI151" s="322" t="n"/>
      <c r="AJ151" s="408">
        <f>SUMPRODUCT((Комплекты[Пр]=$F151)*(Комплекты[Обозначение]=$G151)*Комплекты[Кол-во]*(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51" s="307" t="n">
        <v>0</v>
      </c>
      <c r="AL151" s="408" t="n"/>
      <c r="AM151" s="322" t="n"/>
      <c r="AN151" s="408">
        <f>SUMPRODUCT((Комплекты[Пр]=$F151)*(Комплекты[Обозначение]=$G151)*Комплекты[Кол-во]*(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51" s="307" t="n">
        <v>0</v>
      </c>
      <c r="AP151" s="408" t="n"/>
      <c r="AQ151" s="322" t="n"/>
      <c r="AR151" s="408">
        <f>SUMPRODUCT((Комплекты[Пр]=$F151)*(Комплекты[Обозначение]=$G151)*Комплекты[Кол-во]*(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51" s="307" t="n">
        <v>0</v>
      </c>
      <c r="AT151" s="408" t="n"/>
      <c r="AU151" s="322" t="n"/>
      <c r="AV151" s="408">
        <f>SUMPRODUCT((Комплекты[Пр]=$F151)*(Комплекты[Обозначение]=$G151)*Комплекты[Кол-во]*(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51" s="307" t="n"/>
      <c r="AX151" s="408" t="n"/>
      <c r="AY151" s="322" t="n"/>
      <c r="AZ151" s="408">
        <f>SUMPRODUCT((Комплекты[Пр]=$F151)*(Комплекты[Обозначение]=$G151)*Комплекты[Кол-во]*(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51" s="307" t="n"/>
      <c r="BB151" s="408" t="n"/>
      <c r="BC151" s="322" t="n"/>
      <c r="BD151" s="408">
        <f>SUMPRODUCT((Комплекты[Пр]=$F151)*(Комплекты[Обозначение]=$G151)*Комплекты[Кол-во]*(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51" s="307" t="n"/>
      <c r="BF151" s="408" t="n"/>
      <c r="BG151" s="322" t="n"/>
      <c r="BH151" s="408">
        <f>SUMPRODUCT((Комплекты[Пр]=$F151)*(Комплекты[Обозначение]=$G151)*Комплекты[Кол-во]*(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51" s="307" t="n"/>
      <c r="BJ151" s="408" t="n"/>
      <c r="BK151" s="340" t="n"/>
      <c r="BL151" s="820">
        <f>SUMPRODUCT(--(MOD(COLUMN($O151:$AL151),4)=MOD(COLUMN($O151)+0,4)),$O151:$AL151)
+SUMPRODUCT(--(MOD(COLUMN($AM151:$BJ151),4)=MOD(COLUMN($AM151)+0,4)),$AM151:$BJ151)</f>
        <v/>
      </c>
      <c r="BM151" s="820">
        <f>SUMPRODUCT(--(MOD(COLUMN($O151:$AL151),4)=MOD(COLUMN($O151)+0,4)),$O151:$AL151)*
$I151+SUMPRODUCT(--(MOD(COLUMN($AM151:$BJ151),4)=MOD(COLUMN($AM151)+0,4)),$AM151:$BJ151)*$I151</f>
        <v/>
      </c>
      <c r="BN151" s="822">
        <f>SUMPRODUCT(--(MOD(COLUMN($O151:$AL151),4)=MOD(COLUMN($O151)+1,4)),$O151:$AL151)
+SUMPRODUCT(--(MOD(COLUMN($AM151:$BJ151),4)=MOD(COLUMN($AM151)+1,4)),$AM151:$BJ151)</f>
        <v/>
      </c>
      <c r="BO151" s="823">
        <f>SUMPRODUCT(--(MOD(COLUMN($O151:$AL151),4)=MOD(COLUMN($O151)+1,4)),$O151:$AL151)*
$I151+SUMPRODUCT(--(MOD(COLUMN($AM151:$BJ151),4)=MOD(COLUMN($AM151)+1,4)),$AM151:$BJ151)*$I151</f>
        <v/>
      </c>
      <c r="BP151" s="824">
        <f>SUMPRODUCT(--(MOD(COLUMN($O151:$AL151),4)=MOD(COLUMN($O151)+2,4)),$O151:$AL151)
+SUMPRODUCT(--(MOD(COLUMN($AM151:$BJ151),4)=MOD(COLUMN($AM151)+2,4)),$AM151:$BJ151)</f>
        <v/>
      </c>
      <c r="BQ151" s="825">
        <f>SUMPRODUCT(--(MOD(COLUMN($O151:$AL151),4)=MOD(COLUMN($O151)+2,4)),$O151:$AL151)*
$I151+SUMPRODUCT(--(MOD(COLUMN($AM151:$BJ151),4)=MOD(COLUMN($AM151)+2,4)),$AM151:$BJ151)*$I151</f>
        <v/>
      </c>
      <c r="BR151" s="819" t="n"/>
      <c r="BS151" s="819" t="n"/>
      <c r="BT151" s="322" t="n"/>
      <c r="BU151" s="408" t="n"/>
      <c r="BV151" s="307" t="n"/>
      <c r="BW151" s="408" t="n"/>
      <c r="BX151" s="322" t="n"/>
      <c r="BY151" s="408" t="n"/>
      <c r="BZ151" s="307" t="n"/>
      <c r="CA151" s="408" t="n"/>
      <c r="CB151" s="322" t="n"/>
      <c r="CC151" s="408" t="n"/>
      <c r="CD151" s="307" t="n"/>
      <c r="CE151" s="408" t="n"/>
      <c r="CF151" s="322" t="n"/>
      <c r="CG151" s="408" t="n"/>
      <c r="CH151" s="307" t="n"/>
      <c r="CI151" s="408" t="n"/>
      <c r="CJ151" s="322" t="n"/>
      <c r="CK151" s="408" t="n"/>
      <c r="CL151" s="307" t="n"/>
      <c r="CM151" s="408" t="n"/>
      <c r="CN151" s="322" t="n"/>
      <c r="CO151" s="408" t="n"/>
      <c r="CP151" s="307" t="n"/>
      <c r="CQ151" s="408" t="n"/>
      <c r="CR151" s="322" t="n"/>
      <c r="CS151" s="408" t="n"/>
      <c r="CT151" s="307" t="n"/>
      <c r="CU151" s="408" t="n"/>
      <c r="CV151" s="322" t="n"/>
      <c r="CW151" s="408" t="n"/>
      <c r="CX151" s="307" t="n"/>
      <c r="CY151" s="408" t="n"/>
      <c r="CZ151" s="322" t="n"/>
      <c r="DA151" s="408" t="n"/>
      <c r="DB151" s="307" t="n"/>
      <c r="DC151" s="408" t="n"/>
      <c r="DD151" s="322" t="n"/>
      <c r="DE151" s="408" t="n"/>
      <c r="DF151" s="307" t="n"/>
      <c r="DG151" s="408" t="n"/>
      <c r="DH151" s="322" t="n"/>
      <c r="DI151" s="408" t="n"/>
      <c r="DJ151" s="307" t="n"/>
      <c r="DK151" s="408" t="n"/>
      <c r="DL151" s="322" t="n"/>
      <c r="DM151" s="408" t="n"/>
      <c r="DN151" s="307" t="n"/>
      <c r="DO151" s="408" t="n"/>
      <c r="DP151" s="340" t="n"/>
      <c r="DQ151" s="820" t="n"/>
      <c r="DR151" s="820">
        <f>SUMPRODUCT(--(MOD(COLUMN(BT151:CQ151),4)=MOD(COLUMN(BT151),4)),BT151:CQ151)*$I151+SUMPRODUCT(--(MOD(COLUMN(CR151:DO151),4)=MOD(COLUMN(CR151),4)),CR151:DO151)*$I151</f>
        <v/>
      </c>
      <c r="DS151" s="819" t="n"/>
      <c r="DT151" s="819" t="n"/>
      <c r="DU151" s="322" t="n"/>
      <c r="DV151" s="408" t="n"/>
      <c r="DW151" s="307" t="n"/>
      <c r="DX151" s="408" t="n"/>
      <c r="DY151" s="322" t="n"/>
      <c r="DZ151" s="408" t="n"/>
      <c r="EA151" s="307" t="n"/>
      <c r="EB151" s="408" t="n"/>
      <c r="EC151" s="322" t="n"/>
      <c r="ED151" s="408" t="n"/>
      <c r="EE151" s="307" t="n"/>
      <c r="EF151" s="408" t="n"/>
      <c r="EG151" s="322" t="n"/>
      <c r="EH151" s="408" t="n"/>
      <c r="EI151" s="307" t="n"/>
      <c r="EJ151" s="408" t="n"/>
      <c r="EK151" s="322" t="n"/>
      <c r="EL151" s="408" t="n"/>
      <c r="EM151" s="307" t="n"/>
      <c r="EN151" s="408" t="n"/>
      <c r="EO151" s="322" t="n"/>
      <c r="EP151" s="408" t="n"/>
      <c r="EQ151" s="307" t="n"/>
      <c r="ER151" s="408" t="n"/>
      <c r="ES151" s="322" t="n"/>
      <c r="ET151" s="408" t="n"/>
      <c r="EU151" s="307" t="n"/>
      <c r="EV151" s="408" t="n"/>
      <c r="EW151" s="322" t="n"/>
      <c r="EX151" s="408" t="n"/>
      <c r="EY151" s="307" t="n"/>
      <c r="EZ151" s="408" t="n"/>
      <c r="FA151" s="322" t="n"/>
      <c r="FB151" s="408" t="n"/>
      <c r="FC151" s="307" t="n"/>
      <c r="FD151" s="408" t="n"/>
      <c r="FE151" s="322" t="n"/>
      <c r="FF151" s="408" t="n"/>
      <c r="FG151" s="307" t="n"/>
      <c r="FH151" s="408" t="n"/>
      <c r="FI151" s="322" t="n"/>
      <c r="FJ151" s="408" t="n"/>
      <c r="FK151" s="307" t="n"/>
      <c r="FL151" s="408" t="n"/>
      <c r="FM151" s="322" t="n"/>
      <c r="FN151" s="408" t="n"/>
      <c r="FO151" s="307" t="n"/>
      <c r="FP151" s="408" t="n"/>
      <c r="FQ151" s="340" t="n"/>
      <c r="FR151" s="820" t="n"/>
      <c r="FS151" s="820">
        <f>SUMPRODUCT(--(MOD(COLUMN(DU151:ER151),4)=MOD(COLUMN(DU151),4)),DU151:ER151)*$I151+SUMPRODUCT(--(MOD(COLUMN(ES151:FP151),4)=MOD(COLUMN(ES151),4)),ES151:FP151)*$I151</f>
        <v/>
      </c>
      <c r="FT151" s="361" t="n"/>
    </row>
    <row r="152" outlineLevel="2">
      <c r="A152" s="413" t="inlineStr">
        <is>
          <t>ПАО «Уралавтоприцеп»</t>
        </is>
      </c>
      <c r="B152" s="444" t="inlineStr">
        <is>
          <t>Отсрочка 30 дней</t>
        </is>
      </c>
      <c r="C152" s="587" t="inlineStr">
        <is>
          <t>ВБК РУС</t>
        </is>
      </c>
      <c r="D152" s="580" t="inlineStr">
        <is>
          <t>Прасолов, Соловьёв</t>
        </is>
      </c>
      <c r="E152" s="414">
        <f>IF(ISBLANK(G152),"",IF($A$6:$A$330=$A152,COUNTIF($A$6:A152,$A152),""))</f>
        <v/>
      </c>
      <c r="F152" s="670" t="n">
        <v>2</v>
      </c>
      <c r="G152" s="403" t="n">
        <v>4493792810</v>
      </c>
      <c r="H152" s="613" t="inlineStr">
        <is>
          <t>Кабель питания ABS, часть 1</t>
        </is>
      </c>
      <c r="I152" s="619" t="n">
        <v>0</v>
      </c>
      <c r="J152" s="619" t="n"/>
      <c r="K152" s="876" t="n"/>
      <c r="L152" s="619" t="n"/>
      <c r="M152" s="871" t="n"/>
      <c r="N152" s="871">
        <f>IF(BP152&gt;0,1,IF(BN152&gt;0,2,))</f>
        <v/>
      </c>
      <c r="O152" s="322" t="n"/>
      <c r="P152" s="408">
        <f>SUMPRODUCT((Комплекты[Пр]=$F152)*(Комплекты[Обозначение]=$G152)*Комплекты[Кол-во]*(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52" s="307" t="n">
        <v>28</v>
      </c>
      <c r="R152" s="408" t="n"/>
      <c r="S152" s="322" t="n"/>
      <c r="T152" s="408">
        <f>SUMPRODUCT((Комплекты[Пр]=$F152)*(Комплекты[Обозначение]=$G152)*Комплекты[Кол-во]*(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52" s="307" t="n">
        <v>40</v>
      </c>
      <c r="V152" s="408" t="n"/>
      <c r="W152" s="322" t="n"/>
      <c r="X152" s="408">
        <f>SUMPRODUCT((Комплекты[Пр]=$F152)*(Комплекты[Обозначение]=$G152)*Комплекты[Кол-во]*(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52" s="307" t="n">
        <v>20</v>
      </c>
      <c r="Z152" s="408" t="n"/>
      <c r="AA152" s="322" t="n"/>
      <c r="AB152" s="408">
        <f>SUMPRODUCT((Комплекты[Пр]=$F152)*(Комплекты[Обозначение]=$G152)*Комплекты[Кол-во]*(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52" s="307" t="n"/>
      <c r="AD152" s="408" t="n"/>
      <c r="AE152" s="322" t="n"/>
      <c r="AF152" s="408">
        <f>SUMPRODUCT((Комплекты[Пр]=$F152)*(Комплекты[Обозначение]=$G152)*Комплекты[Кол-во]*(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52" s="307">
        <f>SUMPRODUCT((Комплекты[Пр]=$F152)*(Комплекты[Обозначение]=$G152)*Комплекты[Кол-во]*(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52" s="408" t="n"/>
      <c r="AI152" s="322" t="n"/>
      <c r="AJ152" s="408">
        <f>SUMPRODUCT((Комплекты[Пр]=$F152)*(Комплекты[Обозначение]=$G152)*Комплекты[Кол-во]*(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52" s="307" t="n">
        <v>0</v>
      </c>
      <c r="AL152" s="408" t="n"/>
      <c r="AM152" s="322" t="n"/>
      <c r="AN152" s="408">
        <f>SUMPRODUCT((Комплекты[Пр]=$F152)*(Комплекты[Обозначение]=$G152)*Комплекты[Кол-во]*(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52" s="307" t="n">
        <v>0</v>
      </c>
      <c r="AP152" s="408" t="n"/>
      <c r="AQ152" s="322" t="n"/>
      <c r="AR152" s="408">
        <f>SUMPRODUCT((Комплекты[Пр]=$F152)*(Комплекты[Обозначение]=$G152)*Комплекты[Кол-во]*(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52" s="307" t="n">
        <v>0</v>
      </c>
      <c r="AT152" s="408" t="n"/>
      <c r="AU152" s="322" t="n"/>
      <c r="AV152" s="408">
        <f>SUMPRODUCT((Комплекты[Пр]=$F152)*(Комплекты[Обозначение]=$G152)*Комплекты[Кол-во]*(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52" s="307" t="n"/>
      <c r="AX152" s="408" t="n"/>
      <c r="AY152" s="322" t="n"/>
      <c r="AZ152" s="408">
        <f>SUMPRODUCT((Комплекты[Пр]=$F152)*(Комплекты[Обозначение]=$G152)*Комплекты[Кол-во]*(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52" s="307" t="n"/>
      <c r="BB152" s="408" t="n"/>
      <c r="BC152" s="322" t="n"/>
      <c r="BD152" s="408">
        <f>SUMPRODUCT((Комплекты[Пр]=$F152)*(Комплекты[Обозначение]=$G152)*Комплекты[Кол-во]*(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52" s="307" t="n"/>
      <c r="BF152" s="408" t="n"/>
      <c r="BG152" s="322" t="n"/>
      <c r="BH152" s="408">
        <f>SUMPRODUCT((Комплекты[Пр]=$F152)*(Комплекты[Обозначение]=$G152)*Комплекты[Кол-во]*(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52" s="307" t="n"/>
      <c r="BJ152" s="408" t="n"/>
      <c r="BK152" s="340" t="n"/>
      <c r="BL152" s="820">
        <f>SUMPRODUCT(--(MOD(COLUMN($O152:$AL152),4)=MOD(COLUMN($O152)+0,4)),$O152:$AL152)
+SUMPRODUCT(--(MOD(COLUMN($AM152:$BJ152),4)=MOD(COLUMN($AM152)+0,4)),$AM152:$BJ152)</f>
        <v/>
      </c>
      <c r="BM152" s="820">
        <f>SUMPRODUCT(--(MOD(COLUMN($O152:$AL152),4)=MOD(COLUMN($O152)+0,4)),$O152:$AL152)*
$I152+SUMPRODUCT(--(MOD(COLUMN($AM152:$BJ152),4)=MOD(COLUMN($AM152)+0,4)),$AM152:$BJ152)*$I152</f>
        <v/>
      </c>
      <c r="BN152" s="822">
        <f>SUMPRODUCT(--(MOD(COLUMN($O152:$AL152),4)=MOD(COLUMN($O152)+1,4)),$O152:$AL152)
+SUMPRODUCT(--(MOD(COLUMN($AM152:$BJ152),4)=MOD(COLUMN($AM152)+1,4)),$AM152:$BJ152)</f>
        <v/>
      </c>
      <c r="BO152" s="823">
        <f>SUMPRODUCT(--(MOD(COLUMN($O152:$AL152),4)=MOD(COLUMN($O152)+1,4)),$O152:$AL152)*
$I152+SUMPRODUCT(--(MOD(COLUMN($AM152:$BJ152),4)=MOD(COLUMN($AM152)+1,4)),$AM152:$BJ152)*$I152</f>
        <v/>
      </c>
      <c r="BP152" s="824">
        <f>SUMPRODUCT(--(MOD(COLUMN($O152:$AL152),4)=MOD(COLUMN($O152)+2,4)),$O152:$AL152)
+SUMPRODUCT(--(MOD(COLUMN($AM152:$BJ152),4)=MOD(COLUMN($AM152)+2,4)),$AM152:$BJ152)</f>
        <v/>
      </c>
      <c r="BQ152" s="825">
        <f>SUMPRODUCT(--(MOD(COLUMN($O152:$AL152),4)=MOD(COLUMN($O152)+2,4)),$O152:$AL152)*
$I152+SUMPRODUCT(--(MOD(COLUMN($AM152:$BJ152),4)=MOD(COLUMN($AM152)+2,4)),$AM152:$BJ152)*$I152</f>
        <v/>
      </c>
      <c r="BR152" s="819" t="n"/>
      <c r="BS152" s="819" t="n"/>
      <c r="BT152" s="322" t="n"/>
      <c r="BU152" s="408" t="n"/>
      <c r="BV152" s="307" t="n"/>
      <c r="BW152" s="408" t="n"/>
      <c r="BX152" s="322" t="n"/>
      <c r="BY152" s="408" t="n"/>
      <c r="BZ152" s="307" t="n"/>
      <c r="CA152" s="408" t="n"/>
      <c r="CB152" s="322" t="n"/>
      <c r="CC152" s="408" t="n"/>
      <c r="CD152" s="307" t="n"/>
      <c r="CE152" s="408" t="n"/>
      <c r="CF152" s="322" t="n"/>
      <c r="CG152" s="408" t="n"/>
      <c r="CH152" s="307" t="n"/>
      <c r="CI152" s="408" t="n"/>
      <c r="CJ152" s="322" t="n"/>
      <c r="CK152" s="408" t="n"/>
      <c r="CL152" s="307" t="n"/>
      <c r="CM152" s="408" t="n"/>
      <c r="CN152" s="322" t="n"/>
      <c r="CO152" s="408" t="n"/>
      <c r="CP152" s="307" t="n"/>
      <c r="CQ152" s="408" t="n"/>
      <c r="CR152" s="322" t="n"/>
      <c r="CS152" s="408" t="n"/>
      <c r="CT152" s="307" t="n"/>
      <c r="CU152" s="408" t="n"/>
      <c r="CV152" s="322" t="n"/>
      <c r="CW152" s="408" t="n"/>
      <c r="CX152" s="307" t="n"/>
      <c r="CY152" s="408" t="n"/>
      <c r="CZ152" s="322" t="n"/>
      <c r="DA152" s="408" t="n"/>
      <c r="DB152" s="307" t="n"/>
      <c r="DC152" s="408" t="n"/>
      <c r="DD152" s="322" t="n"/>
      <c r="DE152" s="408" t="n"/>
      <c r="DF152" s="307" t="n"/>
      <c r="DG152" s="408" t="n"/>
      <c r="DH152" s="322" t="n"/>
      <c r="DI152" s="408" t="n"/>
      <c r="DJ152" s="307" t="n"/>
      <c r="DK152" s="408" t="n"/>
      <c r="DL152" s="322" t="n"/>
      <c r="DM152" s="408" t="n"/>
      <c r="DN152" s="307" t="n"/>
      <c r="DO152" s="408" t="n"/>
      <c r="DP152" s="340" t="n"/>
      <c r="DQ152" s="820" t="n"/>
      <c r="DR152" s="820">
        <f>SUMPRODUCT(--(MOD(COLUMN(BT152:CQ152),4)=MOD(COLUMN(BT152),4)),BT152:CQ152)*$I152+SUMPRODUCT(--(MOD(COLUMN(CR152:DO152),4)=MOD(COLUMN(CR152),4)),CR152:DO152)*$I152</f>
        <v/>
      </c>
      <c r="DS152" s="819" t="n"/>
      <c r="DT152" s="819" t="n"/>
      <c r="DU152" s="322" t="n"/>
      <c r="DV152" s="408" t="n"/>
      <c r="DW152" s="307" t="n"/>
      <c r="DX152" s="408" t="n"/>
      <c r="DY152" s="322" t="n"/>
      <c r="DZ152" s="408" t="n"/>
      <c r="EA152" s="307" t="n"/>
      <c r="EB152" s="408" t="n"/>
      <c r="EC152" s="322" t="n"/>
      <c r="ED152" s="408" t="n"/>
      <c r="EE152" s="307" t="n"/>
      <c r="EF152" s="408" t="n"/>
      <c r="EG152" s="322" t="n"/>
      <c r="EH152" s="408" t="n"/>
      <c r="EI152" s="307" t="n"/>
      <c r="EJ152" s="408" t="n"/>
      <c r="EK152" s="322" t="n"/>
      <c r="EL152" s="408" t="n"/>
      <c r="EM152" s="307" t="n"/>
      <c r="EN152" s="408" t="n"/>
      <c r="EO152" s="322" t="n"/>
      <c r="EP152" s="408" t="n"/>
      <c r="EQ152" s="307" t="n"/>
      <c r="ER152" s="408" t="n"/>
      <c r="ES152" s="322" t="n"/>
      <c r="ET152" s="408" t="n"/>
      <c r="EU152" s="307" t="n"/>
      <c r="EV152" s="408" t="n"/>
      <c r="EW152" s="322" t="n"/>
      <c r="EX152" s="408" t="n"/>
      <c r="EY152" s="307" t="n"/>
      <c r="EZ152" s="408" t="n"/>
      <c r="FA152" s="322" t="n"/>
      <c r="FB152" s="408" t="n"/>
      <c r="FC152" s="307" t="n"/>
      <c r="FD152" s="408" t="n"/>
      <c r="FE152" s="322" t="n"/>
      <c r="FF152" s="408" t="n"/>
      <c r="FG152" s="307" t="n"/>
      <c r="FH152" s="408" t="n"/>
      <c r="FI152" s="322" t="n"/>
      <c r="FJ152" s="408" t="n"/>
      <c r="FK152" s="307" t="n"/>
      <c r="FL152" s="408" t="n"/>
      <c r="FM152" s="322" t="n"/>
      <c r="FN152" s="408" t="n"/>
      <c r="FO152" s="307" t="n"/>
      <c r="FP152" s="408" t="n"/>
      <c r="FQ152" s="340" t="n"/>
      <c r="FR152" s="820" t="n"/>
      <c r="FS152" s="820">
        <f>SUMPRODUCT(--(MOD(COLUMN(DU152:ER152),4)=MOD(COLUMN(DU152),4)),DU152:ER152)*$I152+SUMPRODUCT(--(MOD(COLUMN(ES152:FP152),4)=MOD(COLUMN(ES152),4)),ES152:FP152)*$I152</f>
        <v/>
      </c>
      <c r="FT152" s="361" t="n"/>
    </row>
    <row r="153" outlineLevel="2">
      <c r="A153" s="413" t="inlineStr">
        <is>
          <t>ПАО «Уралавтоприцеп»</t>
        </is>
      </c>
      <c r="B153" s="444" t="inlineStr">
        <is>
          <t>Отсрочка 30 дней</t>
        </is>
      </c>
      <c r="C153" s="587" t="inlineStr">
        <is>
          <t>ВБК РУС</t>
        </is>
      </c>
      <c r="D153" s="580" t="inlineStr">
        <is>
          <t>Прасолов, Соловьёв</t>
        </is>
      </c>
      <c r="E153" s="414">
        <f>IF(ISBLANK(G153),"",IF($A$6:$A$330=$A153,COUNTIF($A$6:A153,$A153),""))</f>
        <v/>
      </c>
      <c r="F153" s="670" t="n">
        <v>2</v>
      </c>
      <c r="G153" s="403" t="n">
        <v>4491301200</v>
      </c>
      <c r="H153" s="613" t="inlineStr">
        <is>
          <t>Кабель питания ABS, часть 2, 12 м</t>
        </is>
      </c>
      <c r="I153" s="619" t="n">
        <v>0</v>
      </c>
      <c r="J153" s="619" t="n"/>
      <c r="K153" s="876" t="n"/>
      <c r="L153" s="619" t="n"/>
      <c r="M153" s="871" t="n"/>
      <c r="N153" s="871">
        <f>IF(BP153&gt;0,1,IF(BN153&gt;0,2,))</f>
        <v/>
      </c>
      <c r="O153" s="322" t="n"/>
      <c r="P153" s="408">
        <f>SUMPRODUCT((Комплекты[Пр]=$F153)*(Комплекты[Обозначение]=$G153)*Комплекты[Кол-во]*(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53" s="307" t="n">
        <v>20</v>
      </c>
      <c r="R153" s="408" t="n"/>
      <c r="S153" s="322" t="n"/>
      <c r="T153" s="408">
        <f>SUMPRODUCT((Комплекты[Пр]=$F153)*(Комплекты[Обозначение]=$G153)*Комплекты[Кол-во]*(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53" s="307" t="n">
        <v>30</v>
      </c>
      <c r="V153" s="408" t="n"/>
      <c r="W153" s="322" t="n"/>
      <c r="X153" s="408">
        <f>SUMPRODUCT((Комплекты[Пр]=$F153)*(Комплекты[Обозначение]=$G153)*Комплекты[Кол-во]*(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53" s="307" t="n">
        <v>15</v>
      </c>
      <c r="Z153" s="408" t="n"/>
      <c r="AA153" s="322" t="n"/>
      <c r="AB153" s="408">
        <f>SUMPRODUCT((Комплекты[Пр]=$F153)*(Комплекты[Обозначение]=$G153)*Комплекты[Кол-во]*(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53" s="307" t="n"/>
      <c r="AD153" s="408" t="n"/>
      <c r="AE153" s="322" t="n"/>
      <c r="AF153" s="408">
        <f>SUMPRODUCT((Комплекты[Пр]=$F153)*(Комплекты[Обозначение]=$G153)*Комплекты[Кол-во]*(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53" s="307">
        <f>SUMPRODUCT((Комплекты[Пр]=$F153)*(Комплекты[Обозначение]=$G153)*Комплекты[Кол-во]*(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53" s="408" t="n"/>
      <c r="AI153" s="322" t="n"/>
      <c r="AJ153" s="408">
        <f>SUMPRODUCT((Комплекты[Пр]=$F153)*(Комплекты[Обозначение]=$G153)*Комплекты[Кол-во]*(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53" s="307" t="n">
        <v>0</v>
      </c>
      <c r="AL153" s="408" t="n"/>
      <c r="AM153" s="322" t="n"/>
      <c r="AN153" s="408">
        <f>SUMPRODUCT((Комплекты[Пр]=$F153)*(Комплекты[Обозначение]=$G153)*Комплекты[Кол-во]*(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53" s="307" t="n">
        <v>0</v>
      </c>
      <c r="AP153" s="408" t="n"/>
      <c r="AQ153" s="322" t="n"/>
      <c r="AR153" s="408">
        <f>SUMPRODUCT((Комплекты[Пр]=$F153)*(Комплекты[Обозначение]=$G153)*Комплекты[Кол-во]*(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53" s="307" t="n">
        <v>0</v>
      </c>
      <c r="AT153" s="408" t="n"/>
      <c r="AU153" s="322" t="n"/>
      <c r="AV153" s="408">
        <f>SUMPRODUCT((Комплекты[Пр]=$F153)*(Комплекты[Обозначение]=$G153)*Комплекты[Кол-во]*(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53" s="307" t="n">
        <v>0</v>
      </c>
      <c r="AX153" s="408" t="n"/>
      <c r="AY153" s="322" t="n"/>
      <c r="AZ153" s="408">
        <f>SUMPRODUCT((Комплекты[Пр]=$F153)*(Комплекты[Обозначение]=$G153)*Комплекты[Кол-во]*(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53" s="307" t="n">
        <v>0</v>
      </c>
      <c r="BB153" s="408" t="n"/>
      <c r="BC153" s="322" t="n"/>
      <c r="BD153" s="408">
        <f>SUMPRODUCT((Комплекты[Пр]=$F153)*(Комплекты[Обозначение]=$G153)*Комплекты[Кол-во]*(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53" s="307" t="n">
        <v>0</v>
      </c>
      <c r="BF153" s="408" t="n"/>
      <c r="BG153" s="322" t="n"/>
      <c r="BH153" s="408">
        <f>SUMPRODUCT((Комплекты[Пр]=$F153)*(Комплекты[Обозначение]=$G153)*Комплекты[Кол-во]*(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53" s="307" t="n">
        <v>0</v>
      </c>
      <c r="BJ153" s="408" t="n"/>
      <c r="BK153" s="340" t="n"/>
      <c r="BL153" s="820">
        <f>SUMPRODUCT(--(MOD(COLUMN($O153:$AL153),4)=MOD(COLUMN($O153)+0,4)),$O153:$AL153)
+SUMPRODUCT(--(MOD(COLUMN($AM153:$BJ153),4)=MOD(COLUMN($AM153)+0,4)),$AM153:$BJ153)</f>
        <v/>
      </c>
      <c r="BM153" s="820">
        <f>SUMPRODUCT(--(MOD(COLUMN($O153:$AL153),4)=MOD(COLUMN($O153)+0,4)),$O153:$AL153)*
$I153+SUMPRODUCT(--(MOD(COLUMN($AM153:$BJ153),4)=MOD(COLUMN($AM153)+0,4)),$AM153:$BJ153)*$I153</f>
        <v/>
      </c>
      <c r="BN153" s="822">
        <f>SUMPRODUCT(--(MOD(COLUMN($O153:$AL153),4)=MOD(COLUMN($O153)+1,4)),$O153:$AL153)
+SUMPRODUCT(--(MOD(COLUMN($AM153:$BJ153),4)=MOD(COLUMN($AM153)+1,4)),$AM153:$BJ153)</f>
        <v/>
      </c>
      <c r="BO153" s="823">
        <f>SUMPRODUCT(--(MOD(COLUMN($O153:$AL153),4)=MOD(COLUMN($O153)+1,4)),$O153:$AL153)*
$I153+SUMPRODUCT(--(MOD(COLUMN($AM153:$BJ153),4)=MOD(COLUMN($AM153)+1,4)),$AM153:$BJ153)*$I153</f>
        <v/>
      </c>
      <c r="BP153" s="824">
        <f>SUMPRODUCT(--(MOD(COLUMN($O153:$AL153),4)=MOD(COLUMN($O153)+2,4)),$O153:$AL153)
+SUMPRODUCT(--(MOD(COLUMN($AM153:$BJ153),4)=MOD(COLUMN($AM153)+2,4)),$AM153:$BJ153)</f>
        <v/>
      </c>
      <c r="BQ153" s="825">
        <f>SUMPRODUCT(--(MOD(COLUMN($O153:$AL153),4)=MOD(COLUMN($O153)+2,4)),$O153:$AL153)*
$I153+SUMPRODUCT(--(MOD(COLUMN($AM153:$BJ153),4)=MOD(COLUMN($AM153)+2,4)),$AM153:$BJ153)*$I153</f>
        <v/>
      </c>
      <c r="BR153" s="819" t="n"/>
      <c r="BS153" s="819" t="n"/>
      <c r="BT153" s="322" t="n"/>
      <c r="BU153" s="408" t="n"/>
      <c r="BV153" s="307" t="n"/>
      <c r="BW153" s="408" t="n"/>
      <c r="BX153" s="322" t="n"/>
      <c r="BY153" s="408" t="n"/>
      <c r="BZ153" s="307" t="n"/>
      <c r="CA153" s="408" t="n"/>
      <c r="CB153" s="322" t="n"/>
      <c r="CC153" s="408" t="n"/>
      <c r="CD153" s="307" t="n"/>
      <c r="CE153" s="408" t="n"/>
      <c r="CF153" s="322" t="n"/>
      <c r="CG153" s="408" t="n"/>
      <c r="CH153" s="307" t="n"/>
      <c r="CI153" s="408" t="n"/>
      <c r="CJ153" s="322" t="n"/>
      <c r="CK153" s="408" t="n"/>
      <c r="CL153" s="307" t="n"/>
      <c r="CM153" s="408" t="n"/>
      <c r="CN153" s="322" t="n"/>
      <c r="CO153" s="408" t="n"/>
      <c r="CP153" s="307" t="n"/>
      <c r="CQ153" s="408" t="n"/>
      <c r="CR153" s="322" t="n"/>
      <c r="CS153" s="408" t="n"/>
      <c r="CT153" s="307" t="n"/>
      <c r="CU153" s="408" t="n"/>
      <c r="CV153" s="322" t="n"/>
      <c r="CW153" s="408" t="n"/>
      <c r="CX153" s="307" t="n"/>
      <c r="CY153" s="408" t="n"/>
      <c r="CZ153" s="322" t="n"/>
      <c r="DA153" s="408" t="n"/>
      <c r="DB153" s="307" t="n"/>
      <c r="DC153" s="408" t="n"/>
      <c r="DD153" s="322" t="n"/>
      <c r="DE153" s="408" t="n"/>
      <c r="DF153" s="307" t="n"/>
      <c r="DG153" s="408" t="n"/>
      <c r="DH153" s="322" t="n"/>
      <c r="DI153" s="408" t="n"/>
      <c r="DJ153" s="307" t="n"/>
      <c r="DK153" s="408" t="n"/>
      <c r="DL153" s="322" t="n"/>
      <c r="DM153" s="408" t="n"/>
      <c r="DN153" s="307" t="n"/>
      <c r="DO153" s="408" t="n"/>
      <c r="DP153" s="340" t="n"/>
      <c r="DQ153" s="820" t="n"/>
      <c r="DR153" s="820">
        <f>SUMPRODUCT(--(MOD(COLUMN(BT153:CQ153),4)=MOD(COLUMN(BT153),4)),BT153:CQ153)*$I153+SUMPRODUCT(--(MOD(COLUMN(CR153:DO153),4)=MOD(COLUMN(CR153),4)),CR153:DO153)*$I153</f>
        <v/>
      </c>
      <c r="DS153" s="819" t="n"/>
      <c r="DT153" s="819" t="n"/>
      <c r="DU153" s="322" t="n"/>
      <c r="DV153" s="408" t="n"/>
      <c r="DW153" s="307" t="n"/>
      <c r="DX153" s="408" t="n"/>
      <c r="DY153" s="322" t="n"/>
      <c r="DZ153" s="408" t="n"/>
      <c r="EA153" s="307" t="n"/>
      <c r="EB153" s="408" t="n"/>
      <c r="EC153" s="322" t="n"/>
      <c r="ED153" s="408" t="n"/>
      <c r="EE153" s="307" t="n"/>
      <c r="EF153" s="408" t="n"/>
      <c r="EG153" s="322" t="n"/>
      <c r="EH153" s="408" t="n"/>
      <c r="EI153" s="307" t="n"/>
      <c r="EJ153" s="408" t="n"/>
      <c r="EK153" s="322" t="n"/>
      <c r="EL153" s="408" t="n"/>
      <c r="EM153" s="307" t="n"/>
      <c r="EN153" s="408" t="n"/>
      <c r="EO153" s="322" t="n"/>
      <c r="EP153" s="408" t="n"/>
      <c r="EQ153" s="307" t="n"/>
      <c r="ER153" s="408" t="n"/>
      <c r="ES153" s="322" t="n"/>
      <c r="ET153" s="408" t="n"/>
      <c r="EU153" s="307" t="n"/>
      <c r="EV153" s="408" t="n"/>
      <c r="EW153" s="322" t="n"/>
      <c r="EX153" s="408" t="n"/>
      <c r="EY153" s="307" t="n"/>
      <c r="EZ153" s="408" t="n"/>
      <c r="FA153" s="322" t="n"/>
      <c r="FB153" s="408" t="n"/>
      <c r="FC153" s="307" t="n"/>
      <c r="FD153" s="408" t="n"/>
      <c r="FE153" s="322" t="n"/>
      <c r="FF153" s="408" t="n"/>
      <c r="FG153" s="307" t="n"/>
      <c r="FH153" s="408" t="n"/>
      <c r="FI153" s="322" t="n"/>
      <c r="FJ153" s="408" t="n"/>
      <c r="FK153" s="307" t="n"/>
      <c r="FL153" s="408" t="n"/>
      <c r="FM153" s="322" t="n"/>
      <c r="FN153" s="408" t="n"/>
      <c r="FO153" s="307" t="n"/>
      <c r="FP153" s="408" t="n"/>
      <c r="FQ153" s="340" t="n"/>
      <c r="FR153" s="820" t="n"/>
      <c r="FS153" s="820">
        <f>SUMPRODUCT(--(MOD(COLUMN(DU153:ER153),4)=MOD(COLUMN(DU153),4)),DU153:ER153)*$I153+SUMPRODUCT(--(MOD(COLUMN(ES153:FP153),4)=MOD(COLUMN(ES153),4)),ES153:FP153)*$I153</f>
        <v/>
      </c>
      <c r="FT153" s="361" t="n"/>
    </row>
    <row r="154" outlineLevel="2">
      <c r="A154" s="56" t="inlineStr">
        <is>
          <t>ПАО «Уралавтоприцеп»</t>
        </is>
      </c>
      <c r="B154" s="387" t="inlineStr">
        <is>
          <t>Отсрочка 30 дней</t>
        </is>
      </c>
      <c r="C154" s="541" t="inlineStr">
        <is>
          <t>ВБК РУС</t>
        </is>
      </c>
      <c r="D154" s="565" t="inlineStr">
        <is>
          <t>Прасолов, Соловьёв</t>
        </is>
      </c>
      <c r="E154" s="10">
        <f>IF(ISBLANK(G154),"",IF($A$6:$A$330=$A154,COUNTIF($A$6:A154,$A154),""))</f>
        <v/>
      </c>
      <c r="F154" s="669" t="n">
        <v>2</v>
      </c>
      <c r="G154" s="128" t="n">
        <v>4491301500</v>
      </c>
      <c r="H154" s="612" t="inlineStr">
        <is>
          <t>Кабель питания ABS, часть 2, 15 м</t>
        </is>
      </c>
      <c r="I154" s="618" t="n">
        <v>0</v>
      </c>
      <c r="J154" s="618" t="n"/>
      <c r="K154" s="874" t="n"/>
      <c r="L154" s="618">
        <f>IF(K154="RUB",J154/ЮАНЬ,IF(K154="EUR",J154*ЕВРО/ЮАНЬ,""))</f>
        <v/>
      </c>
      <c r="M154" s="873" t="n"/>
      <c r="N154" s="871">
        <f>IF(BP154&gt;0,1,IF(BN154&gt;0,2,))</f>
        <v/>
      </c>
      <c r="O154" s="23" t="n">
        <v>40</v>
      </c>
      <c r="P154" s="24">
        <f>SUMPRODUCT((Комплекты[Пр]=$F154)*(Комплекты[Обозначение]=$G154)*Комплекты[Кол-во]*(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54" s="25" t="n">
        <v>8</v>
      </c>
      <c r="R154" s="24" t="n"/>
      <c r="S154" s="23" t="n">
        <v>40</v>
      </c>
      <c r="T154" s="24">
        <f>SUMPRODUCT((Комплекты[Пр]=$F154)*(Комплекты[Обозначение]=$G154)*Комплекты[Кол-во]*(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54" s="25" t="n">
        <v>10</v>
      </c>
      <c r="V154" s="24" t="n"/>
      <c r="W154" s="23" t="n">
        <v>40</v>
      </c>
      <c r="X154" s="24">
        <f>SUMPRODUCT((Комплекты[Пр]=$F154)*(Комплекты[Обозначение]=$G154)*Комплекты[Кол-во]*(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54" s="25" t="n">
        <v>5</v>
      </c>
      <c r="Z154" s="24" t="n"/>
      <c r="AA154" s="23" t="n">
        <v>20</v>
      </c>
      <c r="AB154" s="24">
        <f>SUMPRODUCT((Комплекты[Пр]=$F154)*(Комплекты[Обозначение]=$G154)*Комплекты[Кол-во]*(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54" s="25" t="n">
        <v>0</v>
      </c>
      <c r="AD154" s="24" t="n"/>
      <c r="AE154" s="23" t="n">
        <v>20</v>
      </c>
      <c r="AF154" s="24">
        <f>SUMPRODUCT((Комплекты[Пр]=$F154)*(Комплекты[Обозначение]=$G154)*Комплекты[Кол-во]*(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54" s="25" t="n">
        <v>0</v>
      </c>
      <c r="AH154" s="24" t="n"/>
      <c r="AI154" s="23" t="n">
        <v>20</v>
      </c>
      <c r="AJ154" s="24">
        <f>SUMPRODUCT((Комплекты[Пр]=$F154)*(Комплекты[Обозначение]=$G154)*Комплекты[Кол-во]*(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54" s="25" t="n">
        <v>0</v>
      </c>
      <c r="AL154" s="24" t="n"/>
      <c r="AM154" s="23" t="n">
        <v>20</v>
      </c>
      <c r="AN154" s="24">
        <f>SUMPRODUCT((Комплекты[Пр]=$F154)*(Комплекты[Обозначение]=$G154)*Комплекты[Кол-во]*(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54" s="25" t="n">
        <v>0</v>
      </c>
      <c r="AP154" s="24" t="n"/>
      <c r="AQ154" s="23" t="n">
        <v>20</v>
      </c>
      <c r="AR154" s="24">
        <f>SUMPRODUCT((Комплекты[Пр]=$F154)*(Комплекты[Обозначение]=$G154)*Комплекты[Кол-во]*(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54" s="25" t="n">
        <v>0</v>
      </c>
      <c r="AT154" s="24" t="n"/>
      <c r="AU154" s="23" t="n">
        <v>20</v>
      </c>
      <c r="AV154" s="24">
        <f>SUMPRODUCT((Комплекты[Пр]=$F154)*(Комплекты[Обозначение]=$G154)*Комплекты[Кол-во]*(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54" s="25" t="n">
        <v>0</v>
      </c>
      <c r="AX154" s="24" t="n"/>
      <c r="AY154" s="23" t="n">
        <v>20</v>
      </c>
      <c r="AZ154" s="24">
        <f>SUMPRODUCT((Комплекты[Пр]=$F154)*(Комплекты[Обозначение]=$G154)*Комплекты[Кол-во]*(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54" s="25" t="n">
        <v>0</v>
      </c>
      <c r="BB154" s="24" t="n"/>
      <c r="BC154" s="23" t="n">
        <v>20</v>
      </c>
      <c r="BD154" s="24">
        <f>SUMPRODUCT((Комплекты[Пр]=$F154)*(Комплекты[Обозначение]=$G154)*Комплекты[Кол-во]*(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54" s="25" t="n">
        <v>0</v>
      </c>
      <c r="BF154" s="24" t="n"/>
      <c r="BG154" s="23" t="n">
        <v>20</v>
      </c>
      <c r="BH154" s="24">
        <f>SUMPRODUCT((Комплекты[Пр]=$F154)*(Комплекты[Обозначение]=$G154)*Комплекты[Кол-во]*(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54" s="25" t="n">
        <v>0</v>
      </c>
      <c r="BJ154" s="24" t="n"/>
      <c r="BK154" s="340" t="n"/>
      <c r="BL154" s="803">
        <f>SUMPRODUCT(--(MOD(COLUMN($O154:$AL154),4)=MOD(COLUMN($O154)+0,4)),$O154:$AL154)
+SUMPRODUCT(--(MOD(COLUMN($AM154:$BJ154),4)=MOD(COLUMN($AM154)+0,4)),$AM154:$BJ154)</f>
        <v/>
      </c>
      <c r="BM154" s="803">
        <f>SUMPRODUCT(--(MOD(COLUMN($O154:$AL154),4)=MOD(COLUMN($O154)+0,4)),$O154:$AL154)*
$I154+SUMPRODUCT(--(MOD(COLUMN($AM154:$BJ154),4)=MOD(COLUMN($AM154)+0,4)),$AM154:$BJ154)*$I154</f>
        <v/>
      </c>
      <c r="BN154" s="805">
        <f>SUMPRODUCT(--(MOD(COLUMN($O154:$AL154),4)=MOD(COLUMN($O154)+1,4)),$O154:$AL154)
+SUMPRODUCT(--(MOD(COLUMN($AM154:$BJ154),4)=MOD(COLUMN($AM154)+1,4)),$AM154:$BJ154)</f>
        <v/>
      </c>
      <c r="BO154" s="806">
        <f>SUMPRODUCT(--(MOD(COLUMN($O154:$AL154),4)=MOD(COLUMN($O154)+1,4)),$O154:$AL154)*
$I154+SUMPRODUCT(--(MOD(COLUMN($AM154:$BJ154),4)=MOD(COLUMN($AM154)+1,4)),$AM154:$BJ154)*$I154</f>
        <v/>
      </c>
      <c r="BP154" s="807">
        <f>SUMPRODUCT(--(MOD(COLUMN($O154:$AL154),4)=MOD(COLUMN($O154)+2,4)),$O154:$AL154)
+SUMPRODUCT(--(MOD(COLUMN($AM154:$BJ154),4)=MOD(COLUMN($AM154)+2,4)),$AM154:$BJ154)</f>
        <v/>
      </c>
      <c r="BQ154" s="808">
        <f>SUMPRODUCT(--(MOD(COLUMN($O154:$AL154),4)=MOD(COLUMN($O154)+2,4)),$O154:$AL154)*
$I154+SUMPRODUCT(--(MOD(COLUMN($AM154:$BJ154),4)=MOD(COLUMN($AM154)+2,4)),$AM154:$BJ154)*$I154</f>
        <v/>
      </c>
      <c r="BR154" s="801" t="n"/>
      <c r="BS154" s="819" t="n"/>
      <c r="BT154" s="23" t="n">
        <v>40</v>
      </c>
      <c r="BU154" s="24" t="n"/>
      <c r="BV154" s="25" t="n">
        <v>0</v>
      </c>
      <c r="BW154" s="24" t="n"/>
      <c r="BX154" s="23" t="n">
        <v>40</v>
      </c>
      <c r="BY154" s="24" t="n"/>
      <c r="BZ154" s="25" t="n">
        <v>0</v>
      </c>
      <c r="CA154" s="24" t="n"/>
      <c r="CB154" s="23" t="n">
        <v>40</v>
      </c>
      <c r="CC154" s="24" t="n"/>
      <c r="CD154" s="25" t="n">
        <v>0</v>
      </c>
      <c r="CE154" s="24" t="n"/>
      <c r="CF154" s="23" t="n">
        <v>40</v>
      </c>
      <c r="CG154" s="24" t="n"/>
      <c r="CH154" s="25" t="n">
        <v>0</v>
      </c>
      <c r="CI154" s="24" t="n"/>
      <c r="CJ154" s="23" t="n">
        <v>40</v>
      </c>
      <c r="CK154" s="24" t="n"/>
      <c r="CL154" s="25" t="n">
        <v>0</v>
      </c>
      <c r="CM154" s="24" t="n"/>
      <c r="CN154" s="23" t="n">
        <v>40</v>
      </c>
      <c r="CO154" s="24" t="n"/>
      <c r="CP154" s="25" t="n">
        <v>0</v>
      </c>
      <c r="CQ154" s="24" t="n"/>
      <c r="CR154" s="23" t="n">
        <v>40</v>
      </c>
      <c r="CS154" s="24" t="n"/>
      <c r="CT154" s="25" t="n">
        <v>0</v>
      </c>
      <c r="CU154" s="24" t="n"/>
      <c r="CV154" s="23" t="n">
        <v>40</v>
      </c>
      <c r="CW154" s="24" t="n"/>
      <c r="CX154" s="25" t="n">
        <v>0</v>
      </c>
      <c r="CY154" s="24" t="n"/>
      <c r="CZ154" s="23" t="n">
        <v>40</v>
      </c>
      <c r="DA154" s="24" t="n"/>
      <c r="DB154" s="25" t="n">
        <v>0</v>
      </c>
      <c r="DC154" s="24" t="n"/>
      <c r="DD154" s="23" t="n">
        <v>40</v>
      </c>
      <c r="DE154" s="24" t="n"/>
      <c r="DF154" s="25" t="n">
        <v>0</v>
      </c>
      <c r="DG154" s="24" t="n"/>
      <c r="DH154" s="23" t="n">
        <v>40</v>
      </c>
      <c r="DI154" s="24" t="n"/>
      <c r="DJ154" s="25" t="n">
        <v>0</v>
      </c>
      <c r="DK154" s="24" t="n"/>
      <c r="DL154" s="23" t="n">
        <v>40</v>
      </c>
      <c r="DM154" s="24" t="n"/>
      <c r="DN154" s="25" t="n">
        <v>0</v>
      </c>
      <c r="DO154" s="24" t="n"/>
      <c r="DP154" s="340" t="n"/>
      <c r="DQ154" s="803">
        <f>SUMPRODUCT(--(MOD(COLUMN(BT154:CQ154),4)=MOD(COLUMN(BT154),4)),BT154:CQ154)+SUMPRODUCT(--(MOD(COLUMN(CR154:DO154),4)=MOD(COLUMN(CR154),4)),CR154:DO154)</f>
        <v/>
      </c>
      <c r="DR154" s="803">
        <f>SUMPRODUCT(--(MOD(COLUMN(BT154:CQ154),4)=MOD(COLUMN(BT154),4)),BT154:CQ154)*$I154+SUMPRODUCT(--(MOD(COLUMN(CR154:DO154),4)=MOD(COLUMN(CR154),4)),CR154:DO154)*$I154</f>
        <v/>
      </c>
      <c r="DS154" s="801" t="n"/>
      <c r="DT154" s="819" t="n"/>
      <c r="DU154" s="23" t="n">
        <v>50</v>
      </c>
      <c r="DV154" s="24" t="n"/>
      <c r="DW154" s="25" t="n">
        <v>0</v>
      </c>
      <c r="DX154" s="24" t="n"/>
      <c r="DY154" s="23" t="n">
        <v>50</v>
      </c>
      <c r="DZ154" s="24" t="n"/>
      <c r="EA154" s="25" t="n">
        <v>0</v>
      </c>
      <c r="EB154" s="24" t="n"/>
      <c r="EC154" s="23" t="n">
        <v>50</v>
      </c>
      <c r="ED154" s="24" t="n"/>
      <c r="EE154" s="25" t="n">
        <v>0</v>
      </c>
      <c r="EF154" s="24" t="n"/>
      <c r="EG154" s="23" t="n">
        <v>50</v>
      </c>
      <c r="EH154" s="24" t="n"/>
      <c r="EI154" s="25" t="n">
        <v>0</v>
      </c>
      <c r="EJ154" s="24" t="n"/>
      <c r="EK154" s="23" t="n">
        <v>50</v>
      </c>
      <c r="EL154" s="24" t="n"/>
      <c r="EM154" s="25" t="n">
        <v>0</v>
      </c>
      <c r="EN154" s="24" t="n"/>
      <c r="EO154" s="23" t="n">
        <v>50</v>
      </c>
      <c r="EP154" s="24" t="n"/>
      <c r="EQ154" s="25" t="n">
        <v>0</v>
      </c>
      <c r="ER154" s="24" t="n"/>
      <c r="ES154" s="23" t="n">
        <v>50</v>
      </c>
      <c r="ET154" s="24" t="n"/>
      <c r="EU154" s="25" t="n">
        <v>0</v>
      </c>
      <c r="EV154" s="24" t="n"/>
      <c r="EW154" s="23" t="n">
        <v>50</v>
      </c>
      <c r="EX154" s="24" t="n"/>
      <c r="EY154" s="25" t="n">
        <v>0</v>
      </c>
      <c r="EZ154" s="24" t="n"/>
      <c r="FA154" s="23" t="n">
        <v>50</v>
      </c>
      <c r="FB154" s="24" t="n"/>
      <c r="FC154" s="25" t="n">
        <v>0</v>
      </c>
      <c r="FD154" s="24" t="n"/>
      <c r="FE154" s="23" t="n">
        <v>50</v>
      </c>
      <c r="FF154" s="24" t="n"/>
      <c r="FG154" s="25" t="n">
        <v>0</v>
      </c>
      <c r="FH154" s="24" t="n"/>
      <c r="FI154" s="23" t="n">
        <v>50</v>
      </c>
      <c r="FJ154" s="24" t="n"/>
      <c r="FK154" s="25" t="n">
        <v>0</v>
      </c>
      <c r="FL154" s="24" t="n"/>
      <c r="FM154" s="23" t="n">
        <v>50</v>
      </c>
      <c r="FN154" s="24" t="n"/>
      <c r="FO154" s="25" t="n">
        <v>0</v>
      </c>
      <c r="FP154" s="24" t="n"/>
      <c r="FQ154" s="340" t="n"/>
      <c r="FR154" s="803">
        <f>SUMPRODUCT(--(MOD(COLUMN(DU154:ER154),4)=MOD(COLUMN(DU154),4)),DU154:ER154)+SUMPRODUCT(--(MOD(COLUMN(ES154:FP154),4)=MOD(COLUMN(ES154),4)),ES154:FP154)</f>
        <v/>
      </c>
      <c r="FS154" s="803">
        <f>SUMPRODUCT(--(MOD(COLUMN(DU154:ER154),4)=MOD(COLUMN(DU154),4)),DU154:ER154)*$I154+SUMPRODUCT(--(MOD(COLUMN(ES154:FP154),4)=MOD(COLUMN(ES154),4)),ES154:FP154)*$I154</f>
        <v/>
      </c>
      <c r="FT154" s="361" t="n"/>
    </row>
    <row r="155" outlineLevel="2">
      <c r="A155" s="56" t="inlineStr">
        <is>
          <t>ПАО «Уралавтоприцеп»</t>
        </is>
      </c>
      <c r="B155" s="387" t="inlineStr">
        <is>
          <t>Отсрочка 30 дней</t>
        </is>
      </c>
      <c r="C155" s="541" t="inlineStr">
        <is>
          <t>ВБК РУС</t>
        </is>
      </c>
      <c r="D155" s="565" t="inlineStr">
        <is>
          <t>Прасолов, Соловьёв</t>
        </is>
      </c>
      <c r="E155" s="10">
        <f>IF(ISBLANK(G155),"",IF($A$6:$A$330=$A155,COUNTIF($A$6:A155,$A155),""))</f>
        <v/>
      </c>
      <c r="F155" s="669" t="n">
        <v>2</v>
      </c>
      <c r="G155" s="128" t="n">
        <v>4497490300</v>
      </c>
      <c r="H155" s="612" t="inlineStr">
        <is>
          <t>Кабель-удлинитель датчика ABS, 3 м</t>
        </is>
      </c>
      <c r="I155" s="618" t="n">
        <v>0</v>
      </c>
      <c r="J155" s="618" t="n"/>
      <c r="K155" s="874" t="n"/>
      <c r="L155" s="618">
        <f>IF(K155="RUB",J155/ЮАНЬ,IF(K155="EUR",J155*ЕВРО/ЮАНЬ,""))</f>
        <v/>
      </c>
      <c r="M155" s="873" t="n"/>
      <c r="N155" s="871">
        <f>IF(BP155&gt;0,1,IF(BN155&gt;0,2,))</f>
        <v/>
      </c>
      <c r="O155" s="23" t="n">
        <v>100</v>
      </c>
      <c r="P155" s="24">
        <f>SUMPRODUCT((Комплекты[Пр]=$F155)*(Комплекты[Обозначение]=$G155)*Комплекты[Кол-во]*(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55" s="25" t="n">
        <v>4</v>
      </c>
      <c r="R155" s="24" t="n"/>
      <c r="S155" s="23" t="n">
        <v>100</v>
      </c>
      <c r="T155" s="24">
        <f>SUMPRODUCT((Комплекты[Пр]=$F155)*(Комплекты[Обозначение]=$G155)*Комплекты[Кол-во]*(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55" s="25" t="n">
        <v>2</v>
      </c>
      <c r="V155" s="24" t="n"/>
      <c r="W155" s="23" t="n">
        <v>100</v>
      </c>
      <c r="X155" s="24">
        <f>SUMPRODUCT((Комплекты[Пр]=$F155)*(Комплекты[Обозначение]=$G155)*Комплекты[Кол-во]*(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55" s="25" t="n">
        <v>50</v>
      </c>
      <c r="Z155" s="24" t="n"/>
      <c r="AA155" s="23" t="n">
        <v>50</v>
      </c>
      <c r="AB155" s="24">
        <f>SUMPRODUCT((Комплекты[Пр]=$F155)*(Комплекты[Обозначение]=$G155)*Комплекты[Кол-во]*(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55" s="25" t="n">
        <v>2</v>
      </c>
      <c r="AD155" s="24" t="n"/>
      <c r="AE155" s="23" t="n">
        <v>50</v>
      </c>
      <c r="AF155" s="24">
        <f>SUMPRODUCT((Комплекты[Пр]=$F155)*(Комплекты[Обозначение]=$G155)*Комплекты[Кол-во]*(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55" s="25" t="n">
        <v>0</v>
      </c>
      <c r="AH155" s="24" t="n"/>
      <c r="AI155" s="23" t="n">
        <v>50</v>
      </c>
      <c r="AJ155" s="24">
        <f>SUMPRODUCT((Комплекты[Пр]=$F155)*(Комплекты[Обозначение]=$G155)*Комплекты[Кол-во]*(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55" s="25" t="n">
        <v>0</v>
      </c>
      <c r="AL155" s="24" t="n"/>
      <c r="AM155" s="23" t="n">
        <v>50</v>
      </c>
      <c r="AN155" s="24">
        <f>SUMPRODUCT((Комплекты[Пр]=$F155)*(Комплекты[Обозначение]=$G155)*Комплекты[Кол-во]*(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55" s="25" t="n">
        <v>0</v>
      </c>
      <c r="AP155" s="24" t="n"/>
      <c r="AQ155" s="23" t="n">
        <v>50</v>
      </c>
      <c r="AR155" s="24">
        <f>SUMPRODUCT((Комплекты[Пр]=$F155)*(Комплекты[Обозначение]=$G155)*Комплекты[Кол-во]*(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55" s="25" t="n">
        <v>0</v>
      </c>
      <c r="AT155" s="24" t="n"/>
      <c r="AU155" s="23" t="n">
        <v>50</v>
      </c>
      <c r="AV155" s="24">
        <f>SUMPRODUCT((Комплекты[Пр]=$F155)*(Комплекты[Обозначение]=$G155)*Комплекты[Кол-во]*(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55" s="25" t="n">
        <v>0</v>
      </c>
      <c r="AX155" s="24" t="n"/>
      <c r="AY155" s="23" t="n">
        <v>50</v>
      </c>
      <c r="AZ155" s="24">
        <f>SUMPRODUCT((Комплекты[Пр]=$F155)*(Комплекты[Обозначение]=$G155)*Комплекты[Кол-во]*(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55" s="25" t="n">
        <v>0</v>
      </c>
      <c r="BB155" s="24" t="n"/>
      <c r="BC155" s="23" t="n">
        <v>50</v>
      </c>
      <c r="BD155" s="24">
        <f>SUMPRODUCT((Комплекты[Пр]=$F155)*(Комплекты[Обозначение]=$G155)*Комплекты[Кол-во]*(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55" s="25" t="n">
        <v>0</v>
      </c>
      <c r="BF155" s="24" t="n"/>
      <c r="BG155" s="23" t="n">
        <v>50</v>
      </c>
      <c r="BH155" s="24">
        <f>SUMPRODUCT((Комплекты[Пр]=$F155)*(Комплекты[Обозначение]=$G155)*Комплекты[Кол-во]*(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55" s="25" t="n">
        <v>0</v>
      </c>
      <c r="BJ155" s="24" t="n"/>
      <c r="BK155" s="340" t="n"/>
      <c r="BL155" s="803">
        <f>SUMPRODUCT(--(MOD(COLUMN($O155:$AL155),4)=MOD(COLUMN($O155)+0,4)),$O155:$AL155)
+SUMPRODUCT(--(MOD(COLUMN($AM155:$BJ155),4)=MOD(COLUMN($AM155)+0,4)),$AM155:$BJ155)</f>
        <v/>
      </c>
      <c r="BM155" s="803">
        <f>SUMPRODUCT(--(MOD(COLUMN($O155:$AL155),4)=MOD(COLUMN($O155)+0,4)),$O155:$AL155)*
$I155+SUMPRODUCT(--(MOD(COLUMN($AM155:$BJ155),4)=MOD(COLUMN($AM155)+0,4)),$AM155:$BJ155)*$I155</f>
        <v/>
      </c>
      <c r="BN155" s="805">
        <f>SUMPRODUCT(--(MOD(COLUMN($O155:$AL155),4)=MOD(COLUMN($O155)+1,4)),$O155:$AL155)
+SUMPRODUCT(--(MOD(COLUMN($AM155:$BJ155),4)=MOD(COLUMN($AM155)+1,4)),$AM155:$BJ155)</f>
        <v/>
      </c>
      <c r="BO155" s="806">
        <f>SUMPRODUCT(--(MOD(COLUMN($O155:$AL155),4)=MOD(COLUMN($O155)+1,4)),$O155:$AL155)*
$I155+SUMPRODUCT(--(MOD(COLUMN($AM155:$BJ155),4)=MOD(COLUMN($AM155)+1,4)),$AM155:$BJ155)*$I155</f>
        <v/>
      </c>
      <c r="BP155" s="807">
        <f>SUMPRODUCT(--(MOD(COLUMN($O155:$AL155),4)=MOD(COLUMN($O155)+2,4)),$O155:$AL155)
+SUMPRODUCT(--(MOD(COLUMN($AM155:$BJ155),4)=MOD(COLUMN($AM155)+2,4)),$AM155:$BJ155)</f>
        <v/>
      </c>
      <c r="BQ155" s="808">
        <f>SUMPRODUCT(--(MOD(COLUMN($O155:$AL155),4)=MOD(COLUMN($O155)+2,4)),$O155:$AL155)*
$I155+SUMPRODUCT(--(MOD(COLUMN($AM155:$BJ155),4)=MOD(COLUMN($AM155)+2,4)),$AM155:$BJ155)*$I155</f>
        <v/>
      </c>
      <c r="BR155" s="801" t="n"/>
      <c r="BS155" s="819" t="n"/>
      <c r="BT155" s="23" t="n">
        <v>100</v>
      </c>
      <c r="BU155" s="24" t="n"/>
      <c r="BV155" s="25" t="n">
        <v>0</v>
      </c>
      <c r="BW155" s="24" t="n"/>
      <c r="BX155" s="23" t="n">
        <v>100</v>
      </c>
      <c r="BY155" s="24" t="n"/>
      <c r="BZ155" s="25" t="n">
        <v>0</v>
      </c>
      <c r="CA155" s="24" t="n"/>
      <c r="CB155" s="23" t="n">
        <v>100</v>
      </c>
      <c r="CC155" s="24" t="n"/>
      <c r="CD155" s="25" t="n">
        <v>0</v>
      </c>
      <c r="CE155" s="24" t="n"/>
      <c r="CF155" s="23" t="n">
        <v>100</v>
      </c>
      <c r="CG155" s="24" t="n"/>
      <c r="CH155" s="25" t="n">
        <v>0</v>
      </c>
      <c r="CI155" s="24" t="n"/>
      <c r="CJ155" s="23" t="n">
        <v>100</v>
      </c>
      <c r="CK155" s="24" t="n"/>
      <c r="CL155" s="25" t="n">
        <v>0</v>
      </c>
      <c r="CM155" s="24" t="n"/>
      <c r="CN155" s="23" t="n">
        <v>100</v>
      </c>
      <c r="CO155" s="24" t="n"/>
      <c r="CP155" s="25" t="n">
        <v>0</v>
      </c>
      <c r="CQ155" s="24" t="n"/>
      <c r="CR155" s="23" t="n">
        <v>100</v>
      </c>
      <c r="CS155" s="24" t="n"/>
      <c r="CT155" s="25" t="n">
        <v>0</v>
      </c>
      <c r="CU155" s="24" t="n"/>
      <c r="CV155" s="23" t="n">
        <v>100</v>
      </c>
      <c r="CW155" s="24" t="n"/>
      <c r="CX155" s="25" t="n">
        <v>0</v>
      </c>
      <c r="CY155" s="24" t="n"/>
      <c r="CZ155" s="23" t="n">
        <v>100</v>
      </c>
      <c r="DA155" s="24" t="n"/>
      <c r="DB155" s="25" t="n">
        <v>0</v>
      </c>
      <c r="DC155" s="24" t="n"/>
      <c r="DD155" s="23" t="n">
        <v>100</v>
      </c>
      <c r="DE155" s="24" t="n"/>
      <c r="DF155" s="25" t="n">
        <v>0</v>
      </c>
      <c r="DG155" s="24" t="n"/>
      <c r="DH155" s="23" t="n">
        <v>100</v>
      </c>
      <c r="DI155" s="24" t="n"/>
      <c r="DJ155" s="25" t="n">
        <v>0</v>
      </c>
      <c r="DK155" s="24" t="n"/>
      <c r="DL155" s="23" t="n">
        <v>100</v>
      </c>
      <c r="DM155" s="24" t="n"/>
      <c r="DN155" s="25" t="n">
        <v>0</v>
      </c>
      <c r="DO155" s="24" t="n"/>
      <c r="DP155" s="340" t="n"/>
      <c r="DQ155" s="803">
        <f>SUMPRODUCT(--(MOD(COLUMN(BT155:CQ155),4)=MOD(COLUMN(BT155),4)),BT155:CQ155)+SUMPRODUCT(--(MOD(COLUMN(CR155:DO155),4)=MOD(COLUMN(CR155),4)),CR155:DO155)</f>
        <v/>
      </c>
      <c r="DR155" s="803">
        <f>SUMPRODUCT(--(MOD(COLUMN(BT155:CQ155),4)=MOD(COLUMN(BT155),4)),BT155:CQ155)*$I155+SUMPRODUCT(--(MOD(COLUMN(CR155:DO155),4)=MOD(COLUMN(CR155),4)),CR155:DO155)*$I155</f>
        <v/>
      </c>
      <c r="DS155" s="801" t="n"/>
      <c r="DT155" s="819" t="n"/>
      <c r="DU155" s="23" t="n">
        <v>120</v>
      </c>
      <c r="DV155" s="24" t="n"/>
      <c r="DW155" s="25" t="n">
        <v>0</v>
      </c>
      <c r="DX155" s="24" t="n"/>
      <c r="DY155" s="23" t="n">
        <v>120</v>
      </c>
      <c r="DZ155" s="24" t="n"/>
      <c r="EA155" s="25" t="n">
        <v>0</v>
      </c>
      <c r="EB155" s="24" t="n"/>
      <c r="EC155" s="23" t="n">
        <v>120</v>
      </c>
      <c r="ED155" s="24" t="n"/>
      <c r="EE155" s="25" t="n">
        <v>0</v>
      </c>
      <c r="EF155" s="24" t="n"/>
      <c r="EG155" s="23" t="n">
        <v>120</v>
      </c>
      <c r="EH155" s="24" t="n"/>
      <c r="EI155" s="25" t="n">
        <v>0</v>
      </c>
      <c r="EJ155" s="24" t="n"/>
      <c r="EK155" s="23" t="n">
        <v>120</v>
      </c>
      <c r="EL155" s="24" t="n"/>
      <c r="EM155" s="25" t="n">
        <v>0</v>
      </c>
      <c r="EN155" s="24" t="n"/>
      <c r="EO155" s="23" t="n">
        <v>120</v>
      </c>
      <c r="EP155" s="24" t="n"/>
      <c r="EQ155" s="25" t="n">
        <v>0</v>
      </c>
      <c r="ER155" s="24" t="n"/>
      <c r="ES155" s="23" t="n">
        <v>120</v>
      </c>
      <c r="ET155" s="24" t="n"/>
      <c r="EU155" s="25" t="n">
        <v>0</v>
      </c>
      <c r="EV155" s="24" t="n"/>
      <c r="EW155" s="23" t="n">
        <v>120</v>
      </c>
      <c r="EX155" s="24" t="n"/>
      <c r="EY155" s="25" t="n">
        <v>0</v>
      </c>
      <c r="EZ155" s="24" t="n"/>
      <c r="FA155" s="23" t="n">
        <v>120</v>
      </c>
      <c r="FB155" s="24" t="n"/>
      <c r="FC155" s="25" t="n">
        <v>0</v>
      </c>
      <c r="FD155" s="24" t="n"/>
      <c r="FE155" s="23" t="n">
        <v>120</v>
      </c>
      <c r="FF155" s="24" t="n"/>
      <c r="FG155" s="25" t="n">
        <v>0</v>
      </c>
      <c r="FH155" s="24" t="n"/>
      <c r="FI155" s="23" t="n">
        <v>120</v>
      </c>
      <c r="FJ155" s="24" t="n"/>
      <c r="FK155" s="25" t="n">
        <v>0</v>
      </c>
      <c r="FL155" s="24" t="n"/>
      <c r="FM155" s="23" t="n">
        <v>120</v>
      </c>
      <c r="FN155" s="24" t="n"/>
      <c r="FO155" s="25" t="n">
        <v>0</v>
      </c>
      <c r="FP155" s="24" t="n"/>
      <c r="FQ155" s="340" t="n"/>
      <c r="FR155" s="803">
        <f>SUMPRODUCT(--(MOD(COLUMN(DU155:ER155),4)=MOD(COLUMN(DU155),4)),DU155:ER155)+SUMPRODUCT(--(MOD(COLUMN(ES155:FP155),4)=MOD(COLUMN(ES155),4)),ES155:FP155)</f>
        <v/>
      </c>
      <c r="FS155" s="803">
        <f>SUMPRODUCT(--(MOD(COLUMN(DU155:ER155),4)=MOD(COLUMN(DU155),4)),DU155:ER155)*$I155+SUMPRODUCT(--(MOD(COLUMN(ES155:FP155),4)=MOD(COLUMN(ES155),4)),ES155:FP155)*$I155</f>
        <v/>
      </c>
      <c r="FT155" s="361" t="n"/>
    </row>
    <row r="156" outlineLevel="2">
      <c r="A156" s="56" t="inlineStr">
        <is>
          <t>ПАО «Уралавтоприцеп»</t>
        </is>
      </c>
      <c r="B156" s="387" t="inlineStr">
        <is>
          <t>Отсрочка 30 дней</t>
        </is>
      </c>
      <c r="C156" s="541" t="inlineStr">
        <is>
          <t>ВБК РУС</t>
        </is>
      </c>
      <c r="D156" s="565" t="inlineStr">
        <is>
          <t>Прасолов, Соловьёв</t>
        </is>
      </c>
      <c r="E156" s="10">
        <f>IF(ISBLANK(G156),"",IF($A$6:$A$330=$A156,COUNTIF($A$6:A156,$A156),""))</f>
        <v/>
      </c>
      <c r="F156" s="669" t="n">
        <v>2</v>
      </c>
      <c r="G156" s="128" t="n">
        <v>9522010010</v>
      </c>
      <c r="H156" s="612" t="inlineStr">
        <is>
          <t>Головка соединительная (управляющая)</t>
        </is>
      </c>
      <c r="I156" s="618" t="n">
        <v>0</v>
      </c>
      <c r="J156" s="618" t="n"/>
      <c r="K156" s="874" t="n"/>
      <c r="L156" s="618">
        <f>IF(K156="RUB",J156/ЮАНЬ,IF(K156="EUR",J156*ЕВРО/ЮАНЬ,""))</f>
        <v/>
      </c>
      <c r="M156" s="873" t="n"/>
      <c r="N156" s="871">
        <f>IF(BP156&gt;0,1,IF(BN156&gt;0,2,))</f>
        <v/>
      </c>
      <c r="O156" s="23" t="n">
        <v>40</v>
      </c>
      <c r="P156" s="24">
        <f>SUMPRODUCT((Комплекты[Пр]=$F156)*(Комплекты[Обозначение]=$G156)*Комплекты[Кол-во]*(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56" s="25" t="n">
        <v>30</v>
      </c>
      <c r="R156" s="24" t="n"/>
      <c r="S156" s="23" t="n">
        <v>40</v>
      </c>
      <c r="T156" s="24">
        <f>SUMPRODUCT((Комплекты[Пр]=$F156)*(Комплекты[Обозначение]=$G156)*Комплекты[Кол-во]*(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56" s="25" t="n">
        <v>45</v>
      </c>
      <c r="V156" s="24" t="n"/>
      <c r="W156" s="23" t="n">
        <v>40</v>
      </c>
      <c r="X156" s="24">
        <f>SUMPRODUCT((Комплекты[Пр]=$F156)*(Комплекты[Обозначение]=$G156)*Комплекты[Кол-во]*(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56" s="25" t="n">
        <v>20</v>
      </c>
      <c r="Z156" s="24" t="n"/>
      <c r="AA156" s="23" t="n">
        <v>20</v>
      </c>
      <c r="AB156" s="24">
        <f>SUMPRODUCT((Комплекты[Пр]=$F156)*(Комплекты[Обозначение]=$G156)*Комплекты[Кол-во]*(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56" s="25" t="n">
        <v>0</v>
      </c>
      <c r="AD156" s="24" t="n"/>
      <c r="AE156" s="23" t="n">
        <v>20</v>
      </c>
      <c r="AF156" s="24">
        <f>SUMPRODUCT((Комплекты[Пр]=$F156)*(Комплекты[Обозначение]=$G156)*Комплекты[Кол-во]*(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56" s="25" t="n">
        <v>28</v>
      </c>
      <c r="AH156" s="24" t="n"/>
      <c r="AI156" s="23" t="n">
        <v>20</v>
      </c>
      <c r="AJ156" s="24">
        <f>SUMPRODUCT((Комплекты[Пр]=$F156)*(Комплекты[Обозначение]=$G156)*Комплекты[Кол-во]*(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56" s="25" t="n">
        <v>0</v>
      </c>
      <c r="AL156" s="24" t="n"/>
      <c r="AM156" s="23" t="n">
        <v>20</v>
      </c>
      <c r="AN156" s="24">
        <f>SUMPRODUCT((Комплекты[Пр]=$F156)*(Комплекты[Обозначение]=$G156)*Комплекты[Кол-во]*(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56" s="25" t="n">
        <v>0</v>
      </c>
      <c r="AP156" s="24" t="n"/>
      <c r="AQ156" s="23" t="n">
        <v>20</v>
      </c>
      <c r="AR156" s="24">
        <f>SUMPRODUCT((Комплекты[Пр]=$F156)*(Комплекты[Обозначение]=$G156)*Комплекты[Кол-во]*(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56" s="25" t="n">
        <v>0</v>
      </c>
      <c r="AT156" s="24" t="n"/>
      <c r="AU156" s="23" t="n">
        <v>20</v>
      </c>
      <c r="AV156" s="24">
        <f>SUMPRODUCT((Комплекты[Пр]=$F156)*(Комплекты[Обозначение]=$G156)*Комплекты[Кол-во]*(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56" s="25" t="n">
        <v>0</v>
      </c>
      <c r="AX156" s="24" t="n"/>
      <c r="AY156" s="23" t="n">
        <v>20</v>
      </c>
      <c r="AZ156" s="24">
        <f>SUMPRODUCT((Комплекты[Пр]=$F156)*(Комплекты[Обозначение]=$G156)*Комплекты[Кол-во]*(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56" s="25" t="n">
        <v>0</v>
      </c>
      <c r="BB156" s="24" t="n"/>
      <c r="BC156" s="23" t="n">
        <v>20</v>
      </c>
      <c r="BD156" s="24">
        <f>SUMPRODUCT((Комплекты[Пр]=$F156)*(Комплекты[Обозначение]=$G156)*Комплекты[Кол-во]*(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56" s="25" t="n">
        <v>0</v>
      </c>
      <c r="BF156" s="24" t="n"/>
      <c r="BG156" s="23" t="n">
        <v>20</v>
      </c>
      <c r="BH156" s="24">
        <f>SUMPRODUCT((Комплекты[Пр]=$F156)*(Комплекты[Обозначение]=$G156)*Комплекты[Кол-во]*(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56" s="25" t="n">
        <v>0</v>
      </c>
      <c r="BJ156" s="24" t="n"/>
      <c r="BK156" s="340" t="n"/>
      <c r="BL156" s="803">
        <f>SUMPRODUCT(--(MOD(COLUMN($O156:$AL156),4)=MOD(COLUMN($O156)+0,4)),$O156:$AL156)
+SUMPRODUCT(--(MOD(COLUMN($AM156:$BJ156),4)=MOD(COLUMN($AM156)+0,4)),$AM156:$BJ156)</f>
        <v/>
      </c>
      <c r="BM156" s="803">
        <f>SUMPRODUCT(--(MOD(COLUMN($O156:$AL156),4)=MOD(COLUMN($O156)+0,4)),$O156:$AL156)*
$I156+SUMPRODUCT(--(MOD(COLUMN($AM156:$BJ156),4)=MOD(COLUMN($AM156)+0,4)),$AM156:$BJ156)*$I156</f>
        <v/>
      </c>
      <c r="BN156" s="805">
        <f>SUMPRODUCT(--(MOD(COLUMN($O156:$AL156),4)=MOD(COLUMN($O156)+1,4)),$O156:$AL156)
+SUMPRODUCT(--(MOD(COLUMN($AM156:$BJ156),4)=MOD(COLUMN($AM156)+1,4)),$AM156:$BJ156)</f>
        <v/>
      </c>
      <c r="BO156" s="806">
        <f>SUMPRODUCT(--(MOD(COLUMN($O156:$AL156),4)=MOD(COLUMN($O156)+1,4)),$O156:$AL156)*
$I156+SUMPRODUCT(--(MOD(COLUMN($AM156:$BJ156),4)=MOD(COLUMN($AM156)+1,4)),$AM156:$BJ156)*$I156</f>
        <v/>
      </c>
      <c r="BP156" s="807">
        <f>SUMPRODUCT(--(MOD(COLUMN($O156:$AL156),4)=MOD(COLUMN($O156)+2,4)),$O156:$AL156)
+SUMPRODUCT(--(MOD(COLUMN($AM156:$BJ156),4)=MOD(COLUMN($AM156)+2,4)),$AM156:$BJ156)</f>
        <v/>
      </c>
      <c r="BQ156" s="808">
        <f>SUMPRODUCT(--(MOD(COLUMN($O156:$AL156),4)=MOD(COLUMN($O156)+2,4)),$O156:$AL156)*
$I156+SUMPRODUCT(--(MOD(COLUMN($AM156:$BJ156),4)=MOD(COLUMN($AM156)+2,4)),$AM156:$BJ156)*$I156</f>
        <v/>
      </c>
      <c r="BR156" s="801" t="n"/>
      <c r="BS156" s="819" t="n"/>
      <c r="BT156" s="23" t="n">
        <v>40</v>
      </c>
      <c r="BU156" s="24" t="n"/>
      <c r="BV156" s="25" t="n">
        <v>0</v>
      </c>
      <c r="BW156" s="24" t="n"/>
      <c r="BX156" s="23" t="n">
        <v>40</v>
      </c>
      <c r="BY156" s="24" t="n"/>
      <c r="BZ156" s="25" t="n">
        <v>0</v>
      </c>
      <c r="CA156" s="24" t="n"/>
      <c r="CB156" s="23" t="n">
        <v>40</v>
      </c>
      <c r="CC156" s="24" t="n"/>
      <c r="CD156" s="25" t="n">
        <v>0</v>
      </c>
      <c r="CE156" s="24" t="n"/>
      <c r="CF156" s="23" t="n">
        <v>40</v>
      </c>
      <c r="CG156" s="24" t="n"/>
      <c r="CH156" s="25" t="n">
        <v>0</v>
      </c>
      <c r="CI156" s="24" t="n"/>
      <c r="CJ156" s="23" t="n">
        <v>40</v>
      </c>
      <c r="CK156" s="24" t="n"/>
      <c r="CL156" s="25" t="n">
        <v>0</v>
      </c>
      <c r="CM156" s="24" t="n"/>
      <c r="CN156" s="23" t="n">
        <v>40</v>
      </c>
      <c r="CO156" s="24" t="n"/>
      <c r="CP156" s="25" t="n">
        <v>0</v>
      </c>
      <c r="CQ156" s="24" t="n"/>
      <c r="CR156" s="23" t="n">
        <v>40</v>
      </c>
      <c r="CS156" s="24" t="n"/>
      <c r="CT156" s="25" t="n">
        <v>0</v>
      </c>
      <c r="CU156" s="24" t="n"/>
      <c r="CV156" s="23" t="n">
        <v>40</v>
      </c>
      <c r="CW156" s="24" t="n"/>
      <c r="CX156" s="25" t="n">
        <v>0</v>
      </c>
      <c r="CY156" s="24" t="n"/>
      <c r="CZ156" s="23" t="n">
        <v>40</v>
      </c>
      <c r="DA156" s="24" t="n"/>
      <c r="DB156" s="25" t="n">
        <v>0</v>
      </c>
      <c r="DC156" s="24" t="n"/>
      <c r="DD156" s="23" t="n">
        <v>40</v>
      </c>
      <c r="DE156" s="24" t="n"/>
      <c r="DF156" s="25" t="n">
        <v>0</v>
      </c>
      <c r="DG156" s="24" t="n"/>
      <c r="DH156" s="23" t="n">
        <v>40</v>
      </c>
      <c r="DI156" s="24" t="n"/>
      <c r="DJ156" s="25" t="n">
        <v>0</v>
      </c>
      <c r="DK156" s="24" t="n"/>
      <c r="DL156" s="23" t="n">
        <v>40</v>
      </c>
      <c r="DM156" s="24" t="n"/>
      <c r="DN156" s="25" t="n">
        <v>0</v>
      </c>
      <c r="DO156" s="24" t="n"/>
      <c r="DP156" s="340" t="n"/>
      <c r="DQ156" s="803">
        <f>SUMPRODUCT(--(MOD(COLUMN(BT156:CQ156),4)=MOD(COLUMN(BT156),4)),BT156:CQ156)+SUMPRODUCT(--(MOD(COLUMN(CR156:DO156),4)=MOD(COLUMN(CR156),4)),CR156:DO156)</f>
        <v/>
      </c>
      <c r="DR156" s="803">
        <f>SUMPRODUCT(--(MOD(COLUMN(BT156:CQ156),4)=MOD(COLUMN(BT156),4)),BT156:CQ156)*$I156+SUMPRODUCT(--(MOD(COLUMN(CR156:DO156),4)=MOD(COLUMN(CR156),4)),CR156:DO156)*$I156</f>
        <v/>
      </c>
      <c r="DS156" s="801" t="n"/>
      <c r="DT156" s="819" t="n"/>
      <c r="DU156" s="23" t="n">
        <v>50</v>
      </c>
      <c r="DV156" s="24" t="n"/>
      <c r="DW156" s="25" t="n">
        <v>0</v>
      </c>
      <c r="DX156" s="24" t="n"/>
      <c r="DY156" s="23" t="n">
        <v>50</v>
      </c>
      <c r="DZ156" s="24" t="n"/>
      <c r="EA156" s="25" t="n">
        <v>0</v>
      </c>
      <c r="EB156" s="24" t="n"/>
      <c r="EC156" s="23" t="n">
        <v>50</v>
      </c>
      <c r="ED156" s="24" t="n"/>
      <c r="EE156" s="25" t="n">
        <v>0</v>
      </c>
      <c r="EF156" s="24" t="n"/>
      <c r="EG156" s="23" t="n">
        <v>50</v>
      </c>
      <c r="EH156" s="24" t="n"/>
      <c r="EI156" s="25" t="n">
        <v>0</v>
      </c>
      <c r="EJ156" s="24" t="n"/>
      <c r="EK156" s="23" t="n">
        <v>50</v>
      </c>
      <c r="EL156" s="24" t="n"/>
      <c r="EM156" s="25" t="n">
        <v>0</v>
      </c>
      <c r="EN156" s="24" t="n"/>
      <c r="EO156" s="23" t="n">
        <v>50</v>
      </c>
      <c r="EP156" s="24" t="n"/>
      <c r="EQ156" s="25" t="n">
        <v>0</v>
      </c>
      <c r="ER156" s="24" t="n"/>
      <c r="ES156" s="23" t="n">
        <v>50</v>
      </c>
      <c r="ET156" s="24" t="n"/>
      <c r="EU156" s="25" t="n">
        <v>0</v>
      </c>
      <c r="EV156" s="24" t="n"/>
      <c r="EW156" s="23" t="n">
        <v>50</v>
      </c>
      <c r="EX156" s="24" t="n"/>
      <c r="EY156" s="25" t="n">
        <v>0</v>
      </c>
      <c r="EZ156" s="24" t="n"/>
      <c r="FA156" s="23" t="n">
        <v>50</v>
      </c>
      <c r="FB156" s="24" t="n"/>
      <c r="FC156" s="25" t="n">
        <v>0</v>
      </c>
      <c r="FD156" s="24" t="n"/>
      <c r="FE156" s="23" t="n">
        <v>50</v>
      </c>
      <c r="FF156" s="24" t="n"/>
      <c r="FG156" s="25" t="n">
        <v>0</v>
      </c>
      <c r="FH156" s="24" t="n"/>
      <c r="FI156" s="23" t="n">
        <v>50</v>
      </c>
      <c r="FJ156" s="24" t="n"/>
      <c r="FK156" s="25" t="n">
        <v>0</v>
      </c>
      <c r="FL156" s="24" t="n"/>
      <c r="FM156" s="23" t="n">
        <v>50</v>
      </c>
      <c r="FN156" s="24" t="n"/>
      <c r="FO156" s="25" t="n">
        <v>0</v>
      </c>
      <c r="FP156" s="24" t="n"/>
      <c r="FQ156" s="340" t="n"/>
      <c r="FR156" s="803">
        <f>SUMPRODUCT(--(MOD(COLUMN(DU156:ER156),4)=MOD(COLUMN(DU156),4)),DU156:ER156)+SUMPRODUCT(--(MOD(COLUMN(ES156:FP156),4)=MOD(COLUMN(ES156),4)),ES156:FP156)</f>
        <v/>
      </c>
      <c r="FS156" s="803">
        <f>SUMPRODUCT(--(MOD(COLUMN(DU156:ER156),4)=MOD(COLUMN(DU156),4)),DU156:ER156)*$I156+SUMPRODUCT(--(MOD(COLUMN(ES156:FP156),4)=MOD(COLUMN(ES156),4)),ES156:FP156)*$I156</f>
        <v/>
      </c>
      <c r="FT156" s="361" t="n"/>
    </row>
    <row r="157" outlineLevel="2">
      <c r="A157" s="56" t="inlineStr">
        <is>
          <t>ПАО «Уралавтоприцеп»</t>
        </is>
      </c>
      <c r="B157" s="387" t="inlineStr">
        <is>
          <t>Отсрочка 30 дней</t>
        </is>
      </c>
      <c r="C157" s="541" t="inlineStr">
        <is>
          <t>ВБК РУС</t>
        </is>
      </c>
      <c r="D157" s="565" t="inlineStr">
        <is>
          <t>Прасолов, Соловьёв</t>
        </is>
      </c>
      <c r="E157" s="10">
        <f>IF(ISBLANK(G157),"",IF($A$6:$A$330=$A157,COUNTIF($A$6:A157,$A157),""))</f>
        <v/>
      </c>
      <c r="F157" s="669" t="n">
        <v>2</v>
      </c>
      <c r="G157" s="128" t="n">
        <v>9522010020</v>
      </c>
      <c r="H157" s="612" t="inlineStr">
        <is>
          <t>Головка соединительная (питающая)</t>
        </is>
      </c>
      <c r="I157" s="618" t="n">
        <v>0</v>
      </c>
      <c r="J157" s="618" t="n"/>
      <c r="K157" s="874" t="n"/>
      <c r="L157" s="618">
        <f>IF(K157="RUB",J157/ЮАНЬ,IF(K157="EUR",J157*ЕВРО/ЮАНЬ,""))</f>
        <v/>
      </c>
      <c r="M157" s="873" t="n"/>
      <c r="N157" s="871">
        <f>IF(BP157&gt;0,1,IF(BN157&gt;0,2,))</f>
        <v/>
      </c>
      <c r="O157" s="23" t="n">
        <v>40</v>
      </c>
      <c r="P157" s="24">
        <f>SUMPRODUCT((Комплекты[Пр]=$F157)*(Комплекты[Обозначение]=$G157)*Комплекты[Кол-во]*(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57" s="25" t="n">
        <v>30</v>
      </c>
      <c r="R157" s="24" t="n"/>
      <c r="S157" s="23" t="n">
        <v>40</v>
      </c>
      <c r="T157" s="24">
        <f>SUMPRODUCT((Комплекты[Пр]=$F157)*(Комплекты[Обозначение]=$G157)*Комплекты[Кол-во]*(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57" s="25" t="n">
        <v>45</v>
      </c>
      <c r="V157" s="24" t="n"/>
      <c r="W157" s="23" t="n">
        <v>40</v>
      </c>
      <c r="X157" s="24">
        <f>SUMPRODUCT((Комплекты[Пр]=$F157)*(Комплекты[Обозначение]=$G157)*Комплекты[Кол-во]*(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57" s="25" t="n">
        <v>20</v>
      </c>
      <c r="Z157" s="24" t="n"/>
      <c r="AA157" s="23" t="n">
        <v>20</v>
      </c>
      <c r="AB157" s="24">
        <f>SUMPRODUCT((Комплекты[Пр]=$F157)*(Комплекты[Обозначение]=$G157)*Комплекты[Кол-во]*(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57" s="25" t="n">
        <v>0</v>
      </c>
      <c r="AD157" s="24" t="n"/>
      <c r="AE157" s="23" t="n">
        <v>20</v>
      </c>
      <c r="AF157" s="24">
        <f>SUMPRODUCT((Комплекты[Пр]=$F157)*(Комплекты[Обозначение]=$G157)*Комплекты[Кол-во]*(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57" s="25" t="n">
        <v>28</v>
      </c>
      <c r="AH157" s="24" t="n"/>
      <c r="AI157" s="23" t="n">
        <v>20</v>
      </c>
      <c r="AJ157" s="24">
        <f>SUMPRODUCT((Комплекты[Пр]=$F157)*(Комплекты[Обозначение]=$G157)*Комплекты[Кол-во]*(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57" s="25" t="n">
        <v>0</v>
      </c>
      <c r="AL157" s="24" t="n"/>
      <c r="AM157" s="23" t="n">
        <v>20</v>
      </c>
      <c r="AN157" s="24">
        <f>SUMPRODUCT((Комплекты[Пр]=$F157)*(Комплекты[Обозначение]=$G157)*Комплекты[Кол-во]*(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57" s="25" t="n">
        <v>0</v>
      </c>
      <c r="AP157" s="24" t="n"/>
      <c r="AQ157" s="23" t="n">
        <v>20</v>
      </c>
      <c r="AR157" s="24">
        <f>SUMPRODUCT((Комплекты[Пр]=$F157)*(Комплекты[Обозначение]=$G157)*Комплекты[Кол-во]*(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57" s="25" t="n">
        <v>0</v>
      </c>
      <c r="AT157" s="24" t="n"/>
      <c r="AU157" s="23" t="n">
        <v>20</v>
      </c>
      <c r="AV157" s="24">
        <f>SUMPRODUCT((Комплекты[Пр]=$F157)*(Комплекты[Обозначение]=$G157)*Комплекты[Кол-во]*(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57" s="25" t="n">
        <v>0</v>
      </c>
      <c r="AX157" s="24" t="n"/>
      <c r="AY157" s="23" t="n">
        <v>20</v>
      </c>
      <c r="AZ157" s="24">
        <f>SUMPRODUCT((Комплекты[Пр]=$F157)*(Комплекты[Обозначение]=$G157)*Комплекты[Кол-во]*(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57" s="25" t="n">
        <v>0</v>
      </c>
      <c r="BB157" s="24" t="n"/>
      <c r="BC157" s="23" t="n">
        <v>20</v>
      </c>
      <c r="BD157" s="24">
        <f>SUMPRODUCT((Комплекты[Пр]=$F157)*(Комплекты[Обозначение]=$G157)*Комплекты[Кол-во]*(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57" s="25" t="n">
        <v>0</v>
      </c>
      <c r="BF157" s="24" t="n"/>
      <c r="BG157" s="23" t="n">
        <v>20</v>
      </c>
      <c r="BH157" s="24">
        <f>SUMPRODUCT((Комплекты[Пр]=$F157)*(Комплекты[Обозначение]=$G157)*Комплекты[Кол-во]*(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57" s="25" t="n">
        <v>0</v>
      </c>
      <c r="BJ157" s="24" t="n"/>
      <c r="BK157" s="340" t="n"/>
      <c r="BL157" s="803">
        <f>SUMPRODUCT(--(MOD(COLUMN($O157:$AL157),4)=MOD(COLUMN($O157)+0,4)),$O157:$AL157)
+SUMPRODUCT(--(MOD(COLUMN($AM157:$BJ157),4)=MOD(COLUMN($AM157)+0,4)),$AM157:$BJ157)</f>
        <v/>
      </c>
      <c r="BM157" s="803">
        <f>SUMPRODUCT(--(MOD(COLUMN($O157:$AL157),4)=MOD(COLUMN($O157)+0,4)),$O157:$AL157)*
$I157+SUMPRODUCT(--(MOD(COLUMN($AM157:$BJ157),4)=MOD(COLUMN($AM157)+0,4)),$AM157:$BJ157)*$I157</f>
        <v/>
      </c>
      <c r="BN157" s="805">
        <f>SUMPRODUCT(--(MOD(COLUMN($O157:$AL157),4)=MOD(COLUMN($O157)+1,4)),$O157:$AL157)
+SUMPRODUCT(--(MOD(COLUMN($AM157:$BJ157),4)=MOD(COLUMN($AM157)+1,4)),$AM157:$BJ157)</f>
        <v/>
      </c>
      <c r="BO157" s="806">
        <f>SUMPRODUCT(--(MOD(COLUMN($O157:$AL157),4)=MOD(COLUMN($O157)+1,4)),$O157:$AL157)*
$I157+SUMPRODUCT(--(MOD(COLUMN($AM157:$BJ157),4)=MOD(COLUMN($AM157)+1,4)),$AM157:$BJ157)*$I157</f>
        <v/>
      </c>
      <c r="BP157" s="807">
        <f>SUMPRODUCT(--(MOD(COLUMN($O157:$AL157),4)=MOD(COLUMN($O157)+2,4)),$O157:$AL157)
+SUMPRODUCT(--(MOD(COLUMN($AM157:$BJ157),4)=MOD(COLUMN($AM157)+2,4)),$AM157:$BJ157)</f>
        <v/>
      </c>
      <c r="BQ157" s="808">
        <f>SUMPRODUCT(--(MOD(COLUMN($O157:$AL157),4)=MOD(COLUMN($O157)+2,4)),$O157:$AL157)*
$I157+SUMPRODUCT(--(MOD(COLUMN($AM157:$BJ157),4)=MOD(COLUMN($AM157)+2,4)),$AM157:$BJ157)*$I157</f>
        <v/>
      </c>
      <c r="BR157" s="801" t="n"/>
      <c r="BS157" s="819" t="n"/>
      <c r="BT157" s="23" t="n">
        <v>40</v>
      </c>
      <c r="BU157" s="24" t="n"/>
      <c r="BV157" s="25" t="n">
        <v>0</v>
      </c>
      <c r="BW157" s="24" t="n"/>
      <c r="BX157" s="23" t="n">
        <v>40</v>
      </c>
      <c r="BY157" s="24" t="n"/>
      <c r="BZ157" s="25" t="n">
        <v>0</v>
      </c>
      <c r="CA157" s="24" t="n"/>
      <c r="CB157" s="23" t="n">
        <v>40</v>
      </c>
      <c r="CC157" s="24" t="n"/>
      <c r="CD157" s="25" t="n">
        <v>0</v>
      </c>
      <c r="CE157" s="24" t="n"/>
      <c r="CF157" s="23" t="n">
        <v>40</v>
      </c>
      <c r="CG157" s="24" t="n"/>
      <c r="CH157" s="25" t="n">
        <v>0</v>
      </c>
      <c r="CI157" s="24" t="n"/>
      <c r="CJ157" s="23" t="n">
        <v>40</v>
      </c>
      <c r="CK157" s="24" t="n"/>
      <c r="CL157" s="25" t="n">
        <v>0</v>
      </c>
      <c r="CM157" s="24" t="n"/>
      <c r="CN157" s="23" t="n">
        <v>40</v>
      </c>
      <c r="CO157" s="24" t="n"/>
      <c r="CP157" s="25" t="n">
        <v>0</v>
      </c>
      <c r="CQ157" s="24" t="n"/>
      <c r="CR157" s="23" t="n">
        <v>40</v>
      </c>
      <c r="CS157" s="24" t="n"/>
      <c r="CT157" s="25" t="n">
        <v>0</v>
      </c>
      <c r="CU157" s="24" t="n"/>
      <c r="CV157" s="23" t="n">
        <v>40</v>
      </c>
      <c r="CW157" s="24" t="n"/>
      <c r="CX157" s="25" t="n">
        <v>0</v>
      </c>
      <c r="CY157" s="24" t="n"/>
      <c r="CZ157" s="23" t="n">
        <v>40</v>
      </c>
      <c r="DA157" s="24" t="n"/>
      <c r="DB157" s="25" t="n">
        <v>0</v>
      </c>
      <c r="DC157" s="24" t="n"/>
      <c r="DD157" s="23" t="n">
        <v>40</v>
      </c>
      <c r="DE157" s="24" t="n"/>
      <c r="DF157" s="25" t="n">
        <v>0</v>
      </c>
      <c r="DG157" s="24" t="n"/>
      <c r="DH157" s="23" t="n">
        <v>40</v>
      </c>
      <c r="DI157" s="24" t="n"/>
      <c r="DJ157" s="25" t="n">
        <v>0</v>
      </c>
      <c r="DK157" s="24" t="n"/>
      <c r="DL157" s="23" t="n">
        <v>40</v>
      </c>
      <c r="DM157" s="24" t="n"/>
      <c r="DN157" s="25" t="n">
        <v>0</v>
      </c>
      <c r="DO157" s="24" t="n"/>
      <c r="DP157" s="340" t="n"/>
      <c r="DQ157" s="803">
        <f>SUMPRODUCT(--(MOD(COLUMN(BT157:CQ157),4)=MOD(COLUMN(BT157),4)),BT157:CQ157)+SUMPRODUCT(--(MOD(COLUMN(CR157:DO157),4)=MOD(COLUMN(CR157),4)),CR157:DO157)</f>
        <v/>
      </c>
      <c r="DR157" s="803">
        <f>SUMPRODUCT(--(MOD(COLUMN(BT157:CQ157),4)=MOD(COLUMN(BT157),4)),BT157:CQ157)*$I157+SUMPRODUCT(--(MOD(COLUMN(CR157:DO157),4)=MOD(COLUMN(CR157),4)),CR157:DO157)*$I157</f>
        <v/>
      </c>
      <c r="DS157" s="801" t="n"/>
      <c r="DT157" s="819" t="n"/>
      <c r="DU157" s="23" t="n">
        <v>50</v>
      </c>
      <c r="DV157" s="24" t="n"/>
      <c r="DW157" s="25" t="n">
        <v>0</v>
      </c>
      <c r="DX157" s="24" t="n"/>
      <c r="DY157" s="23" t="n">
        <v>50</v>
      </c>
      <c r="DZ157" s="24" t="n"/>
      <c r="EA157" s="25" t="n">
        <v>0</v>
      </c>
      <c r="EB157" s="24" t="n"/>
      <c r="EC157" s="23" t="n">
        <v>50</v>
      </c>
      <c r="ED157" s="24" t="n"/>
      <c r="EE157" s="25" t="n">
        <v>0</v>
      </c>
      <c r="EF157" s="24" t="n"/>
      <c r="EG157" s="23" t="n">
        <v>50</v>
      </c>
      <c r="EH157" s="24" t="n"/>
      <c r="EI157" s="25" t="n">
        <v>0</v>
      </c>
      <c r="EJ157" s="24" t="n"/>
      <c r="EK157" s="23" t="n">
        <v>50</v>
      </c>
      <c r="EL157" s="24" t="n"/>
      <c r="EM157" s="25" t="n">
        <v>0</v>
      </c>
      <c r="EN157" s="24" t="n"/>
      <c r="EO157" s="23" t="n">
        <v>50</v>
      </c>
      <c r="EP157" s="24" t="n"/>
      <c r="EQ157" s="25" t="n">
        <v>0</v>
      </c>
      <c r="ER157" s="24" t="n"/>
      <c r="ES157" s="23" t="n">
        <v>50</v>
      </c>
      <c r="ET157" s="24" t="n"/>
      <c r="EU157" s="25" t="n">
        <v>0</v>
      </c>
      <c r="EV157" s="24" t="n"/>
      <c r="EW157" s="23" t="n">
        <v>50</v>
      </c>
      <c r="EX157" s="24" t="n"/>
      <c r="EY157" s="25" t="n">
        <v>0</v>
      </c>
      <c r="EZ157" s="24" t="n"/>
      <c r="FA157" s="23" t="n">
        <v>50</v>
      </c>
      <c r="FB157" s="24" t="n"/>
      <c r="FC157" s="25" t="n">
        <v>0</v>
      </c>
      <c r="FD157" s="24" t="n"/>
      <c r="FE157" s="23" t="n">
        <v>50</v>
      </c>
      <c r="FF157" s="24" t="n"/>
      <c r="FG157" s="25" t="n">
        <v>0</v>
      </c>
      <c r="FH157" s="24" t="n"/>
      <c r="FI157" s="23" t="n">
        <v>50</v>
      </c>
      <c r="FJ157" s="24" t="n"/>
      <c r="FK157" s="25" t="n">
        <v>0</v>
      </c>
      <c r="FL157" s="24" t="n"/>
      <c r="FM157" s="23" t="n">
        <v>50</v>
      </c>
      <c r="FN157" s="24" t="n"/>
      <c r="FO157" s="25" t="n">
        <v>0</v>
      </c>
      <c r="FP157" s="24" t="n"/>
      <c r="FQ157" s="340" t="n"/>
      <c r="FR157" s="803">
        <f>SUMPRODUCT(--(MOD(COLUMN(DU157:ER157),4)=MOD(COLUMN(DU157),4)),DU157:ER157)+SUMPRODUCT(--(MOD(COLUMN(ES157:FP157),4)=MOD(COLUMN(ES157),4)),ES157:FP157)</f>
        <v/>
      </c>
      <c r="FS157" s="803">
        <f>SUMPRODUCT(--(MOD(COLUMN(DU157:ER157),4)=MOD(COLUMN(DU157),4)),DU157:ER157)*$I157+SUMPRODUCT(--(MOD(COLUMN(ES157:FP157),4)=MOD(COLUMN(ES157),4)),ES157:FP157)*$I157</f>
        <v/>
      </c>
      <c r="FT157" s="361" t="n"/>
    </row>
    <row r="158" outlineLevel="2">
      <c r="A158" s="56" t="inlineStr">
        <is>
          <t>ПАО «Уралавтоприцеп»</t>
        </is>
      </c>
      <c r="B158" s="387" t="inlineStr">
        <is>
          <t>Отсрочка 30 дней</t>
        </is>
      </c>
      <c r="C158" s="541" t="inlineStr">
        <is>
          <t>ВБК РУС</t>
        </is>
      </c>
      <c r="D158" s="565" t="inlineStr">
        <is>
          <t>Прасолов, Соловьёв</t>
        </is>
      </c>
      <c r="E158" s="10">
        <f>IF(ISBLANK(G158),"",IF($A$6:$A$330=$A158,COUNTIF($A$6:A158,$A158),""))</f>
        <v/>
      </c>
      <c r="F158" s="669" t="n">
        <v>2</v>
      </c>
      <c r="G158" s="128" t="n">
        <v>9710020400</v>
      </c>
      <c r="H158" s="612" t="inlineStr">
        <is>
          <t>Воздухораспределитель (без кл. растормаживания)</t>
        </is>
      </c>
      <c r="I158" s="618" t="n">
        <v>0</v>
      </c>
      <c r="J158" s="618" t="n"/>
      <c r="K158" s="874" t="n"/>
      <c r="L158" s="618">
        <f>IF(K158="RUB",J158/ЮАНЬ,IF(K158="EUR",J158*ЕВРО/ЮАНЬ,""))</f>
        <v/>
      </c>
      <c r="M158" s="873" t="n"/>
      <c r="N158" s="871">
        <f>IF(BP158&gt;0,1,IF(BN158&gt;0,2,))</f>
        <v/>
      </c>
      <c r="O158" s="23" t="n">
        <v>40</v>
      </c>
      <c r="P158" s="24">
        <f>SUMPRODUCT((Комплекты[Пр]=$F158)*(Комплекты[Обозначение]=$G158)*Комплекты[Кол-во]*(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58" s="25" t="n">
        <v>30</v>
      </c>
      <c r="R158" s="24" t="n"/>
      <c r="S158" s="23" t="n">
        <v>40</v>
      </c>
      <c r="T158" s="24">
        <f>SUMPRODUCT((Комплекты[Пр]=$F158)*(Комплекты[Обозначение]=$G158)*Комплекты[Кол-во]*(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58" s="25" t="n">
        <v>40</v>
      </c>
      <c r="V158" s="24" t="n"/>
      <c r="W158" s="23" t="n">
        <v>40</v>
      </c>
      <c r="X158" s="24">
        <f>SUMPRODUCT((Комплекты[Пр]=$F158)*(Комплекты[Обозначение]=$G158)*Комплекты[Кол-во]*(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58" s="25" t="n">
        <v>20</v>
      </c>
      <c r="Z158" s="24" t="n"/>
      <c r="AA158" s="23" t="n">
        <v>20</v>
      </c>
      <c r="AB158" s="24">
        <f>SUMPRODUCT((Комплекты[Пр]=$F158)*(Комплекты[Обозначение]=$G158)*Комплекты[Кол-во]*(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58" s="25" t="n">
        <v>0</v>
      </c>
      <c r="AD158" s="24" t="n"/>
      <c r="AE158" s="23" t="n">
        <v>20</v>
      </c>
      <c r="AF158" s="24">
        <f>SUMPRODUCT((Комплекты[Пр]=$F158)*(Комплекты[Обозначение]=$G158)*Комплекты[Кол-во]*(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58" s="25" t="n">
        <v>0</v>
      </c>
      <c r="AH158" s="24" t="n"/>
      <c r="AI158" s="23" t="n">
        <v>20</v>
      </c>
      <c r="AJ158" s="24">
        <f>SUMPRODUCT((Комплекты[Пр]=$F158)*(Комплекты[Обозначение]=$G158)*Комплекты[Кол-во]*(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58" s="25" t="n">
        <v>0</v>
      </c>
      <c r="AL158" s="24" t="n"/>
      <c r="AM158" s="23" t="n">
        <v>20</v>
      </c>
      <c r="AN158" s="24">
        <f>SUMPRODUCT((Комплекты[Пр]=$F158)*(Комплекты[Обозначение]=$G158)*Комплекты[Кол-во]*(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58" s="25" t="n">
        <v>0</v>
      </c>
      <c r="AP158" s="24" t="n"/>
      <c r="AQ158" s="23" t="n">
        <v>20</v>
      </c>
      <c r="AR158" s="24">
        <f>SUMPRODUCT((Комплекты[Пр]=$F158)*(Комплекты[Обозначение]=$G158)*Комплекты[Кол-во]*(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58" s="25" t="n">
        <v>0</v>
      </c>
      <c r="AT158" s="24" t="n"/>
      <c r="AU158" s="23" t="n">
        <v>20</v>
      </c>
      <c r="AV158" s="24">
        <f>SUMPRODUCT((Комплекты[Пр]=$F158)*(Комплекты[Обозначение]=$G158)*Комплекты[Кол-во]*(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58" s="25" t="n">
        <v>0</v>
      </c>
      <c r="AX158" s="24" t="n"/>
      <c r="AY158" s="23" t="n">
        <v>20</v>
      </c>
      <c r="AZ158" s="24">
        <f>SUMPRODUCT((Комплекты[Пр]=$F158)*(Комплекты[Обозначение]=$G158)*Комплекты[Кол-во]*(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58" s="25" t="n">
        <v>0</v>
      </c>
      <c r="BB158" s="24" t="n"/>
      <c r="BC158" s="23" t="n">
        <v>20</v>
      </c>
      <c r="BD158" s="24">
        <f>SUMPRODUCT((Комплекты[Пр]=$F158)*(Комплекты[Обозначение]=$G158)*Комплекты[Кол-во]*(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58" s="25" t="n">
        <v>0</v>
      </c>
      <c r="BF158" s="24" t="n"/>
      <c r="BG158" s="23" t="n">
        <v>20</v>
      </c>
      <c r="BH158" s="24">
        <f>SUMPRODUCT((Комплекты[Пр]=$F158)*(Комплекты[Обозначение]=$G158)*Комплекты[Кол-во]*(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58" s="25" t="n">
        <v>0</v>
      </c>
      <c r="BJ158" s="24" t="n"/>
      <c r="BK158" s="340" t="n"/>
      <c r="BL158" s="803">
        <f>SUMPRODUCT(--(MOD(COLUMN($O158:$AL158),4)=MOD(COLUMN($O158)+0,4)),$O158:$AL158)
+SUMPRODUCT(--(MOD(COLUMN($AM158:$BJ158),4)=MOD(COLUMN($AM158)+0,4)),$AM158:$BJ158)</f>
        <v/>
      </c>
      <c r="BM158" s="803">
        <f>SUMPRODUCT(--(MOD(COLUMN($O158:$AL158),4)=MOD(COLUMN($O158)+0,4)),$O158:$AL158)*
$I158+SUMPRODUCT(--(MOD(COLUMN($AM158:$BJ158),4)=MOD(COLUMN($AM158)+0,4)),$AM158:$BJ158)*$I158</f>
        <v/>
      </c>
      <c r="BN158" s="805">
        <f>SUMPRODUCT(--(MOD(COLUMN($O158:$AL158),4)=MOD(COLUMN($O158)+1,4)),$O158:$AL158)
+SUMPRODUCT(--(MOD(COLUMN($AM158:$BJ158),4)=MOD(COLUMN($AM158)+1,4)),$AM158:$BJ158)</f>
        <v/>
      </c>
      <c r="BO158" s="806">
        <f>SUMPRODUCT(--(MOD(COLUMN($O158:$AL158),4)=MOD(COLUMN($O158)+1,4)),$O158:$AL158)*
$I158+SUMPRODUCT(--(MOD(COLUMN($AM158:$BJ158),4)=MOD(COLUMN($AM158)+1,4)),$AM158:$BJ158)*$I158</f>
        <v/>
      </c>
      <c r="BP158" s="807">
        <f>SUMPRODUCT(--(MOD(COLUMN($O158:$AL158),4)=MOD(COLUMN($O158)+2,4)),$O158:$AL158)
+SUMPRODUCT(--(MOD(COLUMN($AM158:$BJ158),4)=MOD(COLUMN($AM158)+2,4)),$AM158:$BJ158)</f>
        <v/>
      </c>
      <c r="BQ158" s="808">
        <f>SUMPRODUCT(--(MOD(COLUMN($O158:$AL158),4)=MOD(COLUMN($O158)+2,4)),$O158:$AL158)*
$I158+SUMPRODUCT(--(MOD(COLUMN($AM158:$BJ158),4)=MOD(COLUMN($AM158)+2,4)),$AM158:$BJ158)*$I158</f>
        <v/>
      </c>
      <c r="BR158" s="801" t="n"/>
      <c r="BS158" s="819" t="n"/>
      <c r="BT158" s="23" t="n">
        <v>40</v>
      </c>
      <c r="BU158" s="24" t="n"/>
      <c r="BV158" s="25" t="n">
        <v>0</v>
      </c>
      <c r="BW158" s="24" t="n"/>
      <c r="BX158" s="23" t="n">
        <v>40</v>
      </c>
      <c r="BY158" s="24" t="n"/>
      <c r="BZ158" s="25" t="n">
        <v>0</v>
      </c>
      <c r="CA158" s="24" t="n"/>
      <c r="CB158" s="23" t="n">
        <v>40</v>
      </c>
      <c r="CC158" s="24" t="n"/>
      <c r="CD158" s="25" t="n">
        <v>0</v>
      </c>
      <c r="CE158" s="24" t="n"/>
      <c r="CF158" s="23" t="n">
        <v>40</v>
      </c>
      <c r="CG158" s="24" t="n"/>
      <c r="CH158" s="25" t="n">
        <v>0</v>
      </c>
      <c r="CI158" s="24" t="n"/>
      <c r="CJ158" s="23" t="n">
        <v>40</v>
      </c>
      <c r="CK158" s="24" t="n"/>
      <c r="CL158" s="25" t="n">
        <v>0</v>
      </c>
      <c r="CM158" s="24" t="n"/>
      <c r="CN158" s="23" t="n">
        <v>40</v>
      </c>
      <c r="CO158" s="24" t="n"/>
      <c r="CP158" s="25" t="n">
        <v>0</v>
      </c>
      <c r="CQ158" s="24" t="n"/>
      <c r="CR158" s="23" t="n">
        <v>40</v>
      </c>
      <c r="CS158" s="24" t="n"/>
      <c r="CT158" s="25" t="n">
        <v>0</v>
      </c>
      <c r="CU158" s="24" t="n"/>
      <c r="CV158" s="23" t="n">
        <v>40</v>
      </c>
      <c r="CW158" s="24" t="n"/>
      <c r="CX158" s="25" t="n">
        <v>0</v>
      </c>
      <c r="CY158" s="24" t="n"/>
      <c r="CZ158" s="23" t="n">
        <v>40</v>
      </c>
      <c r="DA158" s="24" t="n"/>
      <c r="DB158" s="25" t="n">
        <v>0</v>
      </c>
      <c r="DC158" s="24" t="n"/>
      <c r="DD158" s="23" t="n">
        <v>40</v>
      </c>
      <c r="DE158" s="24" t="n"/>
      <c r="DF158" s="25" t="n">
        <v>0</v>
      </c>
      <c r="DG158" s="24" t="n"/>
      <c r="DH158" s="23" t="n">
        <v>40</v>
      </c>
      <c r="DI158" s="24" t="n"/>
      <c r="DJ158" s="25" t="n">
        <v>0</v>
      </c>
      <c r="DK158" s="24" t="n"/>
      <c r="DL158" s="23" t="n">
        <v>40</v>
      </c>
      <c r="DM158" s="24" t="n"/>
      <c r="DN158" s="25" t="n">
        <v>0</v>
      </c>
      <c r="DO158" s="24" t="n"/>
      <c r="DP158" s="340" t="n"/>
      <c r="DQ158" s="803">
        <f>SUMPRODUCT(--(MOD(COLUMN(BT158:CQ158),4)=MOD(COLUMN(BT158),4)),BT158:CQ158)+SUMPRODUCT(--(MOD(COLUMN(CR158:DO158),4)=MOD(COLUMN(CR158),4)),CR158:DO158)</f>
        <v/>
      </c>
      <c r="DR158" s="803">
        <f>SUMPRODUCT(--(MOD(COLUMN(BT158:CQ158),4)=MOD(COLUMN(BT158),4)),BT158:CQ158)*$I158+SUMPRODUCT(--(MOD(COLUMN(CR158:DO158),4)=MOD(COLUMN(CR158),4)),CR158:DO158)*$I158</f>
        <v/>
      </c>
      <c r="DS158" s="801" t="n"/>
      <c r="DT158" s="819" t="n"/>
      <c r="DU158" s="23" t="n">
        <v>50</v>
      </c>
      <c r="DV158" s="24" t="n"/>
      <c r="DW158" s="25" t="n">
        <v>0</v>
      </c>
      <c r="DX158" s="24" t="n"/>
      <c r="DY158" s="23" t="n">
        <v>50</v>
      </c>
      <c r="DZ158" s="24" t="n"/>
      <c r="EA158" s="25" t="n">
        <v>0</v>
      </c>
      <c r="EB158" s="24" t="n"/>
      <c r="EC158" s="23" t="n">
        <v>50</v>
      </c>
      <c r="ED158" s="24" t="n"/>
      <c r="EE158" s="25" t="n">
        <v>0</v>
      </c>
      <c r="EF158" s="24" t="n"/>
      <c r="EG158" s="23" t="n">
        <v>50</v>
      </c>
      <c r="EH158" s="24" t="n"/>
      <c r="EI158" s="25" t="n">
        <v>0</v>
      </c>
      <c r="EJ158" s="24" t="n"/>
      <c r="EK158" s="23" t="n">
        <v>50</v>
      </c>
      <c r="EL158" s="24" t="n"/>
      <c r="EM158" s="25" t="n">
        <v>0</v>
      </c>
      <c r="EN158" s="24" t="n"/>
      <c r="EO158" s="23" t="n">
        <v>50</v>
      </c>
      <c r="EP158" s="24" t="n"/>
      <c r="EQ158" s="25" t="n">
        <v>0</v>
      </c>
      <c r="ER158" s="24" t="n"/>
      <c r="ES158" s="23" t="n">
        <v>50</v>
      </c>
      <c r="ET158" s="24" t="n"/>
      <c r="EU158" s="25" t="n">
        <v>0</v>
      </c>
      <c r="EV158" s="24" t="n"/>
      <c r="EW158" s="23" t="n">
        <v>50</v>
      </c>
      <c r="EX158" s="24" t="n"/>
      <c r="EY158" s="25" t="n">
        <v>0</v>
      </c>
      <c r="EZ158" s="24" t="n"/>
      <c r="FA158" s="23" t="n">
        <v>50</v>
      </c>
      <c r="FB158" s="24" t="n"/>
      <c r="FC158" s="25" t="n">
        <v>0</v>
      </c>
      <c r="FD158" s="24" t="n"/>
      <c r="FE158" s="23" t="n">
        <v>50</v>
      </c>
      <c r="FF158" s="24" t="n"/>
      <c r="FG158" s="25" t="n">
        <v>0</v>
      </c>
      <c r="FH158" s="24" t="n"/>
      <c r="FI158" s="23" t="n">
        <v>50</v>
      </c>
      <c r="FJ158" s="24" t="n"/>
      <c r="FK158" s="25" t="n">
        <v>0</v>
      </c>
      <c r="FL158" s="24" t="n"/>
      <c r="FM158" s="23" t="n">
        <v>50</v>
      </c>
      <c r="FN158" s="24" t="n"/>
      <c r="FO158" s="25" t="n">
        <v>0</v>
      </c>
      <c r="FP158" s="24" t="n"/>
      <c r="FQ158" s="340" t="n"/>
      <c r="FR158" s="803">
        <f>SUMPRODUCT(--(MOD(COLUMN(DU158:ER158),4)=MOD(COLUMN(DU158),4)),DU158:ER158)+SUMPRODUCT(--(MOD(COLUMN(ES158:FP158),4)=MOD(COLUMN(ES158),4)),ES158:FP158)</f>
        <v/>
      </c>
      <c r="FS158" s="803">
        <f>SUMPRODUCT(--(MOD(COLUMN(DU158:ER158),4)=MOD(COLUMN(DU158),4)),DU158:ER158)*$I158+SUMPRODUCT(--(MOD(COLUMN(ES158:FP158),4)=MOD(COLUMN(ES158),4)),ES158:FP158)*$I158</f>
        <v/>
      </c>
      <c r="FT158" s="361" t="n"/>
    </row>
    <row r="159" outlineLevel="2">
      <c r="A159" s="413" t="inlineStr">
        <is>
          <t>ПАО «Уралавтоприцеп»</t>
        </is>
      </c>
      <c r="B159" s="444" t="inlineStr">
        <is>
          <t>Отсрочка 30 дней</t>
        </is>
      </c>
      <c r="C159" s="587" t="inlineStr">
        <is>
          <t>ВБК РУС</t>
        </is>
      </c>
      <c r="D159" s="580" t="inlineStr">
        <is>
          <t>Прасолов, Соловьёв</t>
        </is>
      </c>
      <c r="E159" s="414">
        <f>IF(ISBLANK(G159),"",IF($A$6:$A$330=$A159,COUNTIF($A$6:A159,$A159),""))</f>
        <v/>
      </c>
      <c r="F159" s="670" t="n">
        <v>2</v>
      </c>
      <c r="G159" s="403" t="n">
        <v>9710029000</v>
      </c>
      <c r="H159" s="613" t="inlineStr">
        <is>
          <t>Воздухораспределитель с клапаном растормаживания</t>
        </is>
      </c>
      <c r="I159" s="619" t="n">
        <v>0</v>
      </c>
      <c r="J159" s="619" t="n"/>
      <c r="K159" s="876" t="n"/>
      <c r="L159" s="619" t="n"/>
      <c r="M159" s="871" t="n"/>
      <c r="N159" s="871">
        <f>IF(BP159&gt;0,1,IF(BN159&gt;0,2,))</f>
        <v/>
      </c>
      <c r="O159" s="322" t="n"/>
      <c r="P159" s="408" t="n"/>
      <c r="Q159" s="307" t="n">
        <v>11</v>
      </c>
      <c r="R159" s="408" t="n"/>
      <c r="S159" s="322" t="n"/>
      <c r="T159" s="408">
        <f>SUMPRODUCT((Комплекты[Пр]=$F159)*(Комплекты[Обозначение]=$G159)*Комплекты[Кол-во]*(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59" s="307" t="n">
        <v>5</v>
      </c>
      <c r="V159" s="408" t="n"/>
      <c r="W159" s="322" t="n"/>
      <c r="X159" s="408">
        <f>SUMPRODUCT((Комплекты[Пр]=$F159)*(Комплекты[Обозначение]=$G159)*Комплекты[Кол-во]*(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59" s="307">
        <f>SUMPRODUCT((Комплекты[Пр]=$F159)*(Комплекты[Обозначение]=$G159)*Комплекты[Кол-во]*(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59" s="408" t="n"/>
      <c r="AA159" s="322" t="n"/>
      <c r="AB159" s="408">
        <f>SUMPRODUCT((Комплекты[Пр]=$F159)*(Комплекты[Обозначение]=$G159)*Комплекты[Кол-во]*(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59" s="307" t="n">
        <v>0</v>
      </c>
      <c r="AD159" s="408" t="n"/>
      <c r="AE159" s="322" t="n"/>
      <c r="AF159" s="408">
        <f>SUMPRODUCT((Комплекты[Пр]=$F159)*(Комплекты[Обозначение]=$G159)*Комплекты[Кол-во]*(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59" s="307" t="n">
        <v>28</v>
      </c>
      <c r="AH159" s="408" t="n"/>
      <c r="AI159" s="322" t="n"/>
      <c r="AJ159" s="408">
        <f>SUMPRODUCT((Комплекты[Пр]=$F159)*(Комплекты[Обозначение]=$G159)*Комплекты[Кол-во]*(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59" s="307" t="n">
        <v>0</v>
      </c>
      <c r="AL159" s="408" t="n"/>
      <c r="AM159" s="322" t="n"/>
      <c r="AN159" s="408">
        <f>SUMPRODUCT((Комплекты[Пр]=$F159)*(Комплекты[Обозначение]=$G159)*Комплекты[Кол-во]*(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59" s="307" t="n">
        <v>0</v>
      </c>
      <c r="AP159" s="408" t="n"/>
      <c r="AQ159" s="322" t="n"/>
      <c r="AR159" s="408">
        <f>SUMPRODUCT((Комплекты[Пр]=$F159)*(Комплекты[Обозначение]=$G159)*Комплекты[Кол-во]*(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59" s="307" t="n">
        <v>0</v>
      </c>
      <c r="AT159" s="408" t="n"/>
      <c r="AU159" s="322" t="n"/>
      <c r="AV159" s="408">
        <f>SUMPRODUCT((Комплекты[Пр]=$F159)*(Комплекты[Обозначение]=$G159)*Комплекты[Кол-во]*(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59" s="307" t="n">
        <v>0</v>
      </c>
      <c r="AX159" s="408" t="n"/>
      <c r="AY159" s="322" t="n"/>
      <c r="AZ159" s="408">
        <f>SUMPRODUCT((Комплекты[Пр]=$F159)*(Комплекты[Обозначение]=$G159)*Комплекты[Кол-во]*(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59" s="307" t="n">
        <v>0</v>
      </c>
      <c r="BB159" s="408" t="n"/>
      <c r="BC159" s="322" t="n"/>
      <c r="BD159" s="408">
        <f>SUMPRODUCT((Комплекты[Пр]=$F159)*(Комплекты[Обозначение]=$G159)*Комплекты[Кол-во]*(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59" s="307" t="n">
        <v>0</v>
      </c>
      <c r="BF159" s="408" t="n"/>
      <c r="BG159" s="322" t="n"/>
      <c r="BH159" s="408">
        <f>SUMPRODUCT((Комплекты[Пр]=$F159)*(Комплекты[Обозначение]=$G159)*Комплекты[Кол-во]*(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59" s="307" t="n">
        <v>0</v>
      </c>
      <c r="BJ159" s="408" t="n"/>
      <c r="BK159" s="340" t="n"/>
      <c r="BL159" s="820">
        <f>SUMPRODUCT(--(MOD(COLUMN($O159:$AL159),4)=MOD(COLUMN($O159)+0,4)),$O159:$AL159)
+SUMPRODUCT(--(MOD(COLUMN($AM159:$BJ159),4)=MOD(COLUMN($AM159)+0,4)),$AM159:$BJ159)</f>
        <v/>
      </c>
      <c r="BM159" s="820">
        <f>SUMPRODUCT(--(MOD(COLUMN($O159:$AL159),4)=MOD(COLUMN($O159)+0,4)),$O159:$AL159)*
$I159+SUMPRODUCT(--(MOD(COLUMN($AM159:$BJ159),4)=MOD(COLUMN($AM159)+0,4)),$AM159:$BJ159)*$I159</f>
        <v/>
      </c>
      <c r="BN159" s="822">
        <f>SUMPRODUCT(--(MOD(COLUMN($O159:$AL159),4)=MOD(COLUMN($O159)+1,4)),$O159:$AL159)
+SUMPRODUCT(--(MOD(COLUMN($AM159:$BJ159),4)=MOD(COLUMN($AM159)+1,4)),$AM159:$BJ159)</f>
        <v/>
      </c>
      <c r="BO159" s="823">
        <f>SUMPRODUCT(--(MOD(COLUMN($O159:$AL159),4)=MOD(COLUMN($O159)+1,4)),$O159:$AL159)*
$I159+SUMPRODUCT(--(MOD(COLUMN($AM159:$BJ159),4)=MOD(COLUMN($AM159)+1,4)),$AM159:$BJ159)*$I159</f>
        <v/>
      </c>
      <c r="BP159" s="824">
        <f>SUMPRODUCT(--(MOD(COLUMN($O159:$AL159),4)=MOD(COLUMN($O159)+2,4)),$O159:$AL159)
+SUMPRODUCT(--(MOD(COLUMN($AM159:$BJ159),4)=MOD(COLUMN($AM159)+2,4)),$AM159:$BJ159)</f>
        <v/>
      </c>
      <c r="BQ159" s="825">
        <f>SUMPRODUCT(--(MOD(COLUMN($O159:$AL159),4)=MOD(COLUMN($O159)+2,4)),$O159:$AL159)*
$I159+SUMPRODUCT(--(MOD(COLUMN($AM159:$BJ159),4)=MOD(COLUMN($AM159)+2,4)),$AM159:$BJ159)*$I159</f>
        <v/>
      </c>
      <c r="BR159" s="819" t="n"/>
      <c r="BS159" s="819" t="n"/>
      <c r="BT159" s="322" t="n"/>
      <c r="BU159" s="408" t="n"/>
      <c r="BV159" s="307" t="n"/>
      <c r="BW159" s="408" t="n"/>
      <c r="BX159" s="322" t="n"/>
      <c r="BY159" s="408" t="n"/>
      <c r="BZ159" s="307" t="n"/>
      <c r="CA159" s="408" t="n"/>
      <c r="CB159" s="322" t="n"/>
      <c r="CC159" s="408" t="n"/>
      <c r="CD159" s="307" t="n"/>
      <c r="CE159" s="408" t="n"/>
      <c r="CF159" s="322" t="n"/>
      <c r="CG159" s="408" t="n"/>
      <c r="CH159" s="307" t="n"/>
      <c r="CI159" s="408" t="n"/>
      <c r="CJ159" s="322" t="n"/>
      <c r="CK159" s="408" t="n"/>
      <c r="CL159" s="307" t="n"/>
      <c r="CM159" s="408" t="n"/>
      <c r="CN159" s="322" t="n"/>
      <c r="CO159" s="408" t="n"/>
      <c r="CP159" s="307" t="n"/>
      <c r="CQ159" s="408" t="n"/>
      <c r="CR159" s="322" t="n"/>
      <c r="CS159" s="408" t="n"/>
      <c r="CT159" s="307" t="n"/>
      <c r="CU159" s="408" t="n"/>
      <c r="CV159" s="322" t="n"/>
      <c r="CW159" s="408" t="n"/>
      <c r="CX159" s="307" t="n"/>
      <c r="CY159" s="408" t="n"/>
      <c r="CZ159" s="322" t="n"/>
      <c r="DA159" s="408" t="n"/>
      <c r="DB159" s="307" t="n"/>
      <c r="DC159" s="408" t="n"/>
      <c r="DD159" s="322" t="n"/>
      <c r="DE159" s="408" t="n"/>
      <c r="DF159" s="307" t="n"/>
      <c r="DG159" s="408" t="n"/>
      <c r="DH159" s="322" t="n"/>
      <c r="DI159" s="408" t="n"/>
      <c r="DJ159" s="307" t="n"/>
      <c r="DK159" s="408" t="n"/>
      <c r="DL159" s="322" t="n"/>
      <c r="DM159" s="408" t="n"/>
      <c r="DN159" s="307" t="n"/>
      <c r="DO159" s="408" t="n"/>
      <c r="DP159" s="340" t="n"/>
      <c r="DQ159" s="820" t="n"/>
      <c r="DR159" s="820" t="n"/>
      <c r="DS159" s="819" t="n"/>
      <c r="DT159" s="819" t="n"/>
      <c r="DU159" s="322" t="n"/>
      <c r="DV159" s="408" t="n"/>
      <c r="DW159" s="307" t="n"/>
      <c r="DX159" s="408" t="n"/>
      <c r="DY159" s="322" t="n"/>
      <c r="DZ159" s="408" t="n"/>
      <c r="EA159" s="307" t="n"/>
      <c r="EB159" s="408" t="n"/>
      <c r="EC159" s="322" t="n"/>
      <c r="ED159" s="408" t="n"/>
      <c r="EE159" s="307" t="n"/>
      <c r="EF159" s="408" t="n"/>
      <c r="EG159" s="322" t="n"/>
      <c r="EH159" s="408" t="n"/>
      <c r="EI159" s="307" t="n"/>
      <c r="EJ159" s="408" t="n"/>
      <c r="EK159" s="322" t="n"/>
      <c r="EL159" s="408" t="n"/>
      <c r="EM159" s="307" t="n"/>
      <c r="EN159" s="408" t="n"/>
      <c r="EO159" s="322" t="n"/>
      <c r="EP159" s="408" t="n"/>
      <c r="EQ159" s="307" t="n"/>
      <c r="ER159" s="408" t="n"/>
      <c r="ES159" s="322" t="n"/>
      <c r="ET159" s="408" t="n"/>
      <c r="EU159" s="307" t="n"/>
      <c r="EV159" s="408" t="n"/>
      <c r="EW159" s="322" t="n"/>
      <c r="EX159" s="408" t="n"/>
      <c r="EY159" s="307" t="n"/>
      <c r="EZ159" s="408" t="n"/>
      <c r="FA159" s="322" t="n"/>
      <c r="FB159" s="408" t="n"/>
      <c r="FC159" s="307" t="n"/>
      <c r="FD159" s="408" t="n"/>
      <c r="FE159" s="322" t="n"/>
      <c r="FF159" s="408" t="n"/>
      <c r="FG159" s="307" t="n"/>
      <c r="FH159" s="408" t="n"/>
      <c r="FI159" s="322" t="n"/>
      <c r="FJ159" s="408" t="n"/>
      <c r="FK159" s="307" t="n"/>
      <c r="FL159" s="408" t="n"/>
      <c r="FM159" s="322" t="n"/>
      <c r="FN159" s="408" t="n"/>
      <c r="FO159" s="307" t="n"/>
      <c r="FP159" s="408" t="n"/>
      <c r="FQ159" s="340" t="n"/>
      <c r="FR159" s="820" t="n"/>
      <c r="FS159" s="820" t="n"/>
      <c r="FT159" s="361" t="n"/>
    </row>
    <row r="160" outlineLevel="2">
      <c r="A160" s="56" t="inlineStr">
        <is>
          <t>ПАО «Уралавтоприцеп»</t>
        </is>
      </c>
      <c r="B160" s="387" t="inlineStr">
        <is>
          <t>Отсрочка 30 дней</t>
        </is>
      </c>
      <c r="C160" s="541" t="inlineStr">
        <is>
          <t>ВБК РУС</t>
        </is>
      </c>
      <c r="D160" s="565" t="inlineStr">
        <is>
          <t>Прасолов, Соловьёв</t>
        </is>
      </c>
      <c r="E160" s="10">
        <f>IF(ISBLANK(G160),"",IF($A$6:$A$330=$A160,COUNTIF($A$6:A160,$A160),""))</f>
        <v/>
      </c>
      <c r="F160" s="669" t="n">
        <v>1</v>
      </c>
      <c r="G160" s="128" t="n">
        <v>4721950310</v>
      </c>
      <c r="H160" s="612" t="inlineStr">
        <is>
          <t>Ускорительный клапан ABS</t>
        </is>
      </c>
      <c r="I160" s="618" t="n">
        <v>0</v>
      </c>
      <c r="J160" s="618" t="n"/>
      <c r="K160" s="874" t="n"/>
      <c r="L160" s="618">
        <f>IF(K160="RUB",J160/ЮАНЬ,IF(K160="EUR",J160*ЕВРО/ЮАНЬ,""))</f>
        <v/>
      </c>
      <c r="M160" s="873" t="n"/>
      <c r="N160" s="871">
        <f>IF(BP160&gt;0,1,IF(BN160&gt;0,2,))</f>
        <v/>
      </c>
      <c r="O160" s="23" t="n">
        <v>10</v>
      </c>
      <c r="P160" s="24">
        <f>SUMPRODUCT((Комплекты[Пр]=$F160)*(Комплекты[Обозначение]=$G160)*Комплекты[Кол-во]*(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60" s="25" t="n">
        <v>8</v>
      </c>
      <c r="R160" s="24" t="n"/>
      <c r="S160" s="23" t="n">
        <v>10</v>
      </c>
      <c r="T160" s="24">
        <f>SUMPRODUCT((Комплекты[Пр]=$F160)*(Комплекты[Обозначение]=$G160)*Комплекты[Кол-во]*(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60" s="25" t="n">
        <v>10</v>
      </c>
      <c r="V160" s="24" t="n"/>
      <c r="W160" s="23" t="n">
        <v>10</v>
      </c>
      <c r="X160" s="24">
        <f>SUMPRODUCT((Комплекты[Пр]=$F160)*(Комплекты[Обозначение]=$G160)*Комплекты[Кол-во]*(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60" s="25" t="n">
        <v>5</v>
      </c>
      <c r="Z160" s="24" t="n"/>
      <c r="AA160" s="23" t="n">
        <v>5</v>
      </c>
      <c r="AB160" s="24">
        <f>SUMPRODUCT((Комплекты[Пр]=$F160)*(Комплекты[Обозначение]=$G160)*Комплекты[Кол-во]*(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60" s="25" t="n">
        <v>0</v>
      </c>
      <c r="AD160" s="24" t="n"/>
      <c r="AE160" s="23" t="n">
        <v>5</v>
      </c>
      <c r="AF160" s="24">
        <f>SUMPRODUCT((Комплекты[Пр]=$F160)*(Комплекты[Обозначение]=$G160)*Комплекты[Кол-во]*(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60" s="25" t="n">
        <v>0</v>
      </c>
      <c r="AH160" s="24" t="n"/>
      <c r="AI160" s="23" t="n">
        <v>5</v>
      </c>
      <c r="AJ160" s="24">
        <f>SUMPRODUCT((Комплекты[Пр]=$F160)*(Комплекты[Обозначение]=$G160)*Комплекты[Кол-во]*(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60" s="25" t="n">
        <v>0</v>
      </c>
      <c r="AL160" s="24" t="n"/>
      <c r="AM160" s="23" t="n">
        <v>5</v>
      </c>
      <c r="AN160" s="24">
        <f>SUMPRODUCT((Комплекты[Пр]=$F160)*(Комплекты[Обозначение]=$G160)*Комплекты[Кол-во]*(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60" s="25" t="n">
        <v>0</v>
      </c>
      <c r="AP160" s="24" t="n"/>
      <c r="AQ160" s="23" t="n">
        <v>5</v>
      </c>
      <c r="AR160" s="24">
        <f>SUMPRODUCT((Комплекты[Пр]=$F160)*(Комплекты[Обозначение]=$G160)*Комплекты[Кол-во]*(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60" s="25" t="n">
        <v>0</v>
      </c>
      <c r="AT160" s="24" t="n"/>
      <c r="AU160" s="23" t="n">
        <v>5</v>
      </c>
      <c r="AV160" s="24">
        <f>SUMPRODUCT((Комплекты[Пр]=$F160)*(Комплекты[Обозначение]=$G160)*Комплекты[Кол-во]*(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60" s="25" t="n">
        <v>0</v>
      </c>
      <c r="AX160" s="24" t="n"/>
      <c r="AY160" s="23" t="n">
        <v>5</v>
      </c>
      <c r="AZ160" s="24">
        <f>SUMPRODUCT((Комплекты[Пр]=$F160)*(Комплекты[Обозначение]=$G160)*Комплекты[Кол-во]*(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60" s="25" t="n">
        <v>0</v>
      </c>
      <c r="BB160" s="24" t="n"/>
      <c r="BC160" s="23" t="n">
        <v>5</v>
      </c>
      <c r="BD160" s="24">
        <f>SUMPRODUCT((Комплекты[Пр]=$F160)*(Комплекты[Обозначение]=$G160)*Комплекты[Кол-во]*(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60" s="25" t="n">
        <v>0</v>
      </c>
      <c r="BF160" s="24" t="n"/>
      <c r="BG160" s="23" t="n">
        <v>5</v>
      </c>
      <c r="BH160" s="24">
        <f>SUMPRODUCT((Комплекты[Пр]=$F160)*(Комплекты[Обозначение]=$G160)*Комплекты[Кол-во]*(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60" s="25" t="n">
        <v>0</v>
      </c>
      <c r="BJ160" s="24" t="n"/>
      <c r="BK160" s="340" t="n"/>
      <c r="BL160" s="803">
        <f>SUMPRODUCT(--(MOD(COLUMN($O160:$AL160),4)=MOD(COLUMN($O160)+0,4)),$O160:$AL160)
+SUMPRODUCT(--(MOD(COLUMN($AM160:$BJ160),4)=MOD(COLUMN($AM160)+0,4)),$AM160:$BJ160)</f>
        <v/>
      </c>
      <c r="BM160" s="803">
        <f>SUMPRODUCT(--(MOD(COLUMN($O160:$AL160),4)=MOD(COLUMN($O160)+0,4)),$O160:$AL160)*
$I160+SUMPRODUCT(--(MOD(COLUMN($AM160:$BJ160),4)=MOD(COLUMN($AM160)+0,4)),$AM160:$BJ160)*$I160</f>
        <v/>
      </c>
      <c r="BN160" s="805">
        <f>SUMPRODUCT(--(MOD(COLUMN($O160:$AL160),4)=MOD(COLUMN($O160)+1,4)),$O160:$AL160)
+SUMPRODUCT(--(MOD(COLUMN($AM160:$BJ160),4)=MOD(COLUMN($AM160)+1,4)),$AM160:$BJ160)</f>
        <v/>
      </c>
      <c r="BO160" s="806">
        <f>SUMPRODUCT(--(MOD(COLUMN($O160:$AL160),4)=MOD(COLUMN($O160)+1,4)),$O160:$AL160)*
$I160+SUMPRODUCT(--(MOD(COLUMN($AM160:$BJ160),4)=MOD(COLUMN($AM160)+1,4)),$AM160:$BJ160)*$I160</f>
        <v/>
      </c>
      <c r="BP160" s="807">
        <f>SUMPRODUCT(--(MOD(COLUMN($O160:$AL160),4)=MOD(COLUMN($O160)+2,4)),$O160:$AL160)
+SUMPRODUCT(--(MOD(COLUMN($AM160:$BJ160),4)=MOD(COLUMN($AM160)+2,4)),$AM160:$BJ160)</f>
        <v/>
      </c>
      <c r="BQ160" s="808">
        <f>SUMPRODUCT(--(MOD(COLUMN($O160:$AL160),4)=MOD(COLUMN($O160)+2,4)),$O160:$AL160)*
$I160+SUMPRODUCT(--(MOD(COLUMN($AM160:$BJ160),4)=MOD(COLUMN($AM160)+2,4)),$AM160:$BJ160)*$I160</f>
        <v/>
      </c>
      <c r="BR160" s="801" t="n"/>
      <c r="BS160" s="819" t="n"/>
      <c r="BT160" s="23" t="n">
        <v>10</v>
      </c>
      <c r="BU160" s="24" t="n"/>
      <c r="BV160" s="25" t="n">
        <v>0</v>
      </c>
      <c r="BW160" s="24" t="n"/>
      <c r="BX160" s="23" t="n">
        <v>10</v>
      </c>
      <c r="BY160" s="24" t="n"/>
      <c r="BZ160" s="25" t="n">
        <v>0</v>
      </c>
      <c r="CA160" s="24" t="n"/>
      <c r="CB160" s="23" t="n">
        <v>10</v>
      </c>
      <c r="CC160" s="24" t="n"/>
      <c r="CD160" s="25" t="n">
        <v>0</v>
      </c>
      <c r="CE160" s="24" t="n"/>
      <c r="CF160" s="23" t="n">
        <v>10</v>
      </c>
      <c r="CG160" s="24" t="n"/>
      <c r="CH160" s="25" t="n">
        <v>0</v>
      </c>
      <c r="CI160" s="24" t="n"/>
      <c r="CJ160" s="23" t="n">
        <v>10</v>
      </c>
      <c r="CK160" s="24" t="n"/>
      <c r="CL160" s="25" t="n">
        <v>0</v>
      </c>
      <c r="CM160" s="24" t="n"/>
      <c r="CN160" s="23" t="n">
        <v>10</v>
      </c>
      <c r="CO160" s="24" t="n"/>
      <c r="CP160" s="25" t="n">
        <v>0</v>
      </c>
      <c r="CQ160" s="24" t="n"/>
      <c r="CR160" s="23" t="n">
        <v>10</v>
      </c>
      <c r="CS160" s="24" t="n"/>
      <c r="CT160" s="25" t="n">
        <v>0</v>
      </c>
      <c r="CU160" s="24" t="n"/>
      <c r="CV160" s="23" t="n">
        <v>10</v>
      </c>
      <c r="CW160" s="24" t="n"/>
      <c r="CX160" s="25" t="n">
        <v>0</v>
      </c>
      <c r="CY160" s="24" t="n"/>
      <c r="CZ160" s="23" t="n">
        <v>10</v>
      </c>
      <c r="DA160" s="24" t="n"/>
      <c r="DB160" s="25" t="n">
        <v>0</v>
      </c>
      <c r="DC160" s="24" t="n"/>
      <c r="DD160" s="23" t="n">
        <v>10</v>
      </c>
      <c r="DE160" s="24" t="n"/>
      <c r="DF160" s="25" t="n">
        <v>0</v>
      </c>
      <c r="DG160" s="24" t="n"/>
      <c r="DH160" s="23" t="n">
        <v>10</v>
      </c>
      <c r="DI160" s="24" t="n"/>
      <c r="DJ160" s="25" t="n">
        <v>0</v>
      </c>
      <c r="DK160" s="24" t="n"/>
      <c r="DL160" s="23" t="n">
        <v>10</v>
      </c>
      <c r="DM160" s="24" t="n"/>
      <c r="DN160" s="25" t="n">
        <v>0</v>
      </c>
      <c r="DO160" s="24" t="n"/>
      <c r="DP160" s="340" t="n"/>
      <c r="DQ160" s="803">
        <f>SUMPRODUCT(--(MOD(COLUMN(BT160:CQ160),4)=MOD(COLUMN(BT160),4)),BT160:CQ160)+SUMPRODUCT(--(MOD(COLUMN(CR160:DO160),4)=MOD(COLUMN(CR160),4)),CR160:DO160)</f>
        <v/>
      </c>
      <c r="DR160" s="803">
        <f>SUMPRODUCT(--(MOD(COLUMN(BT160:CQ160),4)=MOD(COLUMN(BT160),4)),BT160:CQ160)*$I160+SUMPRODUCT(--(MOD(COLUMN(CR160:DO160),4)=MOD(COLUMN(CR160),4)),CR160:DO160)*$I160</f>
        <v/>
      </c>
      <c r="DS160" s="801" t="n"/>
      <c r="DT160" s="819" t="n"/>
      <c r="DU160" s="23" t="n">
        <v>10</v>
      </c>
      <c r="DV160" s="24" t="n"/>
      <c r="DW160" s="25" t="n">
        <v>0</v>
      </c>
      <c r="DX160" s="24" t="n"/>
      <c r="DY160" s="23" t="n">
        <v>10</v>
      </c>
      <c r="DZ160" s="24" t="n"/>
      <c r="EA160" s="25" t="n">
        <v>0</v>
      </c>
      <c r="EB160" s="24" t="n"/>
      <c r="EC160" s="23" t="n">
        <v>10</v>
      </c>
      <c r="ED160" s="24" t="n"/>
      <c r="EE160" s="25" t="n">
        <v>0</v>
      </c>
      <c r="EF160" s="24" t="n"/>
      <c r="EG160" s="23" t="n">
        <v>10</v>
      </c>
      <c r="EH160" s="24" t="n"/>
      <c r="EI160" s="25" t="n">
        <v>0</v>
      </c>
      <c r="EJ160" s="24" t="n"/>
      <c r="EK160" s="23" t="n">
        <v>10</v>
      </c>
      <c r="EL160" s="24" t="n"/>
      <c r="EM160" s="25" t="n">
        <v>0</v>
      </c>
      <c r="EN160" s="24" t="n"/>
      <c r="EO160" s="23" t="n">
        <v>10</v>
      </c>
      <c r="EP160" s="24" t="n"/>
      <c r="EQ160" s="25" t="n">
        <v>0</v>
      </c>
      <c r="ER160" s="24" t="n"/>
      <c r="ES160" s="23" t="n">
        <v>10</v>
      </c>
      <c r="ET160" s="24" t="n"/>
      <c r="EU160" s="25" t="n">
        <v>0</v>
      </c>
      <c r="EV160" s="24" t="n"/>
      <c r="EW160" s="23" t="n">
        <v>10</v>
      </c>
      <c r="EX160" s="24" t="n"/>
      <c r="EY160" s="25" t="n">
        <v>0</v>
      </c>
      <c r="EZ160" s="24" t="n"/>
      <c r="FA160" s="23" t="n">
        <v>10</v>
      </c>
      <c r="FB160" s="24" t="n"/>
      <c r="FC160" s="25" t="n">
        <v>0</v>
      </c>
      <c r="FD160" s="24" t="n"/>
      <c r="FE160" s="23" t="n">
        <v>10</v>
      </c>
      <c r="FF160" s="24" t="n"/>
      <c r="FG160" s="25" t="n">
        <v>0</v>
      </c>
      <c r="FH160" s="24" t="n"/>
      <c r="FI160" s="23" t="n">
        <v>10</v>
      </c>
      <c r="FJ160" s="24" t="n"/>
      <c r="FK160" s="25" t="n">
        <v>0</v>
      </c>
      <c r="FL160" s="24" t="n"/>
      <c r="FM160" s="23" t="n">
        <v>10</v>
      </c>
      <c r="FN160" s="24" t="n"/>
      <c r="FO160" s="25" t="n">
        <v>0</v>
      </c>
      <c r="FP160" s="24" t="n"/>
      <c r="FQ160" s="340" t="n"/>
      <c r="FR160" s="803">
        <f>SUMPRODUCT(--(MOD(COLUMN(DU160:ER160),4)=MOD(COLUMN(DU160),4)),DU160:ER160)+SUMPRODUCT(--(MOD(COLUMN(ES160:FP160),4)=MOD(COLUMN(ES160),4)),ES160:FP160)</f>
        <v/>
      </c>
      <c r="FS160" s="803">
        <f>SUMPRODUCT(--(MOD(COLUMN(DU160:ER160),4)=MOD(COLUMN(DU160),4)),DU160:ER160)*$I160+SUMPRODUCT(--(MOD(COLUMN(ES160:FP160),4)=MOD(COLUMN(ES160),4)),ES160:FP160)*$I160</f>
        <v/>
      </c>
      <c r="FT160" s="361" t="n"/>
    </row>
    <row r="161" outlineLevel="2">
      <c r="A161" s="56" t="inlineStr">
        <is>
          <t>ПАО «Уралавтоприцеп»</t>
        </is>
      </c>
      <c r="B161" s="387" t="inlineStr">
        <is>
          <t>Отсрочка 30 дней</t>
        </is>
      </c>
      <c r="C161" s="541" t="inlineStr">
        <is>
          <t>ВБК РУС</t>
        </is>
      </c>
      <c r="D161" s="565" t="inlineStr">
        <is>
          <t>Прасолов, Соловьёв</t>
        </is>
      </c>
      <c r="E161" s="10">
        <f>IF(ISBLANK(G161),"",IF($A$6:$A$330=$A161,COUNTIF($A$6:A161,$A161),""))</f>
        <v/>
      </c>
      <c r="F161" s="669" t="n">
        <v>1</v>
      </c>
      <c r="G161" s="128" t="n">
        <v>4496161560</v>
      </c>
      <c r="H161" s="612" t="inlineStr">
        <is>
          <t>Кабель ускорительного клапана ABS / диа., 10 м / 3 м</t>
        </is>
      </c>
      <c r="I161" s="618" t="n">
        <v>0</v>
      </c>
      <c r="J161" s="618" t="n"/>
      <c r="K161" s="874" t="n"/>
      <c r="L161" s="618">
        <f>IF(K161="RUB",J161/ЮАНЬ,IF(K161="EUR",J161*ЕВРО/ЮАНЬ,""))</f>
        <v/>
      </c>
      <c r="M161" s="873" t="n"/>
      <c r="N161" s="871">
        <f>IF(BP161&gt;0,1,IF(BN161&gt;0,2,))</f>
        <v/>
      </c>
      <c r="O161" s="23" t="n">
        <v>10</v>
      </c>
      <c r="P161" s="24">
        <f>SUMPRODUCT((Комплекты[Пр]=$F161)*(Комплекты[Обозначение]=$G161)*Комплекты[Кол-во]*(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61" s="25" t="n">
        <v>8</v>
      </c>
      <c r="R161" s="24" t="n"/>
      <c r="S161" s="23" t="n">
        <v>10</v>
      </c>
      <c r="T161" s="24">
        <f>SUMPRODUCT((Комплекты[Пр]=$F161)*(Комплекты[Обозначение]=$G161)*Комплекты[Кол-во]*(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61" s="25" t="n">
        <v>10</v>
      </c>
      <c r="V161" s="24" t="n"/>
      <c r="W161" s="23" t="n">
        <v>10</v>
      </c>
      <c r="X161" s="24">
        <f>SUMPRODUCT((Комплекты[Пр]=$F161)*(Комплекты[Обозначение]=$G161)*Комплекты[Кол-во]*(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61" s="25" t="n">
        <v>5</v>
      </c>
      <c r="Z161" s="24" t="n"/>
      <c r="AA161" s="23" t="n">
        <v>5</v>
      </c>
      <c r="AB161" s="24">
        <f>SUMPRODUCT((Комплекты[Пр]=$F161)*(Комплекты[Обозначение]=$G161)*Комплекты[Кол-во]*(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61" s="25" t="n">
        <v>0</v>
      </c>
      <c r="AD161" s="24" t="n"/>
      <c r="AE161" s="23" t="n">
        <v>5</v>
      </c>
      <c r="AF161" s="24">
        <f>SUMPRODUCT((Комплекты[Пр]=$F161)*(Комплекты[Обозначение]=$G161)*Комплекты[Кол-во]*(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61" s="25" t="n">
        <v>0</v>
      </c>
      <c r="AH161" s="24" t="n"/>
      <c r="AI161" s="23" t="n">
        <v>5</v>
      </c>
      <c r="AJ161" s="24">
        <f>SUMPRODUCT((Комплекты[Пр]=$F161)*(Комплекты[Обозначение]=$G161)*Комплекты[Кол-во]*(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61" s="25" t="n">
        <v>0</v>
      </c>
      <c r="AL161" s="24" t="n"/>
      <c r="AM161" s="23" t="n">
        <v>5</v>
      </c>
      <c r="AN161" s="24">
        <f>SUMPRODUCT((Комплекты[Пр]=$F161)*(Комплекты[Обозначение]=$G161)*Комплекты[Кол-во]*(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61" s="25" t="n">
        <v>0</v>
      </c>
      <c r="AP161" s="24" t="n"/>
      <c r="AQ161" s="23" t="n">
        <v>5</v>
      </c>
      <c r="AR161" s="24">
        <f>SUMPRODUCT((Комплекты[Пр]=$F161)*(Комплекты[Обозначение]=$G161)*Комплекты[Кол-во]*(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61" s="25" t="n">
        <v>0</v>
      </c>
      <c r="AT161" s="24" t="n"/>
      <c r="AU161" s="23" t="n">
        <v>5</v>
      </c>
      <c r="AV161" s="24">
        <f>SUMPRODUCT((Комплекты[Пр]=$F161)*(Комплекты[Обозначение]=$G161)*Комплекты[Кол-во]*(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61" s="25" t="n">
        <v>0</v>
      </c>
      <c r="AX161" s="24" t="n"/>
      <c r="AY161" s="23" t="n">
        <v>5</v>
      </c>
      <c r="AZ161" s="24">
        <f>SUMPRODUCT((Комплекты[Пр]=$F161)*(Комплекты[Обозначение]=$G161)*Комплекты[Кол-во]*(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61" s="25" t="n">
        <v>0</v>
      </c>
      <c r="BB161" s="24" t="n"/>
      <c r="BC161" s="23" t="n">
        <v>5</v>
      </c>
      <c r="BD161" s="24">
        <f>SUMPRODUCT((Комплекты[Пр]=$F161)*(Комплекты[Обозначение]=$G161)*Комплекты[Кол-во]*(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61" s="25" t="n">
        <v>0</v>
      </c>
      <c r="BF161" s="24" t="n"/>
      <c r="BG161" s="23" t="n">
        <v>5</v>
      </c>
      <c r="BH161" s="24">
        <f>SUMPRODUCT((Комплекты[Пр]=$F161)*(Комплекты[Обозначение]=$G161)*Комплекты[Кол-во]*(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61" s="25" t="n">
        <v>0</v>
      </c>
      <c r="BJ161" s="24" t="n"/>
      <c r="BK161" s="340" t="n"/>
      <c r="BL161" s="803">
        <f>SUMPRODUCT(--(MOD(COLUMN($O161:$AL161),4)=MOD(COLUMN($O161)+0,4)),$O161:$AL161)
+SUMPRODUCT(--(MOD(COLUMN($AM161:$BJ161),4)=MOD(COLUMN($AM161)+0,4)),$AM161:$BJ161)</f>
        <v/>
      </c>
      <c r="BM161" s="803">
        <f>SUMPRODUCT(--(MOD(COLUMN($O161:$AL161),4)=MOD(COLUMN($O161)+0,4)),$O161:$AL161)*
$I161+SUMPRODUCT(--(MOD(COLUMN($AM161:$BJ161),4)=MOD(COLUMN($AM161)+0,4)),$AM161:$BJ161)*$I161</f>
        <v/>
      </c>
      <c r="BN161" s="805">
        <f>SUMPRODUCT(--(MOD(COLUMN($O161:$AL161),4)=MOD(COLUMN($O161)+1,4)),$O161:$AL161)
+SUMPRODUCT(--(MOD(COLUMN($AM161:$BJ161),4)=MOD(COLUMN($AM161)+1,4)),$AM161:$BJ161)</f>
        <v/>
      </c>
      <c r="BO161" s="806">
        <f>SUMPRODUCT(--(MOD(COLUMN($O161:$AL161),4)=MOD(COLUMN($O161)+1,4)),$O161:$AL161)*
$I161+SUMPRODUCT(--(MOD(COLUMN($AM161:$BJ161),4)=MOD(COLUMN($AM161)+1,4)),$AM161:$BJ161)*$I161</f>
        <v/>
      </c>
      <c r="BP161" s="807">
        <f>SUMPRODUCT(--(MOD(COLUMN($O161:$AL161),4)=MOD(COLUMN($O161)+2,4)),$O161:$AL161)
+SUMPRODUCT(--(MOD(COLUMN($AM161:$BJ161),4)=MOD(COLUMN($AM161)+2,4)),$AM161:$BJ161)</f>
        <v/>
      </c>
      <c r="BQ161" s="808">
        <f>SUMPRODUCT(--(MOD(COLUMN($O161:$AL161),4)=MOD(COLUMN($O161)+2,4)),$O161:$AL161)*
$I161+SUMPRODUCT(--(MOD(COLUMN($AM161:$BJ161),4)=MOD(COLUMN($AM161)+2,4)),$AM161:$BJ161)*$I161</f>
        <v/>
      </c>
      <c r="BR161" s="801" t="n"/>
      <c r="BS161" s="819" t="n"/>
      <c r="BT161" s="23" t="n">
        <v>10</v>
      </c>
      <c r="BU161" s="24" t="n"/>
      <c r="BV161" s="25" t="n">
        <v>0</v>
      </c>
      <c r="BW161" s="24" t="n"/>
      <c r="BX161" s="23" t="n">
        <v>10</v>
      </c>
      <c r="BY161" s="24" t="n"/>
      <c r="BZ161" s="25" t="n">
        <v>0</v>
      </c>
      <c r="CA161" s="24" t="n"/>
      <c r="CB161" s="23" t="n">
        <v>10</v>
      </c>
      <c r="CC161" s="24" t="n"/>
      <c r="CD161" s="25" t="n">
        <v>0</v>
      </c>
      <c r="CE161" s="24" t="n"/>
      <c r="CF161" s="23" t="n">
        <v>10</v>
      </c>
      <c r="CG161" s="24" t="n"/>
      <c r="CH161" s="25" t="n">
        <v>0</v>
      </c>
      <c r="CI161" s="24" t="n"/>
      <c r="CJ161" s="23" t="n">
        <v>10</v>
      </c>
      <c r="CK161" s="24" t="n"/>
      <c r="CL161" s="25" t="n">
        <v>0</v>
      </c>
      <c r="CM161" s="24" t="n"/>
      <c r="CN161" s="23" t="n">
        <v>10</v>
      </c>
      <c r="CO161" s="24" t="n"/>
      <c r="CP161" s="25" t="n">
        <v>0</v>
      </c>
      <c r="CQ161" s="24" t="n"/>
      <c r="CR161" s="23" t="n">
        <v>10</v>
      </c>
      <c r="CS161" s="24" t="n"/>
      <c r="CT161" s="25" t="n">
        <v>0</v>
      </c>
      <c r="CU161" s="24" t="n"/>
      <c r="CV161" s="23" t="n">
        <v>10</v>
      </c>
      <c r="CW161" s="24" t="n"/>
      <c r="CX161" s="25" t="n">
        <v>0</v>
      </c>
      <c r="CY161" s="24" t="n"/>
      <c r="CZ161" s="23" t="n">
        <v>10</v>
      </c>
      <c r="DA161" s="24" t="n"/>
      <c r="DB161" s="25" t="n">
        <v>0</v>
      </c>
      <c r="DC161" s="24" t="n"/>
      <c r="DD161" s="23" t="n">
        <v>10</v>
      </c>
      <c r="DE161" s="24" t="n"/>
      <c r="DF161" s="25" t="n">
        <v>0</v>
      </c>
      <c r="DG161" s="24" t="n"/>
      <c r="DH161" s="23" t="n">
        <v>10</v>
      </c>
      <c r="DI161" s="24" t="n"/>
      <c r="DJ161" s="25" t="n">
        <v>0</v>
      </c>
      <c r="DK161" s="24" t="n"/>
      <c r="DL161" s="23" t="n">
        <v>10</v>
      </c>
      <c r="DM161" s="24" t="n"/>
      <c r="DN161" s="25" t="n">
        <v>0</v>
      </c>
      <c r="DO161" s="24" t="n"/>
      <c r="DP161" s="340" t="n"/>
      <c r="DQ161" s="803">
        <f>SUMPRODUCT(--(MOD(COLUMN(BT161:CQ161),4)=MOD(COLUMN(BT161),4)),BT161:CQ161)+SUMPRODUCT(--(MOD(COLUMN(CR161:DO161),4)=MOD(COLUMN(CR161),4)),CR161:DO161)</f>
        <v/>
      </c>
      <c r="DR161" s="803">
        <f>SUMPRODUCT(--(MOD(COLUMN(BT161:CQ161),4)=MOD(COLUMN(BT161),4)),BT161:CQ161)*$I161+SUMPRODUCT(--(MOD(COLUMN(CR161:DO161),4)=MOD(COLUMN(CR161),4)),CR161:DO161)*$I161</f>
        <v/>
      </c>
      <c r="DS161" s="801" t="n"/>
      <c r="DT161" s="819" t="n"/>
      <c r="DU161" s="23" t="n">
        <v>10</v>
      </c>
      <c r="DV161" s="24" t="n"/>
      <c r="DW161" s="25" t="n">
        <v>0</v>
      </c>
      <c r="DX161" s="24" t="n"/>
      <c r="DY161" s="23" t="n">
        <v>10</v>
      </c>
      <c r="DZ161" s="24" t="n"/>
      <c r="EA161" s="25" t="n">
        <v>0</v>
      </c>
      <c r="EB161" s="24" t="n"/>
      <c r="EC161" s="23" t="n">
        <v>10</v>
      </c>
      <c r="ED161" s="24" t="n"/>
      <c r="EE161" s="25" t="n">
        <v>0</v>
      </c>
      <c r="EF161" s="24" t="n"/>
      <c r="EG161" s="23" t="n">
        <v>10</v>
      </c>
      <c r="EH161" s="24" t="n"/>
      <c r="EI161" s="25" t="n">
        <v>0</v>
      </c>
      <c r="EJ161" s="24" t="n"/>
      <c r="EK161" s="23" t="n">
        <v>10</v>
      </c>
      <c r="EL161" s="24" t="n"/>
      <c r="EM161" s="25" t="n">
        <v>0</v>
      </c>
      <c r="EN161" s="24" t="n"/>
      <c r="EO161" s="23" t="n">
        <v>10</v>
      </c>
      <c r="EP161" s="24" t="n"/>
      <c r="EQ161" s="25" t="n">
        <v>0</v>
      </c>
      <c r="ER161" s="24" t="n"/>
      <c r="ES161" s="23" t="n">
        <v>10</v>
      </c>
      <c r="ET161" s="24" t="n"/>
      <c r="EU161" s="25" t="n">
        <v>0</v>
      </c>
      <c r="EV161" s="24" t="n"/>
      <c r="EW161" s="23" t="n">
        <v>10</v>
      </c>
      <c r="EX161" s="24" t="n"/>
      <c r="EY161" s="25" t="n">
        <v>0</v>
      </c>
      <c r="EZ161" s="24" t="n"/>
      <c r="FA161" s="23" t="n">
        <v>10</v>
      </c>
      <c r="FB161" s="24" t="n"/>
      <c r="FC161" s="25" t="n">
        <v>0</v>
      </c>
      <c r="FD161" s="24" t="n"/>
      <c r="FE161" s="23" t="n">
        <v>10</v>
      </c>
      <c r="FF161" s="24" t="n"/>
      <c r="FG161" s="25" t="n">
        <v>0</v>
      </c>
      <c r="FH161" s="24" t="n"/>
      <c r="FI161" s="23" t="n">
        <v>10</v>
      </c>
      <c r="FJ161" s="24" t="n"/>
      <c r="FK161" s="25" t="n">
        <v>0</v>
      </c>
      <c r="FL161" s="24" t="n"/>
      <c r="FM161" s="23" t="n">
        <v>10</v>
      </c>
      <c r="FN161" s="24" t="n"/>
      <c r="FO161" s="25" t="n">
        <v>0</v>
      </c>
      <c r="FP161" s="24" t="n"/>
      <c r="FQ161" s="340" t="n"/>
      <c r="FR161" s="803">
        <f>SUMPRODUCT(--(MOD(COLUMN(DU161:ER161),4)=MOD(COLUMN(DU161),4)),DU161:ER161)+SUMPRODUCT(--(MOD(COLUMN(ES161:FP161),4)=MOD(COLUMN(ES161),4)),ES161:FP161)</f>
        <v/>
      </c>
      <c r="FS161" s="803">
        <f>SUMPRODUCT(--(MOD(COLUMN(DU161:ER161),4)=MOD(COLUMN(DU161),4)),DU161:ER161)*$I161+SUMPRODUCT(--(MOD(COLUMN(ES161:FP161),4)=MOD(COLUMN(ES161),4)),ES161:FP161)*$I161</f>
        <v/>
      </c>
      <c r="FT161" s="361" t="n"/>
    </row>
    <row r="162" outlineLevel="2">
      <c r="A162" s="56" t="inlineStr">
        <is>
          <t>ПАО «Уралавтоприцеп»</t>
        </is>
      </c>
      <c r="B162" s="387" t="inlineStr">
        <is>
          <t>Отсрочка 30 дней</t>
        </is>
      </c>
      <c r="C162" s="541" t="inlineStr">
        <is>
          <t>ВБК РУС</t>
        </is>
      </c>
      <c r="D162" s="565" t="inlineStr">
        <is>
          <t>Прасолов, Соловьёв</t>
        </is>
      </c>
      <c r="E162" s="10">
        <f>IF(ISBLANK(G162),"",IF($A$6:$A$330=$A162,COUNTIF($A$6:A162,$A162),""))</f>
        <v/>
      </c>
      <c r="F162" s="669" t="n">
        <v>1</v>
      </c>
      <c r="G162" s="129" t="n">
        <v>9630010510</v>
      </c>
      <c r="H162" s="610" t="inlineStr">
        <is>
          <t>Клапан растормаживания сдвоенный</t>
        </is>
      </c>
      <c r="I162" s="618" t="n">
        <v>0</v>
      </c>
      <c r="J162" s="618" t="n"/>
      <c r="K162" s="874" t="n"/>
      <c r="L162" s="618">
        <f>IF(K162="RUB",J162/ЮАНЬ,IF(K162="EUR",J162*ЕВРО/ЮАНЬ,""))</f>
        <v/>
      </c>
      <c r="M162" s="873" t="n"/>
      <c r="N162" s="871">
        <f>IF(BP162&gt;0,1,IF(BN162&gt;0,2,))</f>
        <v/>
      </c>
      <c r="O162" s="23" t="n">
        <v>20</v>
      </c>
      <c r="P162" s="24">
        <f>SUMPRODUCT((Комплекты[Пр]=$F162)*(Комплекты[Обозначение]=$G162)*Комплекты[Кол-во]*(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62" s="25" t="n">
        <v>2</v>
      </c>
      <c r="R162" s="24" t="n"/>
      <c r="S162" s="23" t="n">
        <v>20</v>
      </c>
      <c r="T162" s="24">
        <f>SUMPRODUCT((Комплекты[Пр]=$F162)*(Комплекты[Обозначение]=$G162)*Комплекты[Кол-во]*(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62" s="25" t="n">
        <v>53</v>
      </c>
      <c r="V162" s="24" t="n"/>
      <c r="W162" s="23" t="n">
        <v>20</v>
      </c>
      <c r="X162" s="24">
        <f>SUMPRODUCT((Комплекты[Пр]=$F162)*(Комплекты[Обозначение]=$G162)*Комплекты[Кол-во]*(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62" s="25" t="n">
        <v>20</v>
      </c>
      <c r="Z162" s="24" t="n"/>
      <c r="AA162" s="23" t="n">
        <v>10</v>
      </c>
      <c r="AB162" s="24">
        <f>SUMPRODUCT((Комплекты[Пр]=$F162)*(Комплекты[Обозначение]=$G162)*Комплекты[Кол-во]*(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62" s="25" t="n">
        <v>0</v>
      </c>
      <c r="AD162" s="24" t="n"/>
      <c r="AE162" s="23" t="n">
        <v>10</v>
      </c>
      <c r="AF162" s="24">
        <f>SUMPRODUCT((Комплекты[Пр]=$F162)*(Комплекты[Обозначение]=$G162)*Комплекты[Кол-во]*(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62" s="25" t="n">
        <v>0</v>
      </c>
      <c r="AH162" s="24" t="n"/>
      <c r="AI162" s="23" t="n">
        <v>10</v>
      </c>
      <c r="AJ162" s="24">
        <f>SUMPRODUCT((Комплекты[Пр]=$F162)*(Комплекты[Обозначение]=$G162)*Комплекты[Кол-во]*(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62" s="25" t="n">
        <v>0</v>
      </c>
      <c r="AL162" s="24" t="n"/>
      <c r="AM162" s="23" t="n">
        <v>10</v>
      </c>
      <c r="AN162" s="24">
        <f>SUMPRODUCT((Комплекты[Пр]=$F162)*(Комплекты[Обозначение]=$G162)*Комплекты[Кол-во]*(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62" s="25" t="n">
        <v>0</v>
      </c>
      <c r="AP162" s="24" t="n"/>
      <c r="AQ162" s="23" t="n">
        <v>10</v>
      </c>
      <c r="AR162" s="24">
        <f>SUMPRODUCT((Комплекты[Пр]=$F162)*(Комплекты[Обозначение]=$G162)*Комплекты[Кол-во]*(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62" s="25" t="n">
        <v>0</v>
      </c>
      <c r="AT162" s="24" t="n"/>
      <c r="AU162" s="23" t="n">
        <v>10</v>
      </c>
      <c r="AV162" s="24">
        <f>SUMPRODUCT((Комплекты[Пр]=$F162)*(Комплекты[Обозначение]=$G162)*Комплекты[Кол-во]*(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62" s="25" t="n">
        <v>0</v>
      </c>
      <c r="AX162" s="24" t="n"/>
      <c r="AY162" s="23" t="n">
        <v>10</v>
      </c>
      <c r="AZ162" s="24">
        <f>SUMPRODUCT((Комплекты[Пр]=$F162)*(Комплекты[Обозначение]=$G162)*Комплекты[Кол-во]*(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62" s="25" t="n">
        <v>0</v>
      </c>
      <c r="BB162" s="24" t="n"/>
      <c r="BC162" s="23" t="n">
        <v>10</v>
      </c>
      <c r="BD162" s="24">
        <f>SUMPRODUCT((Комплекты[Пр]=$F162)*(Комплекты[Обозначение]=$G162)*Комплекты[Кол-во]*(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62" s="25" t="n">
        <v>0</v>
      </c>
      <c r="BF162" s="24" t="n"/>
      <c r="BG162" s="23" t="n">
        <v>10</v>
      </c>
      <c r="BH162" s="24">
        <f>SUMPRODUCT((Комплекты[Пр]=$F162)*(Комплекты[Обозначение]=$G162)*Комплекты[Кол-во]*(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62" s="25" t="n">
        <v>0</v>
      </c>
      <c r="BJ162" s="24" t="n"/>
      <c r="BK162" s="340" t="n"/>
      <c r="BL162" s="803">
        <f>SUMPRODUCT(--(MOD(COLUMN($O162:$AL162),4)=MOD(COLUMN($O162)+0,4)),$O162:$AL162)
+SUMPRODUCT(--(MOD(COLUMN($AM162:$BJ162),4)=MOD(COLUMN($AM162)+0,4)),$AM162:$BJ162)</f>
        <v/>
      </c>
      <c r="BM162" s="803">
        <f>SUMPRODUCT(--(MOD(COLUMN($O162:$AL162),4)=MOD(COLUMN($O162)+0,4)),$O162:$AL162)*
$I162+SUMPRODUCT(--(MOD(COLUMN($AM162:$BJ162),4)=MOD(COLUMN($AM162)+0,4)),$AM162:$BJ162)*$I162</f>
        <v/>
      </c>
      <c r="BN162" s="805">
        <f>SUMPRODUCT(--(MOD(COLUMN($O162:$AL162),4)=MOD(COLUMN($O162)+1,4)),$O162:$AL162)
+SUMPRODUCT(--(MOD(COLUMN($AM162:$BJ162),4)=MOD(COLUMN($AM162)+1,4)),$AM162:$BJ162)</f>
        <v/>
      </c>
      <c r="BO162" s="806">
        <f>SUMPRODUCT(--(MOD(COLUMN($O162:$AL162),4)=MOD(COLUMN($O162)+1,4)),$O162:$AL162)*
$I162+SUMPRODUCT(--(MOD(COLUMN($AM162:$BJ162),4)=MOD(COLUMN($AM162)+1,4)),$AM162:$BJ162)*$I162</f>
        <v/>
      </c>
      <c r="BP162" s="807">
        <f>SUMPRODUCT(--(MOD(COLUMN($O162:$AL162),4)=MOD(COLUMN($O162)+2,4)),$O162:$AL162)
+SUMPRODUCT(--(MOD(COLUMN($AM162:$BJ162),4)=MOD(COLUMN($AM162)+2,4)),$AM162:$BJ162)</f>
        <v/>
      </c>
      <c r="BQ162" s="808">
        <f>SUMPRODUCT(--(MOD(COLUMN($O162:$AL162),4)=MOD(COLUMN($O162)+2,4)),$O162:$AL162)*
$I162+SUMPRODUCT(--(MOD(COLUMN($AM162:$BJ162),4)=MOD(COLUMN($AM162)+2,4)),$AM162:$BJ162)*$I162</f>
        <v/>
      </c>
      <c r="BR162" s="801" t="n"/>
      <c r="BS162" s="819" t="n"/>
      <c r="BT162" s="23" t="n">
        <v>15</v>
      </c>
      <c r="BU162" s="24" t="n"/>
      <c r="BV162" s="25" t="n">
        <v>0</v>
      </c>
      <c r="BW162" s="24" t="n"/>
      <c r="BX162" s="23" t="n">
        <v>15</v>
      </c>
      <c r="BY162" s="24" t="n"/>
      <c r="BZ162" s="25" t="n">
        <v>0</v>
      </c>
      <c r="CA162" s="24" t="n"/>
      <c r="CB162" s="23" t="n">
        <v>15</v>
      </c>
      <c r="CC162" s="24" t="n"/>
      <c r="CD162" s="25" t="n">
        <v>0</v>
      </c>
      <c r="CE162" s="24" t="n"/>
      <c r="CF162" s="23" t="n">
        <v>15</v>
      </c>
      <c r="CG162" s="24" t="n"/>
      <c r="CH162" s="25" t="n">
        <v>0</v>
      </c>
      <c r="CI162" s="24" t="n"/>
      <c r="CJ162" s="23" t="n">
        <v>15</v>
      </c>
      <c r="CK162" s="24" t="n"/>
      <c r="CL162" s="25" t="n">
        <v>0</v>
      </c>
      <c r="CM162" s="24" t="n"/>
      <c r="CN162" s="23" t="n">
        <v>15</v>
      </c>
      <c r="CO162" s="24" t="n"/>
      <c r="CP162" s="25" t="n">
        <v>0</v>
      </c>
      <c r="CQ162" s="24" t="n"/>
      <c r="CR162" s="23" t="n">
        <v>15</v>
      </c>
      <c r="CS162" s="24" t="n"/>
      <c r="CT162" s="25" t="n">
        <v>0</v>
      </c>
      <c r="CU162" s="24" t="n"/>
      <c r="CV162" s="23" t="n">
        <v>15</v>
      </c>
      <c r="CW162" s="24" t="n"/>
      <c r="CX162" s="25" t="n">
        <v>0</v>
      </c>
      <c r="CY162" s="24" t="n"/>
      <c r="CZ162" s="23" t="n">
        <v>15</v>
      </c>
      <c r="DA162" s="24" t="n"/>
      <c r="DB162" s="25" t="n">
        <v>0</v>
      </c>
      <c r="DC162" s="24" t="n"/>
      <c r="DD162" s="23" t="n">
        <v>15</v>
      </c>
      <c r="DE162" s="24" t="n"/>
      <c r="DF162" s="25" t="n">
        <v>0</v>
      </c>
      <c r="DG162" s="24" t="n"/>
      <c r="DH162" s="23" t="n">
        <v>15</v>
      </c>
      <c r="DI162" s="24" t="n"/>
      <c r="DJ162" s="25" t="n">
        <v>0</v>
      </c>
      <c r="DK162" s="24" t="n"/>
      <c r="DL162" s="23" t="n">
        <v>15</v>
      </c>
      <c r="DM162" s="24" t="n"/>
      <c r="DN162" s="25" t="n">
        <v>0</v>
      </c>
      <c r="DO162" s="24" t="n"/>
      <c r="DP162" s="340" t="n"/>
      <c r="DQ162" s="803">
        <f>SUMPRODUCT(--(MOD(COLUMN(BT162:CQ162),4)=MOD(COLUMN(BT162),4)),BT162:CQ162)+SUMPRODUCT(--(MOD(COLUMN(CR162:DO162),4)=MOD(COLUMN(CR162),4)),CR162:DO162)</f>
        <v/>
      </c>
      <c r="DR162" s="803">
        <f>SUMPRODUCT(--(MOD(COLUMN(BT162:CQ162),4)=MOD(COLUMN(BT162),4)),BT162:CQ162)*$I162+SUMPRODUCT(--(MOD(COLUMN(CR162:DO162),4)=MOD(COLUMN(CR162),4)),CR162:DO162)*$I162</f>
        <v/>
      </c>
      <c r="DS162" s="801" t="n"/>
      <c r="DT162" s="819" t="n"/>
      <c r="DU162" s="23" t="n">
        <v>15</v>
      </c>
      <c r="DV162" s="24" t="n"/>
      <c r="DW162" s="25" t="n">
        <v>0</v>
      </c>
      <c r="DX162" s="24" t="n"/>
      <c r="DY162" s="23" t="n">
        <v>15</v>
      </c>
      <c r="DZ162" s="24" t="n"/>
      <c r="EA162" s="25" t="n">
        <v>0</v>
      </c>
      <c r="EB162" s="24" t="n"/>
      <c r="EC162" s="23" t="n">
        <v>15</v>
      </c>
      <c r="ED162" s="24" t="n"/>
      <c r="EE162" s="25" t="n">
        <v>0</v>
      </c>
      <c r="EF162" s="24" t="n"/>
      <c r="EG162" s="23" t="n">
        <v>15</v>
      </c>
      <c r="EH162" s="24" t="n"/>
      <c r="EI162" s="25" t="n">
        <v>0</v>
      </c>
      <c r="EJ162" s="24" t="n"/>
      <c r="EK162" s="23" t="n">
        <v>15</v>
      </c>
      <c r="EL162" s="24" t="n"/>
      <c r="EM162" s="25" t="n">
        <v>0</v>
      </c>
      <c r="EN162" s="24" t="n"/>
      <c r="EO162" s="23" t="n">
        <v>15</v>
      </c>
      <c r="EP162" s="24" t="n"/>
      <c r="EQ162" s="25" t="n">
        <v>0</v>
      </c>
      <c r="ER162" s="24" t="n"/>
      <c r="ES162" s="23" t="n">
        <v>15</v>
      </c>
      <c r="ET162" s="24" t="n"/>
      <c r="EU162" s="25" t="n">
        <v>0</v>
      </c>
      <c r="EV162" s="24" t="n"/>
      <c r="EW162" s="23" t="n">
        <v>15</v>
      </c>
      <c r="EX162" s="24" t="n"/>
      <c r="EY162" s="25" t="n">
        <v>0</v>
      </c>
      <c r="EZ162" s="24" t="n"/>
      <c r="FA162" s="23" t="n">
        <v>15</v>
      </c>
      <c r="FB162" s="24" t="n"/>
      <c r="FC162" s="25" t="n">
        <v>0</v>
      </c>
      <c r="FD162" s="24" t="n"/>
      <c r="FE162" s="23" t="n">
        <v>15</v>
      </c>
      <c r="FF162" s="24" t="n"/>
      <c r="FG162" s="25" t="n">
        <v>0</v>
      </c>
      <c r="FH162" s="24" t="n"/>
      <c r="FI162" s="23" t="n">
        <v>15</v>
      </c>
      <c r="FJ162" s="24" t="n"/>
      <c r="FK162" s="25" t="n">
        <v>0</v>
      </c>
      <c r="FL162" s="24" t="n"/>
      <c r="FM162" s="23" t="n">
        <v>15</v>
      </c>
      <c r="FN162" s="24" t="n"/>
      <c r="FO162" s="25" t="n">
        <v>0</v>
      </c>
      <c r="FP162" s="24" t="n"/>
      <c r="FQ162" s="340" t="n"/>
      <c r="FR162" s="803">
        <f>SUMPRODUCT(--(MOD(COLUMN(DU162:ER162),4)=MOD(COLUMN(DU162),4)),DU162:ER162)+SUMPRODUCT(--(MOD(COLUMN(ES162:FP162),4)=MOD(COLUMN(ES162),4)),ES162:FP162)</f>
        <v/>
      </c>
      <c r="FS162" s="803">
        <f>SUMPRODUCT(--(MOD(COLUMN(DU162:ER162),4)=MOD(COLUMN(DU162),4)),DU162:ER162)*$I162+SUMPRODUCT(--(MOD(COLUMN(ES162:FP162),4)=MOD(COLUMN(ES162),4)),ES162:FP162)*$I162</f>
        <v/>
      </c>
      <c r="FT162" s="361" t="n"/>
    </row>
    <row r="163" outlineLevel="2">
      <c r="A163" s="56" t="inlineStr">
        <is>
          <t>ПАО «Уралавтоприцеп»</t>
        </is>
      </c>
      <c r="B163" s="387" t="inlineStr">
        <is>
          <t>Отсрочка 30 дней</t>
        </is>
      </c>
      <c r="C163" s="541" t="inlineStr">
        <is>
          <t>ВБК РУС</t>
        </is>
      </c>
      <c r="D163" s="565" t="inlineStr">
        <is>
          <t>Прасолов, Соловьёв</t>
        </is>
      </c>
      <c r="E163" s="10">
        <f>IF(ISBLANK(G163),"",IF($A$6:$A$330=$A163,COUNTIF($A$6:A163,$A163),""))</f>
        <v/>
      </c>
      <c r="F163" s="669" t="n">
        <v>1</v>
      </c>
      <c r="G163" s="129" t="n">
        <v>9735000510</v>
      </c>
      <c r="H163" s="610" t="inlineStr">
        <is>
          <t>Клапан быстрого растормаживания энергоакк.</t>
        </is>
      </c>
      <c r="I163" s="618" t="n">
        <v>0</v>
      </c>
      <c r="J163" s="618" t="n"/>
      <c r="K163" s="874" t="n"/>
      <c r="L163" s="618">
        <f>IF(K163="RUB",J163/ЮАНЬ,IF(K163="EUR",J163*ЕВРО/ЮАНЬ,""))</f>
        <v/>
      </c>
      <c r="M163" s="873" t="n"/>
      <c r="N163" s="871">
        <f>IF(BP163&gt;0,1,IF(BN163&gt;0,2,))</f>
        <v/>
      </c>
      <c r="O163" s="23" t="n">
        <v>20</v>
      </c>
      <c r="P163" s="24">
        <f>SUMPRODUCT((Комплекты[Пр]=$F163)*(Комплекты[Обозначение]=$G163)*Комплекты[Кол-во]*(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63" s="25" t="n">
        <v>0</v>
      </c>
      <c r="R163" s="24" t="n"/>
      <c r="S163" s="23" t="n">
        <v>20</v>
      </c>
      <c r="T163" s="24">
        <f>SUMPRODUCT((Комплекты[Пр]=$F163)*(Комплекты[Обозначение]=$G163)*Комплекты[Кол-во]*(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63" s="25" t="n">
        <v>53</v>
      </c>
      <c r="V163" s="24" t="n"/>
      <c r="W163" s="23" t="n">
        <v>20</v>
      </c>
      <c r="X163" s="24">
        <f>SUMPRODUCT((Комплекты[Пр]=$F163)*(Комплекты[Обозначение]=$G163)*Комплекты[Кол-во]*(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63" s="25" t="n">
        <v>20</v>
      </c>
      <c r="Z163" s="24" t="n"/>
      <c r="AA163" s="23" t="n">
        <v>10</v>
      </c>
      <c r="AB163" s="24">
        <f>SUMPRODUCT((Комплекты[Пр]=$F163)*(Комплекты[Обозначение]=$G163)*Комплекты[Кол-во]*(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63" s="25" t="n">
        <v>0</v>
      </c>
      <c r="AD163" s="24" t="n"/>
      <c r="AE163" s="23" t="n">
        <v>10</v>
      </c>
      <c r="AF163" s="24">
        <f>SUMPRODUCT((Комплекты[Пр]=$F163)*(Комплекты[Обозначение]=$G163)*Комплекты[Кол-во]*(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63" s="25" t="n">
        <v>0</v>
      </c>
      <c r="AH163" s="24" t="n"/>
      <c r="AI163" s="23" t="n">
        <v>10</v>
      </c>
      <c r="AJ163" s="24">
        <f>SUMPRODUCT((Комплекты[Пр]=$F163)*(Комплекты[Обозначение]=$G163)*Комплекты[Кол-во]*(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63" s="25" t="n">
        <v>0</v>
      </c>
      <c r="AL163" s="24" t="n"/>
      <c r="AM163" s="23" t="n">
        <v>10</v>
      </c>
      <c r="AN163" s="24">
        <f>SUMPRODUCT((Комплекты[Пр]=$F163)*(Комплекты[Обозначение]=$G163)*Комплекты[Кол-во]*(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63" s="25" t="n">
        <v>0</v>
      </c>
      <c r="AP163" s="24" t="n"/>
      <c r="AQ163" s="23" t="n">
        <v>10</v>
      </c>
      <c r="AR163" s="24">
        <f>SUMPRODUCT((Комплекты[Пр]=$F163)*(Комплекты[Обозначение]=$G163)*Комплекты[Кол-во]*(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63" s="25" t="n">
        <v>0</v>
      </c>
      <c r="AT163" s="24" t="n"/>
      <c r="AU163" s="23" t="n">
        <v>10</v>
      </c>
      <c r="AV163" s="24">
        <f>SUMPRODUCT((Комплекты[Пр]=$F163)*(Комплекты[Обозначение]=$G163)*Комплекты[Кол-во]*(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63" s="25" t="n">
        <v>0</v>
      </c>
      <c r="AX163" s="24" t="n"/>
      <c r="AY163" s="23" t="n">
        <v>10</v>
      </c>
      <c r="AZ163" s="24">
        <f>SUMPRODUCT((Комплекты[Пр]=$F163)*(Комплекты[Обозначение]=$G163)*Комплекты[Кол-во]*(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63" s="25" t="n">
        <v>0</v>
      </c>
      <c r="BB163" s="24" t="n"/>
      <c r="BC163" s="23" t="n">
        <v>10</v>
      </c>
      <c r="BD163" s="24">
        <f>SUMPRODUCT((Комплекты[Пр]=$F163)*(Комплекты[Обозначение]=$G163)*Комплекты[Кол-во]*(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63" s="25" t="n">
        <v>0</v>
      </c>
      <c r="BF163" s="24" t="n"/>
      <c r="BG163" s="23" t="n">
        <v>10</v>
      </c>
      <c r="BH163" s="24">
        <f>SUMPRODUCT((Комплекты[Пр]=$F163)*(Комплекты[Обозначение]=$G163)*Комплекты[Кол-во]*(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63" s="25" t="n">
        <v>0</v>
      </c>
      <c r="BJ163" s="24" t="n"/>
      <c r="BK163" s="340" t="n"/>
      <c r="BL163" s="803">
        <f>SUMPRODUCT(--(MOD(COLUMN($O163:$AL163),4)=MOD(COLUMN($O163)+0,4)),$O163:$AL163)
+SUMPRODUCT(--(MOD(COLUMN($AM163:$BJ163),4)=MOD(COLUMN($AM163)+0,4)),$AM163:$BJ163)</f>
        <v/>
      </c>
      <c r="BM163" s="803">
        <f>SUMPRODUCT(--(MOD(COLUMN($O163:$AL163),4)=MOD(COLUMN($O163)+0,4)),$O163:$AL163)*
$I163+SUMPRODUCT(--(MOD(COLUMN($AM163:$BJ163),4)=MOD(COLUMN($AM163)+0,4)),$AM163:$BJ163)*$I163</f>
        <v/>
      </c>
      <c r="BN163" s="805">
        <f>SUMPRODUCT(--(MOD(COLUMN($O163:$AL163),4)=MOD(COLUMN($O163)+1,4)),$O163:$AL163)
+SUMPRODUCT(--(MOD(COLUMN($AM163:$BJ163),4)=MOD(COLUMN($AM163)+1,4)),$AM163:$BJ163)</f>
        <v/>
      </c>
      <c r="BO163" s="806">
        <f>SUMPRODUCT(--(MOD(COLUMN($O163:$AL163),4)=MOD(COLUMN($O163)+1,4)),$O163:$AL163)*
$I163+SUMPRODUCT(--(MOD(COLUMN($AM163:$BJ163),4)=MOD(COLUMN($AM163)+1,4)),$AM163:$BJ163)*$I163</f>
        <v/>
      </c>
      <c r="BP163" s="807">
        <f>SUMPRODUCT(--(MOD(COLUMN($O163:$AL163),4)=MOD(COLUMN($O163)+2,4)),$O163:$AL163)
+SUMPRODUCT(--(MOD(COLUMN($AM163:$BJ163),4)=MOD(COLUMN($AM163)+2,4)),$AM163:$BJ163)</f>
        <v/>
      </c>
      <c r="BQ163" s="808">
        <f>SUMPRODUCT(--(MOD(COLUMN($O163:$AL163),4)=MOD(COLUMN($O163)+2,4)),$O163:$AL163)*
$I163+SUMPRODUCT(--(MOD(COLUMN($AM163:$BJ163),4)=MOD(COLUMN($AM163)+2,4)),$AM163:$BJ163)*$I163</f>
        <v/>
      </c>
      <c r="BR163" s="801" t="n"/>
      <c r="BS163" s="819" t="n"/>
      <c r="BT163" s="23" t="n">
        <v>15</v>
      </c>
      <c r="BU163" s="24" t="n"/>
      <c r="BV163" s="25" t="n">
        <v>0</v>
      </c>
      <c r="BW163" s="24" t="n"/>
      <c r="BX163" s="23" t="n">
        <v>15</v>
      </c>
      <c r="BY163" s="24" t="n"/>
      <c r="BZ163" s="25" t="n">
        <v>0</v>
      </c>
      <c r="CA163" s="24" t="n"/>
      <c r="CB163" s="23" t="n">
        <v>15</v>
      </c>
      <c r="CC163" s="24" t="n"/>
      <c r="CD163" s="25" t="n">
        <v>0</v>
      </c>
      <c r="CE163" s="24" t="n"/>
      <c r="CF163" s="23" t="n">
        <v>15</v>
      </c>
      <c r="CG163" s="24" t="n"/>
      <c r="CH163" s="25" t="n">
        <v>0</v>
      </c>
      <c r="CI163" s="24" t="n"/>
      <c r="CJ163" s="23" t="n">
        <v>15</v>
      </c>
      <c r="CK163" s="24" t="n"/>
      <c r="CL163" s="25" t="n">
        <v>0</v>
      </c>
      <c r="CM163" s="24" t="n"/>
      <c r="CN163" s="23" t="n">
        <v>15</v>
      </c>
      <c r="CO163" s="24" t="n"/>
      <c r="CP163" s="25" t="n">
        <v>0</v>
      </c>
      <c r="CQ163" s="24" t="n"/>
      <c r="CR163" s="23" t="n">
        <v>15</v>
      </c>
      <c r="CS163" s="24" t="n"/>
      <c r="CT163" s="25" t="n">
        <v>0</v>
      </c>
      <c r="CU163" s="24" t="n"/>
      <c r="CV163" s="23" t="n">
        <v>15</v>
      </c>
      <c r="CW163" s="24" t="n"/>
      <c r="CX163" s="25" t="n">
        <v>0</v>
      </c>
      <c r="CY163" s="24" t="n"/>
      <c r="CZ163" s="23" t="n">
        <v>15</v>
      </c>
      <c r="DA163" s="24" t="n"/>
      <c r="DB163" s="25" t="n">
        <v>0</v>
      </c>
      <c r="DC163" s="24" t="n"/>
      <c r="DD163" s="23" t="n">
        <v>15</v>
      </c>
      <c r="DE163" s="24" t="n"/>
      <c r="DF163" s="25" t="n">
        <v>0</v>
      </c>
      <c r="DG163" s="24" t="n"/>
      <c r="DH163" s="23" t="n">
        <v>15</v>
      </c>
      <c r="DI163" s="24" t="n"/>
      <c r="DJ163" s="25" t="n">
        <v>0</v>
      </c>
      <c r="DK163" s="24" t="n"/>
      <c r="DL163" s="23" t="n">
        <v>15</v>
      </c>
      <c r="DM163" s="24" t="n"/>
      <c r="DN163" s="25" t="n">
        <v>0</v>
      </c>
      <c r="DO163" s="24" t="n"/>
      <c r="DP163" s="340" t="n"/>
      <c r="DQ163" s="803">
        <f>SUMPRODUCT(--(MOD(COLUMN(BT163:CQ163),4)=MOD(COLUMN(BT163),4)),BT163:CQ163)+SUMPRODUCT(--(MOD(COLUMN(CR163:DO163),4)=MOD(COLUMN(CR163),4)),CR163:DO163)</f>
        <v/>
      </c>
      <c r="DR163" s="803">
        <f>SUMPRODUCT(--(MOD(COLUMN(BT163:CQ163),4)=MOD(COLUMN(BT163),4)),BT163:CQ163)*$I163+SUMPRODUCT(--(MOD(COLUMN(CR163:DO163),4)=MOD(COLUMN(CR163),4)),CR163:DO163)*$I163</f>
        <v/>
      </c>
      <c r="DS163" s="801" t="n"/>
      <c r="DT163" s="819" t="n"/>
      <c r="DU163" s="23" t="n">
        <v>15</v>
      </c>
      <c r="DV163" s="24" t="n"/>
      <c r="DW163" s="25" t="n">
        <v>0</v>
      </c>
      <c r="DX163" s="24" t="n"/>
      <c r="DY163" s="23" t="n">
        <v>15</v>
      </c>
      <c r="DZ163" s="24" t="n"/>
      <c r="EA163" s="25" t="n">
        <v>0</v>
      </c>
      <c r="EB163" s="24" t="n"/>
      <c r="EC163" s="23" t="n">
        <v>15</v>
      </c>
      <c r="ED163" s="24" t="n"/>
      <c r="EE163" s="25" t="n">
        <v>0</v>
      </c>
      <c r="EF163" s="24" t="n"/>
      <c r="EG163" s="23" t="n">
        <v>15</v>
      </c>
      <c r="EH163" s="24" t="n"/>
      <c r="EI163" s="25" t="n">
        <v>0</v>
      </c>
      <c r="EJ163" s="24" t="n"/>
      <c r="EK163" s="23" t="n">
        <v>15</v>
      </c>
      <c r="EL163" s="24" t="n"/>
      <c r="EM163" s="25" t="n">
        <v>0</v>
      </c>
      <c r="EN163" s="24" t="n"/>
      <c r="EO163" s="23" t="n">
        <v>15</v>
      </c>
      <c r="EP163" s="24" t="n"/>
      <c r="EQ163" s="25" t="n">
        <v>0</v>
      </c>
      <c r="ER163" s="24" t="n"/>
      <c r="ES163" s="23" t="n">
        <v>15</v>
      </c>
      <c r="ET163" s="24" t="n"/>
      <c r="EU163" s="25" t="n">
        <v>0</v>
      </c>
      <c r="EV163" s="24" t="n"/>
      <c r="EW163" s="23" t="n">
        <v>15</v>
      </c>
      <c r="EX163" s="24" t="n"/>
      <c r="EY163" s="25" t="n">
        <v>0</v>
      </c>
      <c r="EZ163" s="24" t="n"/>
      <c r="FA163" s="23" t="n">
        <v>15</v>
      </c>
      <c r="FB163" s="24" t="n"/>
      <c r="FC163" s="25" t="n">
        <v>0</v>
      </c>
      <c r="FD163" s="24" t="n"/>
      <c r="FE163" s="23" t="n">
        <v>15</v>
      </c>
      <c r="FF163" s="24" t="n"/>
      <c r="FG163" s="25" t="n">
        <v>0</v>
      </c>
      <c r="FH163" s="24" t="n"/>
      <c r="FI163" s="23" t="n">
        <v>15</v>
      </c>
      <c r="FJ163" s="24" t="n"/>
      <c r="FK163" s="25" t="n">
        <v>0</v>
      </c>
      <c r="FL163" s="24" t="n"/>
      <c r="FM163" s="23" t="n">
        <v>15</v>
      </c>
      <c r="FN163" s="24" t="n"/>
      <c r="FO163" s="25" t="n">
        <v>0</v>
      </c>
      <c r="FP163" s="24" t="n"/>
      <c r="FQ163" s="340" t="n"/>
      <c r="FR163" s="803">
        <f>SUMPRODUCT(--(MOD(COLUMN(DU163:ER163),4)=MOD(COLUMN(DU163),4)),DU163:ER163)+SUMPRODUCT(--(MOD(COLUMN(ES163:FP163),4)=MOD(COLUMN(ES163),4)),ES163:FP163)</f>
        <v/>
      </c>
      <c r="FS163" s="803">
        <f>SUMPRODUCT(--(MOD(COLUMN(DU163:ER163),4)=MOD(COLUMN(DU163),4)),DU163:ER163)*$I163+SUMPRODUCT(--(MOD(COLUMN(ES163:FP163),4)=MOD(COLUMN(ES163),4)),ES163:FP163)*$I163</f>
        <v/>
      </c>
      <c r="FT163" s="361" t="n"/>
    </row>
    <row r="164" outlineLevel="2">
      <c r="A164" s="56" t="inlineStr">
        <is>
          <t>ПАО «Уралавтоприцеп»</t>
        </is>
      </c>
      <c r="B164" s="387" t="inlineStr">
        <is>
          <t>Отсрочка 30 дней</t>
        </is>
      </c>
      <c r="C164" s="541" t="inlineStr">
        <is>
          <t>ВБК РУС</t>
        </is>
      </c>
      <c r="D164" s="565" t="inlineStr">
        <is>
          <t>Прасолов, Соловьёв</t>
        </is>
      </c>
      <c r="E164" s="10">
        <f>IF(ISBLANK(G164),"",IF($A$6:$A$330=$A164,COUNTIF($A$6:A164,$A164),""))</f>
        <v/>
      </c>
      <c r="F164" s="669" t="n">
        <v>1</v>
      </c>
      <c r="G164" s="129" t="n">
        <v>4341001250</v>
      </c>
      <c r="H164" s="610" t="inlineStr">
        <is>
          <t>Клапан перепускной</t>
        </is>
      </c>
      <c r="I164" s="618" t="n">
        <v>0</v>
      </c>
      <c r="J164" s="618" t="n"/>
      <c r="K164" s="874" t="n"/>
      <c r="L164" s="618">
        <f>IF(K164="RUB",J164/ЮАНЬ,IF(K164="EUR",J164*ЕВРО/ЮАНЬ,""))</f>
        <v/>
      </c>
      <c r="M164" s="873" t="n"/>
      <c r="N164" s="871">
        <f>IF(BP164&gt;0,1,IF(BN164&gt;0,2,))</f>
        <v/>
      </c>
      <c r="O164" s="23" t="n">
        <v>20</v>
      </c>
      <c r="P164" s="24">
        <f>SUMPRODUCT((Комплекты[Пр]=$F164)*(Комплекты[Обозначение]=$G164)*Комплекты[Кол-во]*(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64" s="25" t="n">
        <v>0</v>
      </c>
      <c r="R164" s="24" t="n"/>
      <c r="S164" s="23" t="n">
        <v>20</v>
      </c>
      <c r="T164" s="24">
        <f>SUMPRODUCT((Комплекты[Пр]=$F164)*(Комплекты[Обозначение]=$G164)*Комплекты[Кол-во]*(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64" s="25" t="n">
        <v>53</v>
      </c>
      <c r="V164" s="24" t="n"/>
      <c r="W164" s="23" t="n">
        <v>20</v>
      </c>
      <c r="X164" s="24">
        <f>SUMPRODUCT((Комплекты[Пр]=$F164)*(Комплекты[Обозначение]=$G164)*Комплекты[Кол-во]*(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64" s="25" t="n">
        <v>20</v>
      </c>
      <c r="Z164" s="24" t="n"/>
      <c r="AA164" s="23" t="n">
        <v>10</v>
      </c>
      <c r="AB164" s="24">
        <f>SUMPRODUCT((Комплекты[Пр]=$F164)*(Комплекты[Обозначение]=$G164)*Комплекты[Кол-во]*(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64" s="25" t="n">
        <v>0</v>
      </c>
      <c r="AD164" s="24" t="n"/>
      <c r="AE164" s="23" t="n">
        <v>10</v>
      </c>
      <c r="AF164" s="24">
        <f>SUMPRODUCT((Комплекты[Пр]=$F164)*(Комплекты[Обозначение]=$G164)*Комплекты[Кол-во]*(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64" s="25" t="n">
        <v>0</v>
      </c>
      <c r="AH164" s="24" t="n"/>
      <c r="AI164" s="23" t="n">
        <v>10</v>
      </c>
      <c r="AJ164" s="24">
        <f>SUMPRODUCT((Комплекты[Пр]=$F164)*(Комплекты[Обозначение]=$G164)*Комплекты[Кол-во]*(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64" s="25" t="n">
        <v>0</v>
      </c>
      <c r="AL164" s="24" t="n"/>
      <c r="AM164" s="23" t="n">
        <v>10</v>
      </c>
      <c r="AN164" s="24">
        <f>SUMPRODUCT((Комплекты[Пр]=$F164)*(Комплекты[Обозначение]=$G164)*Комплекты[Кол-во]*(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64" s="25" t="n">
        <v>0</v>
      </c>
      <c r="AP164" s="24" t="n"/>
      <c r="AQ164" s="23" t="n">
        <v>10</v>
      </c>
      <c r="AR164" s="24">
        <f>SUMPRODUCT((Комплекты[Пр]=$F164)*(Комплекты[Обозначение]=$G164)*Комплекты[Кол-во]*(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64" s="25" t="n">
        <v>0</v>
      </c>
      <c r="AT164" s="24" t="n"/>
      <c r="AU164" s="23" t="n">
        <v>10</v>
      </c>
      <c r="AV164" s="24">
        <f>SUMPRODUCT((Комплекты[Пр]=$F164)*(Комплекты[Обозначение]=$G164)*Комплекты[Кол-во]*(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64" s="25" t="n">
        <v>0</v>
      </c>
      <c r="AX164" s="24" t="n"/>
      <c r="AY164" s="23" t="n">
        <v>10</v>
      </c>
      <c r="AZ164" s="24">
        <f>SUMPRODUCT((Комплекты[Пр]=$F164)*(Комплекты[Обозначение]=$G164)*Комплекты[Кол-во]*(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64" s="25" t="n">
        <v>0</v>
      </c>
      <c r="BB164" s="24" t="n"/>
      <c r="BC164" s="23" t="n">
        <v>10</v>
      </c>
      <c r="BD164" s="24">
        <f>SUMPRODUCT((Комплекты[Пр]=$F164)*(Комплекты[Обозначение]=$G164)*Комплекты[Кол-во]*(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64" s="25" t="n">
        <v>0</v>
      </c>
      <c r="BF164" s="24" t="n"/>
      <c r="BG164" s="23" t="n">
        <v>10</v>
      </c>
      <c r="BH164" s="24">
        <f>SUMPRODUCT((Комплекты[Пр]=$F164)*(Комплекты[Обозначение]=$G164)*Комплекты[Кол-во]*(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64" s="25" t="n">
        <v>0</v>
      </c>
      <c r="BJ164" s="24" t="n"/>
      <c r="BK164" s="340" t="n"/>
      <c r="BL164" s="803">
        <f>SUMPRODUCT(--(MOD(COLUMN($O164:$AL164),4)=MOD(COLUMN($O164)+0,4)),$O164:$AL164)
+SUMPRODUCT(--(MOD(COLUMN($AM164:$BJ164),4)=MOD(COLUMN($AM164)+0,4)),$AM164:$BJ164)</f>
        <v/>
      </c>
      <c r="BM164" s="803">
        <f>SUMPRODUCT(--(MOD(COLUMN($O164:$AL164),4)=MOD(COLUMN($O164)+0,4)),$O164:$AL164)*
$I164+SUMPRODUCT(--(MOD(COLUMN($AM164:$BJ164),4)=MOD(COLUMN($AM164)+0,4)),$AM164:$BJ164)*$I164</f>
        <v/>
      </c>
      <c r="BN164" s="805">
        <f>SUMPRODUCT(--(MOD(COLUMN($O164:$AL164),4)=MOD(COLUMN($O164)+1,4)),$O164:$AL164)
+SUMPRODUCT(--(MOD(COLUMN($AM164:$BJ164),4)=MOD(COLUMN($AM164)+1,4)),$AM164:$BJ164)</f>
        <v/>
      </c>
      <c r="BO164" s="806">
        <f>SUMPRODUCT(--(MOD(COLUMN($O164:$AL164),4)=MOD(COLUMN($O164)+1,4)),$O164:$AL164)*
$I164+SUMPRODUCT(--(MOD(COLUMN($AM164:$BJ164),4)=MOD(COLUMN($AM164)+1,4)),$AM164:$BJ164)*$I164</f>
        <v/>
      </c>
      <c r="BP164" s="807">
        <f>SUMPRODUCT(--(MOD(COLUMN($O164:$AL164),4)=MOD(COLUMN($O164)+2,4)),$O164:$AL164)
+SUMPRODUCT(--(MOD(COLUMN($AM164:$BJ164),4)=MOD(COLUMN($AM164)+2,4)),$AM164:$BJ164)</f>
        <v/>
      </c>
      <c r="BQ164" s="808">
        <f>SUMPRODUCT(--(MOD(COLUMN($O164:$AL164),4)=MOD(COLUMN($O164)+2,4)),$O164:$AL164)*
$I164+SUMPRODUCT(--(MOD(COLUMN($AM164:$BJ164),4)=MOD(COLUMN($AM164)+2,4)),$AM164:$BJ164)*$I164</f>
        <v/>
      </c>
      <c r="BR164" s="801" t="n"/>
      <c r="BS164" s="819" t="n"/>
      <c r="BT164" s="23" t="n">
        <v>15</v>
      </c>
      <c r="BU164" s="24" t="n"/>
      <c r="BV164" s="25" t="n">
        <v>0</v>
      </c>
      <c r="BW164" s="24" t="n"/>
      <c r="BX164" s="23" t="n">
        <v>15</v>
      </c>
      <c r="BY164" s="24" t="n"/>
      <c r="BZ164" s="25" t="n">
        <v>0</v>
      </c>
      <c r="CA164" s="24" t="n"/>
      <c r="CB164" s="23" t="n">
        <v>15</v>
      </c>
      <c r="CC164" s="24" t="n"/>
      <c r="CD164" s="25" t="n">
        <v>0</v>
      </c>
      <c r="CE164" s="24" t="n"/>
      <c r="CF164" s="23" t="n">
        <v>15</v>
      </c>
      <c r="CG164" s="24" t="n"/>
      <c r="CH164" s="25" t="n">
        <v>0</v>
      </c>
      <c r="CI164" s="24" t="n"/>
      <c r="CJ164" s="23" t="n">
        <v>15</v>
      </c>
      <c r="CK164" s="24" t="n"/>
      <c r="CL164" s="25" t="n">
        <v>0</v>
      </c>
      <c r="CM164" s="24" t="n"/>
      <c r="CN164" s="23" t="n">
        <v>15</v>
      </c>
      <c r="CO164" s="24" t="n"/>
      <c r="CP164" s="25" t="n">
        <v>0</v>
      </c>
      <c r="CQ164" s="24" t="n"/>
      <c r="CR164" s="23" t="n">
        <v>15</v>
      </c>
      <c r="CS164" s="24" t="n"/>
      <c r="CT164" s="25" t="n">
        <v>0</v>
      </c>
      <c r="CU164" s="24" t="n"/>
      <c r="CV164" s="23" t="n">
        <v>15</v>
      </c>
      <c r="CW164" s="24" t="n"/>
      <c r="CX164" s="25" t="n">
        <v>0</v>
      </c>
      <c r="CY164" s="24" t="n"/>
      <c r="CZ164" s="23" t="n">
        <v>15</v>
      </c>
      <c r="DA164" s="24" t="n"/>
      <c r="DB164" s="25" t="n">
        <v>0</v>
      </c>
      <c r="DC164" s="24" t="n"/>
      <c r="DD164" s="23" t="n">
        <v>15</v>
      </c>
      <c r="DE164" s="24" t="n"/>
      <c r="DF164" s="25" t="n">
        <v>0</v>
      </c>
      <c r="DG164" s="24" t="n"/>
      <c r="DH164" s="23" t="n">
        <v>15</v>
      </c>
      <c r="DI164" s="24" t="n"/>
      <c r="DJ164" s="25" t="n">
        <v>0</v>
      </c>
      <c r="DK164" s="24" t="n"/>
      <c r="DL164" s="23" t="n">
        <v>15</v>
      </c>
      <c r="DM164" s="24" t="n"/>
      <c r="DN164" s="25" t="n">
        <v>0</v>
      </c>
      <c r="DO164" s="24" t="n"/>
      <c r="DP164" s="340" t="n"/>
      <c r="DQ164" s="803">
        <f>SUMPRODUCT(--(MOD(COLUMN(BT164:CQ164),4)=MOD(COLUMN(BT164),4)),BT164:CQ164)+SUMPRODUCT(--(MOD(COLUMN(CR164:DO164),4)=MOD(COLUMN(CR164),4)),CR164:DO164)</f>
        <v/>
      </c>
      <c r="DR164" s="803">
        <f>SUMPRODUCT(--(MOD(COLUMN(BT164:CQ164),4)=MOD(COLUMN(BT164),4)),BT164:CQ164)*$I164+SUMPRODUCT(--(MOD(COLUMN(CR164:DO164),4)=MOD(COLUMN(CR164),4)),CR164:DO164)*$I164</f>
        <v/>
      </c>
      <c r="DS164" s="801" t="n"/>
      <c r="DT164" s="819" t="n"/>
      <c r="DU164" s="23" t="n">
        <v>15</v>
      </c>
      <c r="DV164" s="24" t="n"/>
      <c r="DW164" s="25" t="n">
        <v>0</v>
      </c>
      <c r="DX164" s="24" t="n"/>
      <c r="DY164" s="23" t="n">
        <v>15</v>
      </c>
      <c r="DZ164" s="24" t="n"/>
      <c r="EA164" s="25" t="n">
        <v>0</v>
      </c>
      <c r="EB164" s="24" t="n"/>
      <c r="EC164" s="23" t="n">
        <v>15</v>
      </c>
      <c r="ED164" s="24" t="n"/>
      <c r="EE164" s="25" t="n">
        <v>0</v>
      </c>
      <c r="EF164" s="24" t="n"/>
      <c r="EG164" s="23" t="n">
        <v>15</v>
      </c>
      <c r="EH164" s="24" t="n"/>
      <c r="EI164" s="25" t="n">
        <v>0</v>
      </c>
      <c r="EJ164" s="24" t="n"/>
      <c r="EK164" s="23" t="n">
        <v>15</v>
      </c>
      <c r="EL164" s="24" t="n"/>
      <c r="EM164" s="25" t="n">
        <v>0</v>
      </c>
      <c r="EN164" s="24" t="n"/>
      <c r="EO164" s="23" t="n">
        <v>15</v>
      </c>
      <c r="EP164" s="24" t="n"/>
      <c r="EQ164" s="25" t="n">
        <v>0</v>
      </c>
      <c r="ER164" s="24" t="n"/>
      <c r="ES164" s="23" t="n">
        <v>15</v>
      </c>
      <c r="ET164" s="24" t="n"/>
      <c r="EU164" s="25" t="n">
        <v>0</v>
      </c>
      <c r="EV164" s="24" t="n"/>
      <c r="EW164" s="23" t="n">
        <v>15</v>
      </c>
      <c r="EX164" s="24" t="n"/>
      <c r="EY164" s="25" t="n">
        <v>0</v>
      </c>
      <c r="EZ164" s="24" t="n"/>
      <c r="FA164" s="23" t="n">
        <v>15</v>
      </c>
      <c r="FB164" s="24" t="n"/>
      <c r="FC164" s="25" t="n">
        <v>0</v>
      </c>
      <c r="FD164" s="24" t="n"/>
      <c r="FE164" s="23" t="n">
        <v>15</v>
      </c>
      <c r="FF164" s="24" t="n"/>
      <c r="FG164" s="25" t="n">
        <v>0</v>
      </c>
      <c r="FH164" s="24" t="n"/>
      <c r="FI164" s="23" t="n">
        <v>15</v>
      </c>
      <c r="FJ164" s="24" t="n"/>
      <c r="FK164" s="25" t="n">
        <v>0</v>
      </c>
      <c r="FL164" s="24" t="n"/>
      <c r="FM164" s="23" t="n">
        <v>15</v>
      </c>
      <c r="FN164" s="24" t="n"/>
      <c r="FO164" s="25" t="n">
        <v>0</v>
      </c>
      <c r="FP164" s="24" t="n"/>
      <c r="FQ164" s="340" t="n"/>
      <c r="FR164" s="803">
        <f>SUMPRODUCT(--(MOD(COLUMN(DU164:ER164),4)=MOD(COLUMN(DU164),4)),DU164:ER164)+SUMPRODUCT(--(MOD(COLUMN(ES164:FP164),4)=MOD(COLUMN(ES164),4)),ES164:FP164)</f>
        <v/>
      </c>
      <c r="FS164" s="803">
        <f>SUMPRODUCT(--(MOD(COLUMN(DU164:ER164),4)=MOD(COLUMN(DU164),4)),DU164:ER164)*$I164+SUMPRODUCT(--(MOD(COLUMN(ES164:FP164),4)=MOD(COLUMN(ES164),4)),ES164:FP164)*$I164</f>
        <v/>
      </c>
      <c r="FT164" s="361" t="n"/>
    </row>
    <row r="165" outlineLevel="2">
      <c r="A165" s="56" t="inlineStr">
        <is>
          <t>ПАО «Уралавтоприцеп»</t>
        </is>
      </c>
      <c r="B165" s="387" t="inlineStr">
        <is>
          <t>Отсрочка 30 дней</t>
        </is>
      </c>
      <c r="C165" s="541" t="inlineStr">
        <is>
          <t>ВБК РУС</t>
        </is>
      </c>
      <c r="D165" s="565" t="inlineStr">
        <is>
          <t>Прасолов, Соловьёв</t>
        </is>
      </c>
      <c r="E165" s="10">
        <f>IF(ISBLANK(G165),"",IF($A$6:$A$330=$A165,COUNTIF($A$6:A165,$A165),""))</f>
        <v/>
      </c>
      <c r="F165" s="669" t="n">
        <v>1</v>
      </c>
      <c r="G165" s="129" t="n">
        <v>4640061000</v>
      </c>
      <c r="H165" s="610" t="inlineStr">
        <is>
          <t>Кран уровня пола</t>
        </is>
      </c>
      <c r="I165" s="618" t="n">
        <v>0</v>
      </c>
      <c r="J165" s="618" t="n"/>
      <c r="K165" s="874" t="n"/>
      <c r="L165" s="618">
        <f>IF(K165="RUB",J165/ЮАНЬ,IF(K165="EUR",J165*ЕВРО/ЮАНЬ,""))</f>
        <v/>
      </c>
      <c r="M165" s="873" t="n"/>
      <c r="N165" s="871">
        <f>IF(BP165&gt;0,1,IF(BN165&gt;0,2,))</f>
        <v/>
      </c>
      <c r="O165" s="23" t="n">
        <v>20</v>
      </c>
      <c r="P165" s="24">
        <f>SUMPRODUCT((Комплекты[Пр]=$F165)*(Комплекты[Обозначение]=$G165)*Комплекты[Кол-во]*(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65" s="25" t="n">
        <v>2</v>
      </c>
      <c r="R165" s="24" t="n"/>
      <c r="S165" s="23" t="n">
        <v>20</v>
      </c>
      <c r="T165" s="24">
        <f>SUMPRODUCT((Комплекты[Пр]=$F165)*(Комплекты[Обозначение]=$G165)*Комплекты[Кол-во]*(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65" s="25" t="n">
        <v>5</v>
      </c>
      <c r="V165" s="24" t="n"/>
      <c r="W165" s="23" t="n">
        <v>20</v>
      </c>
      <c r="X165" s="24">
        <f>SUMPRODUCT((Комплекты[Пр]=$F165)*(Комплекты[Обозначение]=$G165)*Комплекты[Кол-во]*(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65" s="25" t="n">
        <v>20</v>
      </c>
      <c r="Z165" s="24" t="n"/>
      <c r="AA165" s="23" t="n">
        <v>10</v>
      </c>
      <c r="AB165" s="24">
        <f>SUMPRODUCT((Комплекты[Пр]=$F165)*(Комплекты[Обозначение]=$G165)*Комплекты[Кол-во]*(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65" s="25" t="n">
        <v>1</v>
      </c>
      <c r="AD165" s="24" t="n"/>
      <c r="AE165" s="23" t="n">
        <v>10</v>
      </c>
      <c r="AF165" s="24">
        <f>SUMPRODUCT((Комплекты[Пр]=$F165)*(Комплекты[Обозначение]=$G165)*Комплекты[Кол-во]*(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65" s="25" t="n">
        <v>27</v>
      </c>
      <c r="AH165" s="24" t="n"/>
      <c r="AI165" s="23" t="n">
        <v>10</v>
      </c>
      <c r="AJ165" s="24">
        <f>SUMPRODUCT((Комплекты[Пр]=$F165)*(Комплекты[Обозначение]=$G165)*Комплекты[Кол-во]*(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65" s="25" t="n">
        <v>0</v>
      </c>
      <c r="AL165" s="24" t="n"/>
      <c r="AM165" s="23" t="n">
        <v>10</v>
      </c>
      <c r="AN165" s="24">
        <f>SUMPRODUCT((Комплекты[Пр]=$F165)*(Комплекты[Обозначение]=$G165)*Комплекты[Кол-во]*(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65" s="25" t="n">
        <v>0</v>
      </c>
      <c r="AP165" s="24" t="n"/>
      <c r="AQ165" s="23" t="n">
        <v>10</v>
      </c>
      <c r="AR165" s="24">
        <f>SUMPRODUCT((Комплекты[Пр]=$F165)*(Комплекты[Обозначение]=$G165)*Комплекты[Кол-во]*(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65" s="25" t="n">
        <v>0</v>
      </c>
      <c r="AT165" s="24" t="n"/>
      <c r="AU165" s="23" t="n">
        <v>10</v>
      </c>
      <c r="AV165" s="24">
        <f>SUMPRODUCT((Комплекты[Пр]=$F165)*(Комплекты[Обозначение]=$G165)*Комплекты[Кол-во]*(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65" s="25" t="n">
        <v>0</v>
      </c>
      <c r="AX165" s="24" t="n"/>
      <c r="AY165" s="23" t="n">
        <v>10</v>
      </c>
      <c r="AZ165" s="24">
        <f>SUMPRODUCT((Комплекты[Пр]=$F165)*(Комплекты[Обозначение]=$G165)*Комплекты[Кол-во]*(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65" s="25" t="n">
        <v>0</v>
      </c>
      <c r="BB165" s="24" t="n"/>
      <c r="BC165" s="23" t="n">
        <v>10</v>
      </c>
      <c r="BD165" s="24">
        <f>SUMPRODUCT((Комплекты[Пр]=$F165)*(Комплекты[Обозначение]=$G165)*Комплекты[Кол-во]*(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65" s="25" t="n">
        <v>0</v>
      </c>
      <c r="BF165" s="24" t="n"/>
      <c r="BG165" s="23" t="n">
        <v>10</v>
      </c>
      <c r="BH165" s="24">
        <f>SUMPRODUCT((Комплекты[Пр]=$F165)*(Комплекты[Обозначение]=$G165)*Комплекты[Кол-во]*(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65" s="25" t="n">
        <v>0</v>
      </c>
      <c r="BJ165" s="24" t="n"/>
      <c r="BK165" s="340" t="n"/>
      <c r="BL165" s="803">
        <f>SUMPRODUCT(--(MOD(COLUMN($O165:$AL165),4)=MOD(COLUMN($O165)+0,4)),$O165:$AL165)
+SUMPRODUCT(--(MOD(COLUMN($AM165:$BJ165),4)=MOD(COLUMN($AM165)+0,4)),$AM165:$BJ165)</f>
        <v/>
      </c>
      <c r="BM165" s="803">
        <f>SUMPRODUCT(--(MOD(COLUMN($O165:$AL165),4)=MOD(COLUMN($O165)+0,4)),$O165:$AL165)*
$I165+SUMPRODUCT(--(MOD(COLUMN($AM165:$BJ165),4)=MOD(COLUMN($AM165)+0,4)),$AM165:$BJ165)*$I165</f>
        <v/>
      </c>
      <c r="BN165" s="805">
        <f>SUMPRODUCT(--(MOD(COLUMN($O165:$AL165),4)=MOD(COLUMN($O165)+1,4)),$O165:$AL165)
+SUMPRODUCT(--(MOD(COLUMN($AM165:$BJ165),4)=MOD(COLUMN($AM165)+1,4)),$AM165:$BJ165)</f>
        <v/>
      </c>
      <c r="BO165" s="806">
        <f>SUMPRODUCT(--(MOD(COLUMN($O165:$AL165),4)=MOD(COLUMN($O165)+1,4)),$O165:$AL165)*
$I165+SUMPRODUCT(--(MOD(COLUMN($AM165:$BJ165),4)=MOD(COLUMN($AM165)+1,4)),$AM165:$BJ165)*$I165</f>
        <v/>
      </c>
      <c r="BP165" s="807">
        <f>SUMPRODUCT(--(MOD(COLUMN($O165:$AL165),4)=MOD(COLUMN($O165)+2,4)),$O165:$AL165)
+SUMPRODUCT(--(MOD(COLUMN($AM165:$BJ165),4)=MOD(COLUMN($AM165)+2,4)),$AM165:$BJ165)</f>
        <v/>
      </c>
      <c r="BQ165" s="808">
        <f>SUMPRODUCT(--(MOD(COLUMN($O165:$AL165),4)=MOD(COLUMN($O165)+2,4)),$O165:$AL165)*
$I165+SUMPRODUCT(--(MOD(COLUMN($AM165:$BJ165),4)=MOD(COLUMN($AM165)+2,4)),$AM165:$BJ165)*$I165</f>
        <v/>
      </c>
      <c r="BR165" s="801" t="n"/>
      <c r="BS165" s="819" t="n"/>
      <c r="BT165" s="23" t="n">
        <v>15</v>
      </c>
      <c r="BU165" s="24" t="n"/>
      <c r="BV165" s="25" t="n">
        <v>0</v>
      </c>
      <c r="BW165" s="24" t="n"/>
      <c r="BX165" s="23" t="n">
        <v>15</v>
      </c>
      <c r="BY165" s="24" t="n"/>
      <c r="BZ165" s="25" t="n">
        <v>0</v>
      </c>
      <c r="CA165" s="24" t="n"/>
      <c r="CB165" s="23" t="n">
        <v>15</v>
      </c>
      <c r="CC165" s="24" t="n"/>
      <c r="CD165" s="25" t="n">
        <v>0</v>
      </c>
      <c r="CE165" s="24" t="n"/>
      <c r="CF165" s="23" t="n">
        <v>15</v>
      </c>
      <c r="CG165" s="24" t="n"/>
      <c r="CH165" s="25" t="n">
        <v>0</v>
      </c>
      <c r="CI165" s="24" t="n"/>
      <c r="CJ165" s="23" t="n">
        <v>15</v>
      </c>
      <c r="CK165" s="24" t="n"/>
      <c r="CL165" s="25" t="n">
        <v>0</v>
      </c>
      <c r="CM165" s="24" t="n"/>
      <c r="CN165" s="23" t="n">
        <v>15</v>
      </c>
      <c r="CO165" s="24" t="n"/>
      <c r="CP165" s="25" t="n">
        <v>0</v>
      </c>
      <c r="CQ165" s="24" t="n"/>
      <c r="CR165" s="23" t="n">
        <v>15</v>
      </c>
      <c r="CS165" s="24" t="n"/>
      <c r="CT165" s="25" t="n">
        <v>0</v>
      </c>
      <c r="CU165" s="24" t="n"/>
      <c r="CV165" s="23" t="n">
        <v>15</v>
      </c>
      <c r="CW165" s="24" t="n"/>
      <c r="CX165" s="25" t="n">
        <v>0</v>
      </c>
      <c r="CY165" s="24" t="n"/>
      <c r="CZ165" s="23" t="n">
        <v>15</v>
      </c>
      <c r="DA165" s="24" t="n"/>
      <c r="DB165" s="25" t="n">
        <v>0</v>
      </c>
      <c r="DC165" s="24" t="n"/>
      <c r="DD165" s="23" t="n">
        <v>15</v>
      </c>
      <c r="DE165" s="24" t="n"/>
      <c r="DF165" s="25" t="n">
        <v>0</v>
      </c>
      <c r="DG165" s="24" t="n"/>
      <c r="DH165" s="23" t="n">
        <v>15</v>
      </c>
      <c r="DI165" s="24" t="n"/>
      <c r="DJ165" s="25" t="n">
        <v>0</v>
      </c>
      <c r="DK165" s="24" t="n"/>
      <c r="DL165" s="23" t="n">
        <v>15</v>
      </c>
      <c r="DM165" s="24" t="n"/>
      <c r="DN165" s="25" t="n">
        <v>0</v>
      </c>
      <c r="DO165" s="24" t="n"/>
      <c r="DP165" s="340" t="n"/>
      <c r="DQ165" s="803">
        <f>SUMPRODUCT(--(MOD(COLUMN(BT165:CQ165),4)=MOD(COLUMN(BT165),4)),BT165:CQ165)+SUMPRODUCT(--(MOD(COLUMN(CR165:DO165),4)=MOD(COLUMN(CR165),4)),CR165:DO165)</f>
        <v/>
      </c>
      <c r="DR165" s="803">
        <f>SUMPRODUCT(--(MOD(COLUMN(BT165:CQ165),4)=MOD(COLUMN(BT165),4)),BT165:CQ165)*$I165+SUMPRODUCT(--(MOD(COLUMN(CR165:DO165),4)=MOD(COLUMN(CR165),4)),CR165:DO165)*$I165</f>
        <v/>
      </c>
      <c r="DS165" s="801" t="n"/>
      <c r="DT165" s="819" t="n"/>
      <c r="DU165" s="23" t="n">
        <v>15</v>
      </c>
      <c r="DV165" s="24" t="n"/>
      <c r="DW165" s="25" t="n">
        <v>0</v>
      </c>
      <c r="DX165" s="24" t="n"/>
      <c r="DY165" s="23" t="n">
        <v>15</v>
      </c>
      <c r="DZ165" s="24" t="n"/>
      <c r="EA165" s="25" t="n">
        <v>0</v>
      </c>
      <c r="EB165" s="24" t="n"/>
      <c r="EC165" s="23" t="n">
        <v>15</v>
      </c>
      <c r="ED165" s="24" t="n"/>
      <c r="EE165" s="25" t="n">
        <v>0</v>
      </c>
      <c r="EF165" s="24" t="n"/>
      <c r="EG165" s="23" t="n">
        <v>15</v>
      </c>
      <c r="EH165" s="24" t="n"/>
      <c r="EI165" s="25" t="n">
        <v>0</v>
      </c>
      <c r="EJ165" s="24" t="n"/>
      <c r="EK165" s="23" t="n">
        <v>15</v>
      </c>
      <c r="EL165" s="24" t="n"/>
      <c r="EM165" s="25" t="n">
        <v>0</v>
      </c>
      <c r="EN165" s="24" t="n"/>
      <c r="EO165" s="23" t="n">
        <v>15</v>
      </c>
      <c r="EP165" s="24" t="n"/>
      <c r="EQ165" s="25" t="n">
        <v>0</v>
      </c>
      <c r="ER165" s="24" t="n"/>
      <c r="ES165" s="23" t="n">
        <v>15</v>
      </c>
      <c r="ET165" s="24" t="n"/>
      <c r="EU165" s="25" t="n">
        <v>0</v>
      </c>
      <c r="EV165" s="24" t="n"/>
      <c r="EW165" s="23" t="n">
        <v>15</v>
      </c>
      <c r="EX165" s="24" t="n"/>
      <c r="EY165" s="25" t="n">
        <v>0</v>
      </c>
      <c r="EZ165" s="24" t="n"/>
      <c r="FA165" s="23" t="n">
        <v>15</v>
      </c>
      <c r="FB165" s="24" t="n"/>
      <c r="FC165" s="25" t="n">
        <v>0</v>
      </c>
      <c r="FD165" s="24" t="n"/>
      <c r="FE165" s="23" t="n">
        <v>15</v>
      </c>
      <c r="FF165" s="24" t="n"/>
      <c r="FG165" s="25" t="n">
        <v>0</v>
      </c>
      <c r="FH165" s="24" t="n"/>
      <c r="FI165" s="23" t="n">
        <v>15</v>
      </c>
      <c r="FJ165" s="24" t="n"/>
      <c r="FK165" s="25" t="n">
        <v>0</v>
      </c>
      <c r="FL165" s="24" t="n"/>
      <c r="FM165" s="23" t="n">
        <v>15</v>
      </c>
      <c r="FN165" s="24" t="n"/>
      <c r="FO165" s="25" t="n">
        <v>0</v>
      </c>
      <c r="FP165" s="24" t="n"/>
      <c r="FQ165" s="340" t="n"/>
      <c r="FR165" s="803">
        <f>SUMPRODUCT(--(MOD(COLUMN(DU165:ER165),4)=MOD(COLUMN(DU165),4)),DU165:ER165)+SUMPRODUCT(--(MOD(COLUMN(ES165:FP165),4)=MOD(COLUMN(ES165),4)),ES165:FP165)</f>
        <v/>
      </c>
      <c r="FS165" s="803">
        <f>SUMPRODUCT(--(MOD(COLUMN(DU165:ER165),4)=MOD(COLUMN(DU165),4)),DU165:ER165)*$I165+SUMPRODUCT(--(MOD(COLUMN(ES165:FP165),4)=MOD(COLUMN(ES165),4)),ES165:FP165)*$I165</f>
        <v/>
      </c>
      <c r="FT165" s="361" t="n"/>
    </row>
    <row r="166" outlineLevel="2">
      <c r="A166" s="56" t="inlineStr">
        <is>
          <t>ПАО «Уралавтоприцеп»</t>
        </is>
      </c>
      <c r="B166" s="387" t="inlineStr">
        <is>
          <t>Отсрочка 30 дней</t>
        </is>
      </c>
      <c r="C166" s="541" t="inlineStr">
        <is>
          <t>ВБК РУС</t>
        </is>
      </c>
      <c r="D166" s="565" t="inlineStr">
        <is>
          <t>Прасолов, Соловьёв</t>
        </is>
      </c>
      <c r="E166" s="10">
        <f>IF(ISBLANK(G166),"",IF($A$6:$A$330=$A166,COUNTIF($A$6:A166,$A166),""))</f>
        <v/>
      </c>
      <c r="F166" s="669" t="n">
        <v>1</v>
      </c>
      <c r="G166" s="129" t="n">
        <v>4630320200</v>
      </c>
      <c r="H166" s="610" t="inlineStr">
        <is>
          <t>Кран ручного управления</t>
        </is>
      </c>
      <c r="I166" s="618" t="n">
        <v>0</v>
      </c>
      <c r="J166" s="618" t="n"/>
      <c r="K166" s="874" t="n"/>
      <c r="L166" s="618">
        <f>IF(K166="RUB",J166/ЮАНЬ,IF(K166="EUR",J166*ЕВРО/ЮАНЬ,""))</f>
        <v/>
      </c>
      <c r="M166" s="873" t="n"/>
      <c r="N166" s="871">
        <f>IF(BP166&gt;0,1,IF(BN166&gt;0,2,))</f>
        <v/>
      </c>
      <c r="O166" s="23" t="n">
        <v>20</v>
      </c>
      <c r="P166" s="24">
        <f>SUMPRODUCT((Комплекты[Пр]=$F166)*(Комплекты[Обозначение]=$G166)*Комплекты[Кол-во]*(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66" s="25" t="n">
        <v>2</v>
      </c>
      <c r="R166" s="24" t="n"/>
      <c r="S166" s="23" t="n">
        <v>20</v>
      </c>
      <c r="T166" s="24">
        <f>SUMPRODUCT((Комплекты[Пр]=$F166)*(Комплекты[Обозначение]=$G166)*Комплекты[Кол-во]*(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66" s="25" t="n">
        <v>5</v>
      </c>
      <c r="V166" s="24" t="n"/>
      <c r="W166" s="23" t="n">
        <v>20</v>
      </c>
      <c r="X166" s="24">
        <f>SUMPRODUCT((Комплекты[Пр]=$F166)*(Комплекты[Обозначение]=$G166)*Комплекты[Кол-во]*(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66" s="25" t="n">
        <v>20</v>
      </c>
      <c r="Z166" s="24" t="n"/>
      <c r="AA166" s="23" t="n">
        <v>10</v>
      </c>
      <c r="AB166" s="24">
        <f>SUMPRODUCT((Комплекты[Пр]=$F166)*(Комплекты[Обозначение]=$G166)*Комплекты[Кол-во]*(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66" s="25" t="n">
        <v>1</v>
      </c>
      <c r="AD166" s="24" t="n"/>
      <c r="AE166" s="23" t="n">
        <v>10</v>
      </c>
      <c r="AF166" s="24">
        <f>SUMPRODUCT((Комплекты[Пр]=$F166)*(Комплекты[Обозначение]=$G166)*Комплекты[Кол-во]*(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66" s="25" t="n">
        <v>27</v>
      </c>
      <c r="AH166" s="24" t="n"/>
      <c r="AI166" s="23" t="n">
        <v>10</v>
      </c>
      <c r="AJ166" s="24">
        <f>SUMPRODUCT((Комплекты[Пр]=$F166)*(Комплекты[Обозначение]=$G166)*Комплекты[Кол-во]*(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66" s="25" t="n">
        <v>0</v>
      </c>
      <c r="AL166" s="24" t="n"/>
      <c r="AM166" s="23" t="n">
        <v>10</v>
      </c>
      <c r="AN166" s="24">
        <f>SUMPRODUCT((Комплекты[Пр]=$F166)*(Комплекты[Обозначение]=$G166)*Комплекты[Кол-во]*(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66" s="25" t="n">
        <v>0</v>
      </c>
      <c r="AP166" s="24" t="n"/>
      <c r="AQ166" s="23" t="n">
        <v>10</v>
      </c>
      <c r="AR166" s="24">
        <f>SUMPRODUCT((Комплекты[Пр]=$F166)*(Комплекты[Обозначение]=$G166)*Комплекты[Кол-во]*(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66" s="25" t="n">
        <v>0</v>
      </c>
      <c r="AT166" s="24" t="n"/>
      <c r="AU166" s="23" t="n">
        <v>10</v>
      </c>
      <c r="AV166" s="24">
        <f>SUMPRODUCT((Комплекты[Пр]=$F166)*(Комплекты[Обозначение]=$G166)*Комплекты[Кол-во]*(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66" s="25" t="n">
        <v>0</v>
      </c>
      <c r="AX166" s="24" t="n"/>
      <c r="AY166" s="23" t="n">
        <v>10</v>
      </c>
      <c r="AZ166" s="24">
        <f>SUMPRODUCT((Комплекты[Пр]=$F166)*(Комплекты[Обозначение]=$G166)*Комплекты[Кол-во]*(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66" s="25" t="n">
        <v>0</v>
      </c>
      <c r="BB166" s="24" t="n"/>
      <c r="BC166" s="23" t="n">
        <v>10</v>
      </c>
      <c r="BD166" s="24">
        <f>SUMPRODUCT((Комплекты[Пр]=$F166)*(Комплекты[Обозначение]=$G166)*Комплекты[Кол-во]*(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66" s="25" t="n">
        <v>0</v>
      </c>
      <c r="BF166" s="24" t="n"/>
      <c r="BG166" s="23" t="n">
        <v>10</v>
      </c>
      <c r="BH166" s="24">
        <f>SUMPRODUCT((Комплекты[Пр]=$F166)*(Комплекты[Обозначение]=$G166)*Комплекты[Кол-во]*(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66" s="25" t="n">
        <v>0</v>
      </c>
      <c r="BJ166" s="24" t="n"/>
      <c r="BK166" s="340" t="n"/>
      <c r="BL166" s="803">
        <f>SUMPRODUCT(--(MOD(COLUMN($O166:$AL166),4)=MOD(COLUMN($O166)+0,4)),$O166:$AL166)
+SUMPRODUCT(--(MOD(COLUMN($AM166:$BJ166),4)=MOD(COLUMN($AM166)+0,4)),$AM166:$BJ166)</f>
        <v/>
      </c>
      <c r="BM166" s="803">
        <f>SUMPRODUCT(--(MOD(COLUMN($O166:$AL166),4)=MOD(COLUMN($O166)+0,4)),$O166:$AL166)*
$I166+SUMPRODUCT(--(MOD(COLUMN($AM166:$BJ166),4)=MOD(COLUMN($AM166)+0,4)),$AM166:$BJ166)*$I166</f>
        <v/>
      </c>
      <c r="BN166" s="805">
        <f>SUMPRODUCT(--(MOD(COLUMN($O166:$AL166),4)=MOD(COLUMN($O166)+1,4)),$O166:$AL166)
+SUMPRODUCT(--(MOD(COLUMN($AM166:$BJ166),4)=MOD(COLUMN($AM166)+1,4)),$AM166:$BJ166)</f>
        <v/>
      </c>
      <c r="BO166" s="806">
        <f>SUMPRODUCT(--(MOD(COLUMN($O166:$AL166),4)=MOD(COLUMN($O166)+1,4)),$O166:$AL166)*
$I166+SUMPRODUCT(--(MOD(COLUMN($AM166:$BJ166),4)=MOD(COLUMN($AM166)+1,4)),$AM166:$BJ166)*$I166</f>
        <v/>
      </c>
      <c r="BP166" s="807">
        <f>SUMPRODUCT(--(MOD(COLUMN($O166:$AL166),4)=MOD(COLUMN($O166)+2,4)),$O166:$AL166)
+SUMPRODUCT(--(MOD(COLUMN($AM166:$BJ166),4)=MOD(COLUMN($AM166)+2,4)),$AM166:$BJ166)</f>
        <v/>
      </c>
      <c r="BQ166" s="808">
        <f>SUMPRODUCT(--(MOD(COLUMN($O166:$AL166),4)=MOD(COLUMN($O166)+2,4)),$O166:$AL166)*
$I166+SUMPRODUCT(--(MOD(COLUMN($AM166:$BJ166),4)=MOD(COLUMN($AM166)+2,4)),$AM166:$BJ166)*$I166</f>
        <v/>
      </c>
      <c r="BR166" s="801" t="n"/>
      <c r="BS166" s="819" t="n"/>
      <c r="BT166" s="23" t="n">
        <v>15</v>
      </c>
      <c r="BU166" s="24" t="n"/>
      <c r="BV166" s="25" t="n">
        <v>0</v>
      </c>
      <c r="BW166" s="24" t="n"/>
      <c r="BX166" s="23" t="n">
        <v>15</v>
      </c>
      <c r="BY166" s="24" t="n"/>
      <c r="BZ166" s="25" t="n">
        <v>0</v>
      </c>
      <c r="CA166" s="24" t="n"/>
      <c r="CB166" s="23" t="n">
        <v>15</v>
      </c>
      <c r="CC166" s="24" t="n"/>
      <c r="CD166" s="25" t="n">
        <v>0</v>
      </c>
      <c r="CE166" s="24" t="n"/>
      <c r="CF166" s="23" t="n">
        <v>15</v>
      </c>
      <c r="CG166" s="24" t="n"/>
      <c r="CH166" s="25" t="n">
        <v>0</v>
      </c>
      <c r="CI166" s="24" t="n"/>
      <c r="CJ166" s="23" t="n">
        <v>15</v>
      </c>
      <c r="CK166" s="24" t="n"/>
      <c r="CL166" s="25" t="n">
        <v>0</v>
      </c>
      <c r="CM166" s="24" t="n"/>
      <c r="CN166" s="23" t="n">
        <v>15</v>
      </c>
      <c r="CO166" s="24" t="n"/>
      <c r="CP166" s="25" t="n">
        <v>0</v>
      </c>
      <c r="CQ166" s="24" t="n"/>
      <c r="CR166" s="23" t="n">
        <v>15</v>
      </c>
      <c r="CS166" s="24" t="n"/>
      <c r="CT166" s="25" t="n">
        <v>0</v>
      </c>
      <c r="CU166" s="24" t="n"/>
      <c r="CV166" s="23" t="n">
        <v>15</v>
      </c>
      <c r="CW166" s="24" t="n"/>
      <c r="CX166" s="25" t="n">
        <v>0</v>
      </c>
      <c r="CY166" s="24" t="n"/>
      <c r="CZ166" s="23" t="n">
        <v>15</v>
      </c>
      <c r="DA166" s="24" t="n"/>
      <c r="DB166" s="25" t="n">
        <v>0</v>
      </c>
      <c r="DC166" s="24" t="n"/>
      <c r="DD166" s="23" t="n">
        <v>15</v>
      </c>
      <c r="DE166" s="24" t="n"/>
      <c r="DF166" s="25" t="n">
        <v>0</v>
      </c>
      <c r="DG166" s="24" t="n"/>
      <c r="DH166" s="23" t="n">
        <v>15</v>
      </c>
      <c r="DI166" s="24" t="n"/>
      <c r="DJ166" s="25" t="n">
        <v>0</v>
      </c>
      <c r="DK166" s="24" t="n"/>
      <c r="DL166" s="23" t="n">
        <v>15</v>
      </c>
      <c r="DM166" s="24" t="n"/>
      <c r="DN166" s="25" t="n">
        <v>0</v>
      </c>
      <c r="DO166" s="24" t="n"/>
      <c r="DP166" s="340" t="n"/>
      <c r="DQ166" s="803">
        <f>SUMPRODUCT(--(MOD(COLUMN(BT166:CQ166),4)=MOD(COLUMN(BT166),4)),BT166:CQ166)+SUMPRODUCT(--(MOD(COLUMN(CR166:DO166),4)=MOD(COLUMN(CR166),4)),CR166:DO166)</f>
        <v/>
      </c>
      <c r="DR166" s="803">
        <f>SUMPRODUCT(--(MOD(COLUMN(BT166:CQ166),4)=MOD(COLUMN(BT166),4)),BT166:CQ166)*$I166+SUMPRODUCT(--(MOD(COLUMN(CR166:DO166),4)=MOD(COLUMN(CR166),4)),CR166:DO166)*$I166</f>
        <v/>
      </c>
      <c r="DS166" s="801" t="n"/>
      <c r="DT166" s="819" t="n"/>
      <c r="DU166" s="23" t="n">
        <v>15</v>
      </c>
      <c r="DV166" s="24" t="n"/>
      <c r="DW166" s="25" t="n">
        <v>0</v>
      </c>
      <c r="DX166" s="24" t="n"/>
      <c r="DY166" s="23" t="n">
        <v>15</v>
      </c>
      <c r="DZ166" s="24" t="n"/>
      <c r="EA166" s="25" t="n">
        <v>0</v>
      </c>
      <c r="EB166" s="24" t="n"/>
      <c r="EC166" s="23" t="n">
        <v>15</v>
      </c>
      <c r="ED166" s="24" t="n"/>
      <c r="EE166" s="25" t="n">
        <v>0</v>
      </c>
      <c r="EF166" s="24" t="n"/>
      <c r="EG166" s="23" t="n">
        <v>15</v>
      </c>
      <c r="EH166" s="24" t="n"/>
      <c r="EI166" s="25" t="n">
        <v>0</v>
      </c>
      <c r="EJ166" s="24" t="n"/>
      <c r="EK166" s="23" t="n">
        <v>15</v>
      </c>
      <c r="EL166" s="24" t="n"/>
      <c r="EM166" s="25" t="n">
        <v>0</v>
      </c>
      <c r="EN166" s="24" t="n"/>
      <c r="EO166" s="23" t="n">
        <v>15</v>
      </c>
      <c r="EP166" s="24" t="n"/>
      <c r="EQ166" s="25" t="n">
        <v>0</v>
      </c>
      <c r="ER166" s="24" t="n"/>
      <c r="ES166" s="23" t="n">
        <v>15</v>
      </c>
      <c r="ET166" s="24" t="n"/>
      <c r="EU166" s="25" t="n">
        <v>0</v>
      </c>
      <c r="EV166" s="24" t="n"/>
      <c r="EW166" s="23" t="n">
        <v>15</v>
      </c>
      <c r="EX166" s="24" t="n"/>
      <c r="EY166" s="25" t="n">
        <v>0</v>
      </c>
      <c r="EZ166" s="24" t="n"/>
      <c r="FA166" s="23" t="n">
        <v>15</v>
      </c>
      <c r="FB166" s="24" t="n"/>
      <c r="FC166" s="25" t="n">
        <v>0</v>
      </c>
      <c r="FD166" s="24" t="n"/>
      <c r="FE166" s="23" t="n">
        <v>15</v>
      </c>
      <c r="FF166" s="24" t="n"/>
      <c r="FG166" s="25" t="n">
        <v>0</v>
      </c>
      <c r="FH166" s="24" t="n"/>
      <c r="FI166" s="23" t="n">
        <v>15</v>
      </c>
      <c r="FJ166" s="24" t="n"/>
      <c r="FK166" s="25" t="n">
        <v>0</v>
      </c>
      <c r="FL166" s="24" t="n"/>
      <c r="FM166" s="23" t="n">
        <v>15</v>
      </c>
      <c r="FN166" s="24" t="n"/>
      <c r="FO166" s="25" t="n">
        <v>0</v>
      </c>
      <c r="FP166" s="24" t="n"/>
      <c r="FQ166" s="340" t="n"/>
      <c r="FR166" s="803">
        <f>SUMPRODUCT(--(MOD(COLUMN(DU166:ER166),4)=MOD(COLUMN(DU166),4)),DU166:ER166)+SUMPRODUCT(--(MOD(COLUMN(ES166:FP166),4)=MOD(COLUMN(ES166),4)),ES166:FP166)</f>
        <v/>
      </c>
      <c r="FS166" s="803">
        <f>SUMPRODUCT(--(MOD(COLUMN(DU166:ER166),4)=MOD(COLUMN(DU166),4)),DU166:ER166)*$I166+SUMPRODUCT(--(MOD(COLUMN(ES166:FP166),4)=MOD(COLUMN(ES166),4)),ES166:FP166)*$I166</f>
        <v/>
      </c>
      <c r="FT166" s="361" t="n"/>
    </row>
    <row r="167" outlineLevel="2">
      <c r="A167" s="56" t="inlineStr">
        <is>
          <t>ПАО «Уралавтоприцеп»</t>
        </is>
      </c>
      <c r="B167" s="387" t="inlineStr">
        <is>
          <t>Отсрочка 30 дней</t>
        </is>
      </c>
      <c r="C167" s="541" t="inlineStr">
        <is>
          <t>ВБК РУС</t>
        </is>
      </c>
      <c r="D167" s="565" t="inlineStr">
        <is>
          <t>Прасолов, Соловьёв</t>
        </is>
      </c>
      <c r="E167" s="10">
        <f>IF(ISBLANK(G167),"",IF($A$6:$A$330=$A167,COUNTIF($A$6:A167,$A167),""))</f>
        <v/>
      </c>
      <c r="F167" s="669" t="n">
        <v>1</v>
      </c>
      <c r="G167" s="129" t="n">
        <v>4334010030</v>
      </c>
      <c r="H167" s="610" t="inlineStr">
        <is>
          <t>Упругий элемент</t>
        </is>
      </c>
      <c r="I167" s="618" t="n">
        <v>0</v>
      </c>
      <c r="J167" s="618" t="n"/>
      <c r="K167" s="874" t="n"/>
      <c r="L167" s="618">
        <f>IF(K167="RUB",J167/ЮАНЬ,IF(K167="EUR",J167*ЕВРО/ЮАНЬ,""))</f>
        <v/>
      </c>
      <c r="M167" s="873" t="n"/>
      <c r="N167" s="871">
        <f>IF(BP167&gt;0,1,IF(BN167&gt;0,2,))</f>
        <v/>
      </c>
      <c r="O167" s="23" t="n">
        <v>20</v>
      </c>
      <c r="P167" s="24">
        <f>SUMPRODUCT((Комплекты[Пр]=$F167)*(Комплекты[Обозначение]=$G167)*Комплекты[Кол-во]*(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67" s="25" t="n">
        <v>2</v>
      </c>
      <c r="R167" s="24" t="n"/>
      <c r="S167" s="23" t="n">
        <v>20</v>
      </c>
      <c r="T167" s="24">
        <f>SUMPRODUCT((Комплекты[Пр]=$F167)*(Комплекты[Обозначение]=$G167)*Комплекты[Кол-во]*(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67" s="25" t="n">
        <v>5</v>
      </c>
      <c r="V167" s="24" t="n"/>
      <c r="W167" s="23" t="n">
        <v>20</v>
      </c>
      <c r="X167" s="24">
        <f>SUMPRODUCT((Комплекты[Пр]=$F167)*(Комплекты[Обозначение]=$G167)*Комплекты[Кол-во]*(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67" s="25" t="n">
        <v>20</v>
      </c>
      <c r="Z167" s="24" t="n"/>
      <c r="AA167" s="23" t="n">
        <v>10</v>
      </c>
      <c r="AB167" s="24">
        <f>SUMPRODUCT((Комплекты[Пр]=$F167)*(Комплекты[Обозначение]=$G167)*Комплекты[Кол-во]*(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67" s="25" t="n">
        <v>1</v>
      </c>
      <c r="AD167" s="24" t="n"/>
      <c r="AE167" s="23" t="n">
        <v>10</v>
      </c>
      <c r="AF167" s="24">
        <f>SUMPRODUCT((Комплекты[Пр]=$F167)*(Комплекты[Обозначение]=$G167)*Комплекты[Кол-во]*(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67" s="25" t="n">
        <v>27</v>
      </c>
      <c r="AH167" s="24" t="n"/>
      <c r="AI167" s="23" t="n">
        <v>10</v>
      </c>
      <c r="AJ167" s="24">
        <f>SUMPRODUCT((Комплекты[Пр]=$F167)*(Комплекты[Обозначение]=$G167)*Комплекты[Кол-во]*(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67" s="25" t="n">
        <v>0</v>
      </c>
      <c r="AL167" s="24" t="n"/>
      <c r="AM167" s="23" t="n">
        <v>10</v>
      </c>
      <c r="AN167" s="24">
        <f>SUMPRODUCT((Комплекты[Пр]=$F167)*(Комплекты[Обозначение]=$G167)*Комплекты[Кол-во]*(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67" s="25" t="n">
        <v>0</v>
      </c>
      <c r="AP167" s="24" t="n"/>
      <c r="AQ167" s="23" t="n">
        <v>10</v>
      </c>
      <c r="AR167" s="24">
        <f>SUMPRODUCT((Комплекты[Пр]=$F167)*(Комплекты[Обозначение]=$G167)*Комплекты[Кол-во]*(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67" s="25" t="n">
        <v>0</v>
      </c>
      <c r="AT167" s="24" t="n"/>
      <c r="AU167" s="23" t="n">
        <v>10</v>
      </c>
      <c r="AV167" s="24">
        <f>SUMPRODUCT((Комплекты[Пр]=$F167)*(Комплекты[Обозначение]=$G167)*Комплекты[Кол-во]*(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67" s="25" t="n">
        <v>0</v>
      </c>
      <c r="AX167" s="24" t="n"/>
      <c r="AY167" s="23" t="n">
        <v>10</v>
      </c>
      <c r="AZ167" s="24">
        <f>SUMPRODUCT((Комплекты[Пр]=$F167)*(Комплекты[Обозначение]=$G167)*Комплекты[Кол-во]*(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67" s="25" t="n">
        <v>0</v>
      </c>
      <c r="BB167" s="24" t="n"/>
      <c r="BC167" s="23" t="n">
        <v>10</v>
      </c>
      <c r="BD167" s="24">
        <f>SUMPRODUCT((Комплекты[Пр]=$F167)*(Комплекты[Обозначение]=$G167)*Комплекты[Кол-во]*(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67" s="25" t="n">
        <v>0</v>
      </c>
      <c r="BF167" s="24" t="n"/>
      <c r="BG167" s="23" t="n">
        <v>10</v>
      </c>
      <c r="BH167" s="24">
        <f>SUMPRODUCT((Комплекты[Пр]=$F167)*(Комплекты[Обозначение]=$G167)*Комплекты[Кол-во]*(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67" s="25" t="n">
        <v>0</v>
      </c>
      <c r="BJ167" s="24" t="n"/>
      <c r="BK167" s="340" t="n"/>
      <c r="BL167" s="803">
        <f>SUMPRODUCT(--(MOD(COLUMN($O167:$AL167),4)=MOD(COLUMN($O167)+0,4)),$O167:$AL167)
+SUMPRODUCT(--(MOD(COLUMN($AM167:$BJ167),4)=MOD(COLUMN($AM167)+0,4)),$AM167:$BJ167)</f>
        <v/>
      </c>
      <c r="BM167" s="803">
        <f>SUMPRODUCT(--(MOD(COLUMN($O167:$AL167),4)=MOD(COLUMN($O167)+0,4)),$O167:$AL167)*
$I167+SUMPRODUCT(--(MOD(COLUMN($AM167:$BJ167),4)=MOD(COLUMN($AM167)+0,4)),$AM167:$BJ167)*$I167</f>
        <v/>
      </c>
      <c r="BN167" s="805">
        <f>SUMPRODUCT(--(MOD(COLUMN($O167:$AL167),4)=MOD(COLUMN($O167)+1,4)),$O167:$AL167)
+SUMPRODUCT(--(MOD(COLUMN($AM167:$BJ167),4)=MOD(COLUMN($AM167)+1,4)),$AM167:$BJ167)</f>
        <v/>
      </c>
      <c r="BO167" s="806">
        <f>SUMPRODUCT(--(MOD(COLUMN($O167:$AL167),4)=MOD(COLUMN($O167)+1,4)),$O167:$AL167)*
$I167+SUMPRODUCT(--(MOD(COLUMN($AM167:$BJ167),4)=MOD(COLUMN($AM167)+1,4)),$AM167:$BJ167)*$I167</f>
        <v/>
      </c>
      <c r="BP167" s="807">
        <f>SUMPRODUCT(--(MOD(COLUMN($O167:$AL167),4)=MOD(COLUMN($O167)+2,4)),$O167:$AL167)
+SUMPRODUCT(--(MOD(COLUMN($AM167:$BJ167),4)=MOD(COLUMN($AM167)+2,4)),$AM167:$BJ167)</f>
        <v/>
      </c>
      <c r="BQ167" s="808">
        <f>SUMPRODUCT(--(MOD(COLUMN($O167:$AL167),4)=MOD(COLUMN($O167)+2,4)),$O167:$AL167)*
$I167+SUMPRODUCT(--(MOD(COLUMN($AM167:$BJ167),4)=MOD(COLUMN($AM167)+2,4)),$AM167:$BJ167)*$I167</f>
        <v/>
      </c>
      <c r="BR167" s="801" t="n"/>
      <c r="BS167" s="819" t="n"/>
      <c r="BT167" s="23" t="n">
        <v>15</v>
      </c>
      <c r="BU167" s="24" t="n"/>
      <c r="BV167" s="25" t="n">
        <v>0</v>
      </c>
      <c r="BW167" s="24" t="n"/>
      <c r="BX167" s="23" t="n">
        <v>15</v>
      </c>
      <c r="BY167" s="24" t="n"/>
      <c r="BZ167" s="25" t="n">
        <v>0</v>
      </c>
      <c r="CA167" s="24" t="n"/>
      <c r="CB167" s="23" t="n">
        <v>15</v>
      </c>
      <c r="CC167" s="24" t="n"/>
      <c r="CD167" s="25" t="n">
        <v>0</v>
      </c>
      <c r="CE167" s="24" t="n"/>
      <c r="CF167" s="23" t="n">
        <v>15</v>
      </c>
      <c r="CG167" s="24" t="n"/>
      <c r="CH167" s="25" t="n">
        <v>0</v>
      </c>
      <c r="CI167" s="24" t="n"/>
      <c r="CJ167" s="23" t="n">
        <v>15</v>
      </c>
      <c r="CK167" s="24" t="n"/>
      <c r="CL167" s="25" t="n">
        <v>0</v>
      </c>
      <c r="CM167" s="24" t="n"/>
      <c r="CN167" s="23" t="n">
        <v>15</v>
      </c>
      <c r="CO167" s="24" t="n"/>
      <c r="CP167" s="25" t="n">
        <v>0</v>
      </c>
      <c r="CQ167" s="24" t="n"/>
      <c r="CR167" s="23" t="n">
        <v>15</v>
      </c>
      <c r="CS167" s="24" t="n"/>
      <c r="CT167" s="25" t="n">
        <v>0</v>
      </c>
      <c r="CU167" s="24" t="n"/>
      <c r="CV167" s="23" t="n">
        <v>15</v>
      </c>
      <c r="CW167" s="24" t="n"/>
      <c r="CX167" s="25" t="n">
        <v>0</v>
      </c>
      <c r="CY167" s="24" t="n"/>
      <c r="CZ167" s="23" t="n">
        <v>15</v>
      </c>
      <c r="DA167" s="24" t="n"/>
      <c r="DB167" s="25" t="n">
        <v>0</v>
      </c>
      <c r="DC167" s="24" t="n"/>
      <c r="DD167" s="23" t="n">
        <v>15</v>
      </c>
      <c r="DE167" s="24" t="n"/>
      <c r="DF167" s="25" t="n">
        <v>0</v>
      </c>
      <c r="DG167" s="24" t="n"/>
      <c r="DH167" s="23" t="n">
        <v>15</v>
      </c>
      <c r="DI167" s="24" t="n"/>
      <c r="DJ167" s="25" t="n">
        <v>0</v>
      </c>
      <c r="DK167" s="24" t="n"/>
      <c r="DL167" s="23" t="n">
        <v>15</v>
      </c>
      <c r="DM167" s="24" t="n"/>
      <c r="DN167" s="25" t="n">
        <v>0</v>
      </c>
      <c r="DO167" s="24" t="n"/>
      <c r="DP167" s="340" t="n"/>
      <c r="DQ167" s="803">
        <f>SUMPRODUCT(--(MOD(COLUMN(BT167:CQ167),4)=MOD(COLUMN(BT167),4)),BT167:CQ167)+SUMPRODUCT(--(MOD(COLUMN(CR167:DO167),4)=MOD(COLUMN(CR167),4)),CR167:DO167)</f>
        <v/>
      </c>
      <c r="DR167" s="803">
        <f>SUMPRODUCT(--(MOD(COLUMN(BT167:CQ167),4)=MOD(COLUMN(BT167),4)),BT167:CQ167)*$I167+SUMPRODUCT(--(MOD(COLUMN(CR167:DO167),4)=MOD(COLUMN(CR167),4)),CR167:DO167)*$I167</f>
        <v/>
      </c>
      <c r="DS167" s="801" t="n"/>
      <c r="DT167" s="819" t="n"/>
      <c r="DU167" s="23" t="n">
        <v>15</v>
      </c>
      <c r="DV167" s="24" t="n"/>
      <c r="DW167" s="25" t="n">
        <v>0</v>
      </c>
      <c r="DX167" s="24" t="n"/>
      <c r="DY167" s="23" t="n">
        <v>15</v>
      </c>
      <c r="DZ167" s="24" t="n"/>
      <c r="EA167" s="25" t="n">
        <v>0</v>
      </c>
      <c r="EB167" s="24" t="n"/>
      <c r="EC167" s="23" t="n">
        <v>15</v>
      </c>
      <c r="ED167" s="24" t="n"/>
      <c r="EE167" s="25" t="n">
        <v>0</v>
      </c>
      <c r="EF167" s="24" t="n"/>
      <c r="EG167" s="23" t="n">
        <v>15</v>
      </c>
      <c r="EH167" s="24" t="n"/>
      <c r="EI167" s="25" t="n">
        <v>0</v>
      </c>
      <c r="EJ167" s="24" t="n"/>
      <c r="EK167" s="23" t="n">
        <v>15</v>
      </c>
      <c r="EL167" s="24" t="n"/>
      <c r="EM167" s="25" t="n">
        <v>0</v>
      </c>
      <c r="EN167" s="24" t="n"/>
      <c r="EO167" s="23" t="n">
        <v>15</v>
      </c>
      <c r="EP167" s="24" t="n"/>
      <c r="EQ167" s="25" t="n">
        <v>0</v>
      </c>
      <c r="ER167" s="24" t="n"/>
      <c r="ES167" s="23" t="n">
        <v>15</v>
      </c>
      <c r="ET167" s="24" t="n"/>
      <c r="EU167" s="25" t="n">
        <v>0</v>
      </c>
      <c r="EV167" s="24" t="n"/>
      <c r="EW167" s="23" t="n">
        <v>15</v>
      </c>
      <c r="EX167" s="24" t="n"/>
      <c r="EY167" s="25" t="n">
        <v>0</v>
      </c>
      <c r="EZ167" s="24" t="n"/>
      <c r="FA167" s="23" t="n">
        <v>15</v>
      </c>
      <c r="FB167" s="24" t="n"/>
      <c r="FC167" s="25" t="n">
        <v>0</v>
      </c>
      <c r="FD167" s="24" t="n"/>
      <c r="FE167" s="23" t="n">
        <v>15</v>
      </c>
      <c r="FF167" s="24" t="n"/>
      <c r="FG167" s="25" t="n">
        <v>0</v>
      </c>
      <c r="FH167" s="24" t="n"/>
      <c r="FI167" s="23" t="n">
        <v>15</v>
      </c>
      <c r="FJ167" s="24" t="n"/>
      <c r="FK167" s="25" t="n">
        <v>0</v>
      </c>
      <c r="FL167" s="24" t="n"/>
      <c r="FM167" s="23" t="n">
        <v>15</v>
      </c>
      <c r="FN167" s="24" t="n"/>
      <c r="FO167" s="25" t="n">
        <v>0</v>
      </c>
      <c r="FP167" s="24" t="n"/>
      <c r="FQ167" s="340" t="n"/>
      <c r="FR167" s="803">
        <f>SUMPRODUCT(--(MOD(COLUMN(DU167:ER167),4)=MOD(COLUMN(DU167),4)),DU167:ER167)+SUMPRODUCT(--(MOD(COLUMN(ES167:FP167),4)=MOD(COLUMN(ES167),4)),ES167:FP167)</f>
        <v/>
      </c>
      <c r="FS167" s="803">
        <f>SUMPRODUCT(--(MOD(COLUMN(DU167:ER167),4)=MOD(COLUMN(DU167),4)),DU167:ER167)*$I167+SUMPRODUCT(--(MOD(COLUMN(ES167:FP167),4)=MOD(COLUMN(ES167),4)),ES167:FP167)*$I167</f>
        <v/>
      </c>
      <c r="FT167" s="361" t="n"/>
    </row>
    <row r="168" outlineLevel="2">
      <c r="A168" s="56" t="inlineStr">
        <is>
          <t>ПАО «Уралавтоприцеп»</t>
        </is>
      </c>
      <c r="B168" s="387" t="inlineStr">
        <is>
          <t>Отсрочка 30 дней</t>
        </is>
      </c>
      <c r="C168" s="541" t="inlineStr">
        <is>
          <t>ВБК РУС</t>
        </is>
      </c>
      <c r="D168" s="565" t="inlineStr">
        <is>
          <t>Прасолов, Соловьёв</t>
        </is>
      </c>
      <c r="E168" s="10">
        <f>IF(ISBLANK(G168),"",IF($A$6:$A$330=$A168,COUNTIF($A$6:A168,$A168),""))</f>
        <v/>
      </c>
      <c r="F168" s="669" t="n">
        <v>1</v>
      </c>
      <c r="G168" s="129" t="n">
        <v>4757145000</v>
      </c>
      <c r="H168" s="610" t="inlineStr">
        <is>
          <t>Регулятор тормозных сил</t>
        </is>
      </c>
      <c r="I168" s="618" t="n">
        <v>0</v>
      </c>
      <c r="J168" s="618" t="n"/>
      <c r="K168" s="874" t="n"/>
      <c r="L168" s="618">
        <f>IF(K168="RUB",J168/ЮАНЬ,IF(K168="EUR",J168*ЕВРО/ЮАНЬ,""))</f>
        <v/>
      </c>
      <c r="M168" s="873" t="n"/>
      <c r="N168" s="871">
        <f>IF(BP168&gt;0,1,IF(BN168&gt;0,2,))</f>
        <v/>
      </c>
      <c r="O168" s="23" t="n">
        <v>20</v>
      </c>
      <c r="P168" s="24">
        <f>SUMPRODUCT((Комплекты[Пр]=$F168)*(Комплекты[Обозначение]=$G168)*Комплекты[Кол-во]*(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68" s="25" t="n">
        <v>0</v>
      </c>
      <c r="R168" s="24" t="n"/>
      <c r="S168" s="23" t="n">
        <v>20</v>
      </c>
      <c r="T168" s="24">
        <f>SUMPRODUCT((Комплекты[Пр]=$F168)*(Комплекты[Обозначение]=$G168)*Комплекты[Кол-во]*(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68" s="25" t="n">
        <v>53</v>
      </c>
      <c r="V168" s="24" t="n"/>
      <c r="W168" s="23" t="n">
        <v>20</v>
      </c>
      <c r="X168" s="24">
        <f>SUMPRODUCT((Комплекты[Пр]=$F168)*(Комплекты[Обозначение]=$G168)*Комплекты[Кол-во]*(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68" s="25" t="n">
        <v>20</v>
      </c>
      <c r="Z168" s="24" t="n"/>
      <c r="AA168" s="23" t="n">
        <v>10</v>
      </c>
      <c r="AB168" s="24">
        <f>SUMPRODUCT((Комплекты[Пр]=$F168)*(Комплекты[Обозначение]=$G168)*Комплекты[Кол-во]*(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68" s="25" t="n">
        <v>0</v>
      </c>
      <c r="AD168" s="24" t="n"/>
      <c r="AE168" s="23" t="n">
        <v>10</v>
      </c>
      <c r="AF168" s="24">
        <f>SUMPRODUCT((Комплекты[Пр]=$F168)*(Комплекты[Обозначение]=$G168)*Комплекты[Кол-во]*(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68" s="25" t="n">
        <v>0</v>
      </c>
      <c r="AH168" s="24" t="n"/>
      <c r="AI168" s="23" t="n">
        <v>10</v>
      </c>
      <c r="AJ168" s="24">
        <f>SUMPRODUCT((Комплекты[Пр]=$F168)*(Комплекты[Обозначение]=$G168)*Комплекты[Кол-во]*(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68" s="25" t="n">
        <v>0</v>
      </c>
      <c r="AL168" s="24" t="n"/>
      <c r="AM168" s="23" t="n">
        <v>10</v>
      </c>
      <c r="AN168" s="24">
        <f>SUMPRODUCT((Комплекты[Пр]=$F168)*(Комплекты[Обозначение]=$G168)*Комплекты[Кол-во]*(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68" s="25" t="n">
        <v>0</v>
      </c>
      <c r="AP168" s="24" t="n"/>
      <c r="AQ168" s="23" t="n">
        <v>10</v>
      </c>
      <c r="AR168" s="24">
        <f>SUMPRODUCT((Комплекты[Пр]=$F168)*(Комплекты[Обозначение]=$G168)*Комплекты[Кол-во]*(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68" s="25" t="n">
        <v>0</v>
      </c>
      <c r="AT168" s="24" t="n"/>
      <c r="AU168" s="23" t="n">
        <v>10</v>
      </c>
      <c r="AV168" s="24">
        <f>SUMPRODUCT((Комплекты[Пр]=$F168)*(Комплекты[Обозначение]=$G168)*Комплекты[Кол-во]*(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68" s="25" t="n">
        <v>0</v>
      </c>
      <c r="AX168" s="24" t="n"/>
      <c r="AY168" s="23" t="n">
        <v>10</v>
      </c>
      <c r="AZ168" s="24">
        <f>SUMPRODUCT((Комплекты[Пр]=$F168)*(Комплекты[Обозначение]=$G168)*Комплекты[Кол-во]*(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68" s="25" t="n">
        <v>0</v>
      </c>
      <c r="BB168" s="24" t="n"/>
      <c r="BC168" s="23" t="n">
        <v>10</v>
      </c>
      <c r="BD168" s="24">
        <f>SUMPRODUCT((Комплекты[Пр]=$F168)*(Комплекты[Обозначение]=$G168)*Комплекты[Кол-во]*(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68" s="25" t="n">
        <v>0</v>
      </c>
      <c r="BF168" s="24" t="n"/>
      <c r="BG168" s="23" t="n">
        <v>10</v>
      </c>
      <c r="BH168" s="24">
        <f>SUMPRODUCT((Комплекты[Пр]=$F168)*(Комплекты[Обозначение]=$G168)*Комплекты[Кол-во]*(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68" s="25" t="n">
        <v>0</v>
      </c>
      <c r="BJ168" s="24" t="n"/>
      <c r="BK168" s="340" t="n"/>
      <c r="BL168" s="803">
        <f>SUMPRODUCT(--(MOD(COLUMN($O168:$AL168),4)=MOD(COLUMN($O168)+0,4)),$O168:$AL168)
+SUMPRODUCT(--(MOD(COLUMN($AM168:$BJ168),4)=MOD(COLUMN($AM168)+0,4)),$AM168:$BJ168)</f>
        <v/>
      </c>
      <c r="BM168" s="803">
        <f>SUMPRODUCT(--(MOD(COLUMN($O168:$AL168),4)=MOD(COLUMN($O168)+0,4)),$O168:$AL168)*
$I168+SUMPRODUCT(--(MOD(COLUMN($AM168:$BJ168),4)=MOD(COLUMN($AM168)+0,4)),$AM168:$BJ168)*$I168</f>
        <v/>
      </c>
      <c r="BN168" s="805">
        <f>SUMPRODUCT(--(MOD(COLUMN($O168:$AL168),4)=MOD(COLUMN($O168)+1,4)),$O168:$AL168)
+SUMPRODUCT(--(MOD(COLUMN($AM168:$BJ168),4)=MOD(COLUMN($AM168)+1,4)),$AM168:$BJ168)</f>
        <v/>
      </c>
      <c r="BO168" s="806">
        <f>SUMPRODUCT(--(MOD(COLUMN($O168:$AL168),4)=MOD(COLUMN($O168)+1,4)),$O168:$AL168)*
$I168+SUMPRODUCT(--(MOD(COLUMN($AM168:$BJ168),4)=MOD(COLUMN($AM168)+1,4)),$AM168:$BJ168)*$I168</f>
        <v/>
      </c>
      <c r="BP168" s="807">
        <f>SUMPRODUCT(--(MOD(COLUMN($O168:$AL168),4)=MOD(COLUMN($O168)+2,4)),$O168:$AL168)
+SUMPRODUCT(--(MOD(COLUMN($AM168:$BJ168),4)=MOD(COLUMN($AM168)+2,4)),$AM168:$BJ168)</f>
        <v/>
      </c>
      <c r="BQ168" s="808">
        <f>SUMPRODUCT(--(MOD(COLUMN($O168:$AL168),4)=MOD(COLUMN($O168)+2,4)),$O168:$AL168)*
$I168+SUMPRODUCT(--(MOD(COLUMN($AM168:$BJ168),4)=MOD(COLUMN($AM168)+2,4)),$AM168:$BJ168)*$I168</f>
        <v/>
      </c>
      <c r="BR168" s="801" t="n"/>
      <c r="BS168" s="819" t="n"/>
      <c r="BT168" s="23" t="n">
        <v>15</v>
      </c>
      <c r="BU168" s="24" t="n"/>
      <c r="BV168" s="25" t="n">
        <v>0</v>
      </c>
      <c r="BW168" s="24" t="n"/>
      <c r="BX168" s="23" t="n">
        <v>15</v>
      </c>
      <c r="BY168" s="24" t="n"/>
      <c r="BZ168" s="25" t="n">
        <v>0</v>
      </c>
      <c r="CA168" s="24" t="n"/>
      <c r="CB168" s="23" t="n">
        <v>15</v>
      </c>
      <c r="CC168" s="24" t="n"/>
      <c r="CD168" s="25" t="n">
        <v>0</v>
      </c>
      <c r="CE168" s="24" t="n"/>
      <c r="CF168" s="23" t="n">
        <v>15</v>
      </c>
      <c r="CG168" s="24" t="n"/>
      <c r="CH168" s="25" t="n">
        <v>0</v>
      </c>
      <c r="CI168" s="24" t="n"/>
      <c r="CJ168" s="23" t="n">
        <v>15</v>
      </c>
      <c r="CK168" s="24" t="n"/>
      <c r="CL168" s="25" t="n">
        <v>0</v>
      </c>
      <c r="CM168" s="24" t="n"/>
      <c r="CN168" s="23" t="n">
        <v>15</v>
      </c>
      <c r="CO168" s="24" t="n"/>
      <c r="CP168" s="25" t="n">
        <v>0</v>
      </c>
      <c r="CQ168" s="24" t="n"/>
      <c r="CR168" s="23" t="n">
        <v>15</v>
      </c>
      <c r="CS168" s="24" t="n"/>
      <c r="CT168" s="25" t="n">
        <v>0</v>
      </c>
      <c r="CU168" s="24" t="n"/>
      <c r="CV168" s="23" t="n">
        <v>15</v>
      </c>
      <c r="CW168" s="24" t="n"/>
      <c r="CX168" s="25" t="n">
        <v>0</v>
      </c>
      <c r="CY168" s="24" t="n"/>
      <c r="CZ168" s="23" t="n">
        <v>15</v>
      </c>
      <c r="DA168" s="24" t="n"/>
      <c r="DB168" s="25" t="n">
        <v>0</v>
      </c>
      <c r="DC168" s="24" t="n"/>
      <c r="DD168" s="23" t="n">
        <v>15</v>
      </c>
      <c r="DE168" s="24" t="n"/>
      <c r="DF168" s="25" t="n">
        <v>0</v>
      </c>
      <c r="DG168" s="24" t="n"/>
      <c r="DH168" s="23" t="n">
        <v>15</v>
      </c>
      <c r="DI168" s="24" t="n"/>
      <c r="DJ168" s="25" t="n">
        <v>0</v>
      </c>
      <c r="DK168" s="24" t="n"/>
      <c r="DL168" s="23" t="n">
        <v>15</v>
      </c>
      <c r="DM168" s="24" t="n"/>
      <c r="DN168" s="25" t="n">
        <v>0</v>
      </c>
      <c r="DO168" s="24" t="n"/>
      <c r="DP168" s="340" t="n"/>
      <c r="DQ168" s="803">
        <f>SUMPRODUCT(--(MOD(COLUMN(BT168:CQ168),4)=MOD(COLUMN(BT168),4)),BT168:CQ168)+SUMPRODUCT(--(MOD(COLUMN(CR168:DO168),4)=MOD(COLUMN(CR168),4)),CR168:DO168)</f>
        <v/>
      </c>
      <c r="DR168" s="803">
        <f>SUMPRODUCT(--(MOD(COLUMN(BT168:CQ168),4)=MOD(COLUMN(BT168),4)),BT168:CQ168)*$I168+SUMPRODUCT(--(MOD(COLUMN(CR168:DO168),4)=MOD(COLUMN(CR168),4)),CR168:DO168)*$I168</f>
        <v/>
      </c>
      <c r="DS168" s="801" t="n"/>
      <c r="DT168" s="819" t="n"/>
      <c r="DU168" s="23" t="n">
        <v>15</v>
      </c>
      <c r="DV168" s="24" t="n"/>
      <c r="DW168" s="25" t="n">
        <v>0</v>
      </c>
      <c r="DX168" s="24" t="n"/>
      <c r="DY168" s="23" t="n">
        <v>15</v>
      </c>
      <c r="DZ168" s="24" t="n"/>
      <c r="EA168" s="25" t="n">
        <v>0</v>
      </c>
      <c r="EB168" s="24" t="n"/>
      <c r="EC168" s="23" t="n">
        <v>15</v>
      </c>
      <c r="ED168" s="24" t="n"/>
      <c r="EE168" s="25" t="n">
        <v>0</v>
      </c>
      <c r="EF168" s="24" t="n"/>
      <c r="EG168" s="23" t="n">
        <v>15</v>
      </c>
      <c r="EH168" s="24" t="n"/>
      <c r="EI168" s="25" t="n">
        <v>0</v>
      </c>
      <c r="EJ168" s="24" t="n"/>
      <c r="EK168" s="23" t="n">
        <v>15</v>
      </c>
      <c r="EL168" s="24" t="n"/>
      <c r="EM168" s="25" t="n">
        <v>0</v>
      </c>
      <c r="EN168" s="24" t="n"/>
      <c r="EO168" s="23" t="n">
        <v>15</v>
      </c>
      <c r="EP168" s="24" t="n"/>
      <c r="EQ168" s="25" t="n">
        <v>0</v>
      </c>
      <c r="ER168" s="24" t="n"/>
      <c r="ES168" s="23" t="n">
        <v>15</v>
      </c>
      <c r="ET168" s="24" t="n"/>
      <c r="EU168" s="25" t="n">
        <v>0</v>
      </c>
      <c r="EV168" s="24" t="n"/>
      <c r="EW168" s="23" t="n">
        <v>15</v>
      </c>
      <c r="EX168" s="24" t="n"/>
      <c r="EY168" s="25" t="n">
        <v>0</v>
      </c>
      <c r="EZ168" s="24" t="n"/>
      <c r="FA168" s="23" t="n">
        <v>15</v>
      </c>
      <c r="FB168" s="24" t="n"/>
      <c r="FC168" s="25" t="n">
        <v>0</v>
      </c>
      <c r="FD168" s="24" t="n"/>
      <c r="FE168" s="23" t="n">
        <v>15</v>
      </c>
      <c r="FF168" s="24" t="n"/>
      <c r="FG168" s="25" t="n">
        <v>0</v>
      </c>
      <c r="FH168" s="24" t="n"/>
      <c r="FI168" s="23" t="n">
        <v>15</v>
      </c>
      <c r="FJ168" s="24" t="n"/>
      <c r="FK168" s="25" t="n">
        <v>0</v>
      </c>
      <c r="FL168" s="24" t="n"/>
      <c r="FM168" s="23" t="n">
        <v>15</v>
      </c>
      <c r="FN168" s="24" t="n"/>
      <c r="FO168" s="25" t="n">
        <v>0</v>
      </c>
      <c r="FP168" s="24" t="n"/>
      <c r="FQ168" s="340" t="n"/>
      <c r="FR168" s="803">
        <f>SUMPRODUCT(--(MOD(COLUMN(DU168:ER168),4)=MOD(COLUMN(DU168),4)),DU168:ER168)+SUMPRODUCT(--(MOD(COLUMN(ES168:FP168),4)=MOD(COLUMN(ES168),4)),ES168:FP168)</f>
        <v/>
      </c>
      <c r="FS168" s="803">
        <f>SUMPRODUCT(--(MOD(COLUMN(DU168:ER168),4)=MOD(COLUMN(DU168),4)),DU168:ER168)*$I168+SUMPRODUCT(--(MOD(COLUMN(ES168:FP168),4)=MOD(COLUMN(ES168),4)),ES168:FP168)*$I168</f>
        <v/>
      </c>
      <c r="FT168" s="361" t="n"/>
    </row>
    <row r="169" outlineLevel="2">
      <c r="A169" s="413" t="inlineStr">
        <is>
          <t>ПАО «Уралавтоприцеп»</t>
        </is>
      </c>
      <c r="B169" s="444" t="inlineStr">
        <is>
          <t>Отсрочка 30 дней</t>
        </is>
      </c>
      <c r="C169" s="587" t="inlineStr">
        <is>
          <t>ВБК РУС</t>
        </is>
      </c>
      <c r="D169" s="580" t="inlineStr">
        <is>
          <t>Прасолов, Соловьёв</t>
        </is>
      </c>
      <c r="E169" s="414">
        <f>IF(ISBLANK(G169),"",IF($A$6:$A$330=$A169,COUNTIF($A$6:A169,$A169),""))</f>
        <v/>
      </c>
      <c r="F169" s="670" t="n">
        <v>1</v>
      </c>
      <c r="G169" s="501" t="n">
        <v>4491731500</v>
      </c>
      <c r="H169" s="611" t="inlineStr">
        <is>
          <t>Кабель питания, 15 м</t>
        </is>
      </c>
      <c r="I169" s="618" t="n">
        <v>0</v>
      </c>
      <c r="J169" s="619" t="n"/>
      <c r="K169" s="876" t="n"/>
      <c r="L169" s="619" t="n"/>
      <c r="M169" s="871" t="n"/>
      <c r="N169" s="871">
        <f>IF(BP169&gt;0,1,IF(BN169&gt;0,2,))</f>
        <v/>
      </c>
      <c r="O169" s="322" t="n"/>
      <c r="P169" s="408">
        <f>SUMPRODUCT((Комплекты[Пр]=$F169)*(Комплекты[Обозначение]=$G169)*Комплекты[Кол-во]*(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69" s="307" t="n">
        <v>11</v>
      </c>
      <c r="R169" s="408" t="n"/>
      <c r="S169" s="322" t="n"/>
      <c r="T169" s="408">
        <f>SUMPRODUCT((Комплекты[Пр]=$F169)*(Комплекты[Обозначение]=$G169)*Комплекты[Кол-во]*(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69" s="307" t="n">
        <v>13</v>
      </c>
      <c r="V169" s="408" t="n"/>
      <c r="W169" s="322" t="n"/>
      <c r="X169" s="408">
        <f>SUMPRODUCT((Комплекты[Пр]=$F169)*(Комплекты[Обозначение]=$G169)*Комплекты[Кол-во]*(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69" s="307">
        <f>SUMPRODUCT((Комплекты[Пр]=$F169)*(Комплекты[Обозначение]=$G169)*Комплекты[Кол-во]*(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69" s="408" t="n"/>
      <c r="AA169" s="322" t="n"/>
      <c r="AB169" s="408">
        <f>SUMPRODUCT((Комплекты[Пр]=$F169)*(Комплекты[Обозначение]=$G169)*Комплекты[Кол-во]*(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69" s="307" t="n">
        <v>0</v>
      </c>
      <c r="AD169" s="408" t="n"/>
      <c r="AE169" s="322" t="n"/>
      <c r="AF169" s="408">
        <f>SUMPRODUCT((Комплекты[Пр]=$F169)*(Комплекты[Обозначение]=$G169)*Комплекты[Кол-во]*(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69" s="307" t="n">
        <v>28</v>
      </c>
      <c r="AH169" s="408" t="n"/>
      <c r="AI169" s="322" t="n"/>
      <c r="AJ169" s="408">
        <f>SUMPRODUCT((Комплекты[Пр]=$F169)*(Комплекты[Обозначение]=$G169)*Комплекты[Кол-во]*(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69" s="307" t="n">
        <v>0</v>
      </c>
      <c r="AL169" s="408" t="n"/>
      <c r="AM169" s="322" t="n"/>
      <c r="AN169" s="408">
        <f>SUMPRODUCT((Комплекты[Пр]=$F169)*(Комплекты[Обозначение]=$G169)*Комплекты[Кол-во]*(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69" s="307" t="n">
        <v>0</v>
      </c>
      <c r="AP169" s="408" t="n"/>
      <c r="AQ169" s="322" t="n"/>
      <c r="AR169" s="408">
        <f>SUMPRODUCT((Комплекты[Пр]=$F169)*(Комплекты[Обозначение]=$G169)*Комплекты[Кол-во]*(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69" s="307" t="n">
        <v>0</v>
      </c>
      <c r="AT169" s="408" t="n"/>
      <c r="AU169" s="322" t="n"/>
      <c r="AV169" s="408">
        <f>SUMPRODUCT((Комплекты[Пр]=$F169)*(Комплекты[Обозначение]=$G169)*Комплекты[Кол-во]*(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69" s="307" t="n">
        <v>0</v>
      </c>
      <c r="AX169" s="408" t="n"/>
      <c r="AY169" s="322" t="n"/>
      <c r="AZ169" s="408">
        <f>SUMPRODUCT((Комплекты[Пр]=$F169)*(Комплекты[Обозначение]=$G169)*Комплекты[Кол-во]*(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69" s="307" t="n">
        <v>0</v>
      </c>
      <c r="BB169" s="408" t="n"/>
      <c r="BC169" s="322" t="n"/>
      <c r="BD169" s="408">
        <f>SUMPRODUCT((Комплекты[Пр]=$F169)*(Комплекты[Обозначение]=$G169)*Комплекты[Кол-во]*(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69" s="307" t="n">
        <v>0</v>
      </c>
      <c r="BF169" s="408" t="n"/>
      <c r="BG169" s="322" t="n"/>
      <c r="BH169" s="408">
        <f>SUMPRODUCT((Комплекты[Пр]=$F169)*(Комплекты[Обозначение]=$G169)*Комплекты[Кол-во]*(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69" s="307" t="n">
        <v>0</v>
      </c>
      <c r="BJ169" s="408" t="n"/>
      <c r="BK169" s="340" t="n"/>
      <c r="BL169" s="820">
        <f>SUMPRODUCT(--(MOD(COLUMN($O169:$AL169),4)=MOD(COLUMN($O169)+0,4)),$O169:$AL169)
+SUMPRODUCT(--(MOD(COLUMN($AM169:$BJ169),4)=MOD(COLUMN($AM169)+0,4)),$AM169:$BJ169)</f>
        <v/>
      </c>
      <c r="BM169" s="820">
        <f>SUMPRODUCT(--(MOD(COLUMN($O169:$AL169),4)=MOD(COLUMN($O169)+0,4)),$O169:$AL169)*
$I169+SUMPRODUCT(--(MOD(COLUMN($AM169:$BJ169),4)=MOD(COLUMN($AM169)+0,4)),$AM169:$BJ169)*$I169</f>
        <v/>
      </c>
      <c r="BN169" s="822">
        <f>SUMPRODUCT(--(MOD(COLUMN($O169:$AL169),4)=MOD(COLUMN($O169)+1,4)),$O169:$AL169)
+SUMPRODUCT(--(MOD(COLUMN($AM169:$BJ169),4)=MOD(COLUMN($AM169)+1,4)),$AM169:$BJ169)</f>
        <v/>
      </c>
      <c r="BO169" s="823">
        <f>SUMPRODUCT(--(MOD(COLUMN($O169:$AL169),4)=MOD(COLUMN($O169)+1,4)),$O169:$AL169)*
$I169+SUMPRODUCT(--(MOD(COLUMN($AM169:$BJ169),4)=MOD(COLUMN($AM169)+1,4)),$AM169:$BJ169)*$I169</f>
        <v/>
      </c>
      <c r="BP169" s="824">
        <f>SUMPRODUCT(--(MOD(COLUMN($O169:$AL169),4)=MOD(COLUMN($O169)+2,4)),$O169:$AL169)
+SUMPRODUCT(--(MOD(COLUMN($AM169:$BJ169),4)=MOD(COLUMN($AM169)+2,4)),$AM169:$BJ169)</f>
        <v/>
      </c>
      <c r="BQ169" s="825">
        <f>SUMPRODUCT(--(MOD(COLUMN($O169:$AL169),4)=MOD(COLUMN($O169)+2,4)),$O169:$AL169)*
$I169+SUMPRODUCT(--(MOD(COLUMN($AM169:$BJ169),4)=MOD(COLUMN($AM169)+2,4)),$AM169:$BJ169)*$I169</f>
        <v/>
      </c>
      <c r="BR169" s="819" t="n"/>
      <c r="BS169" s="819" t="n"/>
      <c r="BT169" s="322" t="n"/>
      <c r="BU169" s="408" t="n"/>
      <c r="BV169" s="307" t="n"/>
      <c r="BW169" s="408" t="n"/>
      <c r="BX169" s="322" t="n"/>
      <c r="BY169" s="408" t="n"/>
      <c r="BZ169" s="307" t="n"/>
      <c r="CA169" s="408" t="n"/>
      <c r="CB169" s="322" t="n"/>
      <c r="CC169" s="408" t="n"/>
      <c r="CD169" s="307" t="n"/>
      <c r="CE169" s="408" t="n"/>
      <c r="CF169" s="322" t="n"/>
      <c r="CG169" s="408" t="n"/>
      <c r="CH169" s="307" t="n"/>
      <c r="CI169" s="408" t="n"/>
      <c r="CJ169" s="322" t="n"/>
      <c r="CK169" s="408" t="n"/>
      <c r="CL169" s="307" t="n"/>
      <c r="CM169" s="408" t="n"/>
      <c r="CN169" s="322" t="n"/>
      <c r="CO169" s="408" t="n"/>
      <c r="CP169" s="307" t="n"/>
      <c r="CQ169" s="408" t="n"/>
      <c r="CR169" s="322" t="n"/>
      <c r="CS169" s="408" t="n"/>
      <c r="CT169" s="307" t="n"/>
      <c r="CU169" s="408" t="n"/>
      <c r="CV169" s="322" t="n"/>
      <c r="CW169" s="408" t="n"/>
      <c r="CX169" s="307" t="n"/>
      <c r="CY169" s="408" t="n"/>
      <c r="CZ169" s="322" t="n"/>
      <c r="DA169" s="408" t="n"/>
      <c r="DB169" s="307" t="n"/>
      <c r="DC169" s="408" t="n"/>
      <c r="DD169" s="322" t="n"/>
      <c r="DE169" s="408" t="n"/>
      <c r="DF169" s="307" t="n"/>
      <c r="DG169" s="408" t="n"/>
      <c r="DH169" s="322" t="n"/>
      <c r="DI169" s="408" t="n"/>
      <c r="DJ169" s="307" t="n"/>
      <c r="DK169" s="408" t="n"/>
      <c r="DL169" s="322" t="n"/>
      <c r="DM169" s="408" t="n"/>
      <c r="DN169" s="307" t="n"/>
      <c r="DO169" s="408" t="n"/>
      <c r="DP169" s="340" t="n"/>
      <c r="DQ169" s="820" t="n"/>
      <c r="DR169" s="820">
        <f>SUMPRODUCT(--(MOD(COLUMN(BT169:CQ169),4)=MOD(COLUMN(BT169),4)),BT169:CQ169)*$I169+SUMPRODUCT(--(MOD(COLUMN(CR169:DO169),4)=MOD(COLUMN(CR169),4)),CR169:DO169)*$I169</f>
        <v/>
      </c>
      <c r="DS169" s="819" t="n"/>
      <c r="DT169" s="819" t="n"/>
      <c r="DU169" s="322" t="n"/>
      <c r="DV169" s="408" t="n"/>
      <c r="DW169" s="307" t="n"/>
      <c r="DX169" s="408" t="n"/>
      <c r="DY169" s="322" t="n"/>
      <c r="DZ169" s="408" t="n"/>
      <c r="EA169" s="307" t="n"/>
      <c r="EB169" s="408" t="n"/>
      <c r="EC169" s="322" t="n"/>
      <c r="ED169" s="408" t="n"/>
      <c r="EE169" s="307" t="n"/>
      <c r="EF169" s="408" t="n"/>
      <c r="EG169" s="322" t="n"/>
      <c r="EH169" s="408" t="n"/>
      <c r="EI169" s="307" t="n"/>
      <c r="EJ169" s="408" t="n"/>
      <c r="EK169" s="322" t="n"/>
      <c r="EL169" s="408" t="n"/>
      <c r="EM169" s="307" t="n"/>
      <c r="EN169" s="408" t="n"/>
      <c r="EO169" s="322" t="n"/>
      <c r="EP169" s="408" t="n"/>
      <c r="EQ169" s="307" t="n"/>
      <c r="ER169" s="408" t="n"/>
      <c r="ES169" s="322" t="n"/>
      <c r="ET169" s="408" t="n"/>
      <c r="EU169" s="307" t="n"/>
      <c r="EV169" s="408" t="n"/>
      <c r="EW169" s="322" t="n"/>
      <c r="EX169" s="408" t="n"/>
      <c r="EY169" s="307" t="n"/>
      <c r="EZ169" s="408" t="n"/>
      <c r="FA169" s="322" t="n"/>
      <c r="FB169" s="408" t="n"/>
      <c r="FC169" s="307" t="n"/>
      <c r="FD169" s="408" t="n"/>
      <c r="FE169" s="322" t="n"/>
      <c r="FF169" s="408" t="n"/>
      <c r="FG169" s="307" t="n"/>
      <c r="FH169" s="408" t="n"/>
      <c r="FI169" s="322" t="n"/>
      <c r="FJ169" s="408" t="n"/>
      <c r="FK169" s="307" t="n"/>
      <c r="FL169" s="408" t="n"/>
      <c r="FM169" s="322" t="n"/>
      <c r="FN169" s="408" t="n"/>
      <c r="FO169" s="307" t="n"/>
      <c r="FP169" s="408" t="n"/>
      <c r="FQ169" s="340" t="n"/>
      <c r="FR169" s="820" t="n"/>
      <c r="FS169" s="820">
        <f>SUMPRODUCT(--(MOD(COLUMN(DU169:ER169),4)=MOD(COLUMN(DU169),4)),DU169:ER169)*$I169+SUMPRODUCT(--(MOD(COLUMN(ES169:FP169),4)=MOD(COLUMN(ES169),4)),ES169:FP169)*$I169</f>
        <v/>
      </c>
      <c r="FT169" s="361" t="n"/>
    </row>
    <row r="170" outlineLevel="2">
      <c r="A170" s="413" t="inlineStr">
        <is>
          <t>ПАО «Уралавтоприцеп»</t>
        </is>
      </c>
      <c r="B170" s="444" t="inlineStr">
        <is>
          <t>Отсрочка 30 дней</t>
        </is>
      </c>
      <c r="C170" s="587" t="inlineStr">
        <is>
          <t>ВБК РУС</t>
        </is>
      </c>
      <c r="D170" s="580" t="inlineStr">
        <is>
          <t>Прасолов, Соловьёв</t>
        </is>
      </c>
      <c r="E170" s="414">
        <f>IF(ISBLANK(G170),"",IF($A$6:$A$330=$A170,COUNTIF($A$6:A170,$A170),""))</f>
        <v/>
      </c>
      <c r="F170" s="670" t="n">
        <v>1</v>
      </c>
      <c r="G170" s="501" t="n">
        <v>4497230500</v>
      </c>
      <c r="H170" s="611" t="inlineStr">
        <is>
          <t>Кабель датчика АБС, 5 м</t>
        </is>
      </c>
      <c r="I170" s="618" t="n">
        <v>0</v>
      </c>
      <c r="J170" s="619" t="n"/>
      <c r="K170" s="876" t="n"/>
      <c r="L170" s="619" t="n"/>
      <c r="M170" s="871" t="n"/>
      <c r="N170" s="871">
        <f>IF(BP170&gt;0,1,IF(BN170&gt;0,2,))</f>
        <v/>
      </c>
      <c r="O170" s="322" t="n"/>
      <c r="P170" s="408">
        <f>SUMPRODUCT((Комплекты[Пр]=$F170)*(Комплекты[Обозначение]=$G170)*Комплекты[Кол-во]*(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70" s="307" t="n">
        <v>22</v>
      </c>
      <c r="R170" s="408" t="n"/>
      <c r="S170" s="322" t="n"/>
      <c r="T170" s="408">
        <f>SUMPRODUCT((Комплекты[Пр]=$F170)*(Комплекты[Обозначение]=$G170)*Комплекты[Кол-во]*(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70" s="307" t="n">
        <v>26</v>
      </c>
      <c r="V170" s="408" t="n"/>
      <c r="W170" s="322" t="n"/>
      <c r="X170" s="408">
        <f>SUMPRODUCT((Комплекты[Пр]=$F170)*(Комплекты[Обозначение]=$G170)*Комплекты[Кол-во]*(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70" s="307">
        <f>SUMPRODUCT((Комплекты[Пр]=$F170)*(Комплекты[Обозначение]=$G170)*Комплекты[Кол-во]*(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70" s="408" t="n"/>
      <c r="AA170" s="322" t="n"/>
      <c r="AB170" s="408">
        <f>SUMPRODUCT((Комплекты[Пр]=$F170)*(Комплекты[Обозначение]=$G170)*Комплекты[Кол-во]*(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70" s="307" t="n">
        <v>0</v>
      </c>
      <c r="AD170" s="408" t="n"/>
      <c r="AE170" s="322" t="n"/>
      <c r="AF170" s="408">
        <f>SUMPRODUCT((Комплекты[Пр]=$F170)*(Комплекты[Обозначение]=$G170)*Комплекты[Кол-во]*(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70" s="307" t="n">
        <v>56</v>
      </c>
      <c r="AH170" s="408" t="n"/>
      <c r="AI170" s="322" t="n"/>
      <c r="AJ170" s="408">
        <f>SUMPRODUCT((Комплекты[Пр]=$F170)*(Комплекты[Обозначение]=$G170)*Комплекты[Кол-во]*(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70" s="307" t="n">
        <v>0</v>
      </c>
      <c r="AL170" s="408" t="n"/>
      <c r="AM170" s="322" t="n"/>
      <c r="AN170" s="408">
        <f>SUMPRODUCT((Комплекты[Пр]=$F170)*(Комплекты[Обозначение]=$G170)*Комплекты[Кол-во]*(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70" s="307" t="n">
        <v>0</v>
      </c>
      <c r="AP170" s="408" t="n"/>
      <c r="AQ170" s="322" t="n"/>
      <c r="AR170" s="408">
        <f>SUMPRODUCT((Комплекты[Пр]=$F170)*(Комплекты[Обозначение]=$G170)*Комплекты[Кол-во]*(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70" s="307" t="n">
        <v>0</v>
      </c>
      <c r="AT170" s="408" t="n"/>
      <c r="AU170" s="322" t="n"/>
      <c r="AV170" s="408">
        <f>SUMPRODUCT((Комплекты[Пр]=$F170)*(Комплекты[Обозначение]=$G170)*Комплекты[Кол-во]*(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70" s="307" t="n">
        <v>0</v>
      </c>
      <c r="AX170" s="408" t="n"/>
      <c r="AY170" s="322" t="n"/>
      <c r="AZ170" s="408">
        <f>SUMPRODUCT((Комплекты[Пр]=$F170)*(Комплекты[Обозначение]=$G170)*Комплекты[Кол-во]*(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70" s="307" t="n">
        <v>0</v>
      </c>
      <c r="BB170" s="408" t="n"/>
      <c r="BC170" s="322" t="n"/>
      <c r="BD170" s="408">
        <f>SUMPRODUCT((Комплекты[Пр]=$F170)*(Комплекты[Обозначение]=$G170)*Комплекты[Кол-во]*(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70" s="307" t="n">
        <v>0</v>
      </c>
      <c r="BF170" s="408" t="n"/>
      <c r="BG170" s="322" t="n"/>
      <c r="BH170" s="408">
        <f>SUMPRODUCT((Комплекты[Пр]=$F170)*(Комплекты[Обозначение]=$G170)*Комплекты[Кол-во]*(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70" s="307" t="n">
        <v>0</v>
      </c>
      <c r="BJ170" s="408" t="n"/>
      <c r="BK170" s="340" t="n"/>
      <c r="BL170" s="820">
        <f>SUMPRODUCT(--(MOD(COLUMN($O170:$AL170),4)=MOD(COLUMN($O170)+0,4)),$O170:$AL170)
+SUMPRODUCT(--(MOD(COLUMN($AM170:$BJ170),4)=MOD(COLUMN($AM170)+0,4)),$AM170:$BJ170)</f>
        <v/>
      </c>
      <c r="BM170" s="820">
        <f>SUMPRODUCT(--(MOD(COLUMN($O170:$AL170),4)=MOD(COLUMN($O170)+0,4)),$O170:$AL170)*
$I170+SUMPRODUCT(--(MOD(COLUMN($AM170:$BJ170),4)=MOD(COLUMN($AM170)+0,4)),$AM170:$BJ170)*$I170</f>
        <v/>
      </c>
      <c r="BN170" s="822">
        <f>SUMPRODUCT(--(MOD(COLUMN($O170:$AL170),4)=MOD(COLUMN($O170)+1,4)),$O170:$AL170)
+SUMPRODUCT(--(MOD(COLUMN($AM170:$BJ170),4)=MOD(COLUMN($AM170)+1,4)),$AM170:$BJ170)</f>
        <v/>
      </c>
      <c r="BO170" s="823">
        <f>SUMPRODUCT(--(MOD(COLUMN($O170:$AL170),4)=MOD(COLUMN($O170)+1,4)),$O170:$AL170)*
$I170+SUMPRODUCT(--(MOD(COLUMN($AM170:$BJ170),4)=MOD(COLUMN($AM170)+1,4)),$AM170:$BJ170)*$I170</f>
        <v/>
      </c>
      <c r="BP170" s="824">
        <f>SUMPRODUCT(--(MOD(COLUMN($O170:$AL170),4)=MOD(COLUMN($O170)+2,4)),$O170:$AL170)
+SUMPRODUCT(--(MOD(COLUMN($AM170:$BJ170),4)=MOD(COLUMN($AM170)+2,4)),$AM170:$BJ170)</f>
        <v/>
      </c>
      <c r="BQ170" s="825">
        <f>SUMPRODUCT(--(MOD(COLUMN($O170:$AL170),4)=MOD(COLUMN($O170)+2,4)),$O170:$AL170)*
$I170+SUMPRODUCT(--(MOD(COLUMN($AM170:$BJ170),4)=MOD(COLUMN($AM170)+2,4)),$AM170:$BJ170)*$I170</f>
        <v/>
      </c>
      <c r="BR170" s="819" t="n"/>
      <c r="BS170" s="819" t="n"/>
      <c r="BT170" s="322" t="n"/>
      <c r="BU170" s="408" t="n"/>
      <c r="BV170" s="307" t="n"/>
      <c r="BW170" s="408" t="n"/>
      <c r="BX170" s="322" t="n"/>
      <c r="BY170" s="408" t="n"/>
      <c r="BZ170" s="307" t="n"/>
      <c r="CA170" s="408" t="n"/>
      <c r="CB170" s="322" t="n"/>
      <c r="CC170" s="408" t="n"/>
      <c r="CD170" s="307" t="n"/>
      <c r="CE170" s="408" t="n"/>
      <c r="CF170" s="322" t="n"/>
      <c r="CG170" s="408" t="n"/>
      <c r="CH170" s="307" t="n"/>
      <c r="CI170" s="408" t="n"/>
      <c r="CJ170" s="322" t="n"/>
      <c r="CK170" s="408" t="n"/>
      <c r="CL170" s="307" t="n"/>
      <c r="CM170" s="408" t="n"/>
      <c r="CN170" s="322" t="n"/>
      <c r="CO170" s="408" t="n"/>
      <c r="CP170" s="307" t="n"/>
      <c r="CQ170" s="408" t="n"/>
      <c r="CR170" s="322" t="n"/>
      <c r="CS170" s="408" t="n"/>
      <c r="CT170" s="307" t="n"/>
      <c r="CU170" s="408" t="n"/>
      <c r="CV170" s="322" t="n"/>
      <c r="CW170" s="408" t="n"/>
      <c r="CX170" s="307" t="n"/>
      <c r="CY170" s="408" t="n"/>
      <c r="CZ170" s="322" t="n"/>
      <c r="DA170" s="408" t="n"/>
      <c r="DB170" s="307" t="n"/>
      <c r="DC170" s="408" t="n"/>
      <c r="DD170" s="322" t="n"/>
      <c r="DE170" s="408" t="n"/>
      <c r="DF170" s="307" t="n"/>
      <c r="DG170" s="408" t="n"/>
      <c r="DH170" s="322" t="n"/>
      <c r="DI170" s="408" t="n"/>
      <c r="DJ170" s="307" t="n"/>
      <c r="DK170" s="408" t="n"/>
      <c r="DL170" s="322" t="n"/>
      <c r="DM170" s="408" t="n"/>
      <c r="DN170" s="307" t="n"/>
      <c r="DO170" s="408" t="n"/>
      <c r="DP170" s="340" t="n"/>
      <c r="DQ170" s="820" t="n"/>
      <c r="DR170" s="820">
        <f>SUMPRODUCT(--(MOD(COLUMN(BT170:CQ170),4)=MOD(COLUMN(BT170),4)),BT170:CQ170)*$I170+SUMPRODUCT(--(MOD(COLUMN(CR170:DO170),4)=MOD(COLUMN(CR170),4)),CR170:DO170)*$I170</f>
        <v/>
      </c>
      <c r="DS170" s="819" t="n"/>
      <c r="DT170" s="819" t="n"/>
      <c r="DU170" s="322" t="n"/>
      <c r="DV170" s="408" t="n"/>
      <c r="DW170" s="307" t="n"/>
      <c r="DX170" s="408" t="n"/>
      <c r="DY170" s="322" t="n"/>
      <c r="DZ170" s="408" t="n"/>
      <c r="EA170" s="307" t="n"/>
      <c r="EB170" s="408" t="n"/>
      <c r="EC170" s="322" t="n"/>
      <c r="ED170" s="408" t="n"/>
      <c r="EE170" s="307" t="n"/>
      <c r="EF170" s="408" t="n"/>
      <c r="EG170" s="322" t="n"/>
      <c r="EH170" s="408" t="n"/>
      <c r="EI170" s="307" t="n"/>
      <c r="EJ170" s="408" t="n"/>
      <c r="EK170" s="322" t="n"/>
      <c r="EL170" s="408" t="n"/>
      <c r="EM170" s="307" t="n"/>
      <c r="EN170" s="408" t="n"/>
      <c r="EO170" s="322" t="n"/>
      <c r="EP170" s="408" t="n"/>
      <c r="EQ170" s="307" t="n"/>
      <c r="ER170" s="408" t="n"/>
      <c r="ES170" s="322" t="n"/>
      <c r="ET170" s="408" t="n"/>
      <c r="EU170" s="307" t="n"/>
      <c r="EV170" s="408" t="n"/>
      <c r="EW170" s="322" t="n"/>
      <c r="EX170" s="408" t="n"/>
      <c r="EY170" s="307" t="n"/>
      <c r="EZ170" s="408" t="n"/>
      <c r="FA170" s="322" t="n"/>
      <c r="FB170" s="408" t="n"/>
      <c r="FC170" s="307" t="n"/>
      <c r="FD170" s="408" t="n"/>
      <c r="FE170" s="322" t="n"/>
      <c r="FF170" s="408" t="n"/>
      <c r="FG170" s="307" t="n"/>
      <c r="FH170" s="408" t="n"/>
      <c r="FI170" s="322" t="n"/>
      <c r="FJ170" s="408" t="n"/>
      <c r="FK170" s="307" t="n"/>
      <c r="FL170" s="408" t="n"/>
      <c r="FM170" s="322" t="n"/>
      <c r="FN170" s="408" t="n"/>
      <c r="FO170" s="307" t="n"/>
      <c r="FP170" s="408" t="n"/>
      <c r="FQ170" s="340" t="n"/>
      <c r="FR170" s="820" t="n"/>
      <c r="FS170" s="820">
        <f>SUMPRODUCT(--(MOD(COLUMN(DU170:ER170),4)=MOD(COLUMN(DU170),4)),DU170:ER170)*$I170+SUMPRODUCT(--(MOD(COLUMN(ES170:FP170),4)=MOD(COLUMN(ES170),4)),ES170:FP170)*$I170</f>
        <v/>
      </c>
      <c r="FT170" s="361" t="n"/>
    </row>
    <row r="171" outlineLevel="2">
      <c r="A171" s="413" t="inlineStr">
        <is>
          <t>ПАО «Уралавтоприцеп»</t>
        </is>
      </c>
      <c r="B171" s="444" t="inlineStr">
        <is>
          <t>Отсрочка 30 дней</t>
        </is>
      </c>
      <c r="C171" s="587" t="inlineStr">
        <is>
          <t>ВБК РУС</t>
        </is>
      </c>
      <c r="D171" s="580" t="inlineStr">
        <is>
          <t>Прасолов, Соловьёв</t>
        </is>
      </c>
      <c r="E171" s="414">
        <f>IF(ISBLANK(G171),"",IF($A$6:$A$330=$A171,COUNTIF($A$6:A171,$A171),""))</f>
        <v/>
      </c>
      <c r="F171" s="670" t="n">
        <v>1</v>
      </c>
      <c r="G171" s="501" t="n">
        <v>4801020640</v>
      </c>
      <c r="H171" s="611" t="inlineStr">
        <is>
          <t>Электропневматический блок клапанов TEBS_4801020640</t>
        </is>
      </c>
      <c r="I171" s="618" t="n">
        <v>0</v>
      </c>
      <c r="J171" s="619" t="n"/>
      <c r="K171" s="876" t="n"/>
      <c r="L171" s="619" t="n"/>
      <c r="M171" s="871" t="n"/>
      <c r="N171" s="871">
        <f>IF(BP171&gt;0,1,IF(BN171&gt;0,2,))</f>
        <v/>
      </c>
      <c r="O171" s="322" t="n"/>
      <c r="P171" s="408">
        <f>SUMPRODUCT((Комплекты[Пр]=$F171)*(Комплекты[Обозначение]=$G171)*Комплекты[Кол-во]*(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71" s="307" t="n">
        <v>11</v>
      </c>
      <c r="R171" s="408" t="n"/>
      <c r="S171" s="322" t="n"/>
      <c r="T171" s="408">
        <f>SUMPRODUCT((Комплекты[Пр]=$F171)*(Комплекты[Обозначение]=$G171)*Комплекты[Кол-во]*(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71" s="307" t="n">
        <v>13</v>
      </c>
      <c r="V171" s="408" t="n"/>
      <c r="W171" s="322" t="n"/>
      <c r="X171" s="408">
        <f>SUMPRODUCT((Комплекты[Пр]=$F171)*(Комплекты[Обозначение]=$G171)*Комплекты[Кол-во]*(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71" s="307">
        <f>SUMPRODUCT((Комплекты[Пр]=$F171)*(Комплекты[Обозначение]=$G171)*Комплекты[Кол-во]*(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71" s="408" t="n"/>
      <c r="AA171" s="322" t="n"/>
      <c r="AB171" s="408">
        <f>SUMPRODUCT((Комплекты[Пр]=$F171)*(Комплекты[Обозначение]=$G171)*Комплекты[Кол-во]*(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71" s="307" t="n">
        <v>0</v>
      </c>
      <c r="AD171" s="408" t="n"/>
      <c r="AE171" s="322" t="n"/>
      <c r="AF171" s="408">
        <f>SUMPRODUCT((Комплекты[Пр]=$F171)*(Комплекты[Обозначение]=$G171)*Комплекты[Кол-во]*(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71" s="307" t="n">
        <v>28</v>
      </c>
      <c r="AH171" s="408" t="n"/>
      <c r="AI171" s="322" t="n"/>
      <c r="AJ171" s="408">
        <f>SUMPRODUCT((Комплекты[Пр]=$F171)*(Комплекты[Обозначение]=$G171)*Комплекты[Кол-во]*(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71" s="307" t="n">
        <v>0</v>
      </c>
      <c r="AL171" s="408" t="n"/>
      <c r="AM171" s="322" t="n"/>
      <c r="AN171" s="408">
        <f>SUMPRODUCT((Комплекты[Пр]=$F171)*(Комплекты[Обозначение]=$G171)*Комплекты[Кол-во]*(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71" s="307" t="n">
        <v>0</v>
      </c>
      <c r="AP171" s="408" t="n"/>
      <c r="AQ171" s="322" t="n"/>
      <c r="AR171" s="408">
        <f>SUMPRODUCT((Комплекты[Пр]=$F171)*(Комплекты[Обозначение]=$G171)*Комплекты[Кол-во]*(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71" s="307" t="n">
        <v>0</v>
      </c>
      <c r="AT171" s="408" t="n"/>
      <c r="AU171" s="322" t="n"/>
      <c r="AV171" s="408">
        <f>SUMPRODUCT((Комплекты[Пр]=$F171)*(Комплекты[Обозначение]=$G171)*Комплекты[Кол-во]*(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71" s="307" t="n">
        <v>0</v>
      </c>
      <c r="AX171" s="408" t="n"/>
      <c r="AY171" s="322" t="n"/>
      <c r="AZ171" s="408">
        <f>SUMPRODUCT((Комплекты[Пр]=$F171)*(Комплекты[Обозначение]=$G171)*Комплекты[Кол-во]*(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71" s="307" t="n">
        <v>0</v>
      </c>
      <c r="BB171" s="408" t="n"/>
      <c r="BC171" s="322" t="n"/>
      <c r="BD171" s="408">
        <f>SUMPRODUCT((Комплекты[Пр]=$F171)*(Комплекты[Обозначение]=$G171)*Комплекты[Кол-во]*(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71" s="307" t="n">
        <v>0</v>
      </c>
      <c r="BF171" s="408" t="n"/>
      <c r="BG171" s="322" t="n"/>
      <c r="BH171" s="408">
        <f>SUMPRODUCT((Комплекты[Пр]=$F171)*(Комплекты[Обозначение]=$G171)*Комплекты[Кол-во]*(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71" s="307" t="n">
        <v>0</v>
      </c>
      <c r="BJ171" s="408" t="n"/>
      <c r="BK171" s="340" t="n"/>
      <c r="BL171" s="820">
        <f>SUMPRODUCT(--(MOD(COLUMN($O171:$AL171),4)=MOD(COLUMN($O171)+0,4)),$O171:$AL171)
+SUMPRODUCT(--(MOD(COLUMN($AM171:$BJ171),4)=MOD(COLUMN($AM171)+0,4)),$AM171:$BJ171)</f>
        <v/>
      </c>
      <c r="BM171" s="820">
        <f>SUMPRODUCT(--(MOD(COLUMN($O171:$AL171),4)=MOD(COLUMN($O171)+0,4)),$O171:$AL171)*
$I171+SUMPRODUCT(--(MOD(COLUMN($AM171:$BJ171),4)=MOD(COLUMN($AM171)+0,4)),$AM171:$BJ171)*$I171</f>
        <v/>
      </c>
      <c r="BN171" s="822">
        <f>SUMPRODUCT(--(MOD(COLUMN($O171:$AL171),4)=MOD(COLUMN($O171)+1,4)),$O171:$AL171)
+SUMPRODUCT(--(MOD(COLUMN($AM171:$BJ171),4)=MOD(COLUMN($AM171)+1,4)),$AM171:$BJ171)</f>
        <v/>
      </c>
      <c r="BO171" s="823">
        <f>SUMPRODUCT(--(MOD(COLUMN($O171:$AL171),4)=MOD(COLUMN($O171)+1,4)),$O171:$AL171)*
$I171+SUMPRODUCT(--(MOD(COLUMN($AM171:$BJ171),4)=MOD(COLUMN($AM171)+1,4)),$AM171:$BJ171)*$I171</f>
        <v/>
      </c>
      <c r="BP171" s="824">
        <f>SUMPRODUCT(--(MOD(COLUMN($O171:$AL171),4)=MOD(COLUMN($O171)+2,4)),$O171:$AL171)
+SUMPRODUCT(--(MOD(COLUMN($AM171:$BJ171),4)=MOD(COLUMN($AM171)+2,4)),$AM171:$BJ171)</f>
        <v/>
      </c>
      <c r="BQ171" s="825">
        <f>SUMPRODUCT(--(MOD(COLUMN($O171:$AL171),4)=MOD(COLUMN($O171)+2,4)),$O171:$AL171)*
$I171+SUMPRODUCT(--(MOD(COLUMN($AM171:$BJ171),4)=MOD(COLUMN($AM171)+2,4)),$AM171:$BJ171)*$I171</f>
        <v/>
      </c>
      <c r="BR171" s="819" t="n"/>
      <c r="BS171" s="819" t="n"/>
      <c r="BT171" s="322" t="n"/>
      <c r="BU171" s="408" t="n"/>
      <c r="BV171" s="307" t="n"/>
      <c r="BW171" s="408" t="n"/>
      <c r="BX171" s="322" t="n"/>
      <c r="BY171" s="408" t="n"/>
      <c r="BZ171" s="307" t="n"/>
      <c r="CA171" s="408" t="n"/>
      <c r="CB171" s="322" t="n"/>
      <c r="CC171" s="408" t="n"/>
      <c r="CD171" s="307" t="n"/>
      <c r="CE171" s="408" t="n"/>
      <c r="CF171" s="322" t="n"/>
      <c r="CG171" s="408" t="n"/>
      <c r="CH171" s="307" t="n"/>
      <c r="CI171" s="408" t="n"/>
      <c r="CJ171" s="322" t="n"/>
      <c r="CK171" s="408" t="n"/>
      <c r="CL171" s="307" t="n"/>
      <c r="CM171" s="408" t="n"/>
      <c r="CN171" s="322" t="n"/>
      <c r="CO171" s="408" t="n"/>
      <c r="CP171" s="307" t="n"/>
      <c r="CQ171" s="408" t="n"/>
      <c r="CR171" s="322" t="n"/>
      <c r="CS171" s="408" t="n"/>
      <c r="CT171" s="307" t="n"/>
      <c r="CU171" s="408" t="n"/>
      <c r="CV171" s="322" t="n"/>
      <c r="CW171" s="408" t="n"/>
      <c r="CX171" s="307" t="n"/>
      <c r="CY171" s="408" t="n"/>
      <c r="CZ171" s="322" t="n"/>
      <c r="DA171" s="408" t="n"/>
      <c r="DB171" s="307" t="n"/>
      <c r="DC171" s="408" t="n"/>
      <c r="DD171" s="322" t="n"/>
      <c r="DE171" s="408" t="n"/>
      <c r="DF171" s="307" t="n"/>
      <c r="DG171" s="408" t="n"/>
      <c r="DH171" s="322" t="n"/>
      <c r="DI171" s="408" t="n"/>
      <c r="DJ171" s="307" t="n"/>
      <c r="DK171" s="408" t="n"/>
      <c r="DL171" s="322" t="n"/>
      <c r="DM171" s="408" t="n"/>
      <c r="DN171" s="307" t="n"/>
      <c r="DO171" s="408" t="n"/>
      <c r="DP171" s="340" t="n"/>
      <c r="DQ171" s="820" t="n"/>
      <c r="DR171" s="820">
        <f>SUMPRODUCT(--(MOD(COLUMN(BT171:CQ171),4)=MOD(COLUMN(BT171),4)),BT171:CQ171)*$I171+SUMPRODUCT(--(MOD(COLUMN(CR171:DO171),4)=MOD(COLUMN(CR171),4)),CR171:DO171)*$I171</f>
        <v/>
      </c>
      <c r="DS171" s="819" t="n"/>
      <c r="DT171" s="819" t="n"/>
      <c r="DU171" s="322" t="n"/>
      <c r="DV171" s="408" t="n"/>
      <c r="DW171" s="307" t="n"/>
      <c r="DX171" s="408" t="n"/>
      <c r="DY171" s="322" t="n"/>
      <c r="DZ171" s="408" t="n"/>
      <c r="EA171" s="307" t="n"/>
      <c r="EB171" s="408" t="n"/>
      <c r="EC171" s="322" t="n"/>
      <c r="ED171" s="408" t="n"/>
      <c r="EE171" s="307" t="n"/>
      <c r="EF171" s="408" t="n"/>
      <c r="EG171" s="322" t="n"/>
      <c r="EH171" s="408" t="n"/>
      <c r="EI171" s="307" t="n"/>
      <c r="EJ171" s="408" t="n"/>
      <c r="EK171" s="322" t="n"/>
      <c r="EL171" s="408" t="n"/>
      <c r="EM171" s="307" t="n"/>
      <c r="EN171" s="408" t="n"/>
      <c r="EO171" s="322" t="n"/>
      <c r="EP171" s="408" t="n"/>
      <c r="EQ171" s="307" t="n"/>
      <c r="ER171" s="408" t="n"/>
      <c r="ES171" s="322" t="n"/>
      <c r="ET171" s="408" t="n"/>
      <c r="EU171" s="307" t="n"/>
      <c r="EV171" s="408" t="n"/>
      <c r="EW171" s="322" t="n"/>
      <c r="EX171" s="408" t="n"/>
      <c r="EY171" s="307" t="n"/>
      <c r="EZ171" s="408" t="n"/>
      <c r="FA171" s="322" t="n"/>
      <c r="FB171" s="408" t="n"/>
      <c r="FC171" s="307" t="n"/>
      <c r="FD171" s="408" t="n"/>
      <c r="FE171" s="322" t="n"/>
      <c r="FF171" s="408" t="n"/>
      <c r="FG171" s="307" t="n"/>
      <c r="FH171" s="408" t="n"/>
      <c r="FI171" s="322" t="n"/>
      <c r="FJ171" s="408" t="n"/>
      <c r="FK171" s="307" t="n"/>
      <c r="FL171" s="408" t="n"/>
      <c r="FM171" s="322" t="n"/>
      <c r="FN171" s="408" t="n"/>
      <c r="FO171" s="307" t="n"/>
      <c r="FP171" s="408" t="n"/>
      <c r="FQ171" s="340" t="n"/>
      <c r="FR171" s="820" t="n"/>
      <c r="FS171" s="820">
        <f>SUMPRODUCT(--(MOD(COLUMN(DU171:ER171),4)=MOD(COLUMN(DU171),4)),DU171:ER171)*$I171+SUMPRODUCT(--(MOD(COLUMN(ES171:FP171),4)=MOD(COLUMN(ES171),4)),ES171:FP171)*$I171</f>
        <v/>
      </c>
      <c r="FT171" s="361" t="n"/>
    </row>
    <row r="172" outlineLevel="2">
      <c r="A172" s="413" t="inlineStr">
        <is>
          <t>ПАО «Уралавтоприцеп»</t>
        </is>
      </c>
      <c r="B172" s="444" t="inlineStr">
        <is>
          <t>Отсрочка 30 дней</t>
        </is>
      </c>
      <c r="C172" s="587" t="inlineStr">
        <is>
          <t>ВБК РУС</t>
        </is>
      </c>
      <c r="D172" s="580" t="inlineStr">
        <is>
          <t>Прасолов, Соловьёв</t>
        </is>
      </c>
      <c r="E172" s="414">
        <f>IF(ISBLANK(G172),"",IF($A$6:$A$330=$A172,COUNTIF($A$6:A172,$A172),""))</f>
        <v/>
      </c>
      <c r="F172" s="670" t="n">
        <v>1</v>
      </c>
      <c r="G172" s="501" t="n">
        <v>9522010010</v>
      </c>
      <c r="H172" s="611" t="inlineStr">
        <is>
          <t>Головка соединительная (управляющая)</t>
        </is>
      </c>
      <c r="I172" s="618" t="n">
        <v>0</v>
      </c>
      <c r="J172" s="619" t="n"/>
      <c r="K172" s="876" t="n"/>
      <c r="L172" s="619" t="n"/>
      <c r="M172" s="871" t="n"/>
      <c r="N172" s="871">
        <f>IF(BP172&gt;0,1,IF(BN172&gt;0,2,))</f>
        <v/>
      </c>
      <c r="O172" s="322" t="n"/>
      <c r="P172" s="408">
        <f>SUMPRODUCT((Комплекты[Пр]=$F172)*(Комплекты[Обозначение]=$G172)*Комплекты[Кол-во]*(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72" s="307" t="n">
        <v>30</v>
      </c>
      <c r="R172" s="408" t="n"/>
      <c r="S172" s="322" t="n"/>
      <c r="T172" s="408">
        <f>SUMPRODUCT((Комплекты[Пр]=$F172)*(Комплекты[Обозначение]=$G172)*Комплекты[Кол-во]*(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72" s="307" t="n">
        <v>45</v>
      </c>
      <c r="V172" s="408" t="n"/>
      <c r="W172" s="322" t="n"/>
      <c r="X172" s="408">
        <f>SUMPRODUCT((Комплекты[Пр]=$F172)*(Комплекты[Обозначение]=$G172)*Комплекты[Кол-во]*(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72" s="307" t="n">
        <v>20</v>
      </c>
      <c r="Z172" s="408" t="n"/>
      <c r="AA172" s="322" t="n"/>
      <c r="AB172" s="408">
        <f>SUMPRODUCT((Комплекты[Пр]=$F172)*(Комплекты[Обозначение]=$G172)*Комплекты[Кол-во]*(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72" s="307" t="n">
        <v>0</v>
      </c>
      <c r="AD172" s="408" t="n"/>
      <c r="AE172" s="322" t="n"/>
      <c r="AF172" s="408">
        <f>SUMPRODUCT((Комплекты[Пр]=$F172)*(Комплекты[Обозначение]=$G172)*Комплекты[Кол-во]*(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72" s="307" t="n">
        <v>28</v>
      </c>
      <c r="AH172" s="408" t="n"/>
      <c r="AI172" s="322" t="n"/>
      <c r="AJ172" s="408">
        <f>SUMPRODUCT((Комплекты[Пр]=$F172)*(Комплекты[Обозначение]=$G172)*Комплекты[Кол-во]*(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72" s="307" t="n">
        <v>0</v>
      </c>
      <c r="AL172" s="408" t="n"/>
      <c r="AM172" s="322" t="n"/>
      <c r="AN172" s="408">
        <f>SUMPRODUCT((Комплекты[Пр]=$F172)*(Комплекты[Обозначение]=$G172)*Комплекты[Кол-во]*(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72" s="307" t="n">
        <v>0</v>
      </c>
      <c r="AP172" s="408" t="n"/>
      <c r="AQ172" s="322" t="n"/>
      <c r="AR172" s="408">
        <f>SUMPRODUCT((Комплекты[Пр]=$F172)*(Комплекты[Обозначение]=$G172)*Комплекты[Кол-во]*(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72" s="307" t="n">
        <v>0</v>
      </c>
      <c r="AT172" s="408" t="n"/>
      <c r="AU172" s="322" t="n"/>
      <c r="AV172" s="408">
        <f>SUMPRODUCT((Комплекты[Пр]=$F172)*(Комплекты[Обозначение]=$G172)*Комплекты[Кол-во]*(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72" s="307" t="n">
        <v>0</v>
      </c>
      <c r="AX172" s="408" t="n"/>
      <c r="AY172" s="322" t="n"/>
      <c r="AZ172" s="408">
        <f>SUMPRODUCT((Комплекты[Пр]=$F172)*(Комплекты[Обозначение]=$G172)*Комплекты[Кол-во]*(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72" s="307" t="n">
        <v>0</v>
      </c>
      <c r="BB172" s="408" t="n"/>
      <c r="BC172" s="322" t="n"/>
      <c r="BD172" s="408">
        <f>SUMPRODUCT((Комплекты[Пр]=$F172)*(Комплекты[Обозначение]=$G172)*Комплекты[Кол-во]*(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72" s="307" t="n">
        <v>0</v>
      </c>
      <c r="BF172" s="408" t="n"/>
      <c r="BG172" s="322" t="n"/>
      <c r="BH172" s="408">
        <f>SUMPRODUCT((Комплекты[Пр]=$F172)*(Комплекты[Обозначение]=$G172)*Комплекты[Кол-во]*(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72" s="307" t="n">
        <v>0</v>
      </c>
      <c r="BJ172" s="408" t="n"/>
      <c r="BK172" s="340" t="n"/>
      <c r="BL172" s="820">
        <f>SUMPRODUCT(--(MOD(COLUMN($O172:$AL172),4)=MOD(COLUMN($O172)+0,4)),$O172:$AL172)
+SUMPRODUCT(--(MOD(COLUMN($AM172:$BJ172),4)=MOD(COLUMN($AM172)+0,4)),$AM172:$BJ172)</f>
        <v/>
      </c>
      <c r="BM172" s="820">
        <f>SUMPRODUCT(--(MOD(COLUMN($O172:$AL172),4)=MOD(COLUMN($O172)+0,4)),$O172:$AL172)*
$I172+SUMPRODUCT(--(MOD(COLUMN($AM172:$BJ172),4)=MOD(COLUMN($AM172)+0,4)),$AM172:$BJ172)*$I172</f>
        <v/>
      </c>
      <c r="BN172" s="822">
        <f>SUMPRODUCT(--(MOD(COLUMN($O172:$AL172),4)=MOD(COLUMN($O172)+1,4)),$O172:$AL172)
+SUMPRODUCT(--(MOD(COLUMN($AM172:$BJ172),4)=MOD(COLUMN($AM172)+1,4)),$AM172:$BJ172)</f>
        <v/>
      </c>
      <c r="BO172" s="823">
        <f>SUMPRODUCT(--(MOD(COLUMN($O172:$AL172),4)=MOD(COLUMN($O172)+1,4)),$O172:$AL172)*
$I172+SUMPRODUCT(--(MOD(COLUMN($AM172:$BJ172),4)=MOD(COLUMN($AM172)+1,4)),$AM172:$BJ172)*$I172</f>
        <v/>
      </c>
      <c r="BP172" s="824">
        <f>SUMPRODUCT(--(MOD(COLUMN($O172:$AL172),4)=MOD(COLUMN($O172)+2,4)),$O172:$AL172)
+SUMPRODUCT(--(MOD(COLUMN($AM172:$BJ172),4)=MOD(COLUMN($AM172)+2,4)),$AM172:$BJ172)</f>
        <v/>
      </c>
      <c r="BQ172" s="825">
        <f>SUMPRODUCT(--(MOD(COLUMN($O172:$AL172),4)=MOD(COLUMN($O172)+2,4)),$O172:$AL172)*
$I172+SUMPRODUCT(--(MOD(COLUMN($AM172:$BJ172),4)=MOD(COLUMN($AM172)+2,4)),$AM172:$BJ172)*$I172</f>
        <v/>
      </c>
      <c r="BR172" s="819" t="n"/>
      <c r="BS172" s="819" t="n"/>
      <c r="BT172" s="322" t="n"/>
      <c r="BU172" s="408" t="n"/>
      <c r="BV172" s="307" t="n">
        <v>0</v>
      </c>
      <c r="BW172" s="408" t="n"/>
      <c r="BX172" s="322" t="n"/>
      <c r="BY172" s="408" t="n"/>
      <c r="BZ172" s="307" t="n">
        <v>0</v>
      </c>
      <c r="CA172" s="408" t="n"/>
      <c r="CB172" s="322" t="n"/>
      <c r="CC172" s="408" t="n"/>
      <c r="CD172" s="307" t="n">
        <v>0</v>
      </c>
      <c r="CE172" s="408" t="n"/>
      <c r="CF172" s="322" t="n"/>
      <c r="CG172" s="408" t="n"/>
      <c r="CH172" s="307" t="n">
        <v>0</v>
      </c>
      <c r="CI172" s="408" t="n"/>
      <c r="CJ172" s="322" t="n"/>
      <c r="CK172" s="408" t="n"/>
      <c r="CL172" s="307" t="n">
        <v>0</v>
      </c>
      <c r="CM172" s="408" t="n"/>
      <c r="CN172" s="322" t="n"/>
      <c r="CO172" s="408" t="n"/>
      <c r="CP172" s="307" t="n">
        <v>0</v>
      </c>
      <c r="CQ172" s="408" t="n"/>
      <c r="CR172" s="322" t="n"/>
      <c r="CS172" s="408" t="n"/>
      <c r="CT172" s="307" t="n">
        <v>0</v>
      </c>
      <c r="CU172" s="408" t="n"/>
      <c r="CV172" s="322" t="n"/>
      <c r="CW172" s="408" t="n"/>
      <c r="CX172" s="307" t="n">
        <v>0</v>
      </c>
      <c r="CY172" s="408" t="n"/>
      <c r="CZ172" s="322" t="n"/>
      <c r="DA172" s="408" t="n"/>
      <c r="DB172" s="307" t="n">
        <v>0</v>
      </c>
      <c r="DC172" s="408" t="n"/>
      <c r="DD172" s="322" t="n"/>
      <c r="DE172" s="408" t="n"/>
      <c r="DF172" s="307" t="n">
        <v>0</v>
      </c>
      <c r="DG172" s="408" t="n"/>
      <c r="DH172" s="322" t="n"/>
      <c r="DI172" s="408" t="n"/>
      <c r="DJ172" s="307" t="n">
        <v>0</v>
      </c>
      <c r="DK172" s="408" t="n"/>
      <c r="DL172" s="322" t="n"/>
      <c r="DM172" s="408" t="n"/>
      <c r="DN172" s="307" t="n">
        <v>0</v>
      </c>
      <c r="DO172" s="408" t="n"/>
      <c r="DP172" s="340" t="n"/>
      <c r="DQ172" s="820" t="n"/>
      <c r="DR172" s="820">
        <f>SUMPRODUCT(--(MOD(COLUMN(BT172:CQ172),4)=MOD(COLUMN(BT172),4)),BT172:CQ172)*$I172+SUMPRODUCT(--(MOD(COLUMN(CR172:DO172),4)=MOD(COLUMN(CR172),4)),CR172:DO172)*$I172</f>
        <v/>
      </c>
      <c r="DS172" s="819" t="n"/>
      <c r="DT172" s="819" t="n"/>
      <c r="DU172" s="322" t="n"/>
      <c r="DV172" s="408" t="n"/>
      <c r="DW172" s="307" t="n">
        <v>0</v>
      </c>
      <c r="DX172" s="408" t="n"/>
      <c r="DY172" s="322" t="n"/>
      <c r="DZ172" s="408" t="n"/>
      <c r="EA172" s="307" t="n">
        <v>0</v>
      </c>
      <c r="EB172" s="408" t="n"/>
      <c r="EC172" s="322" t="n"/>
      <c r="ED172" s="408" t="n"/>
      <c r="EE172" s="307" t="n">
        <v>0</v>
      </c>
      <c r="EF172" s="408" t="n"/>
      <c r="EG172" s="322" t="n"/>
      <c r="EH172" s="408" t="n"/>
      <c r="EI172" s="307" t="n">
        <v>0</v>
      </c>
      <c r="EJ172" s="408" t="n"/>
      <c r="EK172" s="322" t="n"/>
      <c r="EL172" s="408" t="n"/>
      <c r="EM172" s="307" t="n">
        <v>0</v>
      </c>
      <c r="EN172" s="408" t="n"/>
      <c r="EO172" s="322" t="n"/>
      <c r="EP172" s="408" t="n"/>
      <c r="EQ172" s="307" t="n">
        <v>0</v>
      </c>
      <c r="ER172" s="408" t="n"/>
      <c r="ES172" s="322" t="n"/>
      <c r="ET172" s="408" t="n"/>
      <c r="EU172" s="307" t="n">
        <v>0</v>
      </c>
      <c r="EV172" s="408" t="n"/>
      <c r="EW172" s="322" t="n"/>
      <c r="EX172" s="408" t="n"/>
      <c r="EY172" s="307" t="n">
        <v>0</v>
      </c>
      <c r="EZ172" s="408" t="n"/>
      <c r="FA172" s="322" t="n"/>
      <c r="FB172" s="408" t="n"/>
      <c r="FC172" s="307" t="n">
        <v>0</v>
      </c>
      <c r="FD172" s="408" t="n"/>
      <c r="FE172" s="322" t="n"/>
      <c r="FF172" s="408" t="n"/>
      <c r="FG172" s="307" t="n">
        <v>0</v>
      </c>
      <c r="FH172" s="408" t="n"/>
      <c r="FI172" s="322" t="n"/>
      <c r="FJ172" s="408" t="n"/>
      <c r="FK172" s="307" t="n">
        <v>0</v>
      </c>
      <c r="FL172" s="408" t="n"/>
      <c r="FM172" s="322" t="n"/>
      <c r="FN172" s="408" t="n"/>
      <c r="FO172" s="307" t="n">
        <v>0</v>
      </c>
      <c r="FP172" s="408" t="n"/>
      <c r="FQ172" s="340" t="n"/>
      <c r="FR172" s="820" t="n"/>
      <c r="FS172" s="820">
        <f>SUMPRODUCT(--(MOD(COLUMN(DU172:ER172),4)=MOD(COLUMN(DU172),4)),DU172:ER172)*$I172+SUMPRODUCT(--(MOD(COLUMN(ES172:FP172),4)=MOD(COLUMN(ES172),4)),ES172:FP172)*$I172</f>
        <v/>
      </c>
      <c r="FT172" s="361" t="n"/>
    </row>
    <row r="173" outlineLevel="2">
      <c r="A173" s="413" t="inlineStr">
        <is>
          <t>ПАО «Уралавтоприцеп»</t>
        </is>
      </c>
      <c r="B173" s="444" t="inlineStr">
        <is>
          <t>Отсрочка 30 дней</t>
        </is>
      </c>
      <c r="C173" s="587" t="inlineStr">
        <is>
          <t>ВБК РУС</t>
        </is>
      </c>
      <c r="D173" s="580" t="inlineStr">
        <is>
          <t>Прасолов, Соловьёв</t>
        </is>
      </c>
      <c r="E173" s="414">
        <f>IF(ISBLANK(G173),"",IF($A$6:$A$330=$A173,COUNTIF($A$6:A173,$A173),""))</f>
        <v/>
      </c>
      <c r="F173" s="670" t="n">
        <v>1</v>
      </c>
      <c r="G173" s="501" t="n">
        <v>9522010020</v>
      </c>
      <c r="H173" s="611" t="inlineStr">
        <is>
          <t>Головка соединительная (питающая)</t>
        </is>
      </c>
      <c r="I173" s="618" t="n">
        <v>0</v>
      </c>
      <c r="J173" s="619" t="n"/>
      <c r="K173" s="876" t="n"/>
      <c r="L173" s="619" t="n"/>
      <c r="M173" s="871" t="n"/>
      <c r="N173" s="871">
        <f>IF(BP173&gt;0,1,IF(BN173&gt;0,2,))</f>
        <v/>
      </c>
      <c r="O173" s="322" t="n"/>
      <c r="P173" s="408">
        <f>SUMPRODUCT((Комплекты[Пр]=$F173)*(Комплекты[Обозначение]=$G173)*Комплекты[Кол-во]*(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73" s="307" t="n">
        <v>30</v>
      </c>
      <c r="R173" s="408" t="n"/>
      <c r="S173" s="322" t="n"/>
      <c r="T173" s="408">
        <f>SUMPRODUCT((Комплекты[Пр]=$F173)*(Комплекты[Обозначение]=$G173)*Комплекты[Кол-во]*(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73" s="307" t="n">
        <v>45</v>
      </c>
      <c r="V173" s="408" t="n"/>
      <c r="W173" s="322" t="n"/>
      <c r="X173" s="408">
        <f>SUMPRODUCT((Комплекты[Пр]=$F173)*(Комплекты[Обозначение]=$G173)*Комплекты[Кол-во]*(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73" s="307" t="n">
        <v>20</v>
      </c>
      <c r="Z173" s="408" t="n"/>
      <c r="AA173" s="322" t="n"/>
      <c r="AB173" s="408">
        <f>SUMPRODUCT((Комплекты[Пр]=$F173)*(Комплекты[Обозначение]=$G173)*Комплекты[Кол-во]*(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73" s="307" t="n">
        <v>0</v>
      </c>
      <c r="AD173" s="408" t="n"/>
      <c r="AE173" s="322" t="n"/>
      <c r="AF173" s="408">
        <f>SUMPRODUCT((Комплекты[Пр]=$F173)*(Комплекты[Обозначение]=$G173)*Комплекты[Кол-во]*(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73" s="307" t="n">
        <v>28</v>
      </c>
      <c r="AH173" s="408" t="n"/>
      <c r="AI173" s="322" t="n"/>
      <c r="AJ173" s="408">
        <f>SUMPRODUCT((Комплекты[Пр]=$F173)*(Комплекты[Обозначение]=$G173)*Комплекты[Кол-во]*(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73" s="307" t="n">
        <v>0</v>
      </c>
      <c r="AL173" s="408" t="n"/>
      <c r="AM173" s="322" t="n"/>
      <c r="AN173" s="408">
        <f>SUMPRODUCT((Комплекты[Пр]=$F173)*(Комплекты[Обозначение]=$G173)*Комплекты[Кол-во]*(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73" s="307" t="n">
        <v>0</v>
      </c>
      <c r="AP173" s="408" t="n"/>
      <c r="AQ173" s="322" t="n"/>
      <c r="AR173" s="408">
        <f>SUMPRODUCT((Комплекты[Пр]=$F173)*(Комплекты[Обозначение]=$G173)*Комплекты[Кол-во]*(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73" s="307" t="n">
        <v>0</v>
      </c>
      <c r="AT173" s="408" t="n"/>
      <c r="AU173" s="322" t="n"/>
      <c r="AV173" s="408">
        <f>SUMPRODUCT((Комплекты[Пр]=$F173)*(Комплекты[Обозначение]=$G173)*Комплекты[Кол-во]*(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73" s="307" t="n">
        <v>0</v>
      </c>
      <c r="AX173" s="408" t="n"/>
      <c r="AY173" s="322" t="n"/>
      <c r="AZ173" s="408">
        <f>SUMPRODUCT((Комплекты[Пр]=$F173)*(Комплекты[Обозначение]=$G173)*Комплекты[Кол-во]*(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73" s="307" t="n">
        <v>0</v>
      </c>
      <c r="BB173" s="408" t="n"/>
      <c r="BC173" s="322" t="n"/>
      <c r="BD173" s="408">
        <f>SUMPRODUCT((Комплекты[Пр]=$F173)*(Комплекты[Обозначение]=$G173)*Комплекты[Кол-во]*(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73" s="307" t="n">
        <v>0</v>
      </c>
      <c r="BF173" s="408" t="n"/>
      <c r="BG173" s="322" t="n"/>
      <c r="BH173" s="408">
        <f>SUMPRODUCT((Комплекты[Пр]=$F173)*(Комплекты[Обозначение]=$G173)*Комплекты[Кол-во]*(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73" s="307" t="n">
        <v>0</v>
      </c>
      <c r="BJ173" s="408" t="n"/>
      <c r="BK173" s="340" t="n"/>
      <c r="BL173" s="820">
        <f>SUMPRODUCT(--(MOD(COLUMN($O173:$AL173),4)=MOD(COLUMN($O173)+0,4)),$O173:$AL173)
+SUMPRODUCT(--(MOD(COLUMN($AM173:$BJ173),4)=MOD(COLUMN($AM173)+0,4)),$AM173:$BJ173)</f>
        <v/>
      </c>
      <c r="BM173" s="820">
        <f>SUMPRODUCT(--(MOD(COLUMN($O173:$AL173),4)=MOD(COLUMN($O173)+0,4)),$O173:$AL173)*
$I173+SUMPRODUCT(--(MOD(COLUMN($AM173:$BJ173),4)=MOD(COLUMN($AM173)+0,4)),$AM173:$BJ173)*$I173</f>
        <v/>
      </c>
      <c r="BN173" s="822">
        <f>SUMPRODUCT(--(MOD(COLUMN($O173:$AL173),4)=MOD(COLUMN($O173)+1,4)),$O173:$AL173)
+SUMPRODUCT(--(MOD(COLUMN($AM173:$BJ173),4)=MOD(COLUMN($AM173)+1,4)),$AM173:$BJ173)</f>
        <v/>
      </c>
      <c r="BO173" s="823">
        <f>SUMPRODUCT(--(MOD(COLUMN($O173:$AL173),4)=MOD(COLUMN($O173)+1,4)),$O173:$AL173)*
$I173+SUMPRODUCT(--(MOD(COLUMN($AM173:$BJ173),4)=MOD(COLUMN($AM173)+1,4)),$AM173:$BJ173)*$I173</f>
        <v/>
      </c>
      <c r="BP173" s="824">
        <f>SUMPRODUCT(--(MOD(COLUMN($O173:$AL173),4)=MOD(COLUMN($O173)+2,4)),$O173:$AL173)
+SUMPRODUCT(--(MOD(COLUMN($AM173:$BJ173),4)=MOD(COLUMN($AM173)+2,4)),$AM173:$BJ173)</f>
        <v/>
      </c>
      <c r="BQ173" s="825">
        <f>SUMPRODUCT(--(MOD(COLUMN($O173:$AL173),4)=MOD(COLUMN($O173)+2,4)),$O173:$AL173)*
$I173+SUMPRODUCT(--(MOD(COLUMN($AM173:$BJ173),4)=MOD(COLUMN($AM173)+2,4)),$AM173:$BJ173)*$I173</f>
        <v/>
      </c>
      <c r="BR173" s="819" t="n"/>
      <c r="BS173" s="819" t="n"/>
      <c r="BT173" s="322" t="n"/>
      <c r="BU173" s="408" t="n"/>
      <c r="BV173" s="307" t="n">
        <v>0</v>
      </c>
      <c r="BW173" s="408" t="n"/>
      <c r="BX173" s="322" t="n"/>
      <c r="BY173" s="408" t="n"/>
      <c r="BZ173" s="307" t="n">
        <v>0</v>
      </c>
      <c r="CA173" s="408" t="n"/>
      <c r="CB173" s="322" t="n"/>
      <c r="CC173" s="408" t="n"/>
      <c r="CD173" s="307" t="n">
        <v>0</v>
      </c>
      <c r="CE173" s="408" t="n"/>
      <c r="CF173" s="322" t="n"/>
      <c r="CG173" s="408" t="n"/>
      <c r="CH173" s="307" t="n">
        <v>0</v>
      </c>
      <c r="CI173" s="408" t="n"/>
      <c r="CJ173" s="322" t="n"/>
      <c r="CK173" s="408" t="n"/>
      <c r="CL173" s="307" t="n">
        <v>0</v>
      </c>
      <c r="CM173" s="408" t="n"/>
      <c r="CN173" s="322" t="n"/>
      <c r="CO173" s="408" t="n"/>
      <c r="CP173" s="307" t="n">
        <v>0</v>
      </c>
      <c r="CQ173" s="408" t="n"/>
      <c r="CR173" s="322" t="n"/>
      <c r="CS173" s="408" t="n"/>
      <c r="CT173" s="307" t="n">
        <v>0</v>
      </c>
      <c r="CU173" s="408" t="n"/>
      <c r="CV173" s="322" t="n"/>
      <c r="CW173" s="408" t="n"/>
      <c r="CX173" s="307" t="n">
        <v>0</v>
      </c>
      <c r="CY173" s="408" t="n"/>
      <c r="CZ173" s="322" t="n"/>
      <c r="DA173" s="408" t="n"/>
      <c r="DB173" s="307" t="n">
        <v>0</v>
      </c>
      <c r="DC173" s="408" t="n"/>
      <c r="DD173" s="322" t="n"/>
      <c r="DE173" s="408" t="n"/>
      <c r="DF173" s="307" t="n">
        <v>0</v>
      </c>
      <c r="DG173" s="408" t="n"/>
      <c r="DH173" s="322" t="n"/>
      <c r="DI173" s="408" t="n"/>
      <c r="DJ173" s="307" t="n">
        <v>0</v>
      </c>
      <c r="DK173" s="408" t="n"/>
      <c r="DL173" s="322" t="n"/>
      <c r="DM173" s="408" t="n"/>
      <c r="DN173" s="307" t="n">
        <v>0</v>
      </c>
      <c r="DO173" s="408" t="n"/>
      <c r="DP173" s="340" t="n"/>
      <c r="DQ173" s="820" t="n"/>
      <c r="DR173" s="820">
        <f>SUMPRODUCT(--(MOD(COLUMN(BT173:CQ173),4)=MOD(COLUMN(BT173),4)),BT173:CQ173)*$I173+SUMPRODUCT(--(MOD(COLUMN(CR173:DO173),4)=MOD(COLUMN(CR173),4)),CR173:DO173)*$I173</f>
        <v/>
      </c>
      <c r="DS173" s="819" t="n"/>
      <c r="DT173" s="819" t="n"/>
      <c r="DU173" s="322" t="n"/>
      <c r="DV173" s="408" t="n"/>
      <c r="DW173" s="307" t="n">
        <v>0</v>
      </c>
      <c r="DX173" s="408" t="n"/>
      <c r="DY173" s="322" t="n"/>
      <c r="DZ173" s="408" t="n"/>
      <c r="EA173" s="307" t="n">
        <v>0</v>
      </c>
      <c r="EB173" s="408" t="n"/>
      <c r="EC173" s="322" t="n"/>
      <c r="ED173" s="408" t="n"/>
      <c r="EE173" s="307" t="n">
        <v>0</v>
      </c>
      <c r="EF173" s="408" t="n"/>
      <c r="EG173" s="322" t="n"/>
      <c r="EH173" s="408" t="n"/>
      <c r="EI173" s="307" t="n">
        <v>0</v>
      </c>
      <c r="EJ173" s="408" t="n"/>
      <c r="EK173" s="322" t="n"/>
      <c r="EL173" s="408" t="n"/>
      <c r="EM173" s="307" t="n">
        <v>0</v>
      </c>
      <c r="EN173" s="408" t="n"/>
      <c r="EO173" s="322" t="n"/>
      <c r="EP173" s="408" t="n"/>
      <c r="EQ173" s="307" t="n">
        <v>0</v>
      </c>
      <c r="ER173" s="408" t="n"/>
      <c r="ES173" s="322" t="n"/>
      <c r="ET173" s="408" t="n"/>
      <c r="EU173" s="307" t="n">
        <v>0</v>
      </c>
      <c r="EV173" s="408" t="n"/>
      <c r="EW173" s="322" t="n"/>
      <c r="EX173" s="408" t="n"/>
      <c r="EY173" s="307" t="n">
        <v>0</v>
      </c>
      <c r="EZ173" s="408" t="n"/>
      <c r="FA173" s="322" t="n"/>
      <c r="FB173" s="408" t="n"/>
      <c r="FC173" s="307" t="n">
        <v>0</v>
      </c>
      <c r="FD173" s="408" t="n"/>
      <c r="FE173" s="322" t="n"/>
      <c r="FF173" s="408" t="n"/>
      <c r="FG173" s="307" t="n">
        <v>0</v>
      </c>
      <c r="FH173" s="408" t="n"/>
      <c r="FI173" s="322" t="n"/>
      <c r="FJ173" s="408" t="n"/>
      <c r="FK173" s="307" t="n">
        <v>0</v>
      </c>
      <c r="FL173" s="408" t="n"/>
      <c r="FM173" s="322" t="n"/>
      <c r="FN173" s="408" t="n"/>
      <c r="FO173" s="307" t="n">
        <v>0</v>
      </c>
      <c r="FP173" s="408" t="n"/>
      <c r="FQ173" s="340" t="n"/>
      <c r="FR173" s="820" t="n"/>
      <c r="FS173" s="820">
        <f>SUMPRODUCT(--(MOD(COLUMN(DU173:ER173),4)=MOD(COLUMN(DU173),4)),DU173:ER173)*$I173+SUMPRODUCT(--(MOD(COLUMN(ES173:FP173),4)=MOD(COLUMN(ES173),4)),ES173:FP173)*$I173</f>
        <v/>
      </c>
      <c r="FT173" s="361" t="n"/>
    </row>
    <row r="174" outlineLevel="2">
      <c r="A174" s="413" t="inlineStr">
        <is>
          <t>ПАО «Уралавтоприцеп»</t>
        </is>
      </c>
      <c r="B174" s="444" t="inlineStr">
        <is>
          <t>Отсрочка 30 дней</t>
        </is>
      </c>
      <c r="C174" s="587" t="inlineStr">
        <is>
          <t>ВБК РУС</t>
        </is>
      </c>
      <c r="D174" s="580" t="inlineStr">
        <is>
          <t>Прасолов, Соловьёв</t>
        </is>
      </c>
      <c r="E174" s="414">
        <f>IF(ISBLANK(G174),"",IF($A$6:$A$330=$A174,COUNTIF($A$6:A174,$A174),""))</f>
        <v/>
      </c>
      <c r="F174" s="670" t="n">
        <v>1</v>
      </c>
      <c r="G174" s="501" t="n">
        <v>9710029000</v>
      </c>
      <c r="H174" s="611" t="inlineStr">
        <is>
          <t>Воздухораспределитель с клапаном растормаживания</t>
        </is>
      </c>
      <c r="I174" s="618" t="n">
        <v>0</v>
      </c>
      <c r="J174" s="619" t="n"/>
      <c r="K174" s="876" t="n"/>
      <c r="L174" s="619" t="n"/>
      <c r="M174" s="871" t="n"/>
      <c r="N174" s="871">
        <f>IF(BP174&gt;0,1,IF(BN174&gt;0,2,))</f>
        <v/>
      </c>
      <c r="O174" s="322" t="n"/>
      <c r="P174" s="408">
        <f>SUMPRODUCT((Комплекты[Пр]=$F174)*(Комплекты[Обозначение]=$G174)*Комплекты[Кол-во]*(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74" s="307" t="n">
        <v>11</v>
      </c>
      <c r="R174" s="408" t="n"/>
      <c r="S174" s="322" t="n"/>
      <c r="T174" s="408">
        <f>SUMPRODUCT((Комплекты[Пр]=$F174)*(Комплекты[Обозначение]=$G174)*Комплекты[Кол-во]*(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74" s="307" t="n">
        <v>5</v>
      </c>
      <c r="V174" s="408" t="n"/>
      <c r="W174" s="322" t="n"/>
      <c r="X174" s="408">
        <f>SUMPRODUCT((Комплекты[Пр]=$F174)*(Комплекты[Обозначение]=$G174)*Комплекты[Кол-во]*(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74" s="307">
        <f>SUMPRODUCT((Комплекты[Пр]=$F174)*(Комплекты[Обозначение]=$G174)*Комплекты[Кол-во]*(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74" s="408" t="n"/>
      <c r="AA174" s="322" t="n"/>
      <c r="AB174" s="408">
        <f>SUMPRODUCT((Комплекты[Пр]=$F174)*(Комплекты[Обозначение]=$G174)*Комплекты[Кол-во]*(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74" s="307" t="n">
        <v>0</v>
      </c>
      <c r="AD174" s="408" t="n"/>
      <c r="AE174" s="322" t="n"/>
      <c r="AF174" s="408">
        <f>SUMPRODUCT((Комплекты[Пр]=$F174)*(Комплекты[Обозначение]=$G174)*Комплекты[Кол-во]*(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74" s="307" t="n">
        <v>28</v>
      </c>
      <c r="AH174" s="408" t="n"/>
      <c r="AI174" s="322" t="n"/>
      <c r="AJ174" s="408">
        <f>SUMPRODUCT((Комплекты[Пр]=$F174)*(Комплекты[Обозначение]=$G174)*Комплекты[Кол-во]*(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74" s="307" t="n">
        <v>0</v>
      </c>
      <c r="AL174" s="408" t="n"/>
      <c r="AM174" s="322" t="n"/>
      <c r="AN174" s="408">
        <f>SUMPRODUCT((Комплекты[Пр]=$F174)*(Комплекты[Обозначение]=$G174)*Комплекты[Кол-во]*(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74" s="307" t="n">
        <v>0</v>
      </c>
      <c r="AP174" s="408" t="n"/>
      <c r="AQ174" s="322" t="n"/>
      <c r="AR174" s="408">
        <f>SUMPRODUCT((Комплекты[Пр]=$F174)*(Комплекты[Обозначение]=$G174)*Комплекты[Кол-во]*(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74" s="307" t="n">
        <v>0</v>
      </c>
      <c r="AT174" s="408" t="n"/>
      <c r="AU174" s="322" t="n"/>
      <c r="AV174" s="408">
        <f>SUMPRODUCT((Комплекты[Пр]=$F174)*(Комплекты[Обозначение]=$G174)*Комплекты[Кол-во]*(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74" s="307" t="n">
        <v>0</v>
      </c>
      <c r="AX174" s="408" t="n"/>
      <c r="AY174" s="322" t="n"/>
      <c r="AZ174" s="408">
        <f>SUMPRODUCT((Комплекты[Пр]=$F174)*(Комплекты[Обозначение]=$G174)*Комплекты[Кол-во]*(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74" s="307" t="n">
        <v>0</v>
      </c>
      <c r="BB174" s="408" t="n"/>
      <c r="BC174" s="322" t="n"/>
      <c r="BD174" s="408">
        <f>SUMPRODUCT((Комплекты[Пр]=$F174)*(Комплекты[Обозначение]=$G174)*Комплекты[Кол-во]*(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74" s="307" t="n">
        <v>0</v>
      </c>
      <c r="BF174" s="408" t="n"/>
      <c r="BG174" s="322" t="n"/>
      <c r="BH174" s="408">
        <f>SUMPRODUCT((Комплекты[Пр]=$F174)*(Комплекты[Обозначение]=$G174)*Комплекты[Кол-во]*(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74" s="307" t="n">
        <v>0</v>
      </c>
      <c r="BJ174" s="408" t="n"/>
      <c r="BK174" s="340" t="n"/>
      <c r="BL174" s="820">
        <f>SUMPRODUCT(--(MOD(COLUMN($O174:$AL174),4)=MOD(COLUMN($O174)+0,4)),$O174:$AL174)
+SUMPRODUCT(--(MOD(COLUMN($AM174:$BJ174),4)=MOD(COLUMN($AM174)+0,4)),$AM174:$BJ174)</f>
        <v/>
      </c>
      <c r="BM174" s="820">
        <f>SUMPRODUCT(--(MOD(COLUMN($O174:$AL174),4)=MOD(COLUMN($O174)+0,4)),$O174:$AL174)*
$I174+SUMPRODUCT(--(MOD(COLUMN($AM174:$BJ174),4)=MOD(COLUMN($AM174)+0,4)),$AM174:$BJ174)*$I174</f>
        <v/>
      </c>
      <c r="BN174" s="822">
        <f>SUMPRODUCT(--(MOD(COLUMN($O174:$AL174),4)=MOD(COLUMN($O174)+1,4)),$O174:$AL174)
+SUMPRODUCT(--(MOD(COLUMN($AM174:$BJ174),4)=MOD(COLUMN($AM174)+1,4)),$AM174:$BJ174)</f>
        <v/>
      </c>
      <c r="BO174" s="823">
        <f>SUMPRODUCT(--(MOD(COLUMN($O174:$AL174),4)=MOD(COLUMN($O174)+1,4)),$O174:$AL174)*
$I174+SUMPRODUCT(--(MOD(COLUMN($AM174:$BJ174),4)=MOD(COLUMN($AM174)+1,4)),$AM174:$BJ174)*$I174</f>
        <v/>
      </c>
      <c r="BP174" s="824">
        <f>SUMPRODUCT(--(MOD(COLUMN($O174:$AL174),4)=MOD(COLUMN($O174)+2,4)),$O174:$AL174)
+SUMPRODUCT(--(MOD(COLUMN($AM174:$BJ174),4)=MOD(COLUMN($AM174)+2,4)),$AM174:$BJ174)</f>
        <v/>
      </c>
      <c r="BQ174" s="825">
        <f>SUMPRODUCT(--(MOD(COLUMN($O174:$AL174),4)=MOD(COLUMN($O174)+2,4)),$O174:$AL174)*
$I174+SUMPRODUCT(--(MOD(COLUMN($AM174:$BJ174),4)=MOD(COLUMN($AM174)+2,4)),$AM174:$BJ174)*$I174</f>
        <v/>
      </c>
      <c r="BR174" s="819" t="n"/>
      <c r="BS174" s="819" t="n"/>
      <c r="BT174" s="322" t="n"/>
      <c r="BU174" s="408" t="n"/>
      <c r="BV174" s="307" t="n"/>
      <c r="BW174" s="408" t="n"/>
      <c r="BX174" s="322" t="n"/>
      <c r="BY174" s="408" t="n"/>
      <c r="BZ174" s="307" t="n"/>
      <c r="CA174" s="408" t="n"/>
      <c r="CB174" s="322" t="n"/>
      <c r="CC174" s="408" t="n"/>
      <c r="CD174" s="307" t="n"/>
      <c r="CE174" s="408" t="n"/>
      <c r="CF174" s="322" t="n"/>
      <c r="CG174" s="408" t="n"/>
      <c r="CH174" s="307" t="n"/>
      <c r="CI174" s="408" t="n"/>
      <c r="CJ174" s="322" t="n"/>
      <c r="CK174" s="408" t="n"/>
      <c r="CL174" s="307" t="n"/>
      <c r="CM174" s="408" t="n"/>
      <c r="CN174" s="322" t="n"/>
      <c r="CO174" s="408" t="n"/>
      <c r="CP174" s="307" t="n"/>
      <c r="CQ174" s="408" t="n"/>
      <c r="CR174" s="322" t="n"/>
      <c r="CS174" s="408" t="n"/>
      <c r="CT174" s="307" t="n"/>
      <c r="CU174" s="408" t="n"/>
      <c r="CV174" s="322" t="n"/>
      <c r="CW174" s="408" t="n"/>
      <c r="CX174" s="307" t="n"/>
      <c r="CY174" s="408" t="n"/>
      <c r="CZ174" s="322" t="n"/>
      <c r="DA174" s="408" t="n"/>
      <c r="DB174" s="307" t="n"/>
      <c r="DC174" s="408" t="n"/>
      <c r="DD174" s="322" t="n"/>
      <c r="DE174" s="408" t="n"/>
      <c r="DF174" s="307" t="n"/>
      <c r="DG174" s="408" t="n"/>
      <c r="DH174" s="322" t="n"/>
      <c r="DI174" s="408" t="n"/>
      <c r="DJ174" s="307" t="n"/>
      <c r="DK174" s="408" t="n"/>
      <c r="DL174" s="322" t="n"/>
      <c r="DM174" s="408" t="n"/>
      <c r="DN174" s="307" t="n"/>
      <c r="DO174" s="408" t="n"/>
      <c r="DP174" s="340" t="n"/>
      <c r="DQ174" s="820" t="n"/>
      <c r="DR174" s="820">
        <f>SUMPRODUCT(--(MOD(COLUMN(BT174:CQ174),4)=MOD(COLUMN(BT174),4)),BT174:CQ174)*$I174+SUMPRODUCT(--(MOD(COLUMN(CR174:DO174),4)=MOD(COLUMN(CR174),4)),CR174:DO174)*$I174</f>
        <v/>
      </c>
      <c r="DS174" s="819" t="n"/>
      <c r="DT174" s="819" t="n"/>
      <c r="DU174" s="322" t="n"/>
      <c r="DV174" s="408" t="n"/>
      <c r="DW174" s="307" t="n"/>
      <c r="DX174" s="408" t="n"/>
      <c r="DY174" s="322" t="n"/>
      <c r="DZ174" s="408" t="n"/>
      <c r="EA174" s="307" t="n"/>
      <c r="EB174" s="408" t="n"/>
      <c r="EC174" s="322" t="n"/>
      <c r="ED174" s="408" t="n"/>
      <c r="EE174" s="307" t="n"/>
      <c r="EF174" s="408" t="n"/>
      <c r="EG174" s="322" t="n"/>
      <c r="EH174" s="408" t="n"/>
      <c r="EI174" s="307" t="n"/>
      <c r="EJ174" s="408" t="n"/>
      <c r="EK174" s="322" t="n"/>
      <c r="EL174" s="408" t="n"/>
      <c r="EM174" s="307" t="n"/>
      <c r="EN174" s="408" t="n"/>
      <c r="EO174" s="322" t="n"/>
      <c r="EP174" s="408" t="n"/>
      <c r="EQ174" s="307" t="n"/>
      <c r="ER174" s="408" t="n"/>
      <c r="ES174" s="322" t="n"/>
      <c r="ET174" s="408" t="n"/>
      <c r="EU174" s="307" t="n"/>
      <c r="EV174" s="408" t="n"/>
      <c r="EW174" s="322" t="n"/>
      <c r="EX174" s="408" t="n"/>
      <c r="EY174" s="307" t="n"/>
      <c r="EZ174" s="408" t="n"/>
      <c r="FA174" s="322" t="n"/>
      <c r="FB174" s="408" t="n"/>
      <c r="FC174" s="307" t="n"/>
      <c r="FD174" s="408" t="n"/>
      <c r="FE174" s="322" t="n"/>
      <c r="FF174" s="408" t="n"/>
      <c r="FG174" s="307" t="n"/>
      <c r="FH174" s="408" t="n"/>
      <c r="FI174" s="322" t="n"/>
      <c r="FJ174" s="408" t="n"/>
      <c r="FK174" s="307" t="n"/>
      <c r="FL174" s="408" t="n"/>
      <c r="FM174" s="322" t="n"/>
      <c r="FN174" s="408" t="n"/>
      <c r="FO174" s="307" t="n"/>
      <c r="FP174" s="408" t="n"/>
      <c r="FQ174" s="340" t="n"/>
      <c r="FR174" s="820" t="n"/>
      <c r="FS174" s="820">
        <f>SUMPRODUCT(--(MOD(COLUMN(DU174:ER174),4)=MOD(COLUMN(DU174),4)),DU174:ER174)*$I174+SUMPRODUCT(--(MOD(COLUMN(ES174:FP174),4)=MOD(COLUMN(ES174),4)),ES174:FP174)*$I174</f>
        <v/>
      </c>
      <c r="FT174" s="361" t="n"/>
    </row>
    <row r="175" outlineLevel="2">
      <c r="A175" s="413" t="inlineStr">
        <is>
          <t>ПАО «Уралавтоприцеп»</t>
        </is>
      </c>
      <c r="B175" s="444" t="inlineStr">
        <is>
          <t>Отсрочка 30 дней</t>
        </is>
      </c>
      <c r="C175" s="587" t="inlineStr">
        <is>
          <t>ВБК РУС</t>
        </is>
      </c>
      <c r="D175" s="580" t="inlineStr">
        <is>
          <t>Прасолов, Соловьёв</t>
        </is>
      </c>
      <c r="E175" s="414">
        <f>IF(ISBLANK(G175),"",IF($A$6:$A$330=$A175,COUNTIF($A$6:A175,$A175),""))</f>
        <v/>
      </c>
      <c r="F175" s="670" t="n">
        <v>1</v>
      </c>
      <c r="G175" s="501" t="n">
        <v>4494300600</v>
      </c>
      <c r="H175" s="611" t="inlineStr">
        <is>
          <t>Кабель клапана ускорительного TEBS (6 м)</t>
        </is>
      </c>
      <c r="I175" s="618" t="n">
        <v>0</v>
      </c>
      <c r="J175" s="619" t="n"/>
      <c r="K175" s="876" t="n"/>
      <c r="L175" s="619" t="n"/>
      <c r="M175" s="871" t="n"/>
      <c r="N175" s="871">
        <f>IF(BP175&gt;0,1,IF(BN175&gt;0,2,))</f>
        <v/>
      </c>
      <c r="O175" s="322" t="n"/>
      <c r="P175" s="408" t="n"/>
      <c r="Q175" s="307" t="n"/>
      <c r="R175" s="408" t="n"/>
      <c r="S175" s="322" t="n"/>
      <c r="T175" s="408">
        <f>SUMPRODUCT((Комплекты[Пр]=$F175)*(Комплекты[Обозначение]=$G175)*Комплекты[Кол-во]*(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75" s="307">
        <f>SUMPRODUCT((Комплекты[Пр]=$F175)*(Комплекты[Обозначение]=$G175)*Комплекты[Кол-во]*(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/>
      </c>
      <c r="V175" s="408" t="n"/>
      <c r="W175" s="322" t="n"/>
      <c r="X175" s="408">
        <f>SUMPRODUCT((Комплекты[Пр]=$F175)*(Комплекты[Обозначение]=$G175)*Комплекты[Кол-во]*(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75" s="307">
        <f>SUMPRODUCT((Комплекты[Пр]=$F175)*(Комплекты[Обозначение]=$G175)*Комплекты[Кол-во]*(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75" s="408" t="n"/>
      <c r="AA175" s="322" t="n"/>
      <c r="AB175" s="408">
        <f>SUMPRODUCT((Комплекты[Пр]=$F175)*(Комплекты[Обозначение]=$G175)*Комплекты[Кол-во]*(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75" s="307" t="n">
        <v>0</v>
      </c>
      <c r="AD175" s="408" t="n"/>
      <c r="AE175" s="322" t="n"/>
      <c r="AF175" s="408">
        <f>SUMPRODUCT((Комплекты[Пр]=$F175)*(Комплекты[Обозначение]=$G175)*Комплекты[Кол-во]*(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75" s="307" t="n">
        <v>19</v>
      </c>
      <c r="AH175" s="408" t="n"/>
      <c r="AI175" s="322" t="n"/>
      <c r="AJ175" s="408">
        <f>SUMPRODUCT((Комплекты[Пр]=$F175)*(Комплекты[Обозначение]=$G175)*Комплекты[Кол-во]*(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75" s="307" t="n">
        <v>0</v>
      </c>
      <c r="AL175" s="408" t="n"/>
      <c r="AM175" s="322" t="n"/>
      <c r="AN175" s="408">
        <f>SUMPRODUCT((Комплекты[Пр]=$F175)*(Комплекты[Обозначение]=$G175)*Комплекты[Кол-во]*(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75" s="307" t="n">
        <v>0</v>
      </c>
      <c r="AP175" s="408" t="n"/>
      <c r="AQ175" s="322" t="n"/>
      <c r="AR175" s="408">
        <f>SUMPRODUCT((Комплекты[Пр]=$F175)*(Комплекты[Обозначение]=$G175)*Комплекты[Кол-во]*(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75" s="307" t="n">
        <v>0</v>
      </c>
      <c r="AT175" s="408" t="n"/>
      <c r="AU175" s="322" t="n"/>
      <c r="AV175" s="408">
        <f>SUMPRODUCT((Комплекты[Пр]=$F175)*(Комплекты[Обозначение]=$G175)*Комплекты[Кол-во]*(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75" s="307" t="n">
        <v>0</v>
      </c>
      <c r="AX175" s="408" t="n"/>
      <c r="AY175" s="322" t="n"/>
      <c r="AZ175" s="408">
        <f>SUMPRODUCT((Комплекты[Пр]=$F175)*(Комплекты[Обозначение]=$G175)*Комплекты[Кол-во]*(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75" s="307" t="n">
        <v>0</v>
      </c>
      <c r="BB175" s="408" t="n"/>
      <c r="BC175" s="322" t="n"/>
      <c r="BD175" s="408">
        <f>SUMPRODUCT((Комплекты[Пр]=$F175)*(Комплекты[Обозначение]=$G175)*Комплекты[Кол-во]*(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75" s="307" t="n">
        <v>0</v>
      </c>
      <c r="BF175" s="408" t="n"/>
      <c r="BG175" s="322" t="n"/>
      <c r="BH175" s="408">
        <f>SUMPRODUCT((Комплекты[Пр]=$F175)*(Комплекты[Обозначение]=$G175)*Комплекты[Кол-во]*(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75" s="307" t="n">
        <v>0</v>
      </c>
      <c r="BJ175" s="408" t="n"/>
      <c r="BK175" s="340" t="n"/>
      <c r="BL175" s="820">
        <f>SUMPRODUCT(--(MOD(COLUMN($O175:$AL175),4)=MOD(COLUMN($O175)+0,4)),$O175:$AL175)
+SUMPRODUCT(--(MOD(COLUMN($AM175:$BJ175),4)=MOD(COLUMN($AM175)+0,4)),$AM175:$BJ175)</f>
        <v/>
      </c>
      <c r="BM175" s="820">
        <f>SUMPRODUCT(--(MOD(COLUMN($O175:$AL175),4)=MOD(COLUMN($O175)+0,4)),$O175:$AL175)*
$I175+SUMPRODUCT(--(MOD(COLUMN($AM175:$BJ175),4)=MOD(COLUMN($AM175)+0,4)),$AM175:$BJ175)*$I175</f>
        <v/>
      </c>
      <c r="BN175" s="822">
        <f>SUMPRODUCT(--(MOD(COLUMN($O175:$AL175),4)=MOD(COLUMN($O175)+1,4)),$O175:$AL175)
+SUMPRODUCT(--(MOD(COLUMN($AM175:$BJ175),4)=MOD(COLUMN($AM175)+1,4)),$AM175:$BJ175)</f>
        <v/>
      </c>
      <c r="BO175" s="823">
        <f>SUMPRODUCT(--(MOD(COLUMN($O175:$AL175),4)=MOD(COLUMN($O175)+1,4)),$O175:$AL175)*
$I175+SUMPRODUCT(--(MOD(COLUMN($AM175:$BJ175),4)=MOD(COLUMN($AM175)+1,4)),$AM175:$BJ175)*$I175</f>
        <v/>
      </c>
      <c r="BP175" s="824">
        <f>SUMPRODUCT(--(MOD(COLUMN($O175:$AL175),4)=MOD(COLUMN($O175)+2,4)),$O175:$AL175)
+SUMPRODUCT(--(MOD(COLUMN($AM175:$BJ175),4)=MOD(COLUMN($AM175)+2,4)),$AM175:$BJ175)</f>
        <v/>
      </c>
      <c r="BQ175" s="825">
        <f>SUMPRODUCT(--(MOD(COLUMN($O175:$AL175),4)=MOD(COLUMN($O175)+2,4)),$O175:$AL175)*
$I175+SUMPRODUCT(--(MOD(COLUMN($AM175:$BJ175),4)=MOD(COLUMN($AM175)+2,4)),$AM175:$BJ175)*$I175</f>
        <v/>
      </c>
      <c r="BR175" s="819" t="n"/>
      <c r="BS175" s="819" t="n"/>
      <c r="BT175" s="322" t="n"/>
      <c r="BU175" s="408" t="n"/>
      <c r="BV175" s="307" t="n"/>
      <c r="BW175" s="408" t="n"/>
      <c r="BX175" s="322" t="n"/>
      <c r="BY175" s="408" t="n"/>
      <c r="BZ175" s="307" t="n"/>
      <c r="CA175" s="408" t="n"/>
      <c r="CB175" s="322" t="n"/>
      <c r="CC175" s="408" t="n"/>
      <c r="CD175" s="307" t="n"/>
      <c r="CE175" s="408" t="n"/>
      <c r="CF175" s="322" t="n"/>
      <c r="CG175" s="408" t="n"/>
      <c r="CH175" s="307" t="n"/>
      <c r="CI175" s="408" t="n"/>
      <c r="CJ175" s="322" t="n"/>
      <c r="CK175" s="408" t="n"/>
      <c r="CL175" s="307" t="n"/>
      <c r="CM175" s="408" t="n"/>
      <c r="CN175" s="322" t="n"/>
      <c r="CO175" s="408" t="n"/>
      <c r="CP175" s="307" t="n"/>
      <c r="CQ175" s="408" t="n"/>
      <c r="CR175" s="322" t="n"/>
      <c r="CS175" s="408" t="n"/>
      <c r="CT175" s="307" t="n"/>
      <c r="CU175" s="408" t="n"/>
      <c r="CV175" s="322" t="n"/>
      <c r="CW175" s="408" t="n"/>
      <c r="CX175" s="307" t="n"/>
      <c r="CY175" s="408" t="n"/>
      <c r="CZ175" s="322" t="n"/>
      <c r="DA175" s="408" t="n"/>
      <c r="DB175" s="307" t="n"/>
      <c r="DC175" s="408" t="n"/>
      <c r="DD175" s="322" t="n"/>
      <c r="DE175" s="408" t="n"/>
      <c r="DF175" s="307" t="n"/>
      <c r="DG175" s="408" t="n"/>
      <c r="DH175" s="322" t="n"/>
      <c r="DI175" s="408" t="n"/>
      <c r="DJ175" s="307" t="n"/>
      <c r="DK175" s="408" t="n"/>
      <c r="DL175" s="322" t="n"/>
      <c r="DM175" s="408" t="n"/>
      <c r="DN175" s="307" t="n"/>
      <c r="DO175" s="408" t="n"/>
      <c r="DP175" s="340" t="n"/>
      <c r="DQ175" s="820" t="n"/>
      <c r="DR175" s="820" t="n"/>
      <c r="DS175" s="819" t="n"/>
      <c r="DT175" s="819" t="n"/>
      <c r="DU175" s="322" t="n"/>
      <c r="DV175" s="408" t="n"/>
      <c r="DW175" s="307" t="n"/>
      <c r="DX175" s="408" t="n"/>
      <c r="DY175" s="322" t="n"/>
      <c r="DZ175" s="408" t="n"/>
      <c r="EA175" s="307" t="n"/>
      <c r="EB175" s="408" t="n"/>
      <c r="EC175" s="322" t="n"/>
      <c r="ED175" s="408" t="n"/>
      <c r="EE175" s="307" t="n"/>
      <c r="EF175" s="408" t="n"/>
      <c r="EG175" s="322" t="n"/>
      <c r="EH175" s="408" t="n"/>
      <c r="EI175" s="307" t="n"/>
      <c r="EJ175" s="408" t="n"/>
      <c r="EK175" s="322" t="n"/>
      <c r="EL175" s="408" t="n"/>
      <c r="EM175" s="307" t="n"/>
      <c r="EN175" s="408" t="n"/>
      <c r="EO175" s="322" t="n"/>
      <c r="EP175" s="408" t="n"/>
      <c r="EQ175" s="307" t="n"/>
      <c r="ER175" s="408" t="n"/>
      <c r="ES175" s="322" t="n"/>
      <c r="ET175" s="408" t="n"/>
      <c r="EU175" s="307" t="n"/>
      <c r="EV175" s="408" t="n"/>
      <c r="EW175" s="322" t="n"/>
      <c r="EX175" s="408" t="n"/>
      <c r="EY175" s="307" t="n"/>
      <c r="EZ175" s="408" t="n"/>
      <c r="FA175" s="322" t="n"/>
      <c r="FB175" s="408" t="n"/>
      <c r="FC175" s="307" t="n"/>
      <c r="FD175" s="408" t="n"/>
      <c r="FE175" s="322" t="n"/>
      <c r="FF175" s="408" t="n"/>
      <c r="FG175" s="307" t="n"/>
      <c r="FH175" s="408" t="n"/>
      <c r="FI175" s="322" t="n"/>
      <c r="FJ175" s="408" t="n"/>
      <c r="FK175" s="307" t="n"/>
      <c r="FL175" s="408" t="n"/>
      <c r="FM175" s="322" t="n"/>
      <c r="FN175" s="408" t="n"/>
      <c r="FO175" s="307" t="n"/>
      <c r="FP175" s="408" t="n"/>
      <c r="FQ175" s="340" t="n"/>
      <c r="FR175" s="820" t="n"/>
      <c r="FS175" s="820" t="n"/>
      <c r="FT175" s="361" t="n"/>
    </row>
    <row r="176" outlineLevel="2">
      <c r="A176" s="413" t="inlineStr">
        <is>
          <t>ПАО «Уралавтоприцеп»</t>
        </is>
      </c>
      <c r="B176" s="444" t="inlineStr">
        <is>
          <t>Отсрочка 30 дней</t>
        </is>
      </c>
      <c r="C176" s="587" t="inlineStr">
        <is>
          <t>ВБК РУС</t>
        </is>
      </c>
      <c r="D176" s="580" t="inlineStr">
        <is>
          <t>Прасолов, Соловьёв</t>
        </is>
      </c>
      <c r="E176" s="414">
        <f>IF(ISBLANK(G176),"",IF($A$6:$A$330=$A176,COUNTIF($A$6:A176,$A176),""))</f>
        <v/>
      </c>
      <c r="F176" s="670" t="n">
        <v>1</v>
      </c>
      <c r="G176" s="501" t="n">
        <v>4497230800</v>
      </c>
      <c r="H176" s="611" t="inlineStr">
        <is>
          <t>Кабель датчика АБС, 8 м</t>
        </is>
      </c>
      <c r="I176" s="618" t="n">
        <v>0</v>
      </c>
      <c r="J176" s="619" t="n"/>
      <c r="K176" s="876" t="n"/>
      <c r="L176" s="619" t="n"/>
      <c r="M176" s="871" t="n"/>
      <c r="N176" s="871">
        <f>IF(BP176&gt;0,1,IF(BN176&gt;0,2,))</f>
        <v/>
      </c>
      <c r="O176" s="322" t="n"/>
      <c r="P176" s="408" t="n"/>
      <c r="Q176" s="307" t="n"/>
      <c r="R176" s="408" t="n"/>
      <c r="S176" s="322" t="n"/>
      <c r="T176" s="408">
        <f>SUMPRODUCT((Комплекты[Пр]=$F176)*(Комплекты[Обозначение]=$G176)*Комплекты[Кол-во]*(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76" s="307">
        <f>SUMPRODUCT((Комплекты[Пр]=$F176)*(Комплекты[Обозначение]=$G176)*Комплекты[Кол-во]*(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/>
      </c>
      <c r="V176" s="408" t="n"/>
      <c r="W176" s="322" t="n"/>
      <c r="X176" s="408">
        <f>SUMPRODUCT((Комплекты[Пр]=$F176)*(Комплекты[Обозначение]=$G176)*Комплекты[Кол-во]*(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76" s="307">
        <f>SUMPRODUCT((Комплекты[Пр]=$F176)*(Комплекты[Обозначение]=$G176)*Комплекты[Кол-во]*(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76" s="408" t="n"/>
      <c r="AA176" s="322" t="n"/>
      <c r="AB176" s="408">
        <f>SUMPRODUCT((Комплекты[Пр]=$F176)*(Комплекты[Обозначение]=$G176)*Комплекты[Кол-во]*(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76" s="307" t="n">
        <v>0</v>
      </c>
      <c r="AD176" s="408" t="n"/>
      <c r="AE176" s="322" t="n"/>
      <c r="AF176" s="408">
        <f>SUMPRODUCT((Комплекты[Пр]=$F176)*(Комплекты[Обозначение]=$G176)*Комплекты[Кол-во]*(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76" s="307" t="n">
        <v>38</v>
      </c>
      <c r="AH176" s="408" t="n"/>
      <c r="AI176" s="322" t="n"/>
      <c r="AJ176" s="408">
        <f>SUMPRODUCT((Комплекты[Пр]=$F176)*(Комплекты[Обозначение]=$G176)*Комплекты[Кол-во]*(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76" s="307" t="n">
        <v>0</v>
      </c>
      <c r="AL176" s="408" t="n"/>
      <c r="AM176" s="322" t="n"/>
      <c r="AN176" s="408">
        <f>SUMPRODUCT((Комплекты[Пр]=$F176)*(Комплекты[Обозначение]=$G176)*Комплекты[Кол-во]*(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76" s="307" t="n">
        <v>0</v>
      </c>
      <c r="AP176" s="408" t="n"/>
      <c r="AQ176" s="322" t="n"/>
      <c r="AR176" s="408">
        <f>SUMPRODUCT((Комплекты[Пр]=$F176)*(Комплекты[Обозначение]=$G176)*Комплекты[Кол-во]*(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76" s="307" t="n">
        <v>0</v>
      </c>
      <c r="AT176" s="408" t="n"/>
      <c r="AU176" s="322" t="n"/>
      <c r="AV176" s="408">
        <f>SUMPRODUCT((Комплекты[Пр]=$F176)*(Комплекты[Обозначение]=$G176)*Комплекты[Кол-во]*(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76" s="307" t="n">
        <v>0</v>
      </c>
      <c r="AX176" s="408" t="n"/>
      <c r="AY176" s="322" t="n"/>
      <c r="AZ176" s="408">
        <f>SUMPRODUCT((Комплекты[Пр]=$F176)*(Комплекты[Обозначение]=$G176)*Комплекты[Кол-во]*(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76" s="307" t="n">
        <v>0</v>
      </c>
      <c r="BB176" s="408" t="n"/>
      <c r="BC176" s="322" t="n"/>
      <c r="BD176" s="408">
        <f>SUMPRODUCT((Комплекты[Пр]=$F176)*(Комплекты[Обозначение]=$G176)*Комплекты[Кол-во]*(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76" s="307" t="n">
        <v>0</v>
      </c>
      <c r="BF176" s="408" t="n"/>
      <c r="BG176" s="322" t="n"/>
      <c r="BH176" s="408">
        <f>SUMPRODUCT((Комплекты[Пр]=$F176)*(Комплекты[Обозначение]=$G176)*Комплекты[Кол-во]*(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76" s="307" t="n">
        <v>0</v>
      </c>
      <c r="BJ176" s="408" t="n"/>
      <c r="BK176" s="340" t="n"/>
      <c r="BL176" s="820">
        <f>SUMPRODUCT(--(MOD(COLUMN($O176:$AL176),4)=MOD(COLUMN($O176)+0,4)),$O176:$AL176)
+SUMPRODUCT(--(MOD(COLUMN($AM176:$BJ176),4)=MOD(COLUMN($AM176)+0,4)),$AM176:$BJ176)</f>
        <v/>
      </c>
      <c r="BM176" s="820">
        <f>SUMPRODUCT(--(MOD(COLUMN($O176:$AL176),4)=MOD(COLUMN($O176)+0,4)),$O176:$AL176)*
$I176+SUMPRODUCT(--(MOD(COLUMN($AM176:$BJ176),4)=MOD(COLUMN($AM176)+0,4)),$AM176:$BJ176)*$I176</f>
        <v/>
      </c>
      <c r="BN176" s="822">
        <f>SUMPRODUCT(--(MOD(COLUMN($O176:$AL176),4)=MOD(COLUMN($O176)+1,4)),$O176:$AL176)
+SUMPRODUCT(--(MOD(COLUMN($AM176:$BJ176),4)=MOD(COLUMN($AM176)+1,4)),$AM176:$BJ176)</f>
        <v/>
      </c>
      <c r="BO176" s="823">
        <f>SUMPRODUCT(--(MOD(COLUMN($O176:$AL176),4)=MOD(COLUMN($O176)+1,4)),$O176:$AL176)*
$I176+SUMPRODUCT(--(MOD(COLUMN($AM176:$BJ176),4)=MOD(COLUMN($AM176)+1,4)),$AM176:$BJ176)*$I176</f>
        <v/>
      </c>
      <c r="BP176" s="824">
        <f>SUMPRODUCT(--(MOD(COLUMN($O176:$AL176),4)=MOD(COLUMN($O176)+2,4)),$O176:$AL176)
+SUMPRODUCT(--(MOD(COLUMN($AM176:$BJ176),4)=MOD(COLUMN($AM176)+2,4)),$AM176:$BJ176)</f>
        <v/>
      </c>
      <c r="BQ176" s="825">
        <f>SUMPRODUCT(--(MOD(COLUMN($O176:$AL176),4)=MOD(COLUMN($O176)+2,4)),$O176:$AL176)*
$I176+SUMPRODUCT(--(MOD(COLUMN($AM176:$BJ176),4)=MOD(COLUMN($AM176)+2,4)),$AM176:$BJ176)*$I176</f>
        <v/>
      </c>
      <c r="BR176" s="819" t="n"/>
      <c r="BS176" s="819" t="n"/>
      <c r="BT176" s="322" t="n"/>
      <c r="BU176" s="408" t="n"/>
      <c r="BV176" s="307" t="n"/>
      <c r="BW176" s="408" t="n"/>
      <c r="BX176" s="322" t="n"/>
      <c r="BY176" s="408" t="n"/>
      <c r="BZ176" s="307" t="n"/>
      <c r="CA176" s="408" t="n"/>
      <c r="CB176" s="322" t="n"/>
      <c r="CC176" s="408" t="n"/>
      <c r="CD176" s="307" t="n"/>
      <c r="CE176" s="408" t="n"/>
      <c r="CF176" s="322" t="n"/>
      <c r="CG176" s="408" t="n"/>
      <c r="CH176" s="307" t="n"/>
      <c r="CI176" s="408" t="n"/>
      <c r="CJ176" s="322" t="n"/>
      <c r="CK176" s="408" t="n"/>
      <c r="CL176" s="307" t="n"/>
      <c r="CM176" s="408" t="n"/>
      <c r="CN176" s="322" t="n"/>
      <c r="CO176" s="408" t="n"/>
      <c r="CP176" s="307" t="n"/>
      <c r="CQ176" s="408" t="n"/>
      <c r="CR176" s="322" t="n"/>
      <c r="CS176" s="408" t="n"/>
      <c r="CT176" s="307" t="n"/>
      <c r="CU176" s="408" t="n"/>
      <c r="CV176" s="322" t="n"/>
      <c r="CW176" s="408" t="n"/>
      <c r="CX176" s="307" t="n"/>
      <c r="CY176" s="408" t="n"/>
      <c r="CZ176" s="322" t="n"/>
      <c r="DA176" s="408" t="n"/>
      <c r="DB176" s="307" t="n"/>
      <c r="DC176" s="408" t="n"/>
      <c r="DD176" s="322" t="n"/>
      <c r="DE176" s="408" t="n"/>
      <c r="DF176" s="307" t="n"/>
      <c r="DG176" s="408" t="n"/>
      <c r="DH176" s="322" t="n"/>
      <c r="DI176" s="408" t="n"/>
      <c r="DJ176" s="307" t="n"/>
      <c r="DK176" s="408" t="n"/>
      <c r="DL176" s="322" t="n"/>
      <c r="DM176" s="408" t="n"/>
      <c r="DN176" s="307" t="n"/>
      <c r="DO176" s="408" t="n"/>
      <c r="DP176" s="340" t="n"/>
      <c r="DQ176" s="820" t="n"/>
      <c r="DR176" s="820" t="n"/>
      <c r="DS176" s="819" t="n"/>
      <c r="DT176" s="819" t="n"/>
      <c r="DU176" s="322" t="n"/>
      <c r="DV176" s="408" t="n"/>
      <c r="DW176" s="307" t="n"/>
      <c r="DX176" s="408" t="n"/>
      <c r="DY176" s="322" t="n"/>
      <c r="DZ176" s="408" t="n"/>
      <c r="EA176" s="307" t="n"/>
      <c r="EB176" s="408" t="n"/>
      <c r="EC176" s="322" t="n"/>
      <c r="ED176" s="408" t="n"/>
      <c r="EE176" s="307" t="n"/>
      <c r="EF176" s="408" t="n"/>
      <c r="EG176" s="322" t="n"/>
      <c r="EH176" s="408" t="n"/>
      <c r="EI176" s="307" t="n"/>
      <c r="EJ176" s="408" t="n"/>
      <c r="EK176" s="322" t="n"/>
      <c r="EL176" s="408" t="n"/>
      <c r="EM176" s="307" t="n"/>
      <c r="EN176" s="408" t="n"/>
      <c r="EO176" s="322" t="n"/>
      <c r="EP176" s="408" t="n"/>
      <c r="EQ176" s="307" t="n"/>
      <c r="ER176" s="408" t="n"/>
      <c r="ES176" s="322" t="n"/>
      <c r="ET176" s="408" t="n"/>
      <c r="EU176" s="307" t="n"/>
      <c r="EV176" s="408" t="n"/>
      <c r="EW176" s="322" t="n"/>
      <c r="EX176" s="408" t="n"/>
      <c r="EY176" s="307" t="n"/>
      <c r="EZ176" s="408" t="n"/>
      <c r="FA176" s="322" t="n"/>
      <c r="FB176" s="408" t="n"/>
      <c r="FC176" s="307" t="n"/>
      <c r="FD176" s="408" t="n"/>
      <c r="FE176" s="322" t="n"/>
      <c r="FF176" s="408" t="n"/>
      <c r="FG176" s="307" t="n"/>
      <c r="FH176" s="408" t="n"/>
      <c r="FI176" s="322" t="n"/>
      <c r="FJ176" s="408" t="n"/>
      <c r="FK176" s="307" t="n"/>
      <c r="FL176" s="408" t="n"/>
      <c r="FM176" s="322" t="n"/>
      <c r="FN176" s="408" t="n"/>
      <c r="FO176" s="307" t="n"/>
      <c r="FP176" s="408" t="n"/>
      <c r="FQ176" s="340" t="n"/>
      <c r="FR176" s="820" t="n"/>
      <c r="FS176" s="820" t="n"/>
      <c r="FT176" s="361" t="n"/>
    </row>
    <row r="177" outlineLevel="2">
      <c r="A177" s="413" t="inlineStr">
        <is>
          <t>ПАО «Уралавтоприцеп»</t>
        </is>
      </c>
      <c r="B177" s="444" t="inlineStr">
        <is>
          <t>Отсрочка 30 дней</t>
        </is>
      </c>
      <c r="C177" s="587" t="inlineStr">
        <is>
          <t>ВБК РУС</t>
        </is>
      </c>
      <c r="D177" s="580" t="inlineStr">
        <is>
          <t>Прасолов, Соловьёв</t>
        </is>
      </c>
      <c r="E177" s="414">
        <f>IF(ISBLANK(G177),"",IF($A$6:$A$330=$A177,COUNTIF($A$6:A177,$A177),""))</f>
        <v/>
      </c>
      <c r="F177" s="670" t="n">
        <v>1</v>
      </c>
      <c r="G177" s="501" t="n">
        <v>4802070600</v>
      </c>
      <c r="H177" s="611" t="inlineStr">
        <is>
          <t>Клапан ускорительный TEBS</t>
        </is>
      </c>
      <c r="I177" s="618" t="n">
        <v>0</v>
      </c>
      <c r="J177" s="619" t="n"/>
      <c r="K177" s="876" t="n"/>
      <c r="L177" s="619" t="n"/>
      <c r="M177" s="871" t="n"/>
      <c r="N177" s="871">
        <f>IF(BP177&gt;0,1,IF(BN177&gt;0,2,))</f>
        <v/>
      </c>
      <c r="O177" s="322" t="n"/>
      <c r="P177" s="408" t="n"/>
      <c r="Q177" s="307" t="n"/>
      <c r="R177" s="408" t="n"/>
      <c r="S177" s="322" t="n"/>
      <c r="T177" s="408">
        <f>SUMPRODUCT((Комплекты[Пр]=$F177)*(Комплекты[Обозначение]=$G177)*Комплекты[Кол-во]*(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77" s="307">
        <f>SUMPRODUCT((Комплекты[Пр]=$F177)*(Комплекты[Обозначение]=$G177)*Комплекты[Кол-во]*(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/>
      </c>
      <c r="V177" s="408" t="n"/>
      <c r="W177" s="322" t="n"/>
      <c r="X177" s="408">
        <f>SUMPRODUCT((Комплекты[Пр]=$F177)*(Комплекты[Обозначение]=$G177)*Комплекты[Кол-во]*(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77" s="307">
        <f>SUMPRODUCT((Комплекты[Пр]=$F177)*(Комплекты[Обозначение]=$G177)*Комплекты[Кол-во]*(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77" s="408" t="n"/>
      <c r="AA177" s="322" t="n"/>
      <c r="AB177" s="408">
        <f>SUMPRODUCT((Комплекты[Пр]=$F177)*(Комплекты[Обозначение]=$G177)*Комплекты[Кол-во]*(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77" s="307" t="n">
        <v>0</v>
      </c>
      <c r="AD177" s="408" t="n"/>
      <c r="AE177" s="322" t="n"/>
      <c r="AF177" s="408">
        <f>SUMPRODUCT((Комплекты[Пр]=$F177)*(Комплекты[Обозначение]=$G177)*Комплекты[Кол-во]*(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77" s="307" t="n">
        <v>19</v>
      </c>
      <c r="AH177" s="408" t="n"/>
      <c r="AI177" s="322" t="n"/>
      <c r="AJ177" s="408">
        <f>SUMPRODUCT((Комплекты[Пр]=$F177)*(Комплекты[Обозначение]=$G177)*Комплекты[Кол-во]*(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77" s="307" t="n">
        <v>0</v>
      </c>
      <c r="AL177" s="408" t="n"/>
      <c r="AM177" s="322" t="n"/>
      <c r="AN177" s="408">
        <f>SUMPRODUCT((Комплекты[Пр]=$F177)*(Комплекты[Обозначение]=$G177)*Комплекты[Кол-во]*(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77" s="307" t="n">
        <v>0</v>
      </c>
      <c r="AP177" s="408" t="n"/>
      <c r="AQ177" s="322" t="n"/>
      <c r="AR177" s="408">
        <f>SUMPRODUCT((Комплекты[Пр]=$F177)*(Комплекты[Обозначение]=$G177)*Комплекты[Кол-во]*(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77" s="307" t="n">
        <v>0</v>
      </c>
      <c r="AT177" s="408" t="n"/>
      <c r="AU177" s="322" t="n"/>
      <c r="AV177" s="408">
        <f>SUMPRODUCT((Комплекты[Пр]=$F177)*(Комплекты[Обозначение]=$G177)*Комплекты[Кол-во]*(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77" s="307" t="n">
        <v>0</v>
      </c>
      <c r="AX177" s="408" t="n"/>
      <c r="AY177" s="322" t="n"/>
      <c r="AZ177" s="408">
        <f>SUMPRODUCT((Комплекты[Пр]=$F177)*(Комплекты[Обозначение]=$G177)*Комплекты[Кол-во]*(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77" s="307" t="n">
        <v>0</v>
      </c>
      <c r="BB177" s="408" t="n"/>
      <c r="BC177" s="322" t="n"/>
      <c r="BD177" s="408">
        <f>SUMPRODUCT((Комплекты[Пр]=$F177)*(Комплекты[Обозначение]=$G177)*Комплекты[Кол-во]*(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77" s="307" t="n">
        <v>0</v>
      </c>
      <c r="BF177" s="408" t="n"/>
      <c r="BG177" s="322" t="n"/>
      <c r="BH177" s="408">
        <f>SUMPRODUCT((Комплекты[Пр]=$F177)*(Комплекты[Обозначение]=$G177)*Комплекты[Кол-во]*(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77" s="307" t="n">
        <v>0</v>
      </c>
      <c r="BJ177" s="408" t="n"/>
      <c r="BK177" s="340" t="n"/>
      <c r="BL177" s="820">
        <f>SUMPRODUCT(--(MOD(COLUMN($O177:$AL177),4)=MOD(COLUMN($O177)+0,4)),$O177:$AL177)
+SUMPRODUCT(--(MOD(COLUMN($AM177:$BJ177),4)=MOD(COLUMN($AM177)+0,4)),$AM177:$BJ177)</f>
        <v/>
      </c>
      <c r="BM177" s="820">
        <f>SUMPRODUCT(--(MOD(COLUMN($O177:$AL177),4)=MOD(COLUMN($O177)+0,4)),$O177:$AL177)*
$I177+SUMPRODUCT(--(MOD(COLUMN($AM177:$BJ177),4)=MOD(COLUMN($AM177)+0,4)),$AM177:$BJ177)*$I177</f>
        <v/>
      </c>
      <c r="BN177" s="822">
        <f>SUMPRODUCT(--(MOD(COLUMN($O177:$AL177),4)=MOD(COLUMN($O177)+1,4)),$O177:$AL177)
+SUMPRODUCT(--(MOD(COLUMN($AM177:$BJ177),4)=MOD(COLUMN($AM177)+1,4)),$AM177:$BJ177)</f>
        <v/>
      </c>
      <c r="BO177" s="823">
        <f>SUMPRODUCT(--(MOD(COLUMN($O177:$AL177),4)=MOD(COLUMN($O177)+1,4)),$O177:$AL177)*
$I177+SUMPRODUCT(--(MOD(COLUMN($AM177:$BJ177),4)=MOD(COLUMN($AM177)+1,4)),$AM177:$BJ177)*$I177</f>
        <v/>
      </c>
      <c r="BP177" s="824">
        <f>SUMPRODUCT(--(MOD(COLUMN($O177:$AL177),4)=MOD(COLUMN($O177)+2,4)),$O177:$AL177)
+SUMPRODUCT(--(MOD(COLUMN($AM177:$BJ177),4)=MOD(COLUMN($AM177)+2,4)),$AM177:$BJ177)</f>
        <v/>
      </c>
      <c r="BQ177" s="825">
        <f>SUMPRODUCT(--(MOD(COLUMN($O177:$AL177),4)=MOD(COLUMN($O177)+2,4)),$O177:$AL177)*
$I177+SUMPRODUCT(--(MOD(COLUMN($AM177:$BJ177),4)=MOD(COLUMN($AM177)+2,4)),$AM177:$BJ177)*$I177</f>
        <v/>
      </c>
      <c r="BR177" s="819" t="n"/>
      <c r="BS177" s="819" t="n"/>
      <c r="BT177" s="322" t="n"/>
      <c r="BU177" s="408" t="n"/>
      <c r="BV177" s="307" t="n"/>
      <c r="BW177" s="408" t="n"/>
      <c r="BX177" s="322" t="n"/>
      <c r="BY177" s="408" t="n"/>
      <c r="BZ177" s="307" t="n"/>
      <c r="CA177" s="408" t="n"/>
      <c r="CB177" s="322" t="n"/>
      <c r="CC177" s="408" t="n"/>
      <c r="CD177" s="307" t="n"/>
      <c r="CE177" s="408" t="n"/>
      <c r="CF177" s="322" t="n"/>
      <c r="CG177" s="408" t="n"/>
      <c r="CH177" s="307" t="n"/>
      <c r="CI177" s="408" t="n"/>
      <c r="CJ177" s="322" t="n"/>
      <c r="CK177" s="408" t="n"/>
      <c r="CL177" s="307" t="n"/>
      <c r="CM177" s="408" t="n"/>
      <c r="CN177" s="322" t="n"/>
      <c r="CO177" s="408" t="n"/>
      <c r="CP177" s="307" t="n"/>
      <c r="CQ177" s="408" t="n"/>
      <c r="CR177" s="322" t="n"/>
      <c r="CS177" s="408" t="n"/>
      <c r="CT177" s="307" t="n"/>
      <c r="CU177" s="408" t="n"/>
      <c r="CV177" s="322" t="n"/>
      <c r="CW177" s="408" t="n"/>
      <c r="CX177" s="307" t="n"/>
      <c r="CY177" s="408" t="n"/>
      <c r="CZ177" s="322" t="n"/>
      <c r="DA177" s="408" t="n"/>
      <c r="DB177" s="307" t="n"/>
      <c r="DC177" s="408" t="n"/>
      <c r="DD177" s="322" t="n"/>
      <c r="DE177" s="408" t="n"/>
      <c r="DF177" s="307" t="n"/>
      <c r="DG177" s="408" t="n"/>
      <c r="DH177" s="322" t="n"/>
      <c r="DI177" s="408" t="n"/>
      <c r="DJ177" s="307" t="n"/>
      <c r="DK177" s="408" t="n"/>
      <c r="DL177" s="322" t="n"/>
      <c r="DM177" s="408" t="n"/>
      <c r="DN177" s="307" t="n"/>
      <c r="DO177" s="408" t="n"/>
      <c r="DP177" s="340" t="n"/>
      <c r="DQ177" s="820" t="n"/>
      <c r="DR177" s="820" t="n"/>
      <c r="DS177" s="819" t="n"/>
      <c r="DT177" s="819" t="n"/>
      <c r="DU177" s="322" t="n"/>
      <c r="DV177" s="408" t="n"/>
      <c r="DW177" s="307" t="n"/>
      <c r="DX177" s="408" t="n"/>
      <c r="DY177" s="322" t="n"/>
      <c r="DZ177" s="408" t="n"/>
      <c r="EA177" s="307" t="n"/>
      <c r="EB177" s="408" t="n"/>
      <c r="EC177" s="322" t="n"/>
      <c r="ED177" s="408" t="n"/>
      <c r="EE177" s="307" t="n"/>
      <c r="EF177" s="408" t="n"/>
      <c r="EG177" s="322" t="n"/>
      <c r="EH177" s="408" t="n"/>
      <c r="EI177" s="307" t="n"/>
      <c r="EJ177" s="408" t="n"/>
      <c r="EK177" s="322" t="n"/>
      <c r="EL177" s="408" t="n"/>
      <c r="EM177" s="307" t="n"/>
      <c r="EN177" s="408" t="n"/>
      <c r="EO177" s="322" t="n"/>
      <c r="EP177" s="408" t="n"/>
      <c r="EQ177" s="307" t="n"/>
      <c r="ER177" s="408" t="n"/>
      <c r="ES177" s="322" t="n"/>
      <c r="ET177" s="408" t="n"/>
      <c r="EU177" s="307" t="n"/>
      <c r="EV177" s="408" t="n"/>
      <c r="EW177" s="322" t="n"/>
      <c r="EX177" s="408" t="n"/>
      <c r="EY177" s="307" t="n"/>
      <c r="EZ177" s="408" t="n"/>
      <c r="FA177" s="322" t="n"/>
      <c r="FB177" s="408" t="n"/>
      <c r="FC177" s="307" t="n"/>
      <c r="FD177" s="408" t="n"/>
      <c r="FE177" s="322" t="n"/>
      <c r="FF177" s="408" t="n"/>
      <c r="FG177" s="307" t="n"/>
      <c r="FH177" s="408" t="n"/>
      <c r="FI177" s="322" t="n"/>
      <c r="FJ177" s="408" t="n"/>
      <c r="FK177" s="307" t="n"/>
      <c r="FL177" s="408" t="n"/>
      <c r="FM177" s="322" t="n"/>
      <c r="FN177" s="408" t="n"/>
      <c r="FO177" s="307" t="n"/>
      <c r="FP177" s="408" t="n"/>
      <c r="FQ177" s="340" t="n"/>
      <c r="FR177" s="820" t="n"/>
      <c r="FS177" s="820" t="n"/>
      <c r="FT177" s="361" t="n"/>
    </row>
    <row r="178" outlineLevel="2">
      <c r="A178" s="413" t="inlineStr">
        <is>
          <t>ПАО «Уралавтоприцеп»</t>
        </is>
      </c>
      <c r="B178" s="444" t="inlineStr">
        <is>
          <t>Отсрочка 30 дней</t>
        </is>
      </c>
      <c r="C178" s="587" t="inlineStr">
        <is>
          <t>ВБК РУС</t>
        </is>
      </c>
      <c r="D178" s="580" t="inlineStr">
        <is>
          <t>Прасолов, Соловьёв</t>
        </is>
      </c>
      <c r="E178" s="414">
        <f>IF(ISBLANK(G178),"",IF($A$6:$A$330=$A178,COUNTIF($A$6:A178,$A178),""))</f>
        <v/>
      </c>
      <c r="F178" s="670" t="n">
        <v>1</v>
      </c>
      <c r="G178" s="501" t="n">
        <v>4494430600</v>
      </c>
      <c r="H178" s="611" t="inlineStr">
        <is>
          <t>Кабель клапана управления подъемом оси, 6 м</t>
        </is>
      </c>
      <c r="I178" s="618" t="n">
        <v>0</v>
      </c>
      <c r="J178" s="619" t="n"/>
      <c r="K178" s="876" t="n"/>
      <c r="L178" s="619" t="n"/>
      <c r="M178" s="871" t="n"/>
      <c r="N178" s="871">
        <f>IF(BP178&gt;0,1,IF(BN178&gt;0,2,))</f>
        <v/>
      </c>
      <c r="O178" s="322" t="n"/>
      <c r="P178" s="408" t="n"/>
      <c r="Q178" s="307" t="n"/>
      <c r="R178" s="408" t="n"/>
      <c r="S178" s="322" t="n"/>
      <c r="T178" s="408">
        <f>SUMPRODUCT((Комплекты[Пр]=$F178)*(Комплекты[Обозначение]=$G178)*Комплекты[Кол-во]*(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78" s="307" t="n">
        <v>5</v>
      </c>
      <c r="V178" s="408" t="n"/>
      <c r="W178" s="322" t="n"/>
      <c r="X178" s="408">
        <f>SUMPRODUCT((Комплекты[Пр]=$F178)*(Комплекты[Обозначение]=$G178)*Комплекты[Кол-во]*(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78" s="307">
        <f>SUMPRODUCT((Комплекты[Пр]=$F178)*(Комплекты[Обозначение]=$G178)*Комплекты[Кол-во]*(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78" s="408" t="n"/>
      <c r="AA178" s="322" t="n"/>
      <c r="AB178" s="408">
        <f>SUMPRODUCT((Комплекты[Пр]=$F178)*(Комплекты[Обозначение]=$G178)*Комплекты[Кол-во]*(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78" s="307" t="n">
        <v>1</v>
      </c>
      <c r="AD178" s="408" t="n"/>
      <c r="AE178" s="322" t="n"/>
      <c r="AF178" s="408">
        <f>SUMPRODUCT((Комплекты[Пр]=$F178)*(Комплекты[Обозначение]=$G178)*Комплекты[Кол-во]*(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78" s="307">
        <f>SUMPRODUCT((Комплекты[Пр]=$F178)*(Комплекты[Обозначение]=$G178)*Комплекты[Кол-во]*(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78" s="408" t="n"/>
      <c r="AI178" s="322" t="n"/>
      <c r="AJ178" s="408">
        <f>SUMPRODUCT((Комплекты[Пр]=$F178)*(Комплекты[Обозначение]=$G178)*Комплекты[Кол-во]*(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78" s="307" t="n"/>
      <c r="AL178" s="408" t="n"/>
      <c r="AM178" s="322" t="n"/>
      <c r="AN178" s="408">
        <f>SUMPRODUCT((Комплекты[Пр]=$F178)*(Комплекты[Обозначение]=$G178)*Комплекты[Кол-во]*(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78" s="307" t="n"/>
      <c r="AP178" s="408" t="n"/>
      <c r="AQ178" s="322" t="n"/>
      <c r="AR178" s="408">
        <f>SUMPRODUCT((Комплекты[Пр]=$F178)*(Комплекты[Обозначение]=$G178)*Комплекты[Кол-во]*(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78" s="307" t="n"/>
      <c r="AT178" s="408" t="n"/>
      <c r="AU178" s="322" t="n"/>
      <c r="AV178" s="408">
        <f>SUMPRODUCT((Комплекты[Пр]=$F178)*(Комплекты[Обозначение]=$G178)*Комплекты[Кол-во]*(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78" s="307" t="n"/>
      <c r="AX178" s="408" t="n"/>
      <c r="AY178" s="322" t="n"/>
      <c r="AZ178" s="408">
        <f>SUMPRODUCT((Комплекты[Пр]=$F178)*(Комплекты[Обозначение]=$G178)*Комплекты[Кол-во]*(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78" s="307" t="n"/>
      <c r="BB178" s="408" t="n"/>
      <c r="BC178" s="322" t="n"/>
      <c r="BD178" s="408">
        <f>SUMPRODUCT((Комплекты[Пр]=$F178)*(Комплекты[Обозначение]=$G178)*Комплекты[Кол-во]*(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78" s="307" t="n"/>
      <c r="BF178" s="408" t="n"/>
      <c r="BG178" s="322" t="n"/>
      <c r="BH178" s="408">
        <f>SUMPRODUCT((Комплекты[Пр]=$F178)*(Комплекты[Обозначение]=$G178)*Комплекты[Кол-во]*(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78" s="307" t="n"/>
      <c r="BJ178" s="408" t="n"/>
      <c r="BK178" s="340" t="n"/>
      <c r="BL178" s="820">
        <f>SUMPRODUCT(--(MOD(COLUMN($O178:$AL178),4)=MOD(COLUMN($O178)+0,4)),$O178:$AL178)
+SUMPRODUCT(--(MOD(COLUMN($AM178:$BJ178),4)=MOD(COLUMN($AM178)+0,4)),$AM178:$BJ178)</f>
        <v/>
      </c>
      <c r="BM178" s="820">
        <f>SUMPRODUCT(--(MOD(COLUMN($O178:$AL178),4)=MOD(COLUMN($O178)+0,4)),$O178:$AL178)*
$I178+SUMPRODUCT(--(MOD(COLUMN($AM178:$BJ178),4)=MOD(COLUMN($AM178)+0,4)),$AM178:$BJ178)*$I178</f>
        <v/>
      </c>
      <c r="BN178" s="822">
        <f>SUMPRODUCT(--(MOD(COLUMN($O178:$AL178),4)=MOD(COLUMN($O178)+1,4)),$O178:$AL178)
+SUMPRODUCT(--(MOD(COLUMN($AM178:$BJ178),4)=MOD(COLUMN($AM178)+1,4)),$AM178:$BJ178)</f>
        <v/>
      </c>
      <c r="BO178" s="823">
        <f>SUMPRODUCT(--(MOD(COLUMN($O178:$AL178),4)=MOD(COLUMN($O178)+1,4)),$O178:$AL178)*
$I178+SUMPRODUCT(--(MOD(COLUMN($AM178:$BJ178),4)=MOD(COLUMN($AM178)+1,4)),$AM178:$BJ178)*$I178</f>
        <v/>
      </c>
      <c r="BP178" s="824">
        <f>SUMPRODUCT(--(MOD(COLUMN($O178:$AL178),4)=MOD(COLUMN($O178)+2,4)),$O178:$AL178)
+SUMPRODUCT(--(MOD(COLUMN($AM178:$BJ178),4)=MOD(COLUMN($AM178)+2,4)),$AM178:$BJ178)</f>
        <v/>
      </c>
      <c r="BQ178" s="825">
        <f>SUMPRODUCT(--(MOD(COLUMN($O178:$AL178),4)=MOD(COLUMN($O178)+2,4)),$O178:$AL178)*
$I178+SUMPRODUCT(--(MOD(COLUMN($AM178:$BJ178),4)=MOD(COLUMN($AM178)+2,4)),$AM178:$BJ178)*$I178</f>
        <v/>
      </c>
      <c r="BR178" s="819" t="n"/>
      <c r="BS178" s="819" t="n"/>
      <c r="BT178" s="322" t="n"/>
      <c r="BU178" s="408" t="n"/>
      <c r="BV178" s="307" t="n"/>
      <c r="BW178" s="408" t="n"/>
      <c r="BX178" s="322" t="n"/>
      <c r="BY178" s="408" t="n"/>
      <c r="BZ178" s="307" t="n"/>
      <c r="CA178" s="408" t="n"/>
      <c r="CB178" s="322" t="n"/>
      <c r="CC178" s="408" t="n"/>
      <c r="CD178" s="307" t="n"/>
      <c r="CE178" s="408" t="n"/>
      <c r="CF178" s="322" t="n"/>
      <c r="CG178" s="408" t="n"/>
      <c r="CH178" s="307" t="n"/>
      <c r="CI178" s="408" t="n"/>
      <c r="CJ178" s="322" t="n"/>
      <c r="CK178" s="408" t="n"/>
      <c r="CL178" s="307" t="n"/>
      <c r="CM178" s="408" t="n"/>
      <c r="CN178" s="322" t="n"/>
      <c r="CO178" s="408" t="n"/>
      <c r="CP178" s="307" t="n"/>
      <c r="CQ178" s="408" t="n"/>
      <c r="CR178" s="322" t="n"/>
      <c r="CS178" s="408" t="n"/>
      <c r="CT178" s="307" t="n"/>
      <c r="CU178" s="408" t="n"/>
      <c r="CV178" s="322" t="n"/>
      <c r="CW178" s="408" t="n"/>
      <c r="CX178" s="307" t="n"/>
      <c r="CY178" s="408" t="n"/>
      <c r="CZ178" s="322" t="n"/>
      <c r="DA178" s="408" t="n"/>
      <c r="DB178" s="307" t="n"/>
      <c r="DC178" s="408" t="n"/>
      <c r="DD178" s="322" t="n"/>
      <c r="DE178" s="408" t="n"/>
      <c r="DF178" s="307" t="n"/>
      <c r="DG178" s="408" t="n"/>
      <c r="DH178" s="322" t="n"/>
      <c r="DI178" s="408" t="n"/>
      <c r="DJ178" s="307" t="n"/>
      <c r="DK178" s="408" t="n"/>
      <c r="DL178" s="322" t="n"/>
      <c r="DM178" s="408" t="n"/>
      <c r="DN178" s="307" t="n"/>
      <c r="DO178" s="408" t="n"/>
      <c r="DP178" s="340" t="n"/>
      <c r="DQ178" s="820" t="n"/>
      <c r="DR178" s="820" t="n"/>
      <c r="DS178" s="819" t="n"/>
      <c r="DT178" s="819" t="n"/>
      <c r="DU178" s="322" t="n"/>
      <c r="DV178" s="408" t="n"/>
      <c r="DW178" s="307" t="n"/>
      <c r="DX178" s="408" t="n"/>
      <c r="DY178" s="322" t="n"/>
      <c r="DZ178" s="408" t="n"/>
      <c r="EA178" s="307" t="n"/>
      <c r="EB178" s="408" t="n"/>
      <c r="EC178" s="322" t="n"/>
      <c r="ED178" s="408" t="n"/>
      <c r="EE178" s="307" t="n"/>
      <c r="EF178" s="408" t="n"/>
      <c r="EG178" s="322" t="n"/>
      <c r="EH178" s="408" t="n"/>
      <c r="EI178" s="307" t="n"/>
      <c r="EJ178" s="408" t="n"/>
      <c r="EK178" s="322" t="n"/>
      <c r="EL178" s="408" t="n"/>
      <c r="EM178" s="307" t="n"/>
      <c r="EN178" s="408" t="n"/>
      <c r="EO178" s="322" t="n"/>
      <c r="EP178" s="408" t="n"/>
      <c r="EQ178" s="307" t="n"/>
      <c r="ER178" s="408" t="n"/>
      <c r="ES178" s="322" t="n"/>
      <c r="ET178" s="408" t="n"/>
      <c r="EU178" s="307" t="n"/>
      <c r="EV178" s="408" t="n"/>
      <c r="EW178" s="322" t="n"/>
      <c r="EX178" s="408" t="n"/>
      <c r="EY178" s="307" t="n"/>
      <c r="EZ178" s="408" t="n"/>
      <c r="FA178" s="322" t="n"/>
      <c r="FB178" s="408" t="n"/>
      <c r="FC178" s="307" t="n"/>
      <c r="FD178" s="408" t="n"/>
      <c r="FE178" s="322" t="n"/>
      <c r="FF178" s="408" t="n"/>
      <c r="FG178" s="307" t="n"/>
      <c r="FH178" s="408" t="n"/>
      <c r="FI178" s="322" t="n"/>
      <c r="FJ178" s="408" t="n"/>
      <c r="FK178" s="307" t="n"/>
      <c r="FL178" s="408" t="n"/>
      <c r="FM178" s="322" t="n"/>
      <c r="FN178" s="408" t="n"/>
      <c r="FO178" s="307" t="n"/>
      <c r="FP178" s="408" t="n"/>
      <c r="FQ178" s="340" t="n"/>
      <c r="FR178" s="820" t="n"/>
      <c r="FS178" s="820" t="n"/>
      <c r="FT178" s="361" t="n"/>
    </row>
    <row r="179" outlineLevel="2">
      <c r="A179" s="413" t="inlineStr">
        <is>
          <t>ПАО «Уралавтоприцеп»</t>
        </is>
      </c>
      <c r="B179" s="444" t="inlineStr">
        <is>
          <t>Отсрочка 30 дней</t>
        </is>
      </c>
      <c r="C179" s="587" t="inlineStr">
        <is>
          <t>ВБК РУС</t>
        </is>
      </c>
      <c r="D179" s="580" t="inlineStr">
        <is>
          <t>Прасолов, Соловьёв</t>
        </is>
      </c>
      <c r="E179" s="414">
        <f>IF(ISBLANK(G179),"",IF($A$6:$A$330=$A179,COUNTIF($A$6:A179,$A179),""))</f>
        <v/>
      </c>
      <c r="F179" s="670" t="n">
        <v>1</v>
      </c>
      <c r="G179" s="501" t="n">
        <v>4630840310</v>
      </c>
      <c r="H179" s="611" t="inlineStr">
        <is>
          <t>Клапан управления подъемом оси (LACV)</t>
        </is>
      </c>
      <c r="I179" s="618" t="n">
        <v>0</v>
      </c>
      <c r="J179" s="619" t="n"/>
      <c r="K179" s="876" t="n"/>
      <c r="L179" s="619" t="n"/>
      <c r="M179" s="871" t="n"/>
      <c r="N179" s="871">
        <f>IF(BP179&gt;0,1,IF(BN179&gt;0,2,))</f>
        <v/>
      </c>
      <c r="O179" s="322" t="n"/>
      <c r="P179" s="408" t="n"/>
      <c r="Q179" s="307" t="n"/>
      <c r="R179" s="408" t="n"/>
      <c r="S179" s="322" t="n"/>
      <c r="T179" s="408">
        <f>SUMPRODUCT((Комплекты[Пр]=$F179)*(Комплекты[Обозначение]=$G179)*Комплекты[Кол-во]*(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79" s="307" t="n">
        <v>5</v>
      </c>
      <c r="V179" s="408" t="n"/>
      <c r="W179" s="322" t="n"/>
      <c r="X179" s="408">
        <f>SUMPRODUCT((Комплекты[Пр]=$F179)*(Комплекты[Обозначение]=$G179)*Комплекты[Кол-во]*(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79" s="307">
        <f>SUMPRODUCT((Комплекты[Пр]=$F179)*(Комплекты[Обозначение]=$G179)*Комплекты[Кол-во]*(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79" s="408" t="n"/>
      <c r="AA179" s="322" t="n"/>
      <c r="AB179" s="408">
        <f>SUMPRODUCT((Комплекты[Пр]=$F179)*(Комплекты[Обозначение]=$G179)*Комплекты[Кол-во]*(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79" s="307" t="n">
        <v>0</v>
      </c>
      <c r="AD179" s="408" t="n"/>
      <c r="AE179" s="322" t="n"/>
      <c r="AF179" s="408">
        <f>SUMPRODUCT((Комплекты[Пр]=$F179)*(Комплекты[Обозначение]=$G179)*Комплекты[Кол-во]*(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79" s="307">
        <f>SUMPRODUCT((Комплекты[Пр]=$F179)*(Комплекты[Обозначение]=$G179)*Комплекты[Кол-во]*(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79" s="408" t="n"/>
      <c r="AI179" s="322" t="n"/>
      <c r="AJ179" s="408">
        <f>SUMPRODUCT((Комплекты[Пр]=$F179)*(Комплекты[Обозначение]=$G179)*Комплекты[Кол-во]*(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79" s="307" t="n"/>
      <c r="AL179" s="408" t="n"/>
      <c r="AM179" s="322" t="n"/>
      <c r="AN179" s="408">
        <f>SUMPRODUCT((Комплекты[Пр]=$F179)*(Комплекты[Обозначение]=$G179)*Комплекты[Кол-во]*(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79" s="307" t="n"/>
      <c r="AP179" s="408" t="n"/>
      <c r="AQ179" s="322" t="n"/>
      <c r="AR179" s="408">
        <f>SUMPRODUCT((Комплекты[Пр]=$F179)*(Комплекты[Обозначение]=$G179)*Комплекты[Кол-во]*(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79" s="307" t="n"/>
      <c r="AT179" s="408" t="n"/>
      <c r="AU179" s="322" t="n"/>
      <c r="AV179" s="408">
        <f>SUMPRODUCT((Комплекты[Пр]=$F179)*(Комплекты[Обозначение]=$G179)*Комплекты[Кол-во]*(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79" s="307" t="n"/>
      <c r="AX179" s="408" t="n"/>
      <c r="AY179" s="322" t="n"/>
      <c r="AZ179" s="408">
        <f>SUMPRODUCT((Комплекты[Пр]=$F179)*(Комплекты[Обозначение]=$G179)*Комплекты[Кол-во]*(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79" s="307" t="n"/>
      <c r="BB179" s="408" t="n"/>
      <c r="BC179" s="322" t="n"/>
      <c r="BD179" s="408">
        <f>SUMPRODUCT((Комплекты[Пр]=$F179)*(Комплекты[Обозначение]=$G179)*Комплекты[Кол-во]*(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79" s="307" t="n"/>
      <c r="BF179" s="408" t="n"/>
      <c r="BG179" s="322" t="n"/>
      <c r="BH179" s="408">
        <f>SUMPRODUCT((Комплекты[Пр]=$F179)*(Комплекты[Обозначение]=$G179)*Комплекты[Кол-во]*(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79" s="307" t="n"/>
      <c r="BJ179" s="408" t="n"/>
      <c r="BK179" s="340" t="n"/>
      <c r="BL179" s="820">
        <f>SUMPRODUCT(--(MOD(COLUMN($O179:$AL179),4)=MOD(COLUMN($O179)+0,4)),$O179:$AL179)
+SUMPRODUCT(--(MOD(COLUMN($AM179:$BJ179),4)=MOD(COLUMN($AM179)+0,4)),$AM179:$BJ179)</f>
        <v/>
      </c>
      <c r="BM179" s="820">
        <f>SUMPRODUCT(--(MOD(COLUMN($O179:$AL179),4)=MOD(COLUMN($O179)+0,4)),$O179:$AL179)*
$I179+SUMPRODUCT(--(MOD(COLUMN($AM179:$BJ179),4)=MOD(COLUMN($AM179)+0,4)),$AM179:$BJ179)*$I179</f>
        <v/>
      </c>
      <c r="BN179" s="822">
        <f>SUMPRODUCT(--(MOD(COLUMN($O179:$AL179),4)=MOD(COLUMN($O179)+1,4)),$O179:$AL179)
+SUMPRODUCT(--(MOD(COLUMN($AM179:$BJ179),4)=MOD(COLUMN($AM179)+1,4)),$AM179:$BJ179)</f>
        <v/>
      </c>
      <c r="BO179" s="823">
        <f>SUMPRODUCT(--(MOD(COLUMN($O179:$AL179),4)=MOD(COLUMN($O179)+1,4)),$O179:$AL179)*
$I179+SUMPRODUCT(--(MOD(COLUMN($AM179:$BJ179),4)=MOD(COLUMN($AM179)+1,4)),$AM179:$BJ179)*$I179</f>
        <v/>
      </c>
      <c r="BP179" s="824">
        <f>SUMPRODUCT(--(MOD(COLUMN($O179:$AL179),4)=MOD(COLUMN($O179)+2,4)),$O179:$AL179)
+SUMPRODUCT(--(MOD(COLUMN($AM179:$BJ179),4)=MOD(COLUMN($AM179)+2,4)),$AM179:$BJ179)</f>
        <v/>
      </c>
      <c r="BQ179" s="825">
        <f>SUMPRODUCT(--(MOD(COLUMN($O179:$AL179),4)=MOD(COLUMN($O179)+2,4)),$O179:$AL179)*
$I179+SUMPRODUCT(--(MOD(COLUMN($AM179:$BJ179),4)=MOD(COLUMN($AM179)+2,4)),$AM179:$BJ179)*$I179</f>
        <v/>
      </c>
      <c r="BR179" s="819" t="n"/>
      <c r="BS179" s="819" t="n"/>
      <c r="BT179" s="322" t="n"/>
      <c r="BU179" s="408" t="n"/>
      <c r="BV179" s="307" t="n"/>
      <c r="BW179" s="408" t="n"/>
      <c r="BX179" s="322" t="n"/>
      <c r="BY179" s="408" t="n"/>
      <c r="BZ179" s="307" t="n"/>
      <c r="CA179" s="408" t="n"/>
      <c r="CB179" s="322" t="n"/>
      <c r="CC179" s="408" t="n"/>
      <c r="CD179" s="307" t="n"/>
      <c r="CE179" s="408" t="n"/>
      <c r="CF179" s="322" t="n"/>
      <c r="CG179" s="408" t="n"/>
      <c r="CH179" s="307" t="n"/>
      <c r="CI179" s="408" t="n"/>
      <c r="CJ179" s="322" t="n"/>
      <c r="CK179" s="408" t="n"/>
      <c r="CL179" s="307" t="n"/>
      <c r="CM179" s="408" t="n"/>
      <c r="CN179" s="322" t="n"/>
      <c r="CO179" s="408" t="n"/>
      <c r="CP179" s="307" t="n"/>
      <c r="CQ179" s="408" t="n"/>
      <c r="CR179" s="322" t="n"/>
      <c r="CS179" s="408" t="n"/>
      <c r="CT179" s="307" t="n"/>
      <c r="CU179" s="408" t="n"/>
      <c r="CV179" s="322" t="n"/>
      <c r="CW179" s="408" t="n"/>
      <c r="CX179" s="307" t="n"/>
      <c r="CY179" s="408" t="n"/>
      <c r="CZ179" s="322" t="n"/>
      <c r="DA179" s="408" t="n"/>
      <c r="DB179" s="307" t="n"/>
      <c r="DC179" s="408" t="n"/>
      <c r="DD179" s="322" t="n"/>
      <c r="DE179" s="408" t="n"/>
      <c r="DF179" s="307" t="n"/>
      <c r="DG179" s="408" t="n"/>
      <c r="DH179" s="322" t="n"/>
      <c r="DI179" s="408" t="n"/>
      <c r="DJ179" s="307" t="n"/>
      <c r="DK179" s="408" t="n"/>
      <c r="DL179" s="322" t="n"/>
      <c r="DM179" s="408" t="n"/>
      <c r="DN179" s="307" t="n"/>
      <c r="DO179" s="408" t="n"/>
      <c r="DP179" s="340" t="n"/>
      <c r="DQ179" s="820" t="n"/>
      <c r="DR179" s="820" t="n"/>
      <c r="DS179" s="819" t="n"/>
      <c r="DT179" s="819" t="n"/>
      <c r="DU179" s="322" t="n"/>
      <c r="DV179" s="408" t="n"/>
      <c r="DW179" s="307" t="n"/>
      <c r="DX179" s="408" t="n"/>
      <c r="DY179" s="322" t="n"/>
      <c r="DZ179" s="408" t="n"/>
      <c r="EA179" s="307" t="n"/>
      <c r="EB179" s="408" t="n"/>
      <c r="EC179" s="322" t="n"/>
      <c r="ED179" s="408" t="n"/>
      <c r="EE179" s="307" t="n"/>
      <c r="EF179" s="408" t="n"/>
      <c r="EG179" s="322" t="n"/>
      <c r="EH179" s="408" t="n"/>
      <c r="EI179" s="307" t="n"/>
      <c r="EJ179" s="408" t="n"/>
      <c r="EK179" s="322" t="n"/>
      <c r="EL179" s="408" t="n"/>
      <c r="EM179" s="307" t="n"/>
      <c r="EN179" s="408" t="n"/>
      <c r="EO179" s="322" t="n"/>
      <c r="EP179" s="408" t="n"/>
      <c r="EQ179" s="307" t="n"/>
      <c r="ER179" s="408" t="n"/>
      <c r="ES179" s="322" t="n"/>
      <c r="ET179" s="408" t="n"/>
      <c r="EU179" s="307" t="n"/>
      <c r="EV179" s="408" t="n"/>
      <c r="EW179" s="322" t="n"/>
      <c r="EX179" s="408" t="n"/>
      <c r="EY179" s="307" t="n"/>
      <c r="EZ179" s="408" t="n"/>
      <c r="FA179" s="322" t="n"/>
      <c r="FB179" s="408" t="n"/>
      <c r="FC179" s="307" t="n"/>
      <c r="FD179" s="408" t="n"/>
      <c r="FE179" s="322" t="n"/>
      <c r="FF179" s="408" t="n"/>
      <c r="FG179" s="307" t="n"/>
      <c r="FH179" s="408" t="n"/>
      <c r="FI179" s="322" t="n"/>
      <c r="FJ179" s="408" t="n"/>
      <c r="FK179" s="307" t="n"/>
      <c r="FL179" s="408" t="n"/>
      <c r="FM179" s="322" t="n"/>
      <c r="FN179" s="408" t="n"/>
      <c r="FO179" s="307" t="n"/>
      <c r="FP179" s="408" t="n"/>
      <c r="FQ179" s="340" t="n"/>
      <c r="FR179" s="820" t="n"/>
      <c r="FS179" s="820" t="n"/>
      <c r="FT179" s="361" t="n"/>
    </row>
    <row r="180" outlineLevel="2">
      <c r="A180" s="56" t="inlineStr">
        <is>
          <t>ПАО «Уралавтоприцеп»</t>
        </is>
      </c>
      <c r="B180" s="387" t="inlineStr">
        <is>
          <t>Отсрочка 30 дней</t>
        </is>
      </c>
      <c r="C180" s="541" t="inlineStr">
        <is>
          <t>ВБК РУС</t>
        </is>
      </c>
      <c r="D180" s="565" t="inlineStr">
        <is>
          <t>Прасолов, Соловьёв</t>
        </is>
      </c>
      <c r="E180" s="10">
        <f>IF(ISBLANK(G180),"",IF($A$6:$A$330=$A180,COUNTIF($A$6:A180,$A180),""))</f>
        <v/>
      </c>
      <c r="F180" s="669" t="n">
        <v>2</v>
      </c>
      <c r="G180" s="129" t="n">
        <v>4801020640</v>
      </c>
      <c r="H180" s="610" t="inlineStr">
        <is>
          <t>Блок TEBS-E, 4s3m Premium</t>
        </is>
      </c>
      <c r="I180" s="618" t="n">
        <v>0</v>
      </c>
      <c r="J180" s="618" t="n"/>
      <c r="K180" s="874" t="n"/>
      <c r="L180" s="618">
        <f>IF(K180="RUB",J180/ЮАНЬ,IF(K180="EUR",J180*ЕВРО/ЮАНЬ,""))</f>
        <v/>
      </c>
      <c r="M180" s="873" t="n"/>
      <c r="N180" s="871">
        <f>IF(BP180&gt;0,1,IF(BN180&gt;0,2,))</f>
        <v/>
      </c>
      <c r="O180" s="23" t="n">
        <v>0</v>
      </c>
      <c r="P180" s="24">
        <f>SUMPRODUCT((Комплекты[Пр]=$F180)*(Комплекты[Обозначение]=$G180)*Комплекты[Кол-во]*(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80" s="25" t="n">
        <v>11</v>
      </c>
      <c r="R180" s="24" t="n"/>
      <c r="S180" s="23" t="n">
        <v>0</v>
      </c>
      <c r="T180" s="24">
        <f>SUMPRODUCT((Комплекты[Пр]=$F180)*(Комплекты[Обозначение]=$G180)*Комплекты[Кол-во]*(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80" s="25" t="n">
        <v>13</v>
      </c>
      <c r="V180" s="24" t="n"/>
      <c r="W180" s="23" t="n">
        <v>0</v>
      </c>
      <c r="X180" s="24">
        <f>SUMPRODUCT((Комплекты[Пр]=$F180)*(Комплекты[Обозначение]=$G180)*Комплекты[Кол-во]*(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80" s="25">
        <f>SUMPRODUCT((Комплекты[Пр]=$F180)*(Комплекты[Обозначение]=$G180)*Комплекты[Кол-во]*(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80" s="24" t="n"/>
      <c r="AA180" s="23" t="n">
        <v>0</v>
      </c>
      <c r="AB180" s="24">
        <f>SUMPRODUCT((Комплекты[Пр]=$F180)*(Комплекты[Обозначение]=$G180)*Комплекты[Кол-во]*(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80" s="25" t="n">
        <v>0</v>
      </c>
      <c r="AD180" s="24" t="n"/>
      <c r="AE180" s="23" t="n">
        <v>0</v>
      </c>
      <c r="AF180" s="24">
        <f>SUMPRODUCT((Комплекты[Пр]=$F180)*(Комплекты[Обозначение]=$G180)*Комплекты[Кол-во]*(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80" s="25" t="n">
        <v>28</v>
      </c>
      <c r="AH180" s="24" t="n"/>
      <c r="AI180" s="23" t="n">
        <v>0</v>
      </c>
      <c r="AJ180" s="24">
        <f>SUMPRODUCT((Комплекты[Пр]=$F180)*(Комплекты[Обозначение]=$G180)*Комплекты[Кол-во]*(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80" s="25" t="n">
        <v>0</v>
      </c>
      <c r="AL180" s="24" t="n"/>
      <c r="AM180" s="23" t="n">
        <v>0</v>
      </c>
      <c r="AN180" s="24">
        <f>SUMPRODUCT((Комплекты[Пр]=$F180)*(Комплекты[Обозначение]=$G180)*Комплекты[Кол-во]*(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80" s="25" t="n">
        <v>0</v>
      </c>
      <c r="AP180" s="24" t="n"/>
      <c r="AQ180" s="23" t="n">
        <v>0</v>
      </c>
      <c r="AR180" s="24">
        <f>SUMPRODUCT((Комплекты[Пр]=$F180)*(Комплекты[Обозначение]=$G180)*Комплекты[Кол-во]*(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80" s="25" t="n">
        <v>0</v>
      </c>
      <c r="AT180" s="24" t="n"/>
      <c r="AU180" s="23" t="n">
        <v>0</v>
      </c>
      <c r="AV180" s="24">
        <f>SUMPRODUCT((Комплекты[Пр]=$F180)*(Комплекты[Обозначение]=$G180)*Комплекты[Кол-во]*(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80" s="25" t="n">
        <v>0</v>
      </c>
      <c r="AX180" s="24" t="n"/>
      <c r="AY180" s="23" t="n">
        <v>0</v>
      </c>
      <c r="AZ180" s="24">
        <f>SUMPRODUCT((Комплекты[Пр]=$F180)*(Комплекты[Обозначение]=$G180)*Комплекты[Кол-во]*(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80" s="25" t="n">
        <v>0</v>
      </c>
      <c r="BB180" s="24" t="n"/>
      <c r="BC180" s="23" t="n">
        <v>0</v>
      </c>
      <c r="BD180" s="24">
        <f>SUMPRODUCT((Комплекты[Пр]=$F180)*(Комплекты[Обозначение]=$G180)*Комплекты[Кол-во]*(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80" s="25" t="n">
        <v>0</v>
      </c>
      <c r="BF180" s="24" t="n"/>
      <c r="BG180" s="23" t="n">
        <v>0</v>
      </c>
      <c r="BH180" s="24">
        <f>SUMPRODUCT((Комплекты[Пр]=$F180)*(Комплекты[Обозначение]=$G180)*Комплекты[Кол-во]*(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80" s="25" t="n">
        <v>0</v>
      </c>
      <c r="BJ180" s="24" t="n"/>
      <c r="BK180" s="340" t="n"/>
      <c r="BL180" s="803">
        <f>SUMPRODUCT(--(MOD(COLUMN($O180:$AL180),4)=MOD(COLUMN($O180)+0,4)),$O180:$AL180)
+SUMPRODUCT(--(MOD(COLUMN($AM180:$BJ180),4)=MOD(COLUMN($AM180)+0,4)),$AM180:$BJ180)</f>
        <v/>
      </c>
      <c r="BM180" s="803">
        <f>SUMPRODUCT(--(MOD(COLUMN($O180:$AL180),4)=MOD(COLUMN($O180)+0,4)),$O180:$AL180)*
$I180+SUMPRODUCT(--(MOD(COLUMN($AM180:$BJ180),4)=MOD(COLUMN($AM180)+0,4)),$AM180:$BJ180)*$I180</f>
        <v/>
      </c>
      <c r="BN180" s="805">
        <f>SUMPRODUCT(--(MOD(COLUMN($O180:$AL180),4)=MOD(COLUMN($O180)+1,4)),$O180:$AL180)
+SUMPRODUCT(--(MOD(COLUMN($AM180:$BJ180),4)=MOD(COLUMN($AM180)+1,4)),$AM180:$BJ180)</f>
        <v/>
      </c>
      <c r="BO180" s="806">
        <f>SUMPRODUCT(--(MOD(COLUMN($O180:$AL180),4)=MOD(COLUMN($O180)+1,4)),$O180:$AL180)*
$I180+SUMPRODUCT(--(MOD(COLUMN($AM180:$BJ180),4)=MOD(COLUMN($AM180)+1,4)),$AM180:$BJ180)*$I180</f>
        <v/>
      </c>
      <c r="BP180" s="807">
        <f>SUMPRODUCT(--(MOD(COLUMN($O180:$AL180),4)=MOD(COLUMN($O180)+2,4)),$O180:$AL180)
+SUMPRODUCT(--(MOD(COLUMN($AM180:$BJ180),4)=MOD(COLUMN($AM180)+2,4)),$AM180:$BJ180)</f>
        <v/>
      </c>
      <c r="BQ180" s="808">
        <f>SUMPRODUCT(--(MOD(COLUMN($O180:$AL180),4)=MOD(COLUMN($O180)+2,4)),$O180:$AL180)*
$I180+SUMPRODUCT(--(MOD(COLUMN($AM180:$BJ180),4)=MOD(COLUMN($AM180)+2,4)),$AM180:$BJ180)*$I180</f>
        <v/>
      </c>
      <c r="BR180" s="801" t="n"/>
      <c r="BS180" s="819" t="n"/>
      <c r="BT180" s="23" t="n">
        <v>0</v>
      </c>
      <c r="BU180" s="24" t="n"/>
      <c r="BV180" s="25" t="n"/>
      <c r="BW180" s="24" t="n"/>
      <c r="BX180" s="23" t="n">
        <v>0</v>
      </c>
      <c r="BY180" s="24" t="n"/>
      <c r="BZ180" s="25" t="n"/>
      <c r="CA180" s="24" t="n"/>
      <c r="CB180" s="23" t="n">
        <v>0</v>
      </c>
      <c r="CC180" s="24" t="n"/>
      <c r="CD180" s="25" t="n"/>
      <c r="CE180" s="24" t="n"/>
      <c r="CF180" s="23" t="n">
        <v>0</v>
      </c>
      <c r="CG180" s="24" t="n"/>
      <c r="CH180" s="25" t="n"/>
      <c r="CI180" s="24" t="n"/>
      <c r="CJ180" s="23" t="n">
        <v>0</v>
      </c>
      <c r="CK180" s="24" t="n"/>
      <c r="CL180" s="25" t="n"/>
      <c r="CM180" s="24" t="n"/>
      <c r="CN180" s="23" t="n">
        <v>0</v>
      </c>
      <c r="CO180" s="24" t="n"/>
      <c r="CP180" s="25" t="n"/>
      <c r="CQ180" s="24" t="n"/>
      <c r="CR180" s="23" t="n">
        <v>0</v>
      </c>
      <c r="CS180" s="24" t="n"/>
      <c r="CT180" s="25" t="n"/>
      <c r="CU180" s="24" t="n"/>
      <c r="CV180" s="23" t="n">
        <v>0</v>
      </c>
      <c r="CW180" s="24" t="n"/>
      <c r="CX180" s="25" t="n"/>
      <c r="CY180" s="24" t="n"/>
      <c r="CZ180" s="23" t="n">
        <v>0</v>
      </c>
      <c r="DA180" s="24" t="n"/>
      <c r="DB180" s="25" t="n"/>
      <c r="DC180" s="24" t="n"/>
      <c r="DD180" s="23" t="n">
        <v>0</v>
      </c>
      <c r="DE180" s="24" t="n"/>
      <c r="DF180" s="25" t="n"/>
      <c r="DG180" s="24" t="n"/>
      <c r="DH180" s="23" t="n">
        <v>0</v>
      </c>
      <c r="DI180" s="24" t="n"/>
      <c r="DJ180" s="25" t="n"/>
      <c r="DK180" s="24" t="n"/>
      <c r="DL180" s="23" t="n">
        <v>0</v>
      </c>
      <c r="DM180" s="24" t="n"/>
      <c r="DN180" s="25" t="n"/>
      <c r="DO180" s="24" t="n"/>
      <c r="DP180" s="340" t="n"/>
      <c r="DQ180" s="803">
        <f>SUMPRODUCT(--(MOD(COLUMN(BT180:CQ180),4)=MOD(COLUMN(BT180),4)),BT180:CQ180)+SUMPRODUCT(--(MOD(COLUMN(CR180:DO180),4)=MOD(COLUMN(CR180),4)),CR180:DO180)</f>
        <v/>
      </c>
      <c r="DR180" s="803">
        <f>SUMPRODUCT(--(MOD(COLUMN(BT180:CQ180),4)=MOD(COLUMN(BT180),4)),BT180:CQ180)*$I180+SUMPRODUCT(--(MOD(COLUMN(CR180:DO180),4)=MOD(COLUMN(CR180),4)),CR180:DO180)*$I180</f>
        <v/>
      </c>
      <c r="DS180" s="801" t="n"/>
      <c r="DT180" s="819" t="n"/>
      <c r="DU180" s="23" t="n">
        <v>0</v>
      </c>
      <c r="DV180" s="24" t="n"/>
      <c r="DW180" s="25" t="n"/>
      <c r="DX180" s="24" t="n"/>
      <c r="DY180" s="23" t="n">
        <v>0</v>
      </c>
      <c r="DZ180" s="24" t="n"/>
      <c r="EA180" s="25" t="n"/>
      <c r="EB180" s="24" t="n"/>
      <c r="EC180" s="23" t="n">
        <v>0</v>
      </c>
      <c r="ED180" s="24" t="n"/>
      <c r="EE180" s="25" t="n"/>
      <c r="EF180" s="24" t="n"/>
      <c r="EG180" s="23" t="n">
        <v>0</v>
      </c>
      <c r="EH180" s="24" t="n"/>
      <c r="EI180" s="25" t="n"/>
      <c r="EJ180" s="24" t="n"/>
      <c r="EK180" s="23" t="n">
        <v>0</v>
      </c>
      <c r="EL180" s="24" t="n"/>
      <c r="EM180" s="25" t="n"/>
      <c r="EN180" s="24" t="n"/>
      <c r="EO180" s="23" t="n">
        <v>0</v>
      </c>
      <c r="EP180" s="24" t="n"/>
      <c r="EQ180" s="25" t="n"/>
      <c r="ER180" s="24" t="n"/>
      <c r="ES180" s="23" t="n">
        <v>0</v>
      </c>
      <c r="ET180" s="24" t="n"/>
      <c r="EU180" s="25" t="n"/>
      <c r="EV180" s="24" t="n"/>
      <c r="EW180" s="23" t="n">
        <v>0</v>
      </c>
      <c r="EX180" s="24" t="n"/>
      <c r="EY180" s="25" t="n"/>
      <c r="EZ180" s="24" t="n"/>
      <c r="FA180" s="23" t="n">
        <v>0</v>
      </c>
      <c r="FB180" s="24" t="n"/>
      <c r="FC180" s="25" t="n"/>
      <c r="FD180" s="24" t="n"/>
      <c r="FE180" s="23" t="n">
        <v>0</v>
      </c>
      <c r="FF180" s="24" t="n"/>
      <c r="FG180" s="25" t="n"/>
      <c r="FH180" s="24" t="n"/>
      <c r="FI180" s="23" t="n">
        <v>0</v>
      </c>
      <c r="FJ180" s="24" t="n"/>
      <c r="FK180" s="25" t="n"/>
      <c r="FL180" s="24" t="n"/>
      <c r="FM180" s="23" t="n">
        <v>0</v>
      </c>
      <c r="FN180" s="24" t="n"/>
      <c r="FO180" s="25" t="n"/>
      <c r="FP180" s="24" t="n"/>
      <c r="FQ180" s="340" t="n"/>
      <c r="FR180" s="803">
        <f>SUMPRODUCT(--(MOD(COLUMN(DU180:ER180),4)=MOD(COLUMN(DU180),4)),DU180:ER180)+SUMPRODUCT(--(MOD(COLUMN(ES180:FP180),4)=MOD(COLUMN(ES180),4)),ES180:FP180)</f>
        <v/>
      </c>
      <c r="FS180" s="803">
        <f>SUMPRODUCT(--(MOD(COLUMN(DU180:ER180),4)=MOD(COLUMN(DU180),4)),DU180:ER180)*$I180+SUMPRODUCT(--(MOD(COLUMN(ES180:FP180),4)=MOD(COLUMN(ES180),4)),ES180:FP180)*$I180</f>
        <v/>
      </c>
      <c r="FT180" s="361" t="n"/>
    </row>
    <row r="181" outlineLevel="2">
      <c r="A181" s="56" t="inlineStr">
        <is>
          <t>ПАО «Уралавтоприцеп»</t>
        </is>
      </c>
      <c r="B181" s="387" t="inlineStr">
        <is>
          <t>Отсрочка 30 дней</t>
        </is>
      </c>
      <c r="C181" s="541" t="inlineStr">
        <is>
          <t>ВБК РУС</t>
        </is>
      </c>
      <c r="D181" s="565" t="inlineStr">
        <is>
          <t>Прасолов, Соловьёв</t>
        </is>
      </c>
      <c r="E181" s="10">
        <f>IF(ISBLANK(G181),"",IF($A$6:$A$330=$A181,COUNTIF($A$6:A181,$A181),""))</f>
        <v/>
      </c>
      <c r="F181" s="669" t="n">
        <v>2</v>
      </c>
      <c r="G181" s="129" t="n">
        <v>4491731200</v>
      </c>
      <c r="H181" s="610" t="inlineStr">
        <is>
          <t>Кабель питания, 12 м</t>
        </is>
      </c>
      <c r="I181" s="618" t="n">
        <v>0</v>
      </c>
      <c r="J181" s="618" t="n"/>
      <c r="K181" s="874" t="n"/>
      <c r="L181" s="618">
        <f>IF(K181="RUB",J181/ЮАНЬ,IF(K181="EUR",J181*ЕВРО/ЮАНЬ,""))</f>
        <v/>
      </c>
      <c r="M181" s="873" t="n"/>
      <c r="N181" s="871">
        <f>IF(BP181&gt;0,1,IF(BN181&gt;0,2,))</f>
        <v/>
      </c>
      <c r="O181" s="23" t="n">
        <v>0</v>
      </c>
      <c r="P181" s="24">
        <f>SUMPRODUCT((Комплекты[Пр]=$F181)*(Комплекты[Обозначение]=$G181)*Комплекты[Кол-во]*(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81" s="25" t="n">
        <v>2</v>
      </c>
      <c r="R181" s="24" t="n"/>
      <c r="S181" s="23" t="n">
        <v>0</v>
      </c>
      <c r="T181" s="24">
        <f>SUMPRODUCT((Комплекты[Пр]=$F181)*(Комплекты[Обозначение]=$G181)*Комплекты[Кол-во]*(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81" s="25" t="n">
        <v>5</v>
      </c>
      <c r="V181" s="24" t="n"/>
      <c r="W181" s="23" t="n">
        <v>0</v>
      </c>
      <c r="X181" s="24">
        <f>SUMPRODUCT((Комплекты[Пр]=$F181)*(Комплекты[Обозначение]=$G181)*Комплекты[Кол-во]*(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81" s="25">
        <f>SUMPRODUCT((Комплекты[Пр]=$F181)*(Комплекты[Обозначение]=$G181)*Комплекты[Кол-во]*(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81" s="24" t="n"/>
      <c r="AA181" s="23" t="n">
        <v>0</v>
      </c>
      <c r="AB181" s="24">
        <f>SUMPRODUCT((Комплекты[Пр]=$F181)*(Комплекты[Обозначение]=$G181)*Комплекты[Кол-во]*(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81" s="25" t="n">
        <v>0</v>
      </c>
      <c r="AD181" s="24" t="n"/>
      <c r="AE181" s="23" t="n">
        <v>0</v>
      </c>
      <c r="AF181" s="24">
        <f>SUMPRODUCT((Комплекты[Пр]=$F181)*(Комплекты[Обозначение]=$G181)*Комплекты[Кол-во]*(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81" s="25">
        <f>SUMPRODUCT((Комплекты[Пр]=$F181)*(Комплекты[Обозначение]=$G181)*Комплекты[Кол-во]*(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81" s="24" t="n"/>
      <c r="AI181" s="23" t="n">
        <v>0</v>
      </c>
      <c r="AJ181" s="24">
        <f>SUMPRODUCT((Комплекты[Пр]=$F181)*(Комплекты[Обозначение]=$G181)*Комплекты[Кол-во]*(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81" s="25" t="n"/>
      <c r="AL181" s="24" t="n"/>
      <c r="AM181" s="23" t="n">
        <v>0</v>
      </c>
      <c r="AN181" s="24">
        <f>SUMPRODUCT((Комплекты[Пр]=$F181)*(Комплекты[Обозначение]=$G181)*Комплекты[Кол-во]*(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81" s="25" t="n"/>
      <c r="AP181" s="24" t="n"/>
      <c r="AQ181" s="23" t="n">
        <v>0</v>
      </c>
      <c r="AR181" s="24">
        <f>SUMPRODUCT((Комплекты[Пр]=$F181)*(Комплекты[Обозначение]=$G181)*Комплекты[Кол-во]*(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81" s="25" t="n"/>
      <c r="AT181" s="24" t="n"/>
      <c r="AU181" s="23" t="n">
        <v>0</v>
      </c>
      <c r="AV181" s="24">
        <f>SUMPRODUCT((Комплекты[Пр]=$F181)*(Комплекты[Обозначение]=$G181)*Комплекты[Кол-во]*(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81" s="25" t="n"/>
      <c r="AX181" s="24" t="n"/>
      <c r="AY181" s="23" t="n">
        <v>0</v>
      </c>
      <c r="AZ181" s="24">
        <f>SUMPRODUCT((Комплекты[Пр]=$F181)*(Комплекты[Обозначение]=$G181)*Комплекты[Кол-во]*(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81" s="25" t="n"/>
      <c r="BB181" s="24" t="n"/>
      <c r="BC181" s="23" t="n">
        <v>0</v>
      </c>
      <c r="BD181" s="24">
        <f>SUMPRODUCT((Комплекты[Пр]=$F181)*(Комплекты[Обозначение]=$G181)*Комплекты[Кол-во]*(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81" s="25" t="n"/>
      <c r="BF181" s="24" t="n"/>
      <c r="BG181" s="23" t="n">
        <v>0</v>
      </c>
      <c r="BH181" s="24">
        <f>SUMPRODUCT((Комплекты[Пр]=$F181)*(Комплекты[Обозначение]=$G181)*Комплекты[Кол-во]*(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81" s="25" t="n"/>
      <c r="BJ181" s="24" t="n"/>
      <c r="BK181" s="340" t="n"/>
      <c r="BL181" s="803">
        <f>SUMPRODUCT(--(MOD(COLUMN($O181:$AL181),4)=MOD(COLUMN($O181)+0,4)),$O181:$AL181)
+SUMPRODUCT(--(MOD(COLUMN($AM181:$BJ181),4)=MOD(COLUMN($AM181)+0,4)),$AM181:$BJ181)</f>
        <v/>
      </c>
      <c r="BM181" s="803">
        <f>SUMPRODUCT(--(MOD(COLUMN($O181:$AL181),4)=MOD(COLUMN($O181)+0,4)),$O181:$AL181)*
$I181+SUMPRODUCT(--(MOD(COLUMN($AM181:$BJ181),4)=MOD(COLUMN($AM181)+0,4)),$AM181:$BJ181)*$I181</f>
        <v/>
      </c>
      <c r="BN181" s="805">
        <f>SUMPRODUCT(--(MOD(COLUMN($O181:$AL181),4)=MOD(COLUMN($O181)+1,4)),$O181:$AL181)
+SUMPRODUCT(--(MOD(COLUMN($AM181:$BJ181),4)=MOD(COLUMN($AM181)+1,4)),$AM181:$BJ181)</f>
        <v/>
      </c>
      <c r="BO181" s="806">
        <f>SUMPRODUCT(--(MOD(COLUMN($O181:$AL181),4)=MOD(COLUMN($O181)+1,4)),$O181:$AL181)*
$I181+SUMPRODUCT(--(MOD(COLUMN($AM181:$BJ181),4)=MOD(COLUMN($AM181)+1,4)),$AM181:$BJ181)*$I181</f>
        <v/>
      </c>
      <c r="BP181" s="807">
        <f>SUMPRODUCT(--(MOD(COLUMN($O181:$AL181),4)=MOD(COLUMN($O181)+2,4)),$O181:$AL181)
+SUMPRODUCT(--(MOD(COLUMN($AM181:$BJ181),4)=MOD(COLUMN($AM181)+2,4)),$AM181:$BJ181)</f>
        <v/>
      </c>
      <c r="BQ181" s="808">
        <f>SUMPRODUCT(--(MOD(COLUMN($O181:$AL181),4)=MOD(COLUMN($O181)+2,4)),$O181:$AL181)*
$I181+SUMPRODUCT(--(MOD(COLUMN($AM181:$BJ181),4)=MOD(COLUMN($AM181)+2,4)),$AM181:$BJ181)*$I181</f>
        <v/>
      </c>
      <c r="BR181" s="801" t="n"/>
      <c r="BS181" s="819" t="n"/>
      <c r="BT181" s="23" t="n">
        <v>0</v>
      </c>
      <c r="BU181" s="24" t="n"/>
      <c r="BV181" s="25" t="n"/>
      <c r="BW181" s="24" t="n"/>
      <c r="BX181" s="23" t="n">
        <v>0</v>
      </c>
      <c r="BY181" s="24" t="n"/>
      <c r="BZ181" s="25" t="n"/>
      <c r="CA181" s="24" t="n"/>
      <c r="CB181" s="23" t="n">
        <v>0</v>
      </c>
      <c r="CC181" s="24" t="n"/>
      <c r="CD181" s="25" t="n"/>
      <c r="CE181" s="24" t="n"/>
      <c r="CF181" s="23" t="n">
        <v>0</v>
      </c>
      <c r="CG181" s="24" t="n"/>
      <c r="CH181" s="25" t="n"/>
      <c r="CI181" s="24" t="n"/>
      <c r="CJ181" s="23" t="n">
        <v>0</v>
      </c>
      <c r="CK181" s="24" t="n"/>
      <c r="CL181" s="25" t="n"/>
      <c r="CM181" s="24" t="n"/>
      <c r="CN181" s="23" t="n">
        <v>0</v>
      </c>
      <c r="CO181" s="24" t="n"/>
      <c r="CP181" s="25" t="n"/>
      <c r="CQ181" s="24" t="n"/>
      <c r="CR181" s="23" t="n">
        <v>0</v>
      </c>
      <c r="CS181" s="24" t="n"/>
      <c r="CT181" s="25" t="n"/>
      <c r="CU181" s="24" t="n"/>
      <c r="CV181" s="23" t="n">
        <v>0</v>
      </c>
      <c r="CW181" s="24" t="n"/>
      <c r="CX181" s="25" t="n"/>
      <c r="CY181" s="24" t="n"/>
      <c r="CZ181" s="23" t="n">
        <v>0</v>
      </c>
      <c r="DA181" s="24" t="n"/>
      <c r="DB181" s="25" t="n"/>
      <c r="DC181" s="24" t="n"/>
      <c r="DD181" s="23" t="n">
        <v>0</v>
      </c>
      <c r="DE181" s="24" t="n"/>
      <c r="DF181" s="25" t="n"/>
      <c r="DG181" s="24" t="n"/>
      <c r="DH181" s="23" t="n">
        <v>0</v>
      </c>
      <c r="DI181" s="24" t="n"/>
      <c r="DJ181" s="25" t="n"/>
      <c r="DK181" s="24" t="n"/>
      <c r="DL181" s="23" t="n">
        <v>0</v>
      </c>
      <c r="DM181" s="24" t="n"/>
      <c r="DN181" s="25" t="n"/>
      <c r="DO181" s="24" t="n"/>
      <c r="DP181" s="340" t="n"/>
      <c r="DQ181" s="803">
        <f>SUMPRODUCT(--(MOD(COLUMN(BT181:CQ181),4)=MOD(COLUMN(BT181),4)),BT181:CQ181)+SUMPRODUCT(--(MOD(COLUMN(CR181:DO181),4)=MOD(COLUMN(CR181),4)),CR181:DO181)</f>
        <v/>
      </c>
      <c r="DR181" s="803">
        <f>SUMPRODUCT(--(MOD(COLUMN(BT181:CQ181),4)=MOD(COLUMN(BT181),4)),BT181:CQ181)*$I181+SUMPRODUCT(--(MOD(COLUMN(CR181:DO181),4)=MOD(COLUMN(CR181),4)),CR181:DO181)*$I181</f>
        <v/>
      </c>
      <c r="DS181" s="801" t="n"/>
      <c r="DT181" s="819" t="n"/>
      <c r="DU181" s="23" t="n">
        <v>0</v>
      </c>
      <c r="DV181" s="24" t="n"/>
      <c r="DW181" s="25" t="n"/>
      <c r="DX181" s="24" t="n"/>
      <c r="DY181" s="23" t="n">
        <v>0</v>
      </c>
      <c r="DZ181" s="24" t="n"/>
      <c r="EA181" s="25" t="n"/>
      <c r="EB181" s="24" t="n"/>
      <c r="EC181" s="23" t="n">
        <v>0</v>
      </c>
      <c r="ED181" s="24" t="n"/>
      <c r="EE181" s="25" t="n"/>
      <c r="EF181" s="24" t="n"/>
      <c r="EG181" s="23" t="n">
        <v>0</v>
      </c>
      <c r="EH181" s="24" t="n"/>
      <c r="EI181" s="25" t="n"/>
      <c r="EJ181" s="24" t="n"/>
      <c r="EK181" s="23" t="n">
        <v>0</v>
      </c>
      <c r="EL181" s="24" t="n"/>
      <c r="EM181" s="25" t="n"/>
      <c r="EN181" s="24" t="n"/>
      <c r="EO181" s="23" t="n">
        <v>0</v>
      </c>
      <c r="EP181" s="24" t="n"/>
      <c r="EQ181" s="25" t="n"/>
      <c r="ER181" s="24" t="n"/>
      <c r="ES181" s="23" t="n">
        <v>0</v>
      </c>
      <c r="ET181" s="24" t="n"/>
      <c r="EU181" s="25" t="n"/>
      <c r="EV181" s="24" t="n"/>
      <c r="EW181" s="23" t="n">
        <v>0</v>
      </c>
      <c r="EX181" s="24" t="n"/>
      <c r="EY181" s="25" t="n"/>
      <c r="EZ181" s="24" t="n"/>
      <c r="FA181" s="23" t="n">
        <v>0</v>
      </c>
      <c r="FB181" s="24" t="n"/>
      <c r="FC181" s="25" t="n"/>
      <c r="FD181" s="24" t="n"/>
      <c r="FE181" s="23" t="n">
        <v>0</v>
      </c>
      <c r="FF181" s="24" t="n"/>
      <c r="FG181" s="25" t="n"/>
      <c r="FH181" s="24" t="n"/>
      <c r="FI181" s="23" t="n">
        <v>0</v>
      </c>
      <c r="FJ181" s="24" t="n"/>
      <c r="FK181" s="25" t="n"/>
      <c r="FL181" s="24" t="n"/>
      <c r="FM181" s="23" t="n">
        <v>0</v>
      </c>
      <c r="FN181" s="24" t="n"/>
      <c r="FO181" s="25" t="n"/>
      <c r="FP181" s="24" t="n"/>
      <c r="FQ181" s="340" t="n"/>
      <c r="FR181" s="803">
        <f>SUMPRODUCT(--(MOD(COLUMN(DU181:ER181),4)=MOD(COLUMN(DU181),4)),DU181:ER181)+SUMPRODUCT(--(MOD(COLUMN(ES181:FP181),4)=MOD(COLUMN(ES181),4)),ES181:FP181)</f>
        <v/>
      </c>
      <c r="FS181" s="803">
        <f>SUMPRODUCT(--(MOD(COLUMN(DU181:ER181),4)=MOD(COLUMN(DU181),4)),DU181:ER181)*$I181+SUMPRODUCT(--(MOD(COLUMN(ES181:FP181),4)=MOD(COLUMN(ES181),4)),ES181:FP181)*$I181</f>
        <v/>
      </c>
      <c r="FT181" s="361" t="n"/>
    </row>
    <row r="182" outlineLevel="2">
      <c r="A182" s="56" t="inlineStr">
        <is>
          <t>ПАО «Уралавтоприцеп»</t>
        </is>
      </c>
      <c r="B182" s="387" t="inlineStr">
        <is>
          <t>Отсрочка 30 дней</t>
        </is>
      </c>
      <c r="C182" s="541" t="inlineStr">
        <is>
          <t>ВБК РУС</t>
        </is>
      </c>
      <c r="D182" s="565" t="inlineStr">
        <is>
          <t>Прасолов, Соловьёв</t>
        </is>
      </c>
      <c r="E182" s="10">
        <f>IF(ISBLANK(G182),"",IF($A$6:$A$330=$A182,COUNTIF($A$6:A182,$A182),""))</f>
        <v/>
      </c>
      <c r="F182" s="669" t="n">
        <v>2</v>
      </c>
      <c r="G182" s="129" t="n">
        <v>9630010510</v>
      </c>
      <c r="H182" s="610" t="inlineStr">
        <is>
          <t>Клапан растормаживания сдвоенный</t>
        </is>
      </c>
      <c r="I182" s="618" t="n">
        <v>0</v>
      </c>
      <c r="J182" s="618" t="n"/>
      <c r="K182" s="874" t="n"/>
      <c r="L182" s="618">
        <f>IF(K182="RUB",J182/ЮАНЬ,IF(K182="EUR",J182*ЕВРО/ЮАНЬ,""))</f>
        <v/>
      </c>
      <c r="M182" s="873" t="n"/>
      <c r="N182" s="871">
        <f>IF(BP182&gt;0,1,IF(BN182&gt;0,2,))</f>
        <v/>
      </c>
      <c r="O182" s="23" t="n">
        <v>0</v>
      </c>
      <c r="P182" s="24">
        <f>SUMPRODUCT((Комплекты[Пр]=$F182)*(Комплекты[Обозначение]=$G182)*Комплекты[Кол-во]*(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82" s="25" t="n">
        <v>2</v>
      </c>
      <c r="R182" s="24" t="n"/>
      <c r="S182" s="23" t="n">
        <v>0</v>
      </c>
      <c r="T182" s="24">
        <f>SUMPRODUCT((Комплекты[Пр]=$F182)*(Комплекты[Обозначение]=$G182)*Комплекты[Кол-во]*(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82" s="25" t="n">
        <v>53</v>
      </c>
      <c r="V182" s="24" t="n"/>
      <c r="W182" s="23" t="n">
        <v>0</v>
      </c>
      <c r="X182" s="24">
        <f>SUMPRODUCT((Комплекты[Пр]=$F182)*(Комплекты[Обозначение]=$G182)*Комплекты[Кол-во]*(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82" s="25" t="n">
        <v>20</v>
      </c>
      <c r="Z182" s="24" t="n"/>
      <c r="AA182" s="23" t="n">
        <v>0</v>
      </c>
      <c r="AB182" s="24">
        <f>SUMPRODUCT((Комплекты[Пр]=$F182)*(Комплекты[Обозначение]=$G182)*Комплекты[Кол-во]*(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82" s="25" t="n">
        <v>0</v>
      </c>
      <c r="AD182" s="24" t="n"/>
      <c r="AE182" s="23" t="n">
        <v>0</v>
      </c>
      <c r="AF182" s="24">
        <f>SUMPRODUCT((Комплекты[Пр]=$F182)*(Комплекты[Обозначение]=$G182)*Комплекты[Кол-во]*(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82" s="25" t="n">
        <v>0</v>
      </c>
      <c r="AH182" s="24" t="n"/>
      <c r="AI182" s="23" t="n">
        <v>0</v>
      </c>
      <c r="AJ182" s="24">
        <f>SUMPRODUCT((Комплекты[Пр]=$F182)*(Комплекты[Обозначение]=$G182)*Комплекты[Кол-во]*(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82" s="25" t="n">
        <v>0</v>
      </c>
      <c r="AL182" s="24" t="n"/>
      <c r="AM182" s="23" t="n">
        <v>0</v>
      </c>
      <c r="AN182" s="24">
        <f>SUMPRODUCT((Комплекты[Пр]=$F182)*(Комплекты[Обозначение]=$G182)*Комплекты[Кол-во]*(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82" s="25" t="n">
        <v>0</v>
      </c>
      <c r="AP182" s="24" t="n"/>
      <c r="AQ182" s="23" t="n">
        <v>0</v>
      </c>
      <c r="AR182" s="24">
        <f>SUMPRODUCT((Комплекты[Пр]=$F182)*(Комплекты[Обозначение]=$G182)*Комплекты[Кол-во]*(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82" s="25" t="n">
        <v>0</v>
      </c>
      <c r="AT182" s="24" t="n"/>
      <c r="AU182" s="23" t="n">
        <v>0</v>
      </c>
      <c r="AV182" s="24">
        <f>SUMPRODUCT((Комплекты[Пр]=$F182)*(Комплекты[Обозначение]=$G182)*Комплекты[Кол-во]*(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82" s="25" t="n">
        <v>0</v>
      </c>
      <c r="AX182" s="24" t="n"/>
      <c r="AY182" s="23" t="n">
        <v>0</v>
      </c>
      <c r="AZ182" s="24">
        <f>SUMPRODUCT((Комплекты[Пр]=$F182)*(Комплекты[Обозначение]=$G182)*Комплекты[Кол-во]*(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82" s="25" t="n">
        <v>0</v>
      </c>
      <c r="BB182" s="24" t="n"/>
      <c r="BC182" s="23" t="n">
        <v>0</v>
      </c>
      <c r="BD182" s="24">
        <f>SUMPRODUCT((Комплекты[Пр]=$F182)*(Комплекты[Обозначение]=$G182)*Комплекты[Кол-во]*(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82" s="25" t="n">
        <v>0</v>
      </c>
      <c r="BF182" s="24" t="n"/>
      <c r="BG182" s="23" t="n">
        <v>0</v>
      </c>
      <c r="BH182" s="24">
        <f>SUMPRODUCT((Комплекты[Пр]=$F182)*(Комплекты[Обозначение]=$G182)*Комплекты[Кол-во]*(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82" s="25" t="n">
        <v>0</v>
      </c>
      <c r="BJ182" s="24" t="n"/>
      <c r="BK182" s="340" t="n"/>
      <c r="BL182" s="803">
        <f>SUMPRODUCT(--(MOD(COLUMN($O182:$AL182),4)=MOD(COLUMN($O182)+0,4)),$O182:$AL182)
+SUMPRODUCT(--(MOD(COLUMN($AM182:$BJ182),4)=MOD(COLUMN($AM182)+0,4)),$AM182:$BJ182)</f>
        <v/>
      </c>
      <c r="BM182" s="803">
        <f>SUMPRODUCT(--(MOD(COLUMN($O182:$AL182),4)=MOD(COLUMN($O182)+0,4)),$O182:$AL182)*
$I182+SUMPRODUCT(--(MOD(COLUMN($AM182:$BJ182),4)=MOD(COLUMN($AM182)+0,4)),$AM182:$BJ182)*$I182</f>
        <v/>
      </c>
      <c r="BN182" s="805">
        <f>SUMPRODUCT(--(MOD(COLUMN($O182:$AL182),4)=MOD(COLUMN($O182)+1,4)),$O182:$AL182)
+SUMPRODUCT(--(MOD(COLUMN($AM182:$BJ182),4)=MOD(COLUMN($AM182)+1,4)),$AM182:$BJ182)</f>
        <v/>
      </c>
      <c r="BO182" s="806">
        <f>SUMPRODUCT(--(MOD(COLUMN($O182:$AL182),4)=MOD(COLUMN($O182)+1,4)),$O182:$AL182)*
$I182+SUMPRODUCT(--(MOD(COLUMN($AM182:$BJ182),4)=MOD(COLUMN($AM182)+1,4)),$AM182:$BJ182)*$I182</f>
        <v/>
      </c>
      <c r="BP182" s="807">
        <f>SUMPRODUCT(--(MOD(COLUMN($O182:$AL182),4)=MOD(COLUMN($O182)+2,4)),$O182:$AL182)
+SUMPRODUCT(--(MOD(COLUMN($AM182:$BJ182),4)=MOD(COLUMN($AM182)+2,4)),$AM182:$BJ182)</f>
        <v/>
      </c>
      <c r="BQ182" s="808">
        <f>SUMPRODUCT(--(MOD(COLUMN($O182:$AL182),4)=MOD(COLUMN($O182)+2,4)),$O182:$AL182)*
$I182+SUMPRODUCT(--(MOD(COLUMN($AM182:$BJ182),4)=MOD(COLUMN($AM182)+2,4)),$AM182:$BJ182)*$I182</f>
        <v/>
      </c>
      <c r="BR182" s="801" t="n"/>
      <c r="BS182" s="819" t="n"/>
      <c r="BT182" s="23" t="n">
        <v>0</v>
      </c>
      <c r="BU182" s="24" t="n"/>
      <c r="BV182" s="25" t="n">
        <v>0</v>
      </c>
      <c r="BW182" s="24" t="n"/>
      <c r="BX182" s="23" t="n">
        <v>0</v>
      </c>
      <c r="BY182" s="24" t="n"/>
      <c r="BZ182" s="25" t="n">
        <v>0</v>
      </c>
      <c r="CA182" s="24" t="n"/>
      <c r="CB182" s="23" t="n">
        <v>0</v>
      </c>
      <c r="CC182" s="24" t="n"/>
      <c r="CD182" s="25" t="n">
        <v>0</v>
      </c>
      <c r="CE182" s="24" t="n"/>
      <c r="CF182" s="23" t="n">
        <v>0</v>
      </c>
      <c r="CG182" s="24" t="n"/>
      <c r="CH182" s="25" t="n">
        <v>0</v>
      </c>
      <c r="CI182" s="24" t="n"/>
      <c r="CJ182" s="23" t="n">
        <v>0</v>
      </c>
      <c r="CK182" s="24" t="n"/>
      <c r="CL182" s="25" t="n">
        <v>0</v>
      </c>
      <c r="CM182" s="24" t="n"/>
      <c r="CN182" s="23" t="n">
        <v>0</v>
      </c>
      <c r="CO182" s="24" t="n"/>
      <c r="CP182" s="25" t="n">
        <v>0</v>
      </c>
      <c r="CQ182" s="24" t="n"/>
      <c r="CR182" s="23" t="n">
        <v>0</v>
      </c>
      <c r="CS182" s="24" t="n"/>
      <c r="CT182" s="25" t="n">
        <v>0</v>
      </c>
      <c r="CU182" s="24" t="n"/>
      <c r="CV182" s="23" t="n">
        <v>0</v>
      </c>
      <c r="CW182" s="24" t="n"/>
      <c r="CX182" s="25" t="n">
        <v>0</v>
      </c>
      <c r="CY182" s="24" t="n"/>
      <c r="CZ182" s="23" t="n">
        <v>0</v>
      </c>
      <c r="DA182" s="24" t="n"/>
      <c r="DB182" s="25" t="n">
        <v>0</v>
      </c>
      <c r="DC182" s="24" t="n"/>
      <c r="DD182" s="23" t="n">
        <v>0</v>
      </c>
      <c r="DE182" s="24" t="n"/>
      <c r="DF182" s="25" t="n">
        <v>0</v>
      </c>
      <c r="DG182" s="24" t="n"/>
      <c r="DH182" s="23" t="n">
        <v>0</v>
      </c>
      <c r="DI182" s="24" t="n"/>
      <c r="DJ182" s="25" t="n">
        <v>0</v>
      </c>
      <c r="DK182" s="24" t="n"/>
      <c r="DL182" s="23" t="n">
        <v>0</v>
      </c>
      <c r="DM182" s="24" t="n"/>
      <c r="DN182" s="25" t="n">
        <v>0</v>
      </c>
      <c r="DO182" s="24" t="n"/>
      <c r="DP182" s="340" t="n"/>
      <c r="DQ182" s="803">
        <f>SUMPRODUCT(--(MOD(COLUMN(BT182:CQ182),4)=MOD(COLUMN(BT182),4)),BT182:CQ182)+SUMPRODUCT(--(MOD(COLUMN(CR182:DO182),4)=MOD(COLUMN(CR182),4)),CR182:DO182)</f>
        <v/>
      </c>
      <c r="DR182" s="803">
        <f>SUMPRODUCT(--(MOD(COLUMN(BT182:CQ182),4)=MOD(COLUMN(BT182),4)),BT182:CQ182)*$I182+SUMPRODUCT(--(MOD(COLUMN(CR182:DO182),4)=MOD(COLUMN(CR182),4)),CR182:DO182)*$I182</f>
        <v/>
      </c>
      <c r="DS182" s="801" t="n"/>
      <c r="DT182" s="819" t="n"/>
      <c r="DU182" s="23" t="n">
        <v>0</v>
      </c>
      <c r="DV182" s="24" t="n"/>
      <c r="DW182" s="25" t="n">
        <v>0</v>
      </c>
      <c r="DX182" s="24" t="n"/>
      <c r="DY182" s="23" t="n">
        <v>0</v>
      </c>
      <c r="DZ182" s="24" t="n"/>
      <c r="EA182" s="25" t="n">
        <v>0</v>
      </c>
      <c r="EB182" s="24" t="n"/>
      <c r="EC182" s="23" t="n">
        <v>0</v>
      </c>
      <c r="ED182" s="24" t="n"/>
      <c r="EE182" s="25" t="n">
        <v>0</v>
      </c>
      <c r="EF182" s="24" t="n"/>
      <c r="EG182" s="23" t="n">
        <v>0</v>
      </c>
      <c r="EH182" s="24" t="n"/>
      <c r="EI182" s="25" t="n">
        <v>0</v>
      </c>
      <c r="EJ182" s="24" t="n"/>
      <c r="EK182" s="23" t="n">
        <v>0</v>
      </c>
      <c r="EL182" s="24" t="n"/>
      <c r="EM182" s="25" t="n">
        <v>0</v>
      </c>
      <c r="EN182" s="24" t="n"/>
      <c r="EO182" s="23" t="n">
        <v>0</v>
      </c>
      <c r="EP182" s="24" t="n"/>
      <c r="EQ182" s="25" t="n">
        <v>0</v>
      </c>
      <c r="ER182" s="24" t="n"/>
      <c r="ES182" s="23" t="n">
        <v>0</v>
      </c>
      <c r="ET182" s="24" t="n"/>
      <c r="EU182" s="25" t="n">
        <v>0</v>
      </c>
      <c r="EV182" s="24" t="n"/>
      <c r="EW182" s="23" t="n">
        <v>0</v>
      </c>
      <c r="EX182" s="24" t="n"/>
      <c r="EY182" s="25" t="n">
        <v>0</v>
      </c>
      <c r="EZ182" s="24" t="n"/>
      <c r="FA182" s="23" t="n">
        <v>0</v>
      </c>
      <c r="FB182" s="24" t="n"/>
      <c r="FC182" s="25" t="n">
        <v>0</v>
      </c>
      <c r="FD182" s="24" t="n"/>
      <c r="FE182" s="23" t="n">
        <v>0</v>
      </c>
      <c r="FF182" s="24" t="n"/>
      <c r="FG182" s="25" t="n">
        <v>0</v>
      </c>
      <c r="FH182" s="24" t="n"/>
      <c r="FI182" s="23" t="n">
        <v>0</v>
      </c>
      <c r="FJ182" s="24" t="n"/>
      <c r="FK182" s="25" t="n">
        <v>0</v>
      </c>
      <c r="FL182" s="24" t="n"/>
      <c r="FM182" s="23" t="n">
        <v>0</v>
      </c>
      <c r="FN182" s="24" t="n"/>
      <c r="FO182" s="25" t="n">
        <v>0</v>
      </c>
      <c r="FP182" s="24" t="n"/>
      <c r="FQ182" s="340" t="n"/>
      <c r="FR182" s="803">
        <f>SUMPRODUCT(--(MOD(COLUMN(DU182:ER182),4)=MOD(COLUMN(DU182),4)),DU182:ER182)+SUMPRODUCT(--(MOD(COLUMN(ES182:FP182),4)=MOD(COLUMN(ES182),4)),ES182:FP182)</f>
        <v/>
      </c>
      <c r="FS182" s="803">
        <f>SUMPRODUCT(--(MOD(COLUMN(DU182:ER182),4)=MOD(COLUMN(DU182),4)),DU182:ER182)*$I182+SUMPRODUCT(--(MOD(COLUMN(ES182:FP182),4)=MOD(COLUMN(ES182),4)),ES182:FP182)*$I182</f>
        <v/>
      </c>
      <c r="FT182" s="361" t="n"/>
    </row>
    <row r="183" outlineLevel="2">
      <c r="A183" s="56" t="inlineStr">
        <is>
          <t>ПАО «Уралавтоприцеп»</t>
        </is>
      </c>
      <c r="B183" s="387" t="inlineStr">
        <is>
          <t>Отсрочка 30 дней</t>
        </is>
      </c>
      <c r="C183" s="541" t="inlineStr">
        <is>
          <t>ВБК РУС</t>
        </is>
      </c>
      <c r="D183" s="565" t="inlineStr">
        <is>
          <t>Прасолов, Соловьёв</t>
        </is>
      </c>
      <c r="E183" s="10">
        <f>IF(ISBLANK(G183),"",IF($A$6:$A$330=$A183,COUNTIF($A$6:A183,$A183),""))</f>
        <v/>
      </c>
      <c r="F183" s="669" t="n">
        <v>2</v>
      </c>
      <c r="G183" s="129" t="n">
        <v>4497230300</v>
      </c>
      <c r="H183" s="610" t="inlineStr">
        <is>
          <t>Кабель датчика АБС, 3 м</t>
        </is>
      </c>
      <c r="I183" s="618" t="n">
        <v>0</v>
      </c>
      <c r="J183" s="618" t="n"/>
      <c r="K183" s="874" t="n"/>
      <c r="L183" s="618">
        <f>IF(K183="RUB",J183/ЮАНЬ,IF(K183="EUR",J183*ЕВРО/ЮАНЬ,""))</f>
        <v/>
      </c>
      <c r="M183" s="873" t="n"/>
      <c r="N183" s="871">
        <f>IF(BP183&gt;0,1,IF(BN183&gt;0,2,))</f>
        <v/>
      </c>
      <c r="O183" s="23" t="n">
        <v>0</v>
      </c>
      <c r="P183" s="24">
        <f>SUMPRODUCT((Комплекты[Пр]=$F183)*(Комплекты[Обозначение]=$G183)*Комплекты[Кол-во]*(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83" s="25" t="n">
        <v>8</v>
      </c>
      <c r="R183" s="24" t="n"/>
      <c r="S183" s="23" t="n">
        <v>0</v>
      </c>
      <c r="T183" s="24">
        <f>SUMPRODUCT((Комплекты[Пр]=$F183)*(Комплекты[Обозначение]=$G183)*Комплекты[Кол-во]*(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83" s="25" t="n">
        <v>20</v>
      </c>
      <c r="V183" s="24" t="n"/>
      <c r="W183" s="23" t="n">
        <v>0</v>
      </c>
      <c r="X183" s="24">
        <f>SUMPRODUCT((Комплекты[Пр]=$F183)*(Комплекты[Обозначение]=$G183)*Комплекты[Кол-во]*(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83" s="25">
        <f>SUMPRODUCT((Комплекты[Пр]=$F183)*(Комплекты[Обозначение]=$G183)*Комплекты[Кол-во]*(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83" s="24" t="n"/>
      <c r="AA183" s="23" t="n">
        <v>0</v>
      </c>
      <c r="AB183" s="24">
        <f>SUMPRODUCT((Комплекты[Пр]=$F183)*(Комплекты[Обозначение]=$G183)*Комплекты[Кол-во]*(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83" s="25" t="n">
        <v>0</v>
      </c>
      <c r="AD183" s="24" t="n"/>
      <c r="AE183" s="23" t="n">
        <v>0</v>
      </c>
      <c r="AF183" s="24">
        <f>SUMPRODUCT((Комплекты[Пр]=$F183)*(Комплекты[Обозначение]=$G183)*Комплекты[Кол-во]*(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83" s="25">
        <f>SUMPRODUCT((Комплекты[Пр]=$F183)*(Комплекты[Обозначение]=$G183)*Комплекты[Кол-во]*(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83" s="24" t="n"/>
      <c r="AI183" s="23" t="n">
        <v>0</v>
      </c>
      <c r="AJ183" s="24">
        <f>SUMPRODUCT((Комплекты[Пр]=$F183)*(Комплекты[Обозначение]=$G183)*Комплекты[Кол-во]*(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83" s="25" t="n"/>
      <c r="AL183" s="24" t="n"/>
      <c r="AM183" s="23" t="n">
        <v>0</v>
      </c>
      <c r="AN183" s="24">
        <f>SUMPRODUCT((Комплекты[Пр]=$F183)*(Комплекты[Обозначение]=$G183)*Комплекты[Кол-во]*(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83" s="25" t="n"/>
      <c r="AP183" s="24" t="n"/>
      <c r="AQ183" s="23" t="n">
        <v>0</v>
      </c>
      <c r="AR183" s="24">
        <f>SUMPRODUCT((Комплекты[Пр]=$F183)*(Комплекты[Обозначение]=$G183)*Комплекты[Кол-во]*(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83" s="25" t="n"/>
      <c r="AT183" s="24" t="n"/>
      <c r="AU183" s="23" t="n">
        <v>0</v>
      </c>
      <c r="AV183" s="24">
        <f>SUMPRODUCT((Комплекты[Пр]=$F183)*(Комплекты[Обозначение]=$G183)*Комплекты[Кол-во]*(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83" s="25" t="n"/>
      <c r="AX183" s="24" t="n"/>
      <c r="AY183" s="23" t="n">
        <v>0</v>
      </c>
      <c r="AZ183" s="24">
        <f>SUMPRODUCT((Комплекты[Пр]=$F183)*(Комплекты[Обозначение]=$G183)*Комплекты[Кол-во]*(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83" s="25" t="n"/>
      <c r="BB183" s="24" t="n"/>
      <c r="BC183" s="23" t="n">
        <v>0</v>
      </c>
      <c r="BD183" s="24">
        <f>SUMPRODUCT((Комплекты[Пр]=$F183)*(Комплекты[Обозначение]=$G183)*Комплекты[Кол-во]*(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83" s="25" t="n"/>
      <c r="BF183" s="24" t="n"/>
      <c r="BG183" s="23" t="n">
        <v>0</v>
      </c>
      <c r="BH183" s="24">
        <f>SUMPRODUCT((Комплекты[Пр]=$F183)*(Комплекты[Обозначение]=$G183)*Комплекты[Кол-во]*(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83" s="25" t="n"/>
      <c r="BJ183" s="24" t="n"/>
      <c r="BK183" s="340" t="n"/>
      <c r="BL183" s="803">
        <f>SUMPRODUCT(--(MOD(COLUMN($O183:$AL183),4)=MOD(COLUMN($O183)+0,4)),$O183:$AL183)
+SUMPRODUCT(--(MOD(COLUMN($AM183:$BJ183),4)=MOD(COLUMN($AM183)+0,4)),$AM183:$BJ183)</f>
        <v/>
      </c>
      <c r="BM183" s="803">
        <f>SUMPRODUCT(--(MOD(COLUMN($O183:$AL183),4)=MOD(COLUMN($O183)+0,4)),$O183:$AL183)*
$I183+SUMPRODUCT(--(MOD(COLUMN($AM183:$BJ183),4)=MOD(COLUMN($AM183)+0,4)),$AM183:$BJ183)*$I183</f>
        <v/>
      </c>
      <c r="BN183" s="805">
        <f>SUMPRODUCT(--(MOD(COLUMN($O183:$AL183),4)=MOD(COLUMN($O183)+1,4)),$O183:$AL183)
+SUMPRODUCT(--(MOD(COLUMN($AM183:$BJ183),4)=MOD(COLUMN($AM183)+1,4)),$AM183:$BJ183)</f>
        <v/>
      </c>
      <c r="BO183" s="806">
        <f>SUMPRODUCT(--(MOD(COLUMN($O183:$AL183),4)=MOD(COLUMN($O183)+1,4)),$O183:$AL183)*
$I183+SUMPRODUCT(--(MOD(COLUMN($AM183:$BJ183),4)=MOD(COLUMN($AM183)+1,4)),$AM183:$BJ183)*$I183</f>
        <v/>
      </c>
      <c r="BP183" s="807">
        <f>SUMPRODUCT(--(MOD(COLUMN($O183:$AL183),4)=MOD(COLUMN($O183)+2,4)),$O183:$AL183)
+SUMPRODUCT(--(MOD(COLUMN($AM183:$BJ183),4)=MOD(COLUMN($AM183)+2,4)),$AM183:$BJ183)</f>
        <v/>
      </c>
      <c r="BQ183" s="808">
        <f>SUMPRODUCT(--(MOD(COLUMN($O183:$AL183),4)=MOD(COLUMN($O183)+2,4)),$O183:$AL183)*
$I183+SUMPRODUCT(--(MOD(COLUMN($AM183:$BJ183),4)=MOD(COLUMN($AM183)+2,4)),$AM183:$BJ183)*$I183</f>
        <v/>
      </c>
      <c r="BR183" s="801" t="n"/>
      <c r="BS183" s="819" t="n"/>
      <c r="BT183" s="23" t="n">
        <v>0</v>
      </c>
      <c r="BU183" s="24" t="n"/>
      <c r="BV183" s="25" t="n"/>
      <c r="BW183" s="24" t="n"/>
      <c r="BX183" s="23" t="n">
        <v>0</v>
      </c>
      <c r="BY183" s="24" t="n"/>
      <c r="BZ183" s="25" t="n"/>
      <c r="CA183" s="24" t="n"/>
      <c r="CB183" s="23" t="n">
        <v>0</v>
      </c>
      <c r="CC183" s="24" t="n"/>
      <c r="CD183" s="25" t="n"/>
      <c r="CE183" s="24" t="n"/>
      <c r="CF183" s="23" t="n">
        <v>0</v>
      </c>
      <c r="CG183" s="24" t="n"/>
      <c r="CH183" s="25" t="n"/>
      <c r="CI183" s="24" t="n"/>
      <c r="CJ183" s="23" t="n">
        <v>0</v>
      </c>
      <c r="CK183" s="24" t="n"/>
      <c r="CL183" s="25" t="n"/>
      <c r="CM183" s="24" t="n"/>
      <c r="CN183" s="23" t="n">
        <v>0</v>
      </c>
      <c r="CO183" s="24" t="n"/>
      <c r="CP183" s="25" t="n"/>
      <c r="CQ183" s="24" t="n"/>
      <c r="CR183" s="23" t="n">
        <v>0</v>
      </c>
      <c r="CS183" s="24" t="n"/>
      <c r="CT183" s="25" t="n"/>
      <c r="CU183" s="24" t="n"/>
      <c r="CV183" s="23" t="n">
        <v>0</v>
      </c>
      <c r="CW183" s="24" t="n"/>
      <c r="CX183" s="25" t="n"/>
      <c r="CY183" s="24" t="n"/>
      <c r="CZ183" s="23" t="n">
        <v>0</v>
      </c>
      <c r="DA183" s="24" t="n"/>
      <c r="DB183" s="25" t="n"/>
      <c r="DC183" s="24" t="n"/>
      <c r="DD183" s="23" t="n">
        <v>0</v>
      </c>
      <c r="DE183" s="24" t="n"/>
      <c r="DF183" s="25" t="n"/>
      <c r="DG183" s="24" t="n"/>
      <c r="DH183" s="23" t="n">
        <v>0</v>
      </c>
      <c r="DI183" s="24" t="n"/>
      <c r="DJ183" s="25" t="n"/>
      <c r="DK183" s="24" t="n"/>
      <c r="DL183" s="23" t="n">
        <v>0</v>
      </c>
      <c r="DM183" s="24" t="n"/>
      <c r="DN183" s="25" t="n"/>
      <c r="DO183" s="24" t="n"/>
      <c r="DP183" s="340" t="n"/>
      <c r="DQ183" s="803">
        <f>SUMPRODUCT(--(MOD(COLUMN(BT183:CQ183),4)=MOD(COLUMN(BT183),4)),BT183:CQ183)+SUMPRODUCT(--(MOD(COLUMN(CR183:DO183),4)=MOD(COLUMN(CR183),4)),CR183:DO183)</f>
        <v/>
      </c>
      <c r="DR183" s="803">
        <f>SUMPRODUCT(--(MOD(COLUMN(BT183:CQ183),4)=MOD(COLUMN(BT183),4)),BT183:CQ183)*$I183+SUMPRODUCT(--(MOD(COLUMN(CR183:DO183),4)=MOD(COLUMN(CR183),4)),CR183:DO183)*$I183</f>
        <v/>
      </c>
      <c r="DS183" s="801" t="n"/>
      <c r="DT183" s="819" t="n"/>
      <c r="DU183" s="23" t="n">
        <v>0</v>
      </c>
      <c r="DV183" s="24" t="n"/>
      <c r="DW183" s="25" t="n"/>
      <c r="DX183" s="24" t="n"/>
      <c r="DY183" s="23" t="n">
        <v>0</v>
      </c>
      <c r="DZ183" s="24" t="n"/>
      <c r="EA183" s="25" t="n"/>
      <c r="EB183" s="24" t="n"/>
      <c r="EC183" s="23" t="n">
        <v>0</v>
      </c>
      <c r="ED183" s="24" t="n"/>
      <c r="EE183" s="25" t="n"/>
      <c r="EF183" s="24" t="n"/>
      <c r="EG183" s="23" t="n">
        <v>0</v>
      </c>
      <c r="EH183" s="24" t="n"/>
      <c r="EI183" s="25" t="n"/>
      <c r="EJ183" s="24" t="n"/>
      <c r="EK183" s="23" t="n">
        <v>0</v>
      </c>
      <c r="EL183" s="24" t="n"/>
      <c r="EM183" s="25" t="n"/>
      <c r="EN183" s="24" t="n"/>
      <c r="EO183" s="23" t="n">
        <v>0</v>
      </c>
      <c r="EP183" s="24" t="n"/>
      <c r="EQ183" s="25" t="n"/>
      <c r="ER183" s="24" t="n"/>
      <c r="ES183" s="23" t="n">
        <v>0</v>
      </c>
      <c r="ET183" s="24" t="n"/>
      <c r="EU183" s="25" t="n"/>
      <c r="EV183" s="24" t="n"/>
      <c r="EW183" s="23" t="n">
        <v>0</v>
      </c>
      <c r="EX183" s="24" t="n"/>
      <c r="EY183" s="25" t="n"/>
      <c r="EZ183" s="24" t="n"/>
      <c r="FA183" s="23" t="n">
        <v>0</v>
      </c>
      <c r="FB183" s="24" t="n"/>
      <c r="FC183" s="25" t="n"/>
      <c r="FD183" s="24" t="n"/>
      <c r="FE183" s="23" t="n">
        <v>0</v>
      </c>
      <c r="FF183" s="24" t="n"/>
      <c r="FG183" s="25" t="n"/>
      <c r="FH183" s="24" t="n"/>
      <c r="FI183" s="23" t="n">
        <v>0</v>
      </c>
      <c r="FJ183" s="24" t="n"/>
      <c r="FK183" s="25" t="n"/>
      <c r="FL183" s="24" t="n"/>
      <c r="FM183" s="23" t="n">
        <v>0</v>
      </c>
      <c r="FN183" s="24" t="n"/>
      <c r="FO183" s="25" t="n"/>
      <c r="FP183" s="24" t="n"/>
      <c r="FQ183" s="340" t="n"/>
      <c r="FR183" s="803">
        <f>SUMPRODUCT(--(MOD(COLUMN(DU183:ER183),4)=MOD(COLUMN(DU183),4)),DU183:ER183)+SUMPRODUCT(--(MOD(COLUMN(ES183:FP183),4)=MOD(COLUMN(ES183),4)),ES183:FP183)</f>
        <v/>
      </c>
      <c r="FS183" s="803">
        <f>SUMPRODUCT(--(MOD(COLUMN(DU183:ER183),4)=MOD(COLUMN(DU183),4)),DU183:ER183)*$I183+SUMPRODUCT(--(MOD(COLUMN(ES183:FP183),4)=MOD(COLUMN(ES183),4)),ES183:FP183)*$I183</f>
        <v/>
      </c>
      <c r="FT183" s="361" t="n"/>
    </row>
    <row r="184" outlineLevel="2">
      <c r="A184" s="56" t="inlineStr">
        <is>
          <t>ПАО «Уралавтоприцеп»</t>
        </is>
      </c>
      <c r="B184" s="387" t="inlineStr">
        <is>
          <t>Отсрочка 30 дней</t>
        </is>
      </c>
      <c r="C184" s="541" t="inlineStr">
        <is>
          <t>ВБК РУС</t>
        </is>
      </c>
      <c r="D184" s="565" t="inlineStr">
        <is>
          <t>Прасолов, Соловьёв</t>
        </is>
      </c>
      <c r="E184" s="10">
        <f>IF(ISBLANK(G184),"",IF($A$6:$A$330=$A184,COUNTIF($A$6:A184,$A184),""))</f>
        <v/>
      </c>
      <c r="F184" s="669" t="n">
        <v>2</v>
      </c>
      <c r="G184" s="129" t="n">
        <v>4640061000</v>
      </c>
      <c r="H184" s="610" t="inlineStr">
        <is>
          <t>Кран уровня пола</t>
        </is>
      </c>
      <c r="I184" s="618" t="n">
        <v>0</v>
      </c>
      <c r="J184" s="618" t="n"/>
      <c r="K184" s="874" t="n"/>
      <c r="L184" s="618">
        <f>IF(K184="RUB",J184/ЮАНЬ,IF(K184="EUR",J184*ЕВРО/ЮАНЬ,""))</f>
        <v/>
      </c>
      <c r="M184" s="873" t="n"/>
      <c r="N184" s="871">
        <f>IF(BP184&gt;0,1,IF(BN184&gt;0,2,))</f>
        <v/>
      </c>
      <c r="O184" s="23" t="n">
        <v>0</v>
      </c>
      <c r="P184" s="24">
        <f>SUMPRODUCT((Комплекты[Пр]=$F184)*(Комплекты[Обозначение]=$G184)*Комплекты[Кол-во]*(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84" s="25" t="n">
        <v>2</v>
      </c>
      <c r="R184" s="24" t="n"/>
      <c r="S184" s="23" t="n">
        <v>0</v>
      </c>
      <c r="T184" s="24">
        <f>SUMPRODUCT((Комплекты[Пр]=$F184)*(Комплекты[Обозначение]=$G184)*Комплекты[Кол-во]*(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84" s="25" t="n">
        <v>5</v>
      </c>
      <c r="V184" s="24" t="n"/>
      <c r="W184" s="23" t="n">
        <v>0</v>
      </c>
      <c r="X184" s="24">
        <f>SUMPRODUCT((Комплекты[Пр]=$F184)*(Комплекты[Обозначение]=$G184)*Комплекты[Кол-во]*(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84" s="25" t="n">
        <v>20</v>
      </c>
      <c r="Z184" s="24" t="n"/>
      <c r="AA184" s="23" t="n">
        <v>0</v>
      </c>
      <c r="AB184" s="24">
        <f>SUMPRODUCT((Комплекты[Пр]=$F184)*(Комплекты[Обозначение]=$G184)*Комплекты[Кол-во]*(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84" s="25" t="n">
        <v>1</v>
      </c>
      <c r="AD184" s="24" t="n"/>
      <c r="AE184" s="23" t="n">
        <v>0</v>
      </c>
      <c r="AF184" s="24">
        <f>SUMPRODUCT((Комплекты[Пр]=$F184)*(Комплекты[Обозначение]=$G184)*Комплекты[Кол-во]*(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84" s="25" t="n">
        <v>27</v>
      </c>
      <c r="AH184" s="24" t="n"/>
      <c r="AI184" s="23" t="n">
        <v>0</v>
      </c>
      <c r="AJ184" s="24">
        <f>SUMPRODUCT((Комплекты[Пр]=$F184)*(Комплекты[Обозначение]=$G184)*Комплекты[Кол-во]*(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84" s="25" t="n">
        <v>0</v>
      </c>
      <c r="AL184" s="24" t="n"/>
      <c r="AM184" s="23" t="n">
        <v>0</v>
      </c>
      <c r="AN184" s="24">
        <f>SUMPRODUCT((Комплекты[Пр]=$F184)*(Комплекты[Обозначение]=$G184)*Комплекты[Кол-во]*(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84" s="25" t="n">
        <v>0</v>
      </c>
      <c r="AP184" s="24" t="n"/>
      <c r="AQ184" s="23" t="n">
        <v>0</v>
      </c>
      <c r="AR184" s="24">
        <f>SUMPRODUCT((Комплекты[Пр]=$F184)*(Комплекты[Обозначение]=$G184)*Комплекты[Кол-во]*(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84" s="25" t="n">
        <v>0</v>
      </c>
      <c r="AT184" s="24" t="n"/>
      <c r="AU184" s="23" t="n">
        <v>0</v>
      </c>
      <c r="AV184" s="24">
        <f>SUMPRODUCT((Комплекты[Пр]=$F184)*(Комплекты[Обозначение]=$G184)*Комплекты[Кол-во]*(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84" s="25" t="n">
        <v>0</v>
      </c>
      <c r="AX184" s="24" t="n"/>
      <c r="AY184" s="23" t="n">
        <v>0</v>
      </c>
      <c r="AZ184" s="24">
        <f>SUMPRODUCT((Комплекты[Пр]=$F184)*(Комплекты[Обозначение]=$G184)*Комплекты[Кол-во]*(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84" s="25" t="n">
        <v>0</v>
      </c>
      <c r="BB184" s="24" t="n"/>
      <c r="BC184" s="23" t="n">
        <v>0</v>
      </c>
      <c r="BD184" s="24">
        <f>SUMPRODUCT((Комплекты[Пр]=$F184)*(Комплекты[Обозначение]=$G184)*Комплекты[Кол-во]*(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84" s="25" t="n">
        <v>0</v>
      </c>
      <c r="BF184" s="24" t="n"/>
      <c r="BG184" s="23" t="n">
        <v>0</v>
      </c>
      <c r="BH184" s="24">
        <f>SUMPRODUCT((Комплекты[Пр]=$F184)*(Комплекты[Обозначение]=$G184)*Комплекты[Кол-во]*(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84" s="25" t="n">
        <v>0</v>
      </c>
      <c r="BJ184" s="24" t="n"/>
      <c r="BK184" s="340" t="n"/>
      <c r="BL184" s="803">
        <f>SUMPRODUCT(--(MOD(COLUMN($O184:$AL184),4)=MOD(COLUMN($O184)+0,4)),$O184:$AL184)
+SUMPRODUCT(--(MOD(COLUMN($AM184:$BJ184),4)=MOD(COLUMN($AM184)+0,4)),$AM184:$BJ184)</f>
        <v/>
      </c>
      <c r="BM184" s="803">
        <f>SUMPRODUCT(--(MOD(COLUMN($O184:$AL184),4)=MOD(COLUMN($O184)+0,4)),$O184:$AL184)*
$I184+SUMPRODUCT(--(MOD(COLUMN($AM184:$BJ184),4)=MOD(COLUMN($AM184)+0,4)),$AM184:$BJ184)*$I184</f>
        <v/>
      </c>
      <c r="BN184" s="805">
        <f>SUMPRODUCT(--(MOD(COLUMN($O184:$AL184),4)=MOD(COLUMN($O184)+1,4)),$O184:$AL184)
+SUMPRODUCT(--(MOD(COLUMN($AM184:$BJ184),4)=MOD(COLUMN($AM184)+1,4)),$AM184:$BJ184)</f>
        <v/>
      </c>
      <c r="BO184" s="806">
        <f>SUMPRODUCT(--(MOD(COLUMN($O184:$AL184),4)=MOD(COLUMN($O184)+1,4)),$O184:$AL184)*
$I184+SUMPRODUCT(--(MOD(COLUMN($AM184:$BJ184),4)=MOD(COLUMN($AM184)+1,4)),$AM184:$BJ184)*$I184</f>
        <v/>
      </c>
      <c r="BP184" s="807">
        <f>SUMPRODUCT(--(MOD(COLUMN($O184:$AL184),4)=MOD(COLUMN($O184)+2,4)),$O184:$AL184)
+SUMPRODUCT(--(MOD(COLUMN($AM184:$BJ184),4)=MOD(COLUMN($AM184)+2,4)),$AM184:$BJ184)</f>
        <v/>
      </c>
      <c r="BQ184" s="808">
        <f>SUMPRODUCT(--(MOD(COLUMN($O184:$AL184),4)=MOD(COLUMN($O184)+2,4)),$O184:$AL184)*
$I184+SUMPRODUCT(--(MOD(COLUMN($AM184:$BJ184),4)=MOD(COLUMN($AM184)+2,4)),$AM184:$BJ184)*$I184</f>
        <v/>
      </c>
      <c r="BR184" s="801" t="n"/>
      <c r="BS184" s="819" t="n"/>
      <c r="BT184" s="23" t="n">
        <v>0</v>
      </c>
      <c r="BU184" s="24" t="n"/>
      <c r="BV184" s="25" t="n">
        <v>0</v>
      </c>
      <c r="BW184" s="24" t="n"/>
      <c r="BX184" s="23" t="n">
        <v>0</v>
      </c>
      <c r="BY184" s="24" t="n"/>
      <c r="BZ184" s="25" t="n">
        <v>0</v>
      </c>
      <c r="CA184" s="24" t="n"/>
      <c r="CB184" s="23" t="n">
        <v>0</v>
      </c>
      <c r="CC184" s="24" t="n"/>
      <c r="CD184" s="25" t="n">
        <v>0</v>
      </c>
      <c r="CE184" s="24" t="n"/>
      <c r="CF184" s="23" t="n">
        <v>0</v>
      </c>
      <c r="CG184" s="24" t="n"/>
      <c r="CH184" s="25" t="n">
        <v>0</v>
      </c>
      <c r="CI184" s="24" t="n"/>
      <c r="CJ184" s="23" t="n">
        <v>0</v>
      </c>
      <c r="CK184" s="24" t="n"/>
      <c r="CL184" s="25" t="n">
        <v>0</v>
      </c>
      <c r="CM184" s="24" t="n"/>
      <c r="CN184" s="23" t="n">
        <v>0</v>
      </c>
      <c r="CO184" s="24" t="n"/>
      <c r="CP184" s="25" t="n">
        <v>0</v>
      </c>
      <c r="CQ184" s="24" t="n"/>
      <c r="CR184" s="23" t="n">
        <v>0</v>
      </c>
      <c r="CS184" s="24" t="n"/>
      <c r="CT184" s="25" t="n">
        <v>0</v>
      </c>
      <c r="CU184" s="24" t="n"/>
      <c r="CV184" s="23" t="n">
        <v>0</v>
      </c>
      <c r="CW184" s="24" t="n"/>
      <c r="CX184" s="25" t="n">
        <v>0</v>
      </c>
      <c r="CY184" s="24" t="n"/>
      <c r="CZ184" s="23" t="n">
        <v>0</v>
      </c>
      <c r="DA184" s="24" t="n"/>
      <c r="DB184" s="25" t="n">
        <v>0</v>
      </c>
      <c r="DC184" s="24" t="n"/>
      <c r="DD184" s="23" t="n">
        <v>0</v>
      </c>
      <c r="DE184" s="24" t="n"/>
      <c r="DF184" s="25" t="n">
        <v>0</v>
      </c>
      <c r="DG184" s="24" t="n"/>
      <c r="DH184" s="23" t="n">
        <v>0</v>
      </c>
      <c r="DI184" s="24" t="n"/>
      <c r="DJ184" s="25" t="n">
        <v>0</v>
      </c>
      <c r="DK184" s="24" t="n"/>
      <c r="DL184" s="23" t="n">
        <v>0</v>
      </c>
      <c r="DM184" s="24" t="n"/>
      <c r="DN184" s="25" t="n">
        <v>0</v>
      </c>
      <c r="DO184" s="24" t="n"/>
      <c r="DP184" s="340" t="n"/>
      <c r="DQ184" s="803">
        <f>SUMPRODUCT(--(MOD(COLUMN(BT184:CQ184),4)=MOD(COLUMN(BT184),4)),BT184:CQ184)+SUMPRODUCT(--(MOD(COLUMN(CR184:DO184),4)=MOD(COLUMN(CR184),4)),CR184:DO184)</f>
        <v/>
      </c>
      <c r="DR184" s="803">
        <f>SUMPRODUCT(--(MOD(COLUMN(BT184:CQ184),4)=MOD(COLUMN(BT184),4)),BT184:CQ184)*$I184+SUMPRODUCT(--(MOD(COLUMN(CR184:DO184),4)=MOD(COLUMN(CR184),4)),CR184:DO184)*$I184</f>
        <v/>
      </c>
      <c r="DS184" s="801" t="n"/>
      <c r="DT184" s="819" t="n"/>
      <c r="DU184" s="23" t="n">
        <v>0</v>
      </c>
      <c r="DV184" s="24" t="n"/>
      <c r="DW184" s="25" t="n">
        <v>0</v>
      </c>
      <c r="DX184" s="24" t="n"/>
      <c r="DY184" s="23" t="n">
        <v>0</v>
      </c>
      <c r="DZ184" s="24" t="n"/>
      <c r="EA184" s="25" t="n">
        <v>0</v>
      </c>
      <c r="EB184" s="24" t="n"/>
      <c r="EC184" s="23" t="n">
        <v>0</v>
      </c>
      <c r="ED184" s="24" t="n"/>
      <c r="EE184" s="25" t="n">
        <v>0</v>
      </c>
      <c r="EF184" s="24" t="n"/>
      <c r="EG184" s="23" t="n">
        <v>0</v>
      </c>
      <c r="EH184" s="24" t="n"/>
      <c r="EI184" s="25" t="n">
        <v>0</v>
      </c>
      <c r="EJ184" s="24" t="n"/>
      <c r="EK184" s="23" t="n">
        <v>0</v>
      </c>
      <c r="EL184" s="24" t="n"/>
      <c r="EM184" s="25" t="n">
        <v>0</v>
      </c>
      <c r="EN184" s="24" t="n"/>
      <c r="EO184" s="23" t="n">
        <v>0</v>
      </c>
      <c r="EP184" s="24" t="n"/>
      <c r="EQ184" s="25" t="n">
        <v>0</v>
      </c>
      <c r="ER184" s="24" t="n"/>
      <c r="ES184" s="23" t="n">
        <v>0</v>
      </c>
      <c r="ET184" s="24" t="n"/>
      <c r="EU184" s="25" t="n">
        <v>0</v>
      </c>
      <c r="EV184" s="24" t="n"/>
      <c r="EW184" s="23" t="n">
        <v>0</v>
      </c>
      <c r="EX184" s="24" t="n"/>
      <c r="EY184" s="25" t="n">
        <v>0</v>
      </c>
      <c r="EZ184" s="24" t="n"/>
      <c r="FA184" s="23" t="n">
        <v>0</v>
      </c>
      <c r="FB184" s="24" t="n"/>
      <c r="FC184" s="25" t="n">
        <v>0</v>
      </c>
      <c r="FD184" s="24" t="n"/>
      <c r="FE184" s="23" t="n">
        <v>0</v>
      </c>
      <c r="FF184" s="24" t="n"/>
      <c r="FG184" s="25" t="n">
        <v>0</v>
      </c>
      <c r="FH184" s="24" t="n"/>
      <c r="FI184" s="23" t="n">
        <v>0</v>
      </c>
      <c r="FJ184" s="24" t="n"/>
      <c r="FK184" s="25" t="n">
        <v>0</v>
      </c>
      <c r="FL184" s="24" t="n"/>
      <c r="FM184" s="23" t="n">
        <v>0</v>
      </c>
      <c r="FN184" s="24" t="n"/>
      <c r="FO184" s="25" t="n">
        <v>0</v>
      </c>
      <c r="FP184" s="24" t="n"/>
      <c r="FQ184" s="340" t="n"/>
      <c r="FR184" s="803">
        <f>SUMPRODUCT(--(MOD(COLUMN(DU184:ER184),4)=MOD(COLUMN(DU184),4)),DU184:ER184)+SUMPRODUCT(--(MOD(COLUMN(ES184:FP184),4)=MOD(COLUMN(ES184),4)),ES184:FP184)</f>
        <v/>
      </c>
      <c r="FS184" s="803">
        <f>SUMPRODUCT(--(MOD(COLUMN(DU184:ER184),4)=MOD(COLUMN(DU184),4)),DU184:ER184)*$I184+SUMPRODUCT(--(MOD(COLUMN(ES184:FP184),4)=MOD(COLUMN(ES184),4)),ES184:FP184)*$I184</f>
        <v/>
      </c>
      <c r="FT184" s="361" t="n"/>
    </row>
    <row r="185" outlineLevel="2">
      <c r="A185" s="56" t="inlineStr">
        <is>
          <t>ПАО «Уралавтоприцеп»</t>
        </is>
      </c>
      <c r="B185" s="387" t="inlineStr">
        <is>
          <t>Отсрочка 30 дней</t>
        </is>
      </c>
      <c r="C185" s="541" t="inlineStr">
        <is>
          <t>ВБК РУС</t>
        </is>
      </c>
      <c r="D185" s="565" t="inlineStr">
        <is>
          <t>Прасолов, Соловьёв</t>
        </is>
      </c>
      <c r="E185" s="10">
        <f>IF(ISBLANK(G185),"",IF($A$6:$A$330=$A185,COUNTIF($A$6:A185,$A185),""))</f>
        <v/>
      </c>
      <c r="F185" s="669" t="n">
        <v>2</v>
      </c>
      <c r="G185" s="129" t="n">
        <v>4630320200</v>
      </c>
      <c r="H185" s="610" t="inlineStr">
        <is>
          <t>Кран ручного управления</t>
        </is>
      </c>
      <c r="I185" s="618" t="n">
        <v>0</v>
      </c>
      <c r="J185" s="618" t="n"/>
      <c r="K185" s="874" t="n"/>
      <c r="L185" s="618">
        <f>IF(K185="RUB",J185/ЮАНЬ,IF(K185="EUR",J185*ЕВРО/ЮАНЬ,""))</f>
        <v/>
      </c>
      <c r="M185" s="873" t="n"/>
      <c r="N185" s="871">
        <f>IF(BP185&gt;0,1,IF(BN185&gt;0,2,))</f>
        <v/>
      </c>
      <c r="O185" s="23" t="n">
        <v>0</v>
      </c>
      <c r="P185" s="24">
        <f>SUMPRODUCT((Комплекты[Пр]=$F185)*(Комплекты[Обозначение]=$G185)*Комплекты[Кол-во]*(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85" s="25" t="n">
        <v>2</v>
      </c>
      <c r="R185" s="24" t="n"/>
      <c r="S185" s="23" t="n">
        <v>0</v>
      </c>
      <c r="T185" s="24">
        <f>SUMPRODUCT((Комплекты[Пр]=$F185)*(Комплекты[Обозначение]=$G185)*Комплекты[Кол-во]*(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85" s="25" t="n">
        <v>5</v>
      </c>
      <c r="V185" s="24" t="n"/>
      <c r="W185" s="23" t="n">
        <v>0</v>
      </c>
      <c r="X185" s="24">
        <f>SUMPRODUCT((Комплекты[Пр]=$F185)*(Комплекты[Обозначение]=$G185)*Комплекты[Кол-во]*(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85" s="25" t="n">
        <v>20</v>
      </c>
      <c r="Z185" s="24" t="n"/>
      <c r="AA185" s="23" t="n">
        <v>0</v>
      </c>
      <c r="AB185" s="24">
        <f>SUMPRODUCT((Комплекты[Пр]=$F185)*(Комплекты[Обозначение]=$G185)*Комплекты[Кол-во]*(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85" s="25" t="n">
        <v>1</v>
      </c>
      <c r="AD185" s="24" t="n"/>
      <c r="AE185" s="23" t="n">
        <v>0</v>
      </c>
      <c r="AF185" s="24">
        <f>SUMPRODUCT((Комплекты[Пр]=$F185)*(Комплекты[Обозначение]=$G185)*Комплекты[Кол-во]*(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85" s="25" t="n">
        <v>27</v>
      </c>
      <c r="AH185" s="24" t="n"/>
      <c r="AI185" s="23" t="n">
        <v>0</v>
      </c>
      <c r="AJ185" s="24">
        <f>SUMPRODUCT((Комплекты[Пр]=$F185)*(Комплекты[Обозначение]=$G185)*Комплекты[Кол-во]*(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85" s="25" t="n">
        <v>0</v>
      </c>
      <c r="AL185" s="24" t="n"/>
      <c r="AM185" s="23" t="n">
        <v>0</v>
      </c>
      <c r="AN185" s="24">
        <f>SUMPRODUCT((Комплекты[Пр]=$F185)*(Комплекты[Обозначение]=$G185)*Комплекты[Кол-во]*(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85" s="25" t="n">
        <v>0</v>
      </c>
      <c r="AP185" s="24" t="n"/>
      <c r="AQ185" s="23" t="n">
        <v>0</v>
      </c>
      <c r="AR185" s="24">
        <f>SUMPRODUCT((Комплекты[Пр]=$F185)*(Комплекты[Обозначение]=$G185)*Комплекты[Кол-во]*(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85" s="25" t="n">
        <v>0</v>
      </c>
      <c r="AT185" s="24" t="n"/>
      <c r="AU185" s="23" t="n">
        <v>0</v>
      </c>
      <c r="AV185" s="24">
        <f>SUMPRODUCT((Комплекты[Пр]=$F185)*(Комплекты[Обозначение]=$G185)*Комплекты[Кол-во]*(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85" s="25" t="n">
        <v>0</v>
      </c>
      <c r="AX185" s="24" t="n"/>
      <c r="AY185" s="23" t="n">
        <v>0</v>
      </c>
      <c r="AZ185" s="24">
        <f>SUMPRODUCT((Комплекты[Пр]=$F185)*(Комплекты[Обозначение]=$G185)*Комплекты[Кол-во]*(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85" s="25" t="n">
        <v>0</v>
      </c>
      <c r="BB185" s="24" t="n"/>
      <c r="BC185" s="23" t="n">
        <v>0</v>
      </c>
      <c r="BD185" s="24">
        <f>SUMPRODUCT((Комплекты[Пр]=$F185)*(Комплекты[Обозначение]=$G185)*Комплекты[Кол-во]*(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85" s="25" t="n">
        <v>0</v>
      </c>
      <c r="BF185" s="24" t="n"/>
      <c r="BG185" s="23" t="n">
        <v>0</v>
      </c>
      <c r="BH185" s="24">
        <f>SUMPRODUCT((Комплекты[Пр]=$F185)*(Комплекты[Обозначение]=$G185)*Комплекты[Кол-во]*(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85" s="25" t="n">
        <v>0</v>
      </c>
      <c r="BJ185" s="24" t="n"/>
      <c r="BK185" s="340" t="n"/>
      <c r="BL185" s="803">
        <f>SUMPRODUCT(--(MOD(COLUMN($O185:$AL185),4)=MOD(COLUMN($O185)+0,4)),$O185:$AL185)
+SUMPRODUCT(--(MOD(COLUMN($AM185:$BJ185),4)=MOD(COLUMN($AM185)+0,4)),$AM185:$BJ185)</f>
        <v/>
      </c>
      <c r="BM185" s="803">
        <f>SUMPRODUCT(--(MOD(COLUMN($O185:$AL185),4)=MOD(COLUMN($O185)+0,4)),$O185:$AL185)*
$I185+SUMPRODUCT(--(MOD(COLUMN($AM185:$BJ185),4)=MOD(COLUMN($AM185)+0,4)),$AM185:$BJ185)*$I185</f>
        <v/>
      </c>
      <c r="BN185" s="805">
        <f>SUMPRODUCT(--(MOD(COLUMN($O185:$AL185),4)=MOD(COLUMN($O185)+1,4)),$O185:$AL185)
+SUMPRODUCT(--(MOD(COLUMN($AM185:$BJ185),4)=MOD(COLUMN($AM185)+1,4)),$AM185:$BJ185)</f>
        <v/>
      </c>
      <c r="BO185" s="806">
        <f>SUMPRODUCT(--(MOD(COLUMN($O185:$AL185),4)=MOD(COLUMN($O185)+1,4)),$O185:$AL185)*
$I185+SUMPRODUCT(--(MOD(COLUMN($AM185:$BJ185),4)=MOD(COLUMN($AM185)+1,4)),$AM185:$BJ185)*$I185</f>
        <v/>
      </c>
      <c r="BP185" s="807">
        <f>SUMPRODUCT(--(MOD(COLUMN($O185:$AL185),4)=MOD(COLUMN($O185)+2,4)),$O185:$AL185)
+SUMPRODUCT(--(MOD(COLUMN($AM185:$BJ185),4)=MOD(COLUMN($AM185)+2,4)),$AM185:$BJ185)</f>
        <v/>
      </c>
      <c r="BQ185" s="808">
        <f>SUMPRODUCT(--(MOD(COLUMN($O185:$AL185),4)=MOD(COLUMN($O185)+2,4)),$O185:$AL185)*
$I185+SUMPRODUCT(--(MOD(COLUMN($AM185:$BJ185),4)=MOD(COLUMN($AM185)+2,4)),$AM185:$BJ185)*$I185</f>
        <v/>
      </c>
      <c r="BR185" s="801" t="n"/>
      <c r="BS185" s="819" t="n"/>
      <c r="BT185" s="23" t="n">
        <v>0</v>
      </c>
      <c r="BU185" s="24" t="n"/>
      <c r="BV185" s="25" t="n">
        <v>0</v>
      </c>
      <c r="BW185" s="24" t="n"/>
      <c r="BX185" s="23" t="n">
        <v>0</v>
      </c>
      <c r="BY185" s="24" t="n"/>
      <c r="BZ185" s="25" t="n">
        <v>0</v>
      </c>
      <c r="CA185" s="24" t="n"/>
      <c r="CB185" s="23" t="n">
        <v>0</v>
      </c>
      <c r="CC185" s="24" t="n"/>
      <c r="CD185" s="25" t="n">
        <v>0</v>
      </c>
      <c r="CE185" s="24" t="n"/>
      <c r="CF185" s="23" t="n">
        <v>0</v>
      </c>
      <c r="CG185" s="24" t="n"/>
      <c r="CH185" s="25" t="n">
        <v>0</v>
      </c>
      <c r="CI185" s="24" t="n"/>
      <c r="CJ185" s="23" t="n">
        <v>0</v>
      </c>
      <c r="CK185" s="24" t="n"/>
      <c r="CL185" s="25" t="n">
        <v>0</v>
      </c>
      <c r="CM185" s="24" t="n"/>
      <c r="CN185" s="23" t="n">
        <v>0</v>
      </c>
      <c r="CO185" s="24" t="n"/>
      <c r="CP185" s="25" t="n">
        <v>0</v>
      </c>
      <c r="CQ185" s="24" t="n"/>
      <c r="CR185" s="23" t="n">
        <v>0</v>
      </c>
      <c r="CS185" s="24" t="n"/>
      <c r="CT185" s="25" t="n">
        <v>0</v>
      </c>
      <c r="CU185" s="24" t="n"/>
      <c r="CV185" s="23" t="n">
        <v>0</v>
      </c>
      <c r="CW185" s="24" t="n"/>
      <c r="CX185" s="25" t="n">
        <v>0</v>
      </c>
      <c r="CY185" s="24" t="n"/>
      <c r="CZ185" s="23" t="n">
        <v>0</v>
      </c>
      <c r="DA185" s="24" t="n"/>
      <c r="DB185" s="25" t="n">
        <v>0</v>
      </c>
      <c r="DC185" s="24" t="n"/>
      <c r="DD185" s="23" t="n">
        <v>0</v>
      </c>
      <c r="DE185" s="24" t="n"/>
      <c r="DF185" s="25" t="n">
        <v>0</v>
      </c>
      <c r="DG185" s="24" t="n"/>
      <c r="DH185" s="23" t="n">
        <v>0</v>
      </c>
      <c r="DI185" s="24" t="n"/>
      <c r="DJ185" s="25" t="n">
        <v>0</v>
      </c>
      <c r="DK185" s="24" t="n"/>
      <c r="DL185" s="23" t="n">
        <v>0</v>
      </c>
      <c r="DM185" s="24" t="n"/>
      <c r="DN185" s="25" t="n">
        <v>0</v>
      </c>
      <c r="DO185" s="24" t="n"/>
      <c r="DP185" s="340" t="n"/>
      <c r="DQ185" s="803">
        <f>SUMPRODUCT(--(MOD(COLUMN(BT185:CQ185),4)=MOD(COLUMN(BT185),4)),BT185:CQ185)+SUMPRODUCT(--(MOD(COLUMN(CR185:DO185),4)=MOD(COLUMN(CR185),4)),CR185:DO185)</f>
        <v/>
      </c>
      <c r="DR185" s="803">
        <f>SUMPRODUCT(--(MOD(COLUMN(BT185:CQ185),4)=MOD(COLUMN(BT185),4)),BT185:CQ185)*$I185+SUMPRODUCT(--(MOD(COLUMN(CR185:DO185),4)=MOD(COLUMN(CR185),4)),CR185:DO185)*$I185</f>
        <v/>
      </c>
      <c r="DS185" s="801" t="n"/>
      <c r="DT185" s="819" t="n"/>
      <c r="DU185" s="23" t="n">
        <v>0</v>
      </c>
      <c r="DV185" s="24" t="n"/>
      <c r="DW185" s="25" t="n">
        <v>0</v>
      </c>
      <c r="DX185" s="24" t="n"/>
      <c r="DY185" s="23" t="n">
        <v>0</v>
      </c>
      <c r="DZ185" s="24" t="n"/>
      <c r="EA185" s="25" t="n">
        <v>0</v>
      </c>
      <c r="EB185" s="24" t="n"/>
      <c r="EC185" s="23" t="n">
        <v>0</v>
      </c>
      <c r="ED185" s="24" t="n"/>
      <c r="EE185" s="25" t="n">
        <v>0</v>
      </c>
      <c r="EF185" s="24" t="n"/>
      <c r="EG185" s="23" t="n">
        <v>0</v>
      </c>
      <c r="EH185" s="24" t="n"/>
      <c r="EI185" s="25" t="n">
        <v>0</v>
      </c>
      <c r="EJ185" s="24" t="n"/>
      <c r="EK185" s="23" t="n">
        <v>0</v>
      </c>
      <c r="EL185" s="24" t="n"/>
      <c r="EM185" s="25" t="n">
        <v>0</v>
      </c>
      <c r="EN185" s="24" t="n"/>
      <c r="EO185" s="23" t="n">
        <v>0</v>
      </c>
      <c r="EP185" s="24" t="n"/>
      <c r="EQ185" s="25" t="n">
        <v>0</v>
      </c>
      <c r="ER185" s="24" t="n"/>
      <c r="ES185" s="23" t="n">
        <v>0</v>
      </c>
      <c r="ET185" s="24" t="n"/>
      <c r="EU185" s="25" t="n">
        <v>0</v>
      </c>
      <c r="EV185" s="24" t="n"/>
      <c r="EW185" s="23" t="n">
        <v>0</v>
      </c>
      <c r="EX185" s="24" t="n"/>
      <c r="EY185" s="25" t="n">
        <v>0</v>
      </c>
      <c r="EZ185" s="24" t="n"/>
      <c r="FA185" s="23" t="n">
        <v>0</v>
      </c>
      <c r="FB185" s="24" t="n"/>
      <c r="FC185" s="25" t="n">
        <v>0</v>
      </c>
      <c r="FD185" s="24" t="n"/>
      <c r="FE185" s="23" t="n">
        <v>0</v>
      </c>
      <c r="FF185" s="24" t="n"/>
      <c r="FG185" s="25" t="n">
        <v>0</v>
      </c>
      <c r="FH185" s="24" t="n"/>
      <c r="FI185" s="23" t="n">
        <v>0</v>
      </c>
      <c r="FJ185" s="24" t="n"/>
      <c r="FK185" s="25" t="n">
        <v>0</v>
      </c>
      <c r="FL185" s="24" t="n"/>
      <c r="FM185" s="23" t="n">
        <v>0</v>
      </c>
      <c r="FN185" s="24" t="n"/>
      <c r="FO185" s="25" t="n">
        <v>0</v>
      </c>
      <c r="FP185" s="24" t="n"/>
      <c r="FQ185" s="340" t="n"/>
      <c r="FR185" s="803">
        <f>SUMPRODUCT(--(MOD(COLUMN(DU185:ER185),4)=MOD(COLUMN(DU185),4)),DU185:ER185)+SUMPRODUCT(--(MOD(COLUMN(ES185:FP185),4)=MOD(COLUMN(ES185),4)),ES185:FP185)</f>
        <v/>
      </c>
      <c r="FS185" s="803">
        <f>SUMPRODUCT(--(MOD(COLUMN(DU185:ER185),4)=MOD(COLUMN(DU185),4)),DU185:ER185)*$I185+SUMPRODUCT(--(MOD(COLUMN(ES185:FP185),4)=MOD(COLUMN(ES185),4)),ES185:FP185)*$I185</f>
        <v/>
      </c>
      <c r="FT185" s="361" t="n"/>
    </row>
    <row r="186" outlineLevel="2">
      <c r="A186" s="56" t="inlineStr">
        <is>
          <t>ПАО «Уралавтоприцеп»</t>
        </is>
      </c>
      <c r="B186" s="387" t="inlineStr">
        <is>
          <t>Отсрочка 30 дней</t>
        </is>
      </c>
      <c r="C186" s="541" t="inlineStr">
        <is>
          <t>ВБК РУС</t>
        </is>
      </c>
      <c r="D186" s="565" t="inlineStr">
        <is>
          <t>Прасолов, Соловьёв</t>
        </is>
      </c>
      <c r="E186" s="10">
        <f>IF(ISBLANK(G186),"",IF($A$6:$A$330=$A186,COUNTIF($A$6:A186,$A186),""))</f>
        <v/>
      </c>
      <c r="F186" s="669" t="n">
        <v>2</v>
      </c>
      <c r="G186" s="129" t="n">
        <v>4334010030</v>
      </c>
      <c r="H186" s="610" t="inlineStr">
        <is>
          <t>Упругий элемент</t>
        </is>
      </c>
      <c r="I186" s="618" t="n">
        <v>0</v>
      </c>
      <c r="J186" s="618" t="n"/>
      <c r="K186" s="874" t="n"/>
      <c r="L186" s="618">
        <f>IF(K186="RUB",J186/ЮАНЬ,IF(K186="EUR",J186*ЕВРО/ЮАНЬ,""))</f>
        <v/>
      </c>
      <c r="M186" s="873" t="n"/>
      <c r="N186" s="871">
        <f>IF(BP186&gt;0,1,IF(BN186&gt;0,2,))</f>
        <v/>
      </c>
      <c r="O186" s="23" t="n">
        <v>0</v>
      </c>
      <c r="P186" s="24">
        <f>SUMPRODUCT((Комплекты[Пр]=$F186)*(Комплекты[Обозначение]=$G186)*Комплекты[Кол-во]*(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86" s="25" t="n">
        <v>2</v>
      </c>
      <c r="R186" s="24" t="n"/>
      <c r="S186" s="23" t="n">
        <v>0</v>
      </c>
      <c r="T186" s="24">
        <f>SUMPRODUCT((Комплекты[Пр]=$F186)*(Комплекты[Обозначение]=$G186)*Комплекты[Кол-во]*(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86" s="25" t="n">
        <v>5</v>
      </c>
      <c r="V186" s="24" t="n"/>
      <c r="W186" s="23" t="n">
        <v>0</v>
      </c>
      <c r="X186" s="24">
        <f>SUMPRODUCT((Комплекты[Пр]=$F186)*(Комплекты[Обозначение]=$G186)*Комплекты[Кол-во]*(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86" s="25" t="n">
        <v>20</v>
      </c>
      <c r="Z186" s="24" t="n"/>
      <c r="AA186" s="23" t="n">
        <v>0</v>
      </c>
      <c r="AB186" s="24">
        <f>SUMPRODUCT((Комплекты[Пр]=$F186)*(Комплекты[Обозначение]=$G186)*Комплекты[Кол-во]*(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86" s="25" t="n">
        <v>1</v>
      </c>
      <c r="AD186" s="24" t="n"/>
      <c r="AE186" s="23" t="n">
        <v>0</v>
      </c>
      <c r="AF186" s="24">
        <f>SUMPRODUCT((Комплекты[Пр]=$F186)*(Комплекты[Обозначение]=$G186)*Комплекты[Кол-во]*(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86" s="25" t="n">
        <v>27</v>
      </c>
      <c r="AH186" s="24" t="n"/>
      <c r="AI186" s="23" t="n">
        <v>0</v>
      </c>
      <c r="AJ186" s="24">
        <f>SUMPRODUCT((Комплекты[Пр]=$F186)*(Комплекты[Обозначение]=$G186)*Комплекты[Кол-во]*(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86" s="25" t="n">
        <v>0</v>
      </c>
      <c r="AL186" s="24" t="n"/>
      <c r="AM186" s="23" t="n">
        <v>0</v>
      </c>
      <c r="AN186" s="24">
        <f>SUMPRODUCT((Комплекты[Пр]=$F186)*(Комплекты[Обозначение]=$G186)*Комплекты[Кол-во]*(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86" s="25" t="n">
        <v>0</v>
      </c>
      <c r="AP186" s="24" t="n"/>
      <c r="AQ186" s="23" t="n">
        <v>0</v>
      </c>
      <c r="AR186" s="24">
        <f>SUMPRODUCT((Комплекты[Пр]=$F186)*(Комплекты[Обозначение]=$G186)*Комплекты[Кол-во]*(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86" s="25" t="n">
        <v>0</v>
      </c>
      <c r="AT186" s="24" t="n"/>
      <c r="AU186" s="23" t="n">
        <v>0</v>
      </c>
      <c r="AV186" s="24">
        <f>SUMPRODUCT((Комплекты[Пр]=$F186)*(Комплекты[Обозначение]=$G186)*Комплекты[Кол-во]*(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86" s="25" t="n">
        <v>0</v>
      </c>
      <c r="AX186" s="24" t="n"/>
      <c r="AY186" s="23" t="n">
        <v>0</v>
      </c>
      <c r="AZ186" s="24">
        <f>SUMPRODUCT((Комплекты[Пр]=$F186)*(Комплекты[Обозначение]=$G186)*Комплекты[Кол-во]*(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86" s="25" t="n">
        <v>0</v>
      </c>
      <c r="BB186" s="24" t="n"/>
      <c r="BC186" s="23" t="n">
        <v>0</v>
      </c>
      <c r="BD186" s="24">
        <f>SUMPRODUCT((Комплекты[Пр]=$F186)*(Комплекты[Обозначение]=$G186)*Комплекты[Кол-во]*(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86" s="25" t="n">
        <v>0</v>
      </c>
      <c r="BF186" s="24" t="n"/>
      <c r="BG186" s="23" t="n">
        <v>0</v>
      </c>
      <c r="BH186" s="24">
        <f>SUMPRODUCT((Комплекты[Пр]=$F186)*(Комплекты[Обозначение]=$G186)*Комплекты[Кол-во]*(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86" s="25" t="n">
        <v>0</v>
      </c>
      <c r="BJ186" s="24" t="n"/>
      <c r="BK186" s="340" t="n"/>
      <c r="BL186" s="803">
        <f>SUMPRODUCT(--(MOD(COLUMN($O186:$AL186),4)=MOD(COLUMN($O186)+0,4)),$O186:$AL186)
+SUMPRODUCT(--(MOD(COLUMN($AM186:$BJ186),4)=MOD(COLUMN($AM186)+0,4)),$AM186:$BJ186)</f>
        <v/>
      </c>
      <c r="BM186" s="803">
        <f>SUMPRODUCT(--(MOD(COLUMN($O186:$AL186),4)=MOD(COLUMN($O186)+0,4)),$O186:$AL186)*
$I186+SUMPRODUCT(--(MOD(COLUMN($AM186:$BJ186),4)=MOD(COLUMN($AM186)+0,4)),$AM186:$BJ186)*$I186</f>
        <v/>
      </c>
      <c r="BN186" s="805">
        <f>SUMPRODUCT(--(MOD(COLUMN($O186:$AL186),4)=MOD(COLUMN($O186)+1,4)),$O186:$AL186)
+SUMPRODUCT(--(MOD(COLUMN($AM186:$BJ186),4)=MOD(COLUMN($AM186)+1,4)),$AM186:$BJ186)</f>
        <v/>
      </c>
      <c r="BO186" s="806">
        <f>SUMPRODUCT(--(MOD(COLUMN($O186:$AL186),4)=MOD(COLUMN($O186)+1,4)),$O186:$AL186)*
$I186+SUMPRODUCT(--(MOD(COLUMN($AM186:$BJ186),4)=MOD(COLUMN($AM186)+1,4)),$AM186:$BJ186)*$I186</f>
        <v/>
      </c>
      <c r="BP186" s="807">
        <f>SUMPRODUCT(--(MOD(COLUMN($O186:$AL186),4)=MOD(COLUMN($O186)+2,4)),$O186:$AL186)
+SUMPRODUCT(--(MOD(COLUMN($AM186:$BJ186),4)=MOD(COLUMN($AM186)+2,4)),$AM186:$BJ186)</f>
        <v/>
      </c>
      <c r="BQ186" s="808">
        <f>SUMPRODUCT(--(MOD(COLUMN($O186:$AL186),4)=MOD(COLUMN($O186)+2,4)),$O186:$AL186)*
$I186+SUMPRODUCT(--(MOD(COLUMN($AM186:$BJ186),4)=MOD(COLUMN($AM186)+2,4)),$AM186:$BJ186)*$I186</f>
        <v/>
      </c>
      <c r="BR186" s="801" t="n"/>
      <c r="BS186" s="819" t="n"/>
      <c r="BT186" s="23" t="n">
        <v>0</v>
      </c>
      <c r="BU186" s="24" t="n"/>
      <c r="BV186" s="25" t="n">
        <v>0</v>
      </c>
      <c r="BW186" s="24" t="n"/>
      <c r="BX186" s="23" t="n">
        <v>0</v>
      </c>
      <c r="BY186" s="24" t="n"/>
      <c r="BZ186" s="25" t="n">
        <v>0</v>
      </c>
      <c r="CA186" s="24" t="n"/>
      <c r="CB186" s="23" t="n">
        <v>0</v>
      </c>
      <c r="CC186" s="24" t="n"/>
      <c r="CD186" s="25" t="n">
        <v>0</v>
      </c>
      <c r="CE186" s="24" t="n"/>
      <c r="CF186" s="23" t="n">
        <v>0</v>
      </c>
      <c r="CG186" s="24" t="n"/>
      <c r="CH186" s="25" t="n">
        <v>0</v>
      </c>
      <c r="CI186" s="24" t="n"/>
      <c r="CJ186" s="23" t="n">
        <v>0</v>
      </c>
      <c r="CK186" s="24" t="n"/>
      <c r="CL186" s="25" t="n">
        <v>0</v>
      </c>
      <c r="CM186" s="24" t="n"/>
      <c r="CN186" s="23" t="n">
        <v>0</v>
      </c>
      <c r="CO186" s="24" t="n"/>
      <c r="CP186" s="25" t="n">
        <v>0</v>
      </c>
      <c r="CQ186" s="24" t="n"/>
      <c r="CR186" s="23" t="n">
        <v>0</v>
      </c>
      <c r="CS186" s="24" t="n"/>
      <c r="CT186" s="25" t="n">
        <v>0</v>
      </c>
      <c r="CU186" s="24" t="n"/>
      <c r="CV186" s="23" t="n">
        <v>0</v>
      </c>
      <c r="CW186" s="24" t="n"/>
      <c r="CX186" s="25" t="n">
        <v>0</v>
      </c>
      <c r="CY186" s="24" t="n"/>
      <c r="CZ186" s="23" t="n">
        <v>0</v>
      </c>
      <c r="DA186" s="24" t="n"/>
      <c r="DB186" s="25" t="n">
        <v>0</v>
      </c>
      <c r="DC186" s="24" t="n"/>
      <c r="DD186" s="23" t="n">
        <v>0</v>
      </c>
      <c r="DE186" s="24" t="n"/>
      <c r="DF186" s="25" t="n">
        <v>0</v>
      </c>
      <c r="DG186" s="24" t="n"/>
      <c r="DH186" s="23" t="n">
        <v>0</v>
      </c>
      <c r="DI186" s="24" t="n"/>
      <c r="DJ186" s="25" t="n">
        <v>0</v>
      </c>
      <c r="DK186" s="24" t="n"/>
      <c r="DL186" s="23" t="n">
        <v>0</v>
      </c>
      <c r="DM186" s="24" t="n"/>
      <c r="DN186" s="25" t="n">
        <v>0</v>
      </c>
      <c r="DO186" s="24" t="n"/>
      <c r="DP186" s="340" t="n"/>
      <c r="DQ186" s="803">
        <f>SUMPRODUCT(--(MOD(COLUMN(BT186:CQ186),4)=MOD(COLUMN(BT186),4)),BT186:CQ186)+SUMPRODUCT(--(MOD(COLUMN(CR186:DO186),4)=MOD(COLUMN(CR186),4)),CR186:DO186)</f>
        <v/>
      </c>
      <c r="DR186" s="803">
        <f>SUMPRODUCT(--(MOD(COLUMN(BT186:CQ186),4)=MOD(COLUMN(BT186),4)),BT186:CQ186)*$I186+SUMPRODUCT(--(MOD(COLUMN(CR186:DO186),4)=MOD(COLUMN(CR186),4)),CR186:DO186)*$I186</f>
        <v/>
      </c>
      <c r="DS186" s="801" t="n"/>
      <c r="DT186" s="819" t="n"/>
      <c r="DU186" s="23" t="n">
        <v>0</v>
      </c>
      <c r="DV186" s="24" t="n"/>
      <c r="DW186" s="25" t="n">
        <v>0</v>
      </c>
      <c r="DX186" s="24" t="n"/>
      <c r="DY186" s="23" t="n">
        <v>0</v>
      </c>
      <c r="DZ186" s="24" t="n"/>
      <c r="EA186" s="25" t="n">
        <v>0</v>
      </c>
      <c r="EB186" s="24" t="n"/>
      <c r="EC186" s="23" t="n">
        <v>0</v>
      </c>
      <c r="ED186" s="24" t="n"/>
      <c r="EE186" s="25" t="n">
        <v>0</v>
      </c>
      <c r="EF186" s="24" t="n"/>
      <c r="EG186" s="23" t="n">
        <v>0</v>
      </c>
      <c r="EH186" s="24" t="n"/>
      <c r="EI186" s="25" t="n">
        <v>0</v>
      </c>
      <c r="EJ186" s="24" t="n"/>
      <c r="EK186" s="23" t="n">
        <v>0</v>
      </c>
      <c r="EL186" s="24" t="n"/>
      <c r="EM186" s="25" t="n">
        <v>0</v>
      </c>
      <c r="EN186" s="24" t="n"/>
      <c r="EO186" s="23" t="n">
        <v>0</v>
      </c>
      <c r="EP186" s="24" t="n"/>
      <c r="EQ186" s="25" t="n">
        <v>0</v>
      </c>
      <c r="ER186" s="24" t="n"/>
      <c r="ES186" s="23" t="n">
        <v>0</v>
      </c>
      <c r="ET186" s="24" t="n"/>
      <c r="EU186" s="25" t="n">
        <v>0</v>
      </c>
      <c r="EV186" s="24" t="n"/>
      <c r="EW186" s="23" t="n">
        <v>0</v>
      </c>
      <c r="EX186" s="24" t="n"/>
      <c r="EY186" s="25" t="n">
        <v>0</v>
      </c>
      <c r="EZ186" s="24" t="n"/>
      <c r="FA186" s="23" t="n">
        <v>0</v>
      </c>
      <c r="FB186" s="24" t="n"/>
      <c r="FC186" s="25" t="n">
        <v>0</v>
      </c>
      <c r="FD186" s="24" t="n"/>
      <c r="FE186" s="23" t="n">
        <v>0</v>
      </c>
      <c r="FF186" s="24" t="n"/>
      <c r="FG186" s="25" t="n">
        <v>0</v>
      </c>
      <c r="FH186" s="24" t="n"/>
      <c r="FI186" s="23" t="n">
        <v>0</v>
      </c>
      <c r="FJ186" s="24" t="n"/>
      <c r="FK186" s="25" t="n">
        <v>0</v>
      </c>
      <c r="FL186" s="24" t="n"/>
      <c r="FM186" s="23" t="n">
        <v>0</v>
      </c>
      <c r="FN186" s="24" t="n"/>
      <c r="FO186" s="25" t="n">
        <v>0</v>
      </c>
      <c r="FP186" s="24" t="n"/>
      <c r="FQ186" s="340" t="n"/>
      <c r="FR186" s="803">
        <f>SUMPRODUCT(--(MOD(COLUMN(DU186:ER186),4)=MOD(COLUMN(DU186),4)),DU186:ER186)+SUMPRODUCT(--(MOD(COLUMN(ES186:FP186),4)=MOD(COLUMN(ES186),4)),ES186:FP186)</f>
        <v/>
      </c>
      <c r="FS186" s="803">
        <f>SUMPRODUCT(--(MOD(COLUMN(DU186:ER186),4)=MOD(COLUMN(DU186),4)),DU186:ER186)*$I186+SUMPRODUCT(--(MOD(COLUMN(ES186:FP186),4)=MOD(COLUMN(ES186),4)),ES186:FP186)*$I186</f>
        <v/>
      </c>
      <c r="FT186" s="361" t="n"/>
    </row>
    <row r="187" outlineLevel="2">
      <c r="A187" s="413" t="inlineStr">
        <is>
          <t>ПАО «Уралавтоприцеп»</t>
        </is>
      </c>
      <c r="B187" s="444" t="inlineStr">
        <is>
          <t>Отсрочка 30 дней</t>
        </is>
      </c>
      <c r="C187" s="587" t="inlineStr">
        <is>
          <t>ВБК РУС</t>
        </is>
      </c>
      <c r="D187" s="580" t="inlineStr">
        <is>
          <t>Прасолов, Соловьёв</t>
        </is>
      </c>
      <c r="E187" s="414">
        <f>IF(ISBLANK(G187),"",IF($A$6:$A$330=$A187,COUNTIF($A$6:A187,$A187),""))</f>
        <v/>
      </c>
      <c r="F187" s="670" t="n">
        <v>2</v>
      </c>
      <c r="G187" s="501" t="n">
        <v>4410441020</v>
      </c>
      <c r="H187" s="611" t="inlineStr">
        <is>
          <t>Датчик давления</t>
        </is>
      </c>
      <c r="I187" s="618" t="n">
        <v>0</v>
      </c>
      <c r="J187" s="619" t="n"/>
      <c r="K187" s="876" t="n"/>
      <c r="L187" s="619" t="n"/>
      <c r="M187" s="871" t="n"/>
      <c r="N187" s="871">
        <f>IF(BP187&gt;0,1,IF(BN187&gt;0,2,))</f>
        <v/>
      </c>
      <c r="O187" s="322" t="n"/>
      <c r="P187" s="408">
        <f>SUMPRODUCT((Комплекты[Пр]=$F187)*(Комплекты[Обозначение]=$G187)*Комплекты[Кол-во]*(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87" s="307" t="n">
        <v>2</v>
      </c>
      <c r="R187" s="408" t="n"/>
      <c r="S187" s="322" t="n"/>
      <c r="T187" s="408">
        <f>SUMPRODUCT((Комплекты[Пр]=$F187)*(Комплекты[Обозначение]=$G187)*Комплекты[Кол-во]*(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87" s="307">
        <f>SUMPRODUCT((Комплекты[Пр]=$F187)*(Комплекты[Обозначение]=$G187)*Комплекты[Кол-во]*(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/>
      </c>
      <c r="V187" s="408" t="n"/>
      <c r="W187" s="322" t="n"/>
      <c r="X187" s="408">
        <f>SUMPRODUCT((Комплекты[Пр]=$F187)*(Комплекты[Обозначение]=$G187)*Комплекты[Кол-во]*(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87" s="307">
        <f>SUMPRODUCT((Комплекты[Пр]=$F187)*(Комплекты[Обозначение]=$G187)*Комплекты[Кол-во]*(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87" s="408" t="n"/>
      <c r="AA187" s="322" t="n"/>
      <c r="AB187" s="408">
        <f>SUMPRODUCT((Комплекты[Пр]=$F187)*(Комплекты[Обозначение]=$G187)*Комплекты[Кол-во]*(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87" s="307" t="n">
        <v>0</v>
      </c>
      <c r="AD187" s="408" t="n"/>
      <c r="AE187" s="322" t="n"/>
      <c r="AF187" s="408">
        <f>SUMPRODUCT((Комплекты[Пр]=$F187)*(Комплекты[Обозначение]=$G187)*Комплекты[Кол-во]*(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87" s="307">
        <f>SUMPRODUCT((Комплекты[Пр]=$F187)*(Комплекты[Обозначение]=$G187)*Комплекты[Кол-во]*(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87" s="408" t="n"/>
      <c r="AI187" s="322" t="n"/>
      <c r="AJ187" s="408">
        <f>SUMPRODUCT((Комплекты[Пр]=$F187)*(Комплекты[Обозначение]=$G187)*Комплекты[Кол-во]*(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87" s="307" t="n"/>
      <c r="AL187" s="408" t="n"/>
      <c r="AM187" s="322" t="n"/>
      <c r="AN187" s="408">
        <f>SUMPRODUCT((Комплекты[Пр]=$F187)*(Комплекты[Обозначение]=$G187)*Комплекты[Кол-во]*(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87" s="307" t="n"/>
      <c r="AP187" s="408" t="n"/>
      <c r="AQ187" s="322" t="n"/>
      <c r="AR187" s="408">
        <f>SUMPRODUCT((Комплекты[Пр]=$F187)*(Комплекты[Обозначение]=$G187)*Комплекты[Кол-во]*(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87" s="307" t="n"/>
      <c r="AT187" s="408" t="n"/>
      <c r="AU187" s="322" t="n"/>
      <c r="AV187" s="408">
        <f>SUMPRODUCT((Комплекты[Пр]=$F187)*(Комплекты[Обозначение]=$G187)*Комплекты[Кол-во]*(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87" s="307" t="n"/>
      <c r="AX187" s="408" t="n"/>
      <c r="AY187" s="322" t="n"/>
      <c r="AZ187" s="408">
        <f>SUMPRODUCT((Комплекты[Пр]=$F187)*(Комплекты[Обозначение]=$G187)*Комплекты[Кол-во]*(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87" s="307" t="n"/>
      <c r="BB187" s="408" t="n"/>
      <c r="BC187" s="322" t="n"/>
      <c r="BD187" s="408">
        <f>SUMPRODUCT((Комплекты[Пр]=$F187)*(Комплекты[Обозначение]=$G187)*Комплекты[Кол-во]*(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87" s="307" t="n"/>
      <c r="BF187" s="408" t="n"/>
      <c r="BG187" s="322" t="n"/>
      <c r="BH187" s="408">
        <f>SUMPRODUCT((Комплекты[Пр]=$F187)*(Комплекты[Обозначение]=$G187)*Комплекты[Кол-во]*(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87" s="307" t="n"/>
      <c r="BJ187" s="408" t="n"/>
      <c r="BK187" s="340" t="n"/>
      <c r="BL187" s="820">
        <f>SUMPRODUCT(--(MOD(COLUMN($O187:$AL187),4)=MOD(COLUMN($O187)+0,4)),$O187:$AL187)
+SUMPRODUCT(--(MOD(COLUMN($AM187:$BJ187),4)=MOD(COLUMN($AM187)+0,4)),$AM187:$BJ187)</f>
        <v/>
      </c>
      <c r="BM187" s="820">
        <f>SUMPRODUCT(--(MOD(COLUMN($O187:$AL187),4)=MOD(COLUMN($O187)+0,4)),$O187:$AL187)*
$I187+SUMPRODUCT(--(MOD(COLUMN($AM187:$BJ187),4)=MOD(COLUMN($AM187)+0,4)),$AM187:$BJ187)*$I187</f>
        <v/>
      </c>
      <c r="BN187" s="822">
        <f>SUMPRODUCT(--(MOD(COLUMN($O187:$AL187),4)=MOD(COLUMN($O187)+1,4)),$O187:$AL187)
+SUMPRODUCT(--(MOD(COLUMN($AM187:$BJ187),4)=MOD(COLUMN($AM187)+1,4)),$AM187:$BJ187)</f>
        <v/>
      </c>
      <c r="BO187" s="823">
        <f>SUMPRODUCT(--(MOD(COLUMN($O187:$AL187),4)=MOD(COLUMN($O187)+1,4)),$O187:$AL187)*
$I187+SUMPRODUCT(--(MOD(COLUMN($AM187:$BJ187),4)=MOD(COLUMN($AM187)+1,4)),$AM187:$BJ187)*$I187</f>
        <v/>
      </c>
      <c r="BP187" s="824">
        <f>SUMPRODUCT(--(MOD(COLUMN($O187:$AL187),4)=MOD(COLUMN($O187)+2,4)),$O187:$AL187)
+SUMPRODUCT(--(MOD(COLUMN($AM187:$BJ187),4)=MOD(COLUMN($AM187)+2,4)),$AM187:$BJ187)</f>
        <v/>
      </c>
      <c r="BQ187" s="825">
        <f>SUMPRODUCT(--(MOD(COLUMN($O187:$AL187),4)=MOD(COLUMN($O187)+2,4)),$O187:$AL187)*
$I187+SUMPRODUCT(--(MOD(COLUMN($AM187:$BJ187),4)=MOD(COLUMN($AM187)+2,4)),$AM187:$BJ187)*$I187</f>
        <v/>
      </c>
      <c r="BR187" s="819" t="n"/>
      <c r="BS187" s="819" t="n"/>
      <c r="BT187" s="322" t="n"/>
      <c r="BU187" s="408" t="n"/>
      <c r="BV187" s="307" t="n"/>
      <c r="BW187" s="408" t="n"/>
      <c r="BX187" s="322" t="n"/>
      <c r="BY187" s="408" t="n"/>
      <c r="BZ187" s="307" t="n"/>
      <c r="CA187" s="408" t="n"/>
      <c r="CB187" s="322" t="n"/>
      <c r="CC187" s="408" t="n"/>
      <c r="CD187" s="307" t="n"/>
      <c r="CE187" s="408" t="n"/>
      <c r="CF187" s="322" t="n"/>
      <c r="CG187" s="408" t="n"/>
      <c r="CH187" s="307" t="n"/>
      <c r="CI187" s="408" t="n"/>
      <c r="CJ187" s="322" t="n"/>
      <c r="CK187" s="408" t="n"/>
      <c r="CL187" s="307" t="n"/>
      <c r="CM187" s="408" t="n"/>
      <c r="CN187" s="322" t="n"/>
      <c r="CO187" s="408" t="n"/>
      <c r="CP187" s="307" t="n"/>
      <c r="CQ187" s="408" t="n"/>
      <c r="CR187" s="322" t="n"/>
      <c r="CS187" s="408" t="n"/>
      <c r="CT187" s="307" t="n"/>
      <c r="CU187" s="408" t="n"/>
      <c r="CV187" s="322" t="n"/>
      <c r="CW187" s="408" t="n"/>
      <c r="CX187" s="307" t="n"/>
      <c r="CY187" s="408" t="n"/>
      <c r="CZ187" s="322" t="n"/>
      <c r="DA187" s="408" t="n"/>
      <c r="DB187" s="307" t="n"/>
      <c r="DC187" s="408" t="n"/>
      <c r="DD187" s="322" t="n"/>
      <c r="DE187" s="408" t="n"/>
      <c r="DF187" s="307" t="n"/>
      <c r="DG187" s="408" t="n"/>
      <c r="DH187" s="322" t="n"/>
      <c r="DI187" s="408" t="n"/>
      <c r="DJ187" s="307" t="n"/>
      <c r="DK187" s="408" t="n"/>
      <c r="DL187" s="322" t="n"/>
      <c r="DM187" s="408" t="n"/>
      <c r="DN187" s="307" t="n"/>
      <c r="DO187" s="408" t="n"/>
      <c r="DP187" s="340" t="n"/>
      <c r="DQ187" s="820" t="n"/>
      <c r="DR187" s="820">
        <f>SUMPRODUCT(--(MOD(COLUMN(BT187:CQ187),4)=MOD(COLUMN(BT187),4)),BT187:CQ187)*$I187+SUMPRODUCT(--(MOD(COLUMN(CR187:DO187),4)=MOD(COLUMN(CR187),4)),CR187:DO187)*$I187</f>
        <v/>
      </c>
      <c r="DS187" s="819" t="n"/>
      <c r="DT187" s="819" t="n"/>
      <c r="DU187" s="322" t="n"/>
      <c r="DV187" s="408" t="n"/>
      <c r="DW187" s="307" t="n"/>
      <c r="DX187" s="408" t="n"/>
      <c r="DY187" s="322" t="n"/>
      <c r="DZ187" s="408" t="n"/>
      <c r="EA187" s="307" t="n"/>
      <c r="EB187" s="408" t="n"/>
      <c r="EC187" s="322" t="n"/>
      <c r="ED187" s="408" t="n"/>
      <c r="EE187" s="307" t="n"/>
      <c r="EF187" s="408" t="n"/>
      <c r="EG187" s="322" t="n"/>
      <c r="EH187" s="408" t="n"/>
      <c r="EI187" s="307" t="n"/>
      <c r="EJ187" s="408" t="n"/>
      <c r="EK187" s="322" t="n"/>
      <c r="EL187" s="408" t="n"/>
      <c r="EM187" s="307" t="n"/>
      <c r="EN187" s="408" t="n"/>
      <c r="EO187" s="322" t="n"/>
      <c r="EP187" s="408" t="n"/>
      <c r="EQ187" s="307" t="n"/>
      <c r="ER187" s="408" t="n"/>
      <c r="ES187" s="322" t="n"/>
      <c r="ET187" s="408" t="n"/>
      <c r="EU187" s="307" t="n"/>
      <c r="EV187" s="408" t="n"/>
      <c r="EW187" s="322" t="n"/>
      <c r="EX187" s="408" t="n"/>
      <c r="EY187" s="307" t="n"/>
      <c r="EZ187" s="408" t="n"/>
      <c r="FA187" s="322" t="n"/>
      <c r="FB187" s="408" t="n"/>
      <c r="FC187" s="307" t="n"/>
      <c r="FD187" s="408" t="n"/>
      <c r="FE187" s="322" t="n"/>
      <c r="FF187" s="408" t="n"/>
      <c r="FG187" s="307" t="n"/>
      <c r="FH187" s="408" t="n"/>
      <c r="FI187" s="322" t="n"/>
      <c r="FJ187" s="408" t="n"/>
      <c r="FK187" s="307" t="n"/>
      <c r="FL187" s="408" t="n"/>
      <c r="FM187" s="322" t="n"/>
      <c r="FN187" s="408" t="n"/>
      <c r="FO187" s="307" t="n"/>
      <c r="FP187" s="408" t="n"/>
      <c r="FQ187" s="340" t="n"/>
      <c r="FR187" s="820" t="n"/>
      <c r="FS187" s="820">
        <f>SUMPRODUCT(--(MOD(COLUMN(DU187:ER187),4)=MOD(COLUMN(DU187),4)),DU187:ER187)*$I187+SUMPRODUCT(--(MOD(COLUMN(ES187:FP187),4)=MOD(COLUMN(ES187),4)),ES187:FP187)*$I187</f>
        <v/>
      </c>
      <c r="FT187" s="361" t="n"/>
    </row>
    <row r="188" outlineLevel="2">
      <c r="A188" s="413" t="inlineStr">
        <is>
          <t>ПАО «Уралавтоприцеп»</t>
        </is>
      </c>
      <c r="B188" s="444" t="inlineStr">
        <is>
          <t>Отсрочка 30 дней</t>
        </is>
      </c>
      <c r="C188" s="587" t="inlineStr">
        <is>
          <t>ВБК РУС</t>
        </is>
      </c>
      <c r="D188" s="580" t="inlineStr">
        <is>
          <t>Прасолов, Соловьёв</t>
        </is>
      </c>
      <c r="E188" s="414">
        <f>IF(ISBLANK(G188),"",IF($A$6:$A$330=$A188,COUNTIF($A$6:A188,$A188),""))</f>
        <v/>
      </c>
      <c r="F188" s="670" t="n">
        <v>2</v>
      </c>
      <c r="G188" s="501" t="n">
        <v>4461220530</v>
      </c>
      <c r="H188" s="611" t="inlineStr">
        <is>
          <t>CAN-Repeater</t>
        </is>
      </c>
      <c r="I188" s="618" t="n">
        <v>0</v>
      </c>
      <c r="J188" s="619" t="n"/>
      <c r="K188" s="876" t="n"/>
      <c r="L188" s="619" t="n"/>
      <c r="M188" s="871" t="n"/>
      <c r="N188" s="871">
        <f>IF(BP188&gt;0,1,IF(BN188&gt;0,2,))</f>
        <v/>
      </c>
      <c r="O188" s="322" t="n"/>
      <c r="P188" s="408">
        <f>SUMPRODUCT((Комплекты[Пр]=$F188)*(Комплекты[Обозначение]=$G188)*Комплекты[Кол-во]*(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88" s="307" t="n">
        <v>2</v>
      </c>
      <c r="R188" s="408" t="n"/>
      <c r="S188" s="322" t="n"/>
      <c r="T188" s="408">
        <f>SUMPRODUCT((Комплекты[Пр]=$F188)*(Комплекты[Обозначение]=$G188)*Комплекты[Кол-во]*(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88" s="307">
        <f>SUMPRODUCT((Комплекты[Пр]=$F188)*(Комплекты[Обозначение]=$G188)*Комплекты[Кол-во]*(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/>
      </c>
      <c r="V188" s="408" t="n"/>
      <c r="W188" s="322" t="n"/>
      <c r="X188" s="408">
        <f>SUMPRODUCT((Комплекты[Пр]=$F188)*(Комплекты[Обозначение]=$G188)*Комплекты[Кол-во]*(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88" s="307">
        <f>SUMPRODUCT((Комплекты[Пр]=$F188)*(Комплекты[Обозначение]=$G188)*Комплекты[Кол-во]*(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88" s="408" t="n"/>
      <c r="AA188" s="322" t="n"/>
      <c r="AB188" s="408">
        <f>SUMPRODUCT((Комплекты[Пр]=$F188)*(Комплекты[Обозначение]=$G188)*Комплекты[Кол-во]*(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88" s="307" t="n">
        <v>0</v>
      </c>
      <c r="AD188" s="408" t="n"/>
      <c r="AE188" s="322" t="n"/>
      <c r="AF188" s="408">
        <f>SUMPRODUCT((Комплекты[Пр]=$F188)*(Комплекты[Обозначение]=$G188)*Комплекты[Кол-во]*(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88" s="307">
        <f>SUMPRODUCT((Комплекты[Пр]=$F188)*(Комплекты[Обозначение]=$G188)*Комплекты[Кол-во]*(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88" s="408" t="n"/>
      <c r="AI188" s="322" t="n"/>
      <c r="AJ188" s="408">
        <f>SUMPRODUCT((Комплекты[Пр]=$F188)*(Комплекты[Обозначение]=$G188)*Комплекты[Кол-во]*(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88" s="307" t="n"/>
      <c r="AL188" s="408" t="n"/>
      <c r="AM188" s="322" t="n"/>
      <c r="AN188" s="408">
        <f>SUMPRODUCT((Комплекты[Пр]=$F188)*(Комплекты[Обозначение]=$G188)*Комплекты[Кол-во]*(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88" s="307" t="n"/>
      <c r="AP188" s="408" t="n"/>
      <c r="AQ188" s="322" t="n"/>
      <c r="AR188" s="408">
        <f>SUMPRODUCT((Комплекты[Пр]=$F188)*(Комплекты[Обозначение]=$G188)*Комплекты[Кол-во]*(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88" s="307" t="n"/>
      <c r="AT188" s="408" t="n"/>
      <c r="AU188" s="322" t="n"/>
      <c r="AV188" s="408">
        <f>SUMPRODUCT((Комплекты[Пр]=$F188)*(Комплекты[Обозначение]=$G188)*Комплекты[Кол-во]*(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88" s="307" t="n"/>
      <c r="AX188" s="408" t="n"/>
      <c r="AY188" s="322" t="n"/>
      <c r="AZ188" s="408">
        <f>SUMPRODUCT((Комплекты[Пр]=$F188)*(Комплекты[Обозначение]=$G188)*Комплекты[Кол-во]*(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88" s="307" t="n"/>
      <c r="BB188" s="408" t="n"/>
      <c r="BC188" s="322" t="n"/>
      <c r="BD188" s="408">
        <f>SUMPRODUCT((Комплекты[Пр]=$F188)*(Комплекты[Обозначение]=$G188)*Комплекты[Кол-во]*(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88" s="307" t="n"/>
      <c r="BF188" s="408" t="n"/>
      <c r="BG188" s="322" t="n"/>
      <c r="BH188" s="408">
        <f>SUMPRODUCT((Комплекты[Пр]=$F188)*(Комплекты[Обозначение]=$G188)*Комплекты[Кол-во]*(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88" s="307" t="n"/>
      <c r="BJ188" s="408" t="n"/>
      <c r="BK188" s="340" t="n"/>
      <c r="BL188" s="820">
        <f>SUMPRODUCT(--(MOD(COLUMN($O188:$AL188),4)=MOD(COLUMN($O188)+0,4)),$O188:$AL188)
+SUMPRODUCT(--(MOD(COLUMN($AM188:$BJ188),4)=MOD(COLUMN($AM188)+0,4)),$AM188:$BJ188)</f>
        <v/>
      </c>
      <c r="BM188" s="820">
        <f>SUMPRODUCT(--(MOD(COLUMN($O188:$AL188),4)=MOD(COLUMN($O188)+0,4)),$O188:$AL188)*
$I188+SUMPRODUCT(--(MOD(COLUMN($AM188:$BJ188),4)=MOD(COLUMN($AM188)+0,4)),$AM188:$BJ188)*$I188</f>
        <v/>
      </c>
      <c r="BN188" s="822">
        <f>SUMPRODUCT(--(MOD(COLUMN($O188:$AL188),4)=MOD(COLUMN($O188)+1,4)),$O188:$AL188)
+SUMPRODUCT(--(MOD(COLUMN($AM188:$BJ188),4)=MOD(COLUMN($AM188)+1,4)),$AM188:$BJ188)</f>
        <v/>
      </c>
      <c r="BO188" s="823">
        <f>SUMPRODUCT(--(MOD(COLUMN($O188:$AL188),4)=MOD(COLUMN($O188)+1,4)),$O188:$AL188)*
$I188+SUMPRODUCT(--(MOD(COLUMN($AM188:$BJ188),4)=MOD(COLUMN($AM188)+1,4)),$AM188:$BJ188)*$I188</f>
        <v/>
      </c>
      <c r="BP188" s="824">
        <f>SUMPRODUCT(--(MOD(COLUMN($O188:$AL188),4)=MOD(COLUMN($O188)+2,4)),$O188:$AL188)
+SUMPRODUCT(--(MOD(COLUMN($AM188:$BJ188),4)=MOD(COLUMN($AM188)+2,4)),$AM188:$BJ188)</f>
        <v/>
      </c>
      <c r="BQ188" s="825">
        <f>SUMPRODUCT(--(MOD(COLUMN($O188:$AL188),4)=MOD(COLUMN($O188)+2,4)),$O188:$AL188)*
$I188+SUMPRODUCT(--(MOD(COLUMN($AM188:$BJ188),4)=MOD(COLUMN($AM188)+2,4)),$AM188:$BJ188)*$I188</f>
        <v/>
      </c>
      <c r="BR188" s="819" t="n"/>
      <c r="BS188" s="819" t="n"/>
      <c r="BT188" s="322" t="n"/>
      <c r="BU188" s="408" t="n"/>
      <c r="BV188" s="307" t="n"/>
      <c r="BW188" s="408" t="n"/>
      <c r="BX188" s="322" t="n"/>
      <c r="BY188" s="408" t="n"/>
      <c r="BZ188" s="307" t="n"/>
      <c r="CA188" s="408" t="n"/>
      <c r="CB188" s="322" t="n"/>
      <c r="CC188" s="408" t="n"/>
      <c r="CD188" s="307" t="n"/>
      <c r="CE188" s="408" t="n"/>
      <c r="CF188" s="322" t="n"/>
      <c r="CG188" s="408" t="n"/>
      <c r="CH188" s="307" t="n"/>
      <c r="CI188" s="408" t="n"/>
      <c r="CJ188" s="322" t="n"/>
      <c r="CK188" s="408" t="n"/>
      <c r="CL188" s="307" t="n"/>
      <c r="CM188" s="408" t="n"/>
      <c r="CN188" s="322" t="n"/>
      <c r="CO188" s="408" t="n"/>
      <c r="CP188" s="307" t="n"/>
      <c r="CQ188" s="408" t="n"/>
      <c r="CR188" s="322" t="n"/>
      <c r="CS188" s="408" t="n"/>
      <c r="CT188" s="307" t="n"/>
      <c r="CU188" s="408" t="n"/>
      <c r="CV188" s="322" t="n"/>
      <c r="CW188" s="408" t="n"/>
      <c r="CX188" s="307" t="n"/>
      <c r="CY188" s="408" t="n"/>
      <c r="CZ188" s="322" t="n"/>
      <c r="DA188" s="408" t="n"/>
      <c r="DB188" s="307" t="n"/>
      <c r="DC188" s="408" t="n"/>
      <c r="DD188" s="322" t="n"/>
      <c r="DE188" s="408" t="n"/>
      <c r="DF188" s="307" t="n"/>
      <c r="DG188" s="408" t="n"/>
      <c r="DH188" s="322" t="n"/>
      <c r="DI188" s="408" t="n"/>
      <c r="DJ188" s="307" t="n"/>
      <c r="DK188" s="408" t="n"/>
      <c r="DL188" s="322" t="n"/>
      <c r="DM188" s="408" t="n"/>
      <c r="DN188" s="307" t="n"/>
      <c r="DO188" s="408" t="n"/>
      <c r="DP188" s="340" t="n"/>
      <c r="DQ188" s="820" t="n"/>
      <c r="DR188" s="820">
        <f>SUMPRODUCT(--(MOD(COLUMN(BT188:CQ188),4)=MOD(COLUMN(BT188),4)),BT188:CQ188)*$I188+SUMPRODUCT(--(MOD(COLUMN(CR188:DO188),4)=MOD(COLUMN(CR188),4)),CR188:DO188)*$I188</f>
        <v/>
      </c>
      <c r="DS188" s="819" t="n"/>
      <c r="DT188" s="819" t="n"/>
      <c r="DU188" s="322" t="n"/>
      <c r="DV188" s="408" t="n"/>
      <c r="DW188" s="307" t="n"/>
      <c r="DX188" s="408" t="n"/>
      <c r="DY188" s="322" t="n"/>
      <c r="DZ188" s="408" t="n"/>
      <c r="EA188" s="307" t="n"/>
      <c r="EB188" s="408" t="n"/>
      <c r="EC188" s="322" t="n"/>
      <c r="ED188" s="408" t="n"/>
      <c r="EE188" s="307" t="n"/>
      <c r="EF188" s="408" t="n"/>
      <c r="EG188" s="322" t="n"/>
      <c r="EH188" s="408" t="n"/>
      <c r="EI188" s="307" t="n"/>
      <c r="EJ188" s="408" t="n"/>
      <c r="EK188" s="322" t="n"/>
      <c r="EL188" s="408" t="n"/>
      <c r="EM188" s="307" t="n"/>
      <c r="EN188" s="408" t="n"/>
      <c r="EO188" s="322" t="n"/>
      <c r="EP188" s="408" t="n"/>
      <c r="EQ188" s="307" t="n"/>
      <c r="ER188" s="408" t="n"/>
      <c r="ES188" s="322" t="n"/>
      <c r="ET188" s="408" t="n"/>
      <c r="EU188" s="307" t="n"/>
      <c r="EV188" s="408" t="n"/>
      <c r="EW188" s="322" t="n"/>
      <c r="EX188" s="408" t="n"/>
      <c r="EY188" s="307" t="n"/>
      <c r="EZ188" s="408" t="n"/>
      <c r="FA188" s="322" t="n"/>
      <c r="FB188" s="408" t="n"/>
      <c r="FC188" s="307" t="n"/>
      <c r="FD188" s="408" t="n"/>
      <c r="FE188" s="322" t="n"/>
      <c r="FF188" s="408" t="n"/>
      <c r="FG188" s="307" t="n"/>
      <c r="FH188" s="408" t="n"/>
      <c r="FI188" s="322" t="n"/>
      <c r="FJ188" s="408" t="n"/>
      <c r="FK188" s="307" t="n"/>
      <c r="FL188" s="408" t="n"/>
      <c r="FM188" s="322" t="n"/>
      <c r="FN188" s="408" t="n"/>
      <c r="FO188" s="307" t="n"/>
      <c r="FP188" s="408" t="n"/>
      <c r="FQ188" s="340" t="n"/>
      <c r="FR188" s="820" t="n"/>
      <c r="FS188" s="820">
        <f>SUMPRODUCT(--(MOD(COLUMN(DU188:ER188),4)=MOD(COLUMN(DU188),4)),DU188:ER188)*$I188+SUMPRODUCT(--(MOD(COLUMN(ES188:FP188),4)=MOD(COLUMN(ES188),4)),ES188:FP188)*$I188</f>
        <v/>
      </c>
      <c r="FT188" s="361" t="n"/>
    </row>
    <row r="189" outlineLevel="2">
      <c r="A189" s="413" t="inlineStr">
        <is>
          <t>ПАО «Уралавтоприцеп»</t>
        </is>
      </c>
      <c r="B189" s="444" t="inlineStr">
        <is>
          <t>Отсрочка 30 дней</t>
        </is>
      </c>
      <c r="C189" s="587" t="inlineStr">
        <is>
          <t>ВБК РУС</t>
        </is>
      </c>
      <c r="D189" s="580" t="inlineStr">
        <is>
          <t>Прасолов, Соловьёв</t>
        </is>
      </c>
      <c r="E189" s="414">
        <f>IF(ISBLANK(G189),"",IF($A$6:$A$330=$A189,COUNTIF($A$6:A189,$A189),""))</f>
        <v/>
      </c>
      <c r="F189" s="670" t="n">
        <v>2</v>
      </c>
      <c r="G189" s="501" t="n">
        <v>4491350600</v>
      </c>
      <c r="H189" s="611" t="inlineStr">
        <is>
          <t>Кабель соединительный, 6 м</t>
        </is>
      </c>
      <c r="I189" s="618" t="n">
        <v>0</v>
      </c>
      <c r="J189" s="619" t="n"/>
      <c r="K189" s="876" t="n"/>
      <c r="L189" s="619" t="n"/>
      <c r="M189" s="871" t="n"/>
      <c r="N189" s="871">
        <f>IF(BP189&gt;0,1,IF(BN189&gt;0,2,))</f>
        <v/>
      </c>
      <c r="O189" s="322" t="n"/>
      <c r="P189" s="408">
        <f>SUMPRODUCT((Комплекты[Пр]=$F189)*(Комплекты[Обозначение]=$G189)*Комплекты[Кол-во]*(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89" s="307" t="n">
        <v>2</v>
      </c>
      <c r="R189" s="408" t="n"/>
      <c r="S189" s="322" t="n"/>
      <c r="T189" s="408">
        <f>SUMPRODUCT((Комплекты[Пр]=$F189)*(Комплекты[Обозначение]=$G189)*Комплекты[Кол-во]*(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89" s="307">
        <f>SUMPRODUCT((Комплекты[Пр]=$F189)*(Комплекты[Обозначение]=$G189)*Комплекты[Кол-во]*(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/>
      </c>
      <c r="V189" s="408" t="n"/>
      <c r="W189" s="322" t="n"/>
      <c r="X189" s="408">
        <f>SUMPRODUCT((Комплекты[Пр]=$F189)*(Комплекты[Обозначение]=$G189)*Комплекты[Кол-во]*(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89" s="307">
        <f>SUMPRODUCT((Комплекты[Пр]=$F189)*(Комплекты[Обозначение]=$G189)*Комплекты[Кол-во]*(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89" s="408" t="n"/>
      <c r="AA189" s="322" t="n"/>
      <c r="AB189" s="408">
        <f>SUMPRODUCT((Комплекты[Пр]=$F189)*(Комплекты[Обозначение]=$G189)*Комплекты[Кол-во]*(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89" s="307" t="n">
        <v>0</v>
      </c>
      <c r="AD189" s="408" t="n"/>
      <c r="AE189" s="322" t="n"/>
      <c r="AF189" s="408">
        <f>SUMPRODUCT((Комплекты[Пр]=$F189)*(Комплекты[Обозначение]=$G189)*Комплекты[Кол-во]*(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89" s="307">
        <f>SUMPRODUCT((Комплекты[Пр]=$F189)*(Комплекты[Обозначение]=$G189)*Комплекты[Кол-во]*(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89" s="408" t="n"/>
      <c r="AI189" s="322" t="n"/>
      <c r="AJ189" s="408">
        <f>SUMPRODUCT((Комплекты[Пр]=$F189)*(Комплекты[Обозначение]=$G189)*Комплекты[Кол-во]*(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89" s="307" t="n"/>
      <c r="AL189" s="408" t="n"/>
      <c r="AM189" s="322" t="n"/>
      <c r="AN189" s="408">
        <f>SUMPRODUCT((Комплекты[Пр]=$F189)*(Комплекты[Обозначение]=$G189)*Комплекты[Кол-во]*(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89" s="307" t="n"/>
      <c r="AP189" s="408" t="n"/>
      <c r="AQ189" s="322" t="n"/>
      <c r="AR189" s="408">
        <f>SUMPRODUCT((Комплекты[Пр]=$F189)*(Комплекты[Обозначение]=$G189)*Комплекты[Кол-во]*(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89" s="307" t="n"/>
      <c r="AT189" s="408" t="n"/>
      <c r="AU189" s="322" t="n"/>
      <c r="AV189" s="408">
        <f>SUMPRODUCT((Комплекты[Пр]=$F189)*(Комплекты[Обозначение]=$G189)*Комплекты[Кол-во]*(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89" s="307" t="n"/>
      <c r="AX189" s="408" t="n"/>
      <c r="AY189" s="322" t="n"/>
      <c r="AZ189" s="408">
        <f>SUMPRODUCT((Комплекты[Пр]=$F189)*(Комплекты[Обозначение]=$G189)*Комплекты[Кол-во]*(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89" s="307" t="n"/>
      <c r="BB189" s="408" t="n"/>
      <c r="BC189" s="322" t="n"/>
      <c r="BD189" s="408">
        <f>SUMPRODUCT((Комплекты[Пр]=$F189)*(Комплекты[Обозначение]=$G189)*Комплекты[Кол-во]*(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89" s="307" t="n"/>
      <c r="BF189" s="408" t="n"/>
      <c r="BG189" s="322" t="n"/>
      <c r="BH189" s="408">
        <f>SUMPRODUCT((Комплекты[Пр]=$F189)*(Комплекты[Обозначение]=$G189)*Комплекты[Кол-во]*(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89" s="307" t="n"/>
      <c r="BJ189" s="408" t="n"/>
      <c r="BK189" s="340" t="n"/>
      <c r="BL189" s="820">
        <f>SUMPRODUCT(--(MOD(COLUMN($O189:$AL189),4)=MOD(COLUMN($O189)+0,4)),$O189:$AL189)
+SUMPRODUCT(--(MOD(COLUMN($AM189:$BJ189),4)=MOD(COLUMN($AM189)+0,4)),$AM189:$BJ189)</f>
        <v/>
      </c>
      <c r="BM189" s="820">
        <f>SUMPRODUCT(--(MOD(COLUMN($O189:$AL189),4)=MOD(COLUMN($O189)+0,4)),$O189:$AL189)*
$I189+SUMPRODUCT(--(MOD(COLUMN($AM189:$BJ189),4)=MOD(COLUMN($AM189)+0,4)),$AM189:$BJ189)*$I189</f>
        <v/>
      </c>
      <c r="BN189" s="822">
        <f>SUMPRODUCT(--(MOD(COLUMN($O189:$AL189),4)=MOD(COLUMN($O189)+1,4)),$O189:$AL189)
+SUMPRODUCT(--(MOD(COLUMN($AM189:$BJ189),4)=MOD(COLUMN($AM189)+1,4)),$AM189:$BJ189)</f>
        <v/>
      </c>
      <c r="BO189" s="823">
        <f>SUMPRODUCT(--(MOD(COLUMN($O189:$AL189),4)=MOD(COLUMN($O189)+1,4)),$O189:$AL189)*
$I189+SUMPRODUCT(--(MOD(COLUMN($AM189:$BJ189),4)=MOD(COLUMN($AM189)+1,4)),$AM189:$BJ189)*$I189</f>
        <v/>
      </c>
      <c r="BP189" s="824">
        <f>SUMPRODUCT(--(MOD(COLUMN($O189:$AL189),4)=MOD(COLUMN($O189)+2,4)),$O189:$AL189)
+SUMPRODUCT(--(MOD(COLUMN($AM189:$BJ189),4)=MOD(COLUMN($AM189)+2,4)),$AM189:$BJ189)</f>
        <v/>
      </c>
      <c r="BQ189" s="825">
        <f>SUMPRODUCT(--(MOD(COLUMN($O189:$AL189),4)=MOD(COLUMN($O189)+2,4)),$O189:$AL189)*
$I189+SUMPRODUCT(--(MOD(COLUMN($AM189:$BJ189),4)=MOD(COLUMN($AM189)+2,4)),$AM189:$BJ189)*$I189</f>
        <v/>
      </c>
      <c r="BR189" s="819" t="n"/>
      <c r="BS189" s="819" t="n"/>
      <c r="BT189" s="322" t="n"/>
      <c r="BU189" s="408" t="n"/>
      <c r="BV189" s="307" t="n"/>
      <c r="BW189" s="408" t="n"/>
      <c r="BX189" s="322" t="n"/>
      <c r="BY189" s="408" t="n"/>
      <c r="BZ189" s="307" t="n"/>
      <c r="CA189" s="408" t="n"/>
      <c r="CB189" s="322" t="n"/>
      <c r="CC189" s="408" t="n"/>
      <c r="CD189" s="307" t="n"/>
      <c r="CE189" s="408" t="n"/>
      <c r="CF189" s="322" t="n"/>
      <c r="CG189" s="408" t="n"/>
      <c r="CH189" s="307" t="n"/>
      <c r="CI189" s="408" t="n"/>
      <c r="CJ189" s="322" t="n"/>
      <c r="CK189" s="408" t="n"/>
      <c r="CL189" s="307" t="n"/>
      <c r="CM189" s="408" t="n"/>
      <c r="CN189" s="322" t="n"/>
      <c r="CO189" s="408" t="n"/>
      <c r="CP189" s="307" t="n"/>
      <c r="CQ189" s="408" t="n"/>
      <c r="CR189" s="322" t="n"/>
      <c r="CS189" s="408" t="n"/>
      <c r="CT189" s="307" t="n"/>
      <c r="CU189" s="408" t="n"/>
      <c r="CV189" s="322" t="n"/>
      <c r="CW189" s="408" t="n"/>
      <c r="CX189" s="307" t="n"/>
      <c r="CY189" s="408" t="n"/>
      <c r="CZ189" s="322" t="n"/>
      <c r="DA189" s="408" t="n"/>
      <c r="DB189" s="307" t="n"/>
      <c r="DC189" s="408" t="n"/>
      <c r="DD189" s="322" t="n"/>
      <c r="DE189" s="408" t="n"/>
      <c r="DF189" s="307" t="n"/>
      <c r="DG189" s="408" t="n"/>
      <c r="DH189" s="322" t="n"/>
      <c r="DI189" s="408" t="n"/>
      <c r="DJ189" s="307" t="n"/>
      <c r="DK189" s="408" t="n"/>
      <c r="DL189" s="322" t="n"/>
      <c r="DM189" s="408" t="n"/>
      <c r="DN189" s="307" t="n"/>
      <c r="DO189" s="408" t="n"/>
      <c r="DP189" s="340" t="n"/>
      <c r="DQ189" s="820" t="n"/>
      <c r="DR189" s="820">
        <f>SUMPRODUCT(--(MOD(COLUMN(BT189:CQ189),4)=MOD(COLUMN(BT189),4)),BT189:CQ189)*$I189+SUMPRODUCT(--(MOD(COLUMN(CR189:DO189),4)=MOD(COLUMN(CR189),4)),CR189:DO189)*$I189</f>
        <v/>
      </c>
      <c r="DS189" s="819" t="n"/>
      <c r="DT189" s="819" t="n"/>
      <c r="DU189" s="322" t="n"/>
      <c r="DV189" s="408" t="n"/>
      <c r="DW189" s="307" t="n"/>
      <c r="DX189" s="408" t="n"/>
      <c r="DY189" s="322" t="n"/>
      <c r="DZ189" s="408" t="n"/>
      <c r="EA189" s="307" t="n"/>
      <c r="EB189" s="408" t="n"/>
      <c r="EC189" s="322" t="n"/>
      <c r="ED189" s="408" t="n"/>
      <c r="EE189" s="307" t="n"/>
      <c r="EF189" s="408" t="n"/>
      <c r="EG189" s="322" t="n"/>
      <c r="EH189" s="408" t="n"/>
      <c r="EI189" s="307" t="n"/>
      <c r="EJ189" s="408" t="n"/>
      <c r="EK189" s="322" t="n"/>
      <c r="EL189" s="408" t="n"/>
      <c r="EM189" s="307" t="n"/>
      <c r="EN189" s="408" t="n"/>
      <c r="EO189" s="322" t="n"/>
      <c r="EP189" s="408" t="n"/>
      <c r="EQ189" s="307" t="n"/>
      <c r="ER189" s="408" t="n"/>
      <c r="ES189" s="322" t="n"/>
      <c r="ET189" s="408" t="n"/>
      <c r="EU189" s="307" t="n"/>
      <c r="EV189" s="408" t="n"/>
      <c r="EW189" s="322" t="n"/>
      <c r="EX189" s="408" t="n"/>
      <c r="EY189" s="307" t="n"/>
      <c r="EZ189" s="408" t="n"/>
      <c r="FA189" s="322" t="n"/>
      <c r="FB189" s="408" t="n"/>
      <c r="FC189" s="307" t="n"/>
      <c r="FD189" s="408" t="n"/>
      <c r="FE189" s="322" t="n"/>
      <c r="FF189" s="408" t="n"/>
      <c r="FG189" s="307" t="n"/>
      <c r="FH189" s="408" t="n"/>
      <c r="FI189" s="322" t="n"/>
      <c r="FJ189" s="408" t="n"/>
      <c r="FK189" s="307" t="n"/>
      <c r="FL189" s="408" t="n"/>
      <c r="FM189" s="322" t="n"/>
      <c r="FN189" s="408" t="n"/>
      <c r="FO189" s="307" t="n"/>
      <c r="FP189" s="408" t="n"/>
      <c r="FQ189" s="340" t="n"/>
      <c r="FR189" s="820" t="n"/>
      <c r="FS189" s="820">
        <f>SUMPRODUCT(--(MOD(COLUMN(DU189:ER189),4)=MOD(COLUMN(DU189),4)),DU189:ER189)*$I189+SUMPRODUCT(--(MOD(COLUMN(ES189:FP189),4)=MOD(COLUMN(ES189),4)),ES189:FP189)*$I189</f>
        <v/>
      </c>
      <c r="FT189" s="361" t="n"/>
    </row>
    <row r="190" outlineLevel="2">
      <c r="A190" s="413" t="inlineStr">
        <is>
          <t>ПАО «Уралавтоприцеп»</t>
        </is>
      </c>
      <c r="B190" s="444" t="inlineStr">
        <is>
          <t>Отсрочка 30 дней</t>
        </is>
      </c>
      <c r="C190" s="587" t="inlineStr">
        <is>
          <t>ВБК РУС</t>
        </is>
      </c>
      <c r="D190" s="580" t="inlineStr">
        <is>
          <t>Прасолов, Соловьёв</t>
        </is>
      </c>
      <c r="E190" s="414">
        <f>IF(ISBLANK(G190),"",IF($A$6:$A$330=$A190,COUNTIF($A$6:A190,$A190),""))</f>
        <v/>
      </c>
      <c r="F190" s="670" t="n">
        <v>2</v>
      </c>
      <c r="G190" s="501" t="n">
        <v>4493470800</v>
      </c>
      <c r="H190" s="611" t="inlineStr">
        <is>
          <t>Кабель соединительный, 8 м</t>
        </is>
      </c>
      <c r="I190" s="618" t="n">
        <v>0</v>
      </c>
      <c r="J190" s="619" t="n"/>
      <c r="K190" s="876" t="n"/>
      <c r="L190" s="619" t="n"/>
      <c r="M190" s="871" t="n"/>
      <c r="N190" s="871">
        <f>IF(BP190&gt;0,1,IF(BN190&gt;0,2,))</f>
        <v/>
      </c>
      <c r="O190" s="322" t="n"/>
      <c r="P190" s="408">
        <f>SUMPRODUCT((Комплекты[Пр]=$F190)*(Комплекты[Обозначение]=$G190)*Комплекты[Кол-во]*(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90" s="307" t="n">
        <v>2</v>
      </c>
      <c r="R190" s="408" t="n"/>
      <c r="S190" s="322" t="n"/>
      <c r="T190" s="408">
        <f>SUMPRODUCT((Комплекты[Пр]=$F190)*(Комплекты[Обозначение]=$G190)*Комплекты[Кол-во]*(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90" s="307">
        <f>SUMPRODUCT((Комплекты[Пр]=$F190)*(Комплекты[Обозначение]=$G190)*Комплекты[Кол-во]*(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/>
      </c>
      <c r="V190" s="408" t="n"/>
      <c r="W190" s="322" t="n"/>
      <c r="X190" s="408">
        <f>SUMPRODUCT((Комплекты[Пр]=$F190)*(Комплекты[Обозначение]=$G190)*Комплекты[Кол-во]*(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90" s="307">
        <f>SUMPRODUCT((Комплекты[Пр]=$F190)*(Комплекты[Обозначение]=$G190)*Комплекты[Кол-во]*(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90" s="408" t="n"/>
      <c r="AA190" s="322" t="n"/>
      <c r="AB190" s="408">
        <f>SUMPRODUCT((Комплекты[Пр]=$F190)*(Комплекты[Обозначение]=$G190)*Комплекты[Кол-во]*(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90" s="307" t="n">
        <v>0</v>
      </c>
      <c r="AD190" s="408" t="n"/>
      <c r="AE190" s="322" t="n"/>
      <c r="AF190" s="408">
        <f>SUMPRODUCT((Комплекты[Пр]=$F190)*(Комплекты[Обозначение]=$G190)*Комплекты[Кол-во]*(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90" s="307">
        <f>SUMPRODUCT((Комплекты[Пр]=$F190)*(Комплекты[Обозначение]=$G190)*Комплекты[Кол-во]*(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90" s="408" t="n"/>
      <c r="AI190" s="322" t="n"/>
      <c r="AJ190" s="408">
        <f>SUMPRODUCT((Комплекты[Пр]=$F190)*(Комплекты[Обозначение]=$G190)*Комплекты[Кол-во]*(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90" s="307" t="n"/>
      <c r="AL190" s="408" t="n"/>
      <c r="AM190" s="322" t="n"/>
      <c r="AN190" s="408">
        <f>SUMPRODUCT((Комплекты[Пр]=$F190)*(Комплекты[Обозначение]=$G190)*Комплекты[Кол-во]*(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90" s="307" t="n"/>
      <c r="AP190" s="408" t="n"/>
      <c r="AQ190" s="322" t="n"/>
      <c r="AR190" s="408">
        <f>SUMPRODUCT((Комплекты[Пр]=$F190)*(Комплекты[Обозначение]=$G190)*Комплекты[Кол-во]*(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90" s="307" t="n"/>
      <c r="AT190" s="408" t="n"/>
      <c r="AU190" s="322" t="n"/>
      <c r="AV190" s="408">
        <f>SUMPRODUCT((Комплекты[Пр]=$F190)*(Комплекты[Обозначение]=$G190)*Комплекты[Кол-во]*(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90" s="307" t="n"/>
      <c r="AX190" s="408" t="n"/>
      <c r="AY190" s="322" t="n"/>
      <c r="AZ190" s="408">
        <f>SUMPRODUCT((Комплекты[Пр]=$F190)*(Комплекты[Обозначение]=$G190)*Комплекты[Кол-во]*(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90" s="307" t="n"/>
      <c r="BB190" s="408" t="n"/>
      <c r="BC190" s="322" t="n"/>
      <c r="BD190" s="408">
        <f>SUMPRODUCT((Комплекты[Пр]=$F190)*(Комплекты[Обозначение]=$G190)*Комплекты[Кол-во]*(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90" s="307" t="n"/>
      <c r="BF190" s="408" t="n"/>
      <c r="BG190" s="322" t="n"/>
      <c r="BH190" s="408">
        <f>SUMPRODUCT((Комплекты[Пр]=$F190)*(Комплекты[Обозначение]=$G190)*Комплекты[Кол-во]*(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90" s="307" t="n"/>
      <c r="BJ190" s="408" t="n"/>
      <c r="BK190" s="340" t="n"/>
      <c r="BL190" s="820">
        <f>SUMPRODUCT(--(MOD(COLUMN($O190:$AL190),4)=MOD(COLUMN($O190)+0,4)),$O190:$AL190)
+SUMPRODUCT(--(MOD(COLUMN($AM190:$BJ190),4)=MOD(COLUMN($AM190)+0,4)),$AM190:$BJ190)</f>
        <v/>
      </c>
      <c r="BM190" s="820">
        <f>SUMPRODUCT(--(MOD(COLUMN($O190:$AL190),4)=MOD(COLUMN($O190)+0,4)),$O190:$AL190)*
$I190+SUMPRODUCT(--(MOD(COLUMN($AM190:$BJ190),4)=MOD(COLUMN($AM190)+0,4)),$AM190:$BJ190)*$I190</f>
        <v/>
      </c>
      <c r="BN190" s="822">
        <f>SUMPRODUCT(--(MOD(COLUMN($O190:$AL190),4)=MOD(COLUMN($O190)+1,4)),$O190:$AL190)
+SUMPRODUCT(--(MOD(COLUMN($AM190:$BJ190),4)=MOD(COLUMN($AM190)+1,4)),$AM190:$BJ190)</f>
        <v/>
      </c>
      <c r="BO190" s="823">
        <f>SUMPRODUCT(--(MOD(COLUMN($O190:$AL190),4)=MOD(COLUMN($O190)+1,4)),$O190:$AL190)*
$I190+SUMPRODUCT(--(MOD(COLUMN($AM190:$BJ190),4)=MOD(COLUMN($AM190)+1,4)),$AM190:$BJ190)*$I190</f>
        <v/>
      </c>
      <c r="BP190" s="824">
        <f>SUMPRODUCT(--(MOD(COLUMN($O190:$AL190),4)=MOD(COLUMN($O190)+2,4)),$O190:$AL190)
+SUMPRODUCT(--(MOD(COLUMN($AM190:$BJ190),4)=MOD(COLUMN($AM190)+2,4)),$AM190:$BJ190)</f>
        <v/>
      </c>
      <c r="BQ190" s="825">
        <f>SUMPRODUCT(--(MOD(COLUMN($O190:$AL190),4)=MOD(COLUMN($O190)+2,4)),$O190:$AL190)*
$I190+SUMPRODUCT(--(MOD(COLUMN($AM190:$BJ190),4)=MOD(COLUMN($AM190)+2,4)),$AM190:$BJ190)*$I190</f>
        <v/>
      </c>
      <c r="BR190" s="819" t="n"/>
      <c r="BS190" s="819" t="n"/>
      <c r="BT190" s="322" t="n"/>
      <c r="BU190" s="408" t="n"/>
      <c r="BV190" s="307" t="n"/>
      <c r="BW190" s="408" t="n"/>
      <c r="BX190" s="322" t="n"/>
      <c r="BY190" s="408" t="n"/>
      <c r="BZ190" s="307" t="n"/>
      <c r="CA190" s="408" t="n"/>
      <c r="CB190" s="322" t="n"/>
      <c r="CC190" s="408" t="n"/>
      <c r="CD190" s="307" t="n"/>
      <c r="CE190" s="408" t="n"/>
      <c r="CF190" s="322" t="n"/>
      <c r="CG190" s="408" t="n"/>
      <c r="CH190" s="307" t="n"/>
      <c r="CI190" s="408" t="n"/>
      <c r="CJ190" s="322" t="n"/>
      <c r="CK190" s="408" t="n"/>
      <c r="CL190" s="307" t="n"/>
      <c r="CM190" s="408" t="n"/>
      <c r="CN190" s="322" t="n"/>
      <c r="CO190" s="408" t="n"/>
      <c r="CP190" s="307" t="n"/>
      <c r="CQ190" s="408" t="n"/>
      <c r="CR190" s="322" t="n"/>
      <c r="CS190" s="408" t="n"/>
      <c r="CT190" s="307" t="n"/>
      <c r="CU190" s="408" t="n"/>
      <c r="CV190" s="322" t="n"/>
      <c r="CW190" s="408" t="n"/>
      <c r="CX190" s="307" t="n"/>
      <c r="CY190" s="408" t="n"/>
      <c r="CZ190" s="322" t="n"/>
      <c r="DA190" s="408" t="n"/>
      <c r="DB190" s="307" t="n"/>
      <c r="DC190" s="408" t="n"/>
      <c r="DD190" s="322" t="n"/>
      <c r="DE190" s="408" t="n"/>
      <c r="DF190" s="307" t="n"/>
      <c r="DG190" s="408" t="n"/>
      <c r="DH190" s="322" t="n"/>
      <c r="DI190" s="408" t="n"/>
      <c r="DJ190" s="307" t="n"/>
      <c r="DK190" s="408" t="n"/>
      <c r="DL190" s="322" t="n"/>
      <c r="DM190" s="408" t="n"/>
      <c r="DN190" s="307" t="n"/>
      <c r="DO190" s="408" t="n"/>
      <c r="DP190" s="340" t="n"/>
      <c r="DQ190" s="820" t="n"/>
      <c r="DR190" s="820">
        <f>SUMPRODUCT(--(MOD(COLUMN(BT190:CQ190),4)=MOD(COLUMN(BT190),4)),BT190:CQ190)*$I190+SUMPRODUCT(--(MOD(COLUMN(CR190:DO190),4)=MOD(COLUMN(CR190),4)),CR190:DO190)*$I190</f>
        <v/>
      </c>
      <c r="DS190" s="819" t="n"/>
      <c r="DT190" s="819" t="n"/>
      <c r="DU190" s="322" t="n"/>
      <c r="DV190" s="408" t="n"/>
      <c r="DW190" s="307" t="n"/>
      <c r="DX190" s="408" t="n"/>
      <c r="DY190" s="322" t="n"/>
      <c r="DZ190" s="408" t="n"/>
      <c r="EA190" s="307" t="n"/>
      <c r="EB190" s="408" t="n"/>
      <c r="EC190" s="322" t="n"/>
      <c r="ED190" s="408" t="n"/>
      <c r="EE190" s="307" t="n"/>
      <c r="EF190" s="408" t="n"/>
      <c r="EG190" s="322" t="n"/>
      <c r="EH190" s="408" t="n"/>
      <c r="EI190" s="307" t="n"/>
      <c r="EJ190" s="408" t="n"/>
      <c r="EK190" s="322" t="n"/>
      <c r="EL190" s="408" t="n"/>
      <c r="EM190" s="307" t="n"/>
      <c r="EN190" s="408" t="n"/>
      <c r="EO190" s="322" t="n"/>
      <c r="EP190" s="408" t="n"/>
      <c r="EQ190" s="307" t="n"/>
      <c r="ER190" s="408" t="n"/>
      <c r="ES190" s="322" t="n"/>
      <c r="ET190" s="408" t="n"/>
      <c r="EU190" s="307" t="n"/>
      <c r="EV190" s="408" t="n"/>
      <c r="EW190" s="322" t="n"/>
      <c r="EX190" s="408" t="n"/>
      <c r="EY190" s="307" t="n"/>
      <c r="EZ190" s="408" t="n"/>
      <c r="FA190" s="322" t="n"/>
      <c r="FB190" s="408" t="n"/>
      <c r="FC190" s="307" t="n"/>
      <c r="FD190" s="408" t="n"/>
      <c r="FE190" s="322" t="n"/>
      <c r="FF190" s="408" t="n"/>
      <c r="FG190" s="307" t="n"/>
      <c r="FH190" s="408" t="n"/>
      <c r="FI190" s="322" t="n"/>
      <c r="FJ190" s="408" t="n"/>
      <c r="FK190" s="307" t="n"/>
      <c r="FL190" s="408" t="n"/>
      <c r="FM190" s="322" t="n"/>
      <c r="FN190" s="408" t="n"/>
      <c r="FO190" s="307" t="n"/>
      <c r="FP190" s="408" t="n"/>
      <c r="FQ190" s="340" t="n"/>
      <c r="FR190" s="820" t="n"/>
      <c r="FS190" s="820">
        <f>SUMPRODUCT(--(MOD(COLUMN(DU190:ER190),4)=MOD(COLUMN(DU190),4)),DU190:ER190)*$I190+SUMPRODUCT(--(MOD(COLUMN(ES190:FP190),4)=MOD(COLUMN(ES190),4)),ES190:FP190)*$I190</f>
        <v/>
      </c>
      <c r="FT190" s="361" t="n"/>
    </row>
    <row r="191" outlineLevel="2">
      <c r="A191" s="413" t="inlineStr">
        <is>
          <t>ПАО «Уралавтоприцеп»</t>
        </is>
      </c>
      <c r="B191" s="444" t="inlineStr">
        <is>
          <t>Отсрочка 30 дней</t>
        </is>
      </c>
      <c r="C191" s="587" t="inlineStr">
        <is>
          <t>ВБК РУС</t>
        </is>
      </c>
      <c r="D191" s="580" t="inlineStr">
        <is>
          <t>Прасолов, Соловьёв</t>
        </is>
      </c>
      <c r="E191" s="414">
        <f>IF(ISBLANK(G191),"",IF($A$6:$A$330=$A191,COUNTIF($A$6:A191,$A191),""))</f>
        <v/>
      </c>
      <c r="F191" s="670" t="n">
        <v>2</v>
      </c>
      <c r="G191" s="501" t="n">
        <v>4494250600</v>
      </c>
      <c r="H191" s="611" t="inlineStr">
        <is>
          <t>Кабель датчика давления, 6 м</t>
        </is>
      </c>
      <c r="I191" s="618" t="n">
        <v>0</v>
      </c>
      <c r="J191" s="619" t="n"/>
      <c r="K191" s="876" t="n"/>
      <c r="L191" s="619" t="n"/>
      <c r="M191" s="871" t="n"/>
      <c r="N191" s="871">
        <f>IF(BP191&gt;0,1,IF(BN191&gt;0,2,))</f>
        <v/>
      </c>
      <c r="O191" s="322" t="n"/>
      <c r="P191" s="408">
        <f>SUMPRODUCT((Комплекты[Пр]=$F191)*(Комплекты[Обозначение]=$G191)*Комплекты[Кол-во]*(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91" s="307" t="n">
        <v>2</v>
      </c>
      <c r="R191" s="408" t="n"/>
      <c r="S191" s="322" t="n"/>
      <c r="T191" s="408">
        <f>SUMPRODUCT((Комплекты[Пр]=$F191)*(Комплекты[Обозначение]=$G191)*Комплекты[Кол-во]*(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91" s="307">
        <f>SUMPRODUCT((Комплекты[Пр]=$F191)*(Комплекты[Обозначение]=$G191)*Комплекты[Кол-во]*(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/>
      </c>
      <c r="V191" s="408" t="n"/>
      <c r="W191" s="322" t="n"/>
      <c r="X191" s="408">
        <f>SUMPRODUCT((Комплекты[Пр]=$F191)*(Комплекты[Обозначение]=$G191)*Комплекты[Кол-во]*(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91" s="307">
        <f>SUMPRODUCT((Комплекты[Пр]=$F191)*(Комплекты[Обозначение]=$G191)*Комплекты[Кол-во]*(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91" s="408" t="n"/>
      <c r="AA191" s="322" t="n"/>
      <c r="AB191" s="408">
        <f>SUMPRODUCT((Комплекты[Пр]=$F191)*(Комплекты[Обозначение]=$G191)*Комплекты[Кол-во]*(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91" s="307" t="n">
        <v>0</v>
      </c>
      <c r="AD191" s="408" t="n"/>
      <c r="AE191" s="322" t="n"/>
      <c r="AF191" s="408">
        <f>SUMPRODUCT((Комплекты[Пр]=$F191)*(Комплекты[Обозначение]=$G191)*Комплекты[Кол-во]*(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91" s="307">
        <f>SUMPRODUCT((Комплекты[Пр]=$F191)*(Комплекты[Обозначение]=$G191)*Комплекты[Кол-во]*(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91" s="408" t="n"/>
      <c r="AI191" s="322" t="n"/>
      <c r="AJ191" s="408">
        <f>SUMPRODUCT((Комплекты[Пр]=$F191)*(Комплекты[Обозначение]=$G191)*Комплекты[Кол-во]*(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91" s="307" t="n"/>
      <c r="AL191" s="408" t="n"/>
      <c r="AM191" s="322" t="n"/>
      <c r="AN191" s="408">
        <f>SUMPRODUCT((Комплекты[Пр]=$F191)*(Комплекты[Обозначение]=$G191)*Комплекты[Кол-во]*(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91" s="307" t="n"/>
      <c r="AP191" s="408" t="n"/>
      <c r="AQ191" s="322" t="n"/>
      <c r="AR191" s="408">
        <f>SUMPRODUCT((Комплекты[Пр]=$F191)*(Комплекты[Обозначение]=$G191)*Комплекты[Кол-во]*(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91" s="307" t="n"/>
      <c r="AT191" s="408" t="n"/>
      <c r="AU191" s="322" t="n"/>
      <c r="AV191" s="408">
        <f>SUMPRODUCT((Комплекты[Пр]=$F191)*(Комплекты[Обозначение]=$G191)*Комплекты[Кол-во]*(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91" s="307" t="n"/>
      <c r="AX191" s="408" t="n"/>
      <c r="AY191" s="322" t="n"/>
      <c r="AZ191" s="408">
        <f>SUMPRODUCT((Комплекты[Пр]=$F191)*(Комплекты[Обозначение]=$G191)*Комплекты[Кол-во]*(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91" s="307" t="n"/>
      <c r="BB191" s="408" t="n"/>
      <c r="BC191" s="322" t="n"/>
      <c r="BD191" s="408">
        <f>SUMPRODUCT((Комплекты[Пр]=$F191)*(Комплекты[Обозначение]=$G191)*Комплекты[Кол-во]*(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91" s="307" t="n"/>
      <c r="BF191" s="408" t="n"/>
      <c r="BG191" s="322" t="n"/>
      <c r="BH191" s="408">
        <f>SUMPRODUCT((Комплекты[Пр]=$F191)*(Комплекты[Обозначение]=$G191)*Комплекты[Кол-во]*(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91" s="307" t="n"/>
      <c r="BJ191" s="408" t="n"/>
      <c r="BK191" s="340" t="n"/>
      <c r="BL191" s="820">
        <f>SUMPRODUCT(--(MOD(COLUMN($O191:$AL191),4)=MOD(COLUMN($O191)+0,4)),$O191:$AL191)
+SUMPRODUCT(--(MOD(COLUMN($AM191:$BJ191),4)=MOD(COLUMN($AM191)+0,4)),$AM191:$BJ191)</f>
        <v/>
      </c>
      <c r="BM191" s="820">
        <f>SUMPRODUCT(--(MOD(COLUMN($O191:$AL191),4)=MOD(COLUMN($O191)+0,4)),$O191:$AL191)*
$I191+SUMPRODUCT(--(MOD(COLUMN($AM191:$BJ191),4)=MOD(COLUMN($AM191)+0,4)),$AM191:$BJ191)*$I191</f>
        <v/>
      </c>
      <c r="BN191" s="822">
        <f>SUMPRODUCT(--(MOD(COLUMN($O191:$AL191),4)=MOD(COLUMN($O191)+1,4)),$O191:$AL191)
+SUMPRODUCT(--(MOD(COLUMN($AM191:$BJ191),4)=MOD(COLUMN($AM191)+1,4)),$AM191:$BJ191)</f>
        <v/>
      </c>
      <c r="BO191" s="823">
        <f>SUMPRODUCT(--(MOD(COLUMN($O191:$AL191),4)=MOD(COLUMN($O191)+1,4)),$O191:$AL191)*
$I191+SUMPRODUCT(--(MOD(COLUMN($AM191:$BJ191),4)=MOD(COLUMN($AM191)+1,4)),$AM191:$BJ191)*$I191</f>
        <v/>
      </c>
      <c r="BP191" s="824">
        <f>SUMPRODUCT(--(MOD(COLUMN($O191:$AL191),4)=MOD(COLUMN($O191)+2,4)),$O191:$AL191)
+SUMPRODUCT(--(MOD(COLUMN($AM191:$BJ191),4)=MOD(COLUMN($AM191)+2,4)),$AM191:$BJ191)</f>
        <v/>
      </c>
      <c r="BQ191" s="825">
        <f>SUMPRODUCT(--(MOD(COLUMN($O191:$AL191),4)=MOD(COLUMN($O191)+2,4)),$O191:$AL191)*
$I191+SUMPRODUCT(--(MOD(COLUMN($AM191:$BJ191),4)=MOD(COLUMN($AM191)+2,4)),$AM191:$BJ191)*$I191</f>
        <v/>
      </c>
      <c r="BR191" s="819" t="n"/>
      <c r="BS191" s="819" t="n"/>
      <c r="BT191" s="322" t="n"/>
      <c r="BU191" s="408" t="n"/>
      <c r="BV191" s="307" t="n"/>
      <c r="BW191" s="408" t="n"/>
      <c r="BX191" s="322" t="n"/>
      <c r="BY191" s="408" t="n"/>
      <c r="BZ191" s="307" t="n"/>
      <c r="CA191" s="408" t="n"/>
      <c r="CB191" s="322" t="n"/>
      <c r="CC191" s="408" t="n"/>
      <c r="CD191" s="307" t="n"/>
      <c r="CE191" s="408" t="n"/>
      <c r="CF191" s="322" t="n"/>
      <c r="CG191" s="408" t="n"/>
      <c r="CH191" s="307" t="n"/>
      <c r="CI191" s="408" t="n"/>
      <c r="CJ191" s="322" t="n"/>
      <c r="CK191" s="408" t="n"/>
      <c r="CL191" s="307" t="n"/>
      <c r="CM191" s="408" t="n"/>
      <c r="CN191" s="322" t="n"/>
      <c r="CO191" s="408" t="n"/>
      <c r="CP191" s="307" t="n"/>
      <c r="CQ191" s="408" t="n"/>
      <c r="CR191" s="322" t="n"/>
      <c r="CS191" s="408" t="n"/>
      <c r="CT191" s="307" t="n"/>
      <c r="CU191" s="408" t="n"/>
      <c r="CV191" s="322" t="n"/>
      <c r="CW191" s="408" t="n"/>
      <c r="CX191" s="307" t="n"/>
      <c r="CY191" s="408" t="n"/>
      <c r="CZ191" s="322" t="n"/>
      <c r="DA191" s="408" t="n"/>
      <c r="DB191" s="307" t="n"/>
      <c r="DC191" s="408" t="n"/>
      <c r="DD191" s="322" t="n"/>
      <c r="DE191" s="408" t="n"/>
      <c r="DF191" s="307" t="n"/>
      <c r="DG191" s="408" t="n"/>
      <c r="DH191" s="322" t="n"/>
      <c r="DI191" s="408" t="n"/>
      <c r="DJ191" s="307" t="n"/>
      <c r="DK191" s="408" t="n"/>
      <c r="DL191" s="322" t="n"/>
      <c r="DM191" s="408" t="n"/>
      <c r="DN191" s="307" t="n"/>
      <c r="DO191" s="408" t="n"/>
      <c r="DP191" s="340" t="n"/>
      <c r="DQ191" s="820" t="n"/>
      <c r="DR191" s="820">
        <f>SUMPRODUCT(--(MOD(COLUMN(BT191:CQ191),4)=MOD(COLUMN(BT191),4)),BT191:CQ191)*$I191+SUMPRODUCT(--(MOD(COLUMN(CR191:DO191),4)=MOD(COLUMN(CR191),4)),CR191:DO191)*$I191</f>
        <v/>
      </c>
      <c r="DS191" s="819" t="n"/>
      <c r="DT191" s="819" t="n"/>
      <c r="DU191" s="322" t="n"/>
      <c r="DV191" s="408" t="n"/>
      <c r="DW191" s="307" t="n"/>
      <c r="DX191" s="408" t="n"/>
      <c r="DY191" s="322" t="n"/>
      <c r="DZ191" s="408" t="n"/>
      <c r="EA191" s="307" t="n"/>
      <c r="EB191" s="408" t="n"/>
      <c r="EC191" s="322" t="n"/>
      <c r="ED191" s="408" t="n"/>
      <c r="EE191" s="307" t="n"/>
      <c r="EF191" s="408" t="n"/>
      <c r="EG191" s="322" t="n"/>
      <c r="EH191" s="408" t="n"/>
      <c r="EI191" s="307" t="n"/>
      <c r="EJ191" s="408" t="n"/>
      <c r="EK191" s="322" t="n"/>
      <c r="EL191" s="408" t="n"/>
      <c r="EM191" s="307" t="n"/>
      <c r="EN191" s="408" t="n"/>
      <c r="EO191" s="322" t="n"/>
      <c r="EP191" s="408" t="n"/>
      <c r="EQ191" s="307" t="n"/>
      <c r="ER191" s="408" t="n"/>
      <c r="ES191" s="322" t="n"/>
      <c r="ET191" s="408" t="n"/>
      <c r="EU191" s="307" t="n"/>
      <c r="EV191" s="408" t="n"/>
      <c r="EW191" s="322" t="n"/>
      <c r="EX191" s="408" t="n"/>
      <c r="EY191" s="307" t="n"/>
      <c r="EZ191" s="408" t="n"/>
      <c r="FA191" s="322" t="n"/>
      <c r="FB191" s="408" t="n"/>
      <c r="FC191" s="307" t="n"/>
      <c r="FD191" s="408" t="n"/>
      <c r="FE191" s="322" t="n"/>
      <c r="FF191" s="408" t="n"/>
      <c r="FG191" s="307" t="n"/>
      <c r="FH191" s="408" t="n"/>
      <c r="FI191" s="322" t="n"/>
      <c r="FJ191" s="408" t="n"/>
      <c r="FK191" s="307" t="n"/>
      <c r="FL191" s="408" t="n"/>
      <c r="FM191" s="322" t="n"/>
      <c r="FN191" s="408" t="n"/>
      <c r="FO191" s="307" t="n"/>
      <c r="FP191" s="408" t="n"/>
      <c r="FQ191" s="340" t="n"/>
      <c r="FR191" s="820" t="n"/>
      <c r="FS191" s="820">
        <f>SUMPRODUCT(--(MOD(COLUMN(DU191:ER191),4)=MOD(COLUMN(DU191),4)),DU191:ER191)*$I191+SUMPRODUCT(--(MOD(COLUMN(ES191:FP191),4)=MOD(COLUMN(ES191),4)),ES191:FP191)*$I191</f>
        <v/>
      </c>
      <c r="FT191" s="361" t="n"/>
    </row>
    <row r="192" outlineLevel="2">
      <c r="A192" s="413" t="inlineStr">
        <is>
          <t>ПАО «Уралавтоприцеп»</t>
        </is>
      </c>
      <c r="B192" s="444" t="inlineStr">
        <is>
          <t>Отсрочка 30 дней</t>
        </is>
      </c>
      <c r="C192" s="587" t="inlineStr">
        <is>
          <t>ВБК РУС</t>
        </is>
      </c>
      <c r="D192" s="580" t="inlineStr">
        <is>
          <t>Прасолов, Соловьёв</t>
        </is>
      </c>
      <c r="E192" s="414">
        <f>IF(ISBLANK(G192),"",IF($A$6:$A$330=$A192,COUNTIF($A$6:A192,$A192),""))</f>
        <v/>
      </c>
      <c r="F192" s="670" t="n">
        <v>2</v>
      </c>
      <c r="G192" s="501" t="n">
        <v>8946000320</v>
      </c>
      <c r="H192" s="611" t="inlineStr">
        <is>
          <t>Кабель соединительный, 40 м</t>
        </is>
      </c>
      <c r="I192" s="618" t="n">
        <v>0</v>
      </c>
      <c r="J192" s="619" t="n"/>
      <c r="K192" s="876" t="n"/>
      <c r="L192" s="619" t="n"/>
      <c r="M192" s="871" t="n"/>
      <c r="N192" s="871">
        <f>IF(BP192&gt;0,1,IF(BN192&gt;0,2,))</f>
        <v/>
      </c>
      <c r="O192" s="322" t="n"/>
      <c r="P192" s="408">
        <f>SUMPRODUCT((Комплекты[Пр]=$F192)*(Комплекты[Обозначение]=$G192)*Комплекты[Кол-во]*(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/>
      </c>
      <c r="Q192" s="307" t="n">
        <v>2</v>
      </c>
      <c r="R192" s="408" t="n"/>
      <c r="S192" s="322" t="n"/>
      <c r="T192" s="408">
        <f>SUMPRODUCT((Комплекты[Пр]=$F192)*(Комплекты[Обозначение]=$G192)*Комплекты[Кол-во]*(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/>
      </c>
      <c r="U192" s="307">
        <f>SUMPRODUCT((Комплекты[Пр]=$F192)*(Комплекты[Обозначение]=$G192)*Комплекты[Кол-во]*(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/>
      </c>
      <c r="V192" s="408" t="n"/>
      <c r="W192" s="322" t="n"/>
      <c r="X192" s="408">
        <f>SUMPRODUCT((Комплекты[Пр]=$F192)*(Комплекты[Обозначение]=$G192)*Комплекты[Кол-во]*(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/>
      </c>
      <c r="Y192" s="307">
        <f>SUMPRODUCT((Комплекты[Пр]=$F192)*(Комплекты[Обозначение]=$G192)*Комплекты[Кол-во]*(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/>
      </c>
      <c r="Z192" s="408" t="n"/>
      <c r="AA192" s="322" t="n"/>
      <c r="AB192" s="408">
        <f>SUMPRODUCT((Комплекты[Пр]=$F192)*(Комплекты[Обозначение]=$G192)*Комплекты[Кол-во]*(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/>
      </c>
      <c r="AC192" s="307" t="n">
        <v>0</v>
      </c>
      <c r="AD192" s="408" t="n"/>
      <c r="AE192" s="322" t="n"/>
      <c r="AF192" s="408">
        <f>SUMPRODUCT((Комплекты[Пр]=$F192)*(Комплекты[Обозначение]=$G192)*Комплекты[Кол-во]*(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/>
      </c>
      <c r="AG192" s="307">
        <f>SUMPRODUCT((Комплекты[Пр]=$F192)*(Комплекты[Обозначение]=$G192)*Комплекты[Кол-во]*(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/>
      </c>
      <c r="AH192" s="408" t="n"/>
      <c r="AI192" s="322" t="n"/>
      <c r="AJ192" s="408">
        <f>SUMPRODUCT((Комплекты[Пр]=$F192)*(Комплекты[Обозначение]=$G192)*Комплекты[Кол-во]*(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/>
      </c>
      <c r="AK192" s="307" t="n"/>
      <c r="AL192" s="408" t="n"/>
      <c r="AM192" s="322" t="n"/>
      <c r="AN192" s="408">
        <f>SUMPRODUCT((Комплекты[Пр]=$F192)*(Комплекты[Обозначение]=$G192)*Комплекты[Кол-во]*(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/>
      </c>
      <c r="AO192" s="307" t="n"/>
      <c r="AP192" s="408" t="n"/>
      <c r="AQ192" s="322" t="n"/>
      <c r="AR192" s="408">
        <f>SUMPRODUCT((Комплекты[Пр]=$F192)*(Комплекты[Обозначение]=$G192)*Комплекты[Кол-во]*(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/>
      </c>
      <c r="AS192" s="307" t="n"/>
      <c r="AT192" s="408" t="n"/>
      <c r="AU192" s="322" t="n"/>
      <c r="AV192" s="408">
        <f>SUMPRODUCT((Комплекты[Пр]=$F192)*(Комплекты[Обозначение]=$G192)*Комплекты[Кол-во]*(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/>
      </c>
      <c r="AW192" s="307" t="n"/>
      <c r="AX192" s="408" t="n"/>
      <c r="AY192" s="322" t="n"/>
      <c r="AZ192" s="408">
        <f>SUMPRODUCT((Комплекты[Пр]=$F192)*(Комплекты[Обозначение]=$G192)*Комплекты[Кол-во]*(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/>
      </c>
      <c r="BA192" s="307" t="n"/>
      <c r="BB192" s="408" t="n"/>
      <c r="BC192" s="322" t="n"/>
      <c r="BD192" s="408">
        <f>SUMPRODUCT((Комплекты[Пр]=$F192)*(Комплекты[Обозначение]=$G192)*Комплекты[Кол-во]*(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/>
      </c>
      <c r="BE192" s="307" t="n"/>
      <c r="BF192" s="408" t="n"/>
      <c r="BG192" s="322" t="n"/>
      <c r="BH192" s="408">
        <f>SUMPRODUCT((Комплекты[Пр]=$F192)*(Комплекты[Обозначение]=$G192)*Комплекты[Кол-во]*(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/>
      </c>
      <c r="BI192" s="307" t="n"/>
      <c r="BJ192" s="408" t="n"/>
      <c r="BK192" s="340" t="n"/>
      <c r="BL192" s="820">
        <f>SUMPRODUCT(--(MOD(COLUMN($O192:$AL192),4)=MOD(COLUMN($O192)+0,4)),$O192:$AL192)
+SUMPRODUCT(--(MOD(COLUMN($AM192:$BJ192),4)=MOD(COLUMN($AM192)+0,4)),$AM192:$BJ192)</f>
        <v/>
      </c>
      <c r="BM192" s="820">
        <f>SUMPRODUCT(--(MOD(COLUMN($O192:$AL192),4)=MOD(COLUMN($O192)+0,4)),$O192:$AL192)*
$I192+SUMPRODUCT(--(MOD(COLUMN($AM192:$BJ192),4)=MOD(COLUMN($AM192)+0,4)),$AM192:$BJ192)*$I192</f>
        <v/>
      </c>
      <c r="BN192" s="822">
        <f>SUMPRODUCT(--(MOD(COLUMN($O192:$AL192),4)=MOD(COLUMN($O192)+1,4)),$O192:$AL192)
+SUMPRODUCT(--(MOD(COLUMN($AM192:$BJ192),4)=MOD(COLUMN($AM192)+1,4)),$AM192:$BJ192)</f>
        <v/>
      </c>
      <c r="BO192" s="823">
        <f>SUMPRODUCT(--(MOD(COLUMN($O192:$AL192),4)=MOD(COLUMN($O192)+1,4)),$O192:$AL192)*
$I192+SUMPRODUCT(--(MOD(COLUMN($AM192:$BJ192),4)=MOD(COLUMN($AM192)+1,4)),$AM192:$BJ192)*$I192</f>
        <v/>
      </c>
      <c r="BP192" s="824">
        <f>SUMPRODUCT(--(MOD(COLUMN($O192:$AL192),4)=MOD(COLUMN($O192)+2,4)),$O192:$AL192)
+SUMPRODUCT(--(MOD(COLUMN($AM192:$BJ192),4)=MOD(COLUMN($AM192)+2,4)),$AM192:$BJ192)</f>
        <v/>
      </c>
      <c r="BQ192" s="825">
        <f>SUMPRODUCT(--(MOD(COLUMN($O192:$AL192),4)=MOD(COLUMN($O192)+2,4)),$O192:$AL192)*
$I192+SUMPRODUCT(--(MOD(COLUMN($AM192:$BJ192),4)=MOD(COLUMN($AM192)+2,4)),$AM192:$BJ192)*$I192</f>
        <v/>
      </c>
      <c r="BR192" s="819" t="n"/>
      <c r="BS192" s="819" t="n"/>
      <c r="BT192" s="322" t="n"/>
      <c r="BU192" s="408" t="n"/>
      <c r="BV192" s="307" t="n"/>
      <c r="BW192" s="408" t="n"/>
      <c r="BX192" s="322" t="n"/>
      <c r="BY192" s="408" t="n"/>
      <c r="BZ192" s="307" t="n"/>
      <c r="CA192" s="408" t="n"/>
      <c r="CB192" s="322" t="n"/>
      <c r="CC192" s="408" t="n"/>
      <c r="CD192" s="307" t="n"/>
      <c r="CE192" s="408" t="n"/>
      <c r="CF192" s="322" t="n"/>
      <c r="CG192" s="408" t="n"/>
      <c r="CH192" s="307" t="n"/>
      <c r="CI192" s="408" t="n"/>
      <c r="CJ192" s="322" t="n"/>
      <c r="CK192" s="408" t="n"/>
      <c r="CL192" s="307" t="n"/>
      <c r="CM192" s="408" t="n"/>
      <c r="CN192" s="322" t="n"/>
      <c r="CO192" s="408" t="n"/>
      <c r="CP192" s="307" t="n"/>
      <c r="CQ192" s="408" t="n"/>
      <c r="CR192" s="322" t="n"/>
      <c r="CS192" s="408" t="n"/>
      <c r="CT192" s="307" t="n"/>
      <c r="CU192" s="408" t="n"/>
      <c r="CV192" s="322" t="n"/>
      <c r="CW192" s="408" t="n"/>
      <c r="CX192" s="307" t="n"/>
      <c r="CY192" s="408" t="n"/>
      <c r="CZ192" s="322" t="n"/>
      <c r="DA192" s="408" t="n"/>
      <c r="DB192" s="307" t="n"/>
      <c r="DC192" s="408" t="n"/>
      <c r="DD192" s="322" t="n"/>
      <c r="DE192" s="408" t="n"/>
      <c r="DF192" s="307" t="n"/>
      <c r="DG192" s="408" t="n"/>
      <c r="DH192" s="322" t="n"/>
      <c r="DI192" s="408" t="n"/>
      <c r="DJ192" s="307" t="n"/>
      <c r="DK192" s="408" t="n"/>
      <c r="DL192" s="322" t="n"/>
      <c r="DM192" s="408" t="n"/>
      <c r="DN192" s="307" t="n"/>
      <c r="DO192" s="408" t="n"/>
      <c r="DP192" s="340" t="n"/>
      <c r="DQ192" s="820" t="n"/>
      <c r="DR192" s="820">
        <f>SUMPRODUCT(--(MOD(COLUMN(BT192:CQ192),4)=MOD(COLUMN(BT192),4)),BT192:CQ192)*$I192+SUMPRODUCT(--(MOD(COLUMN(CR192:DO192),4)=MOD(COLUMN(CR192),4)),CR192:DO192)*$I192</f>
        <v/>
      </c>
      <c r="DS192" s="819" t="n"/>
      <c r="DT192" s="819" t="n"/>
      <c r="DU192" s="322" t="n"/>
      <c r="DV192" s="408" t="n"/>
      <c r="DW192" s="307" t="n"/>
      <c r="DX192" s="408" t="n"/>
      <c r="DY192" s="322" t="n"/>
      <c r="DZ192" s="408" t="n"/>
      <c r="EA192" s="307" t="n"/>
      <c r="EB192" s="408" t="n"/>
      <c r="EC192" s="322" t="n"/>
      <c r="ED192" s="408" t="n"/>
      <c r="EE192" s="307" t="n"/>
      <c r="EF192" s="408" t="n"/>
      <c r="EG192" s="322" t="n"/>
      <c r="EH192" s="408" t="n"/>
      <c r="EI192" s="307" t="n"/>
      <c r="EJ192" s="408" t="n"/>
      <c r="EK192" s="322" t="n"/>
      <c r="EL192" s="408" t="n"/>
      <c r="EM192" s="307" t="n"/>
      <c r="EN192" s="408" t="n"/>
      <c r="EO192" s="322" t="n"/>
      <c r="EP192" s="408" t="n"/>
      <c r="EQ192" s="307" t="n"/>
      <c r="ER192" s="408" t="n"/>
      <c r="ES192" s="322" t="n"/>
      <c r="ET192" s="408" t="n"/>
      <c r="EU192" s="307" t="n"/>
      <c r="EV192" s="408" t="n"/>
      <c r="EW192" s="322" t="n"/>
      <c r="EX192" s="408" t="n"/>
      <c r="EY192" s="307" t="n"/>
      <c r="EZ192" s="408" t="n"/>
      <c r="FA192" s="322" t="n"/>
      <c r="FB192" s="408" t="n"/>
      <c r="FC192" s="307" t="n"/>
      <c r="FD192" s="408" t="n"/>
      <c r="FE192" s="322" t="n"/>
      <c r="FF192" s="408" t="n"/>
      <c r="FG192" s="307" t="n"/>
      <c r="FH192" s="408" t="n"/>
      <c r="FI192" s="322" t="n"/>
      <c r="FJ192" s="408" t="n"/>
      <c r="FK192" s="307" t="n"/>
      <c r="FL192" s="408" t="n"/>
      <c r="FM192" s="322" t="n"/>
      <c r="FN192" s="408" t="n"/>
      <c r="FO192" s="307" t="n"/>
      <c r="FP192" s="408" t="n"/>
      <c r="FQ192" s="340" t="n"/>
      <c r="FR192" s="820" t="n"/>
      <c r="FS192" s="820">
        <f>SUMPRODUCT(--(MOD(COLUMN(DU192:ER192),4)=MOD(COLUMN(DU192),4)),DU192:ER192)*$I192+SUMPRODUCT(--(MOD(COLUMN(ES192:FP192),4)=MOD(COLUMN(ES192),4)),ES192:FP192)*$I192</f>
        <v/>
      </c>
      <c r="FT192" s="361" t="n"/>
    </row>
    <row r="193" outlineLevel="2">
      <c r="A193" s="56" t="inlineStr">
        <is>
          <t>ПАО «Уралавтоприцеп»</t>
        </is>
      </c>
      <c r="B193" s="387" t="n"/>
      <c r="C193" s="541" t="n"/>
      <c r="D193" s="565" t="n"/>
      <c r="E193" s="13">
        <f>IF(ISBLANK(G193),"",IF($A$6:$A$330=$A193,COUNTIF($A$6:A193,$A193),""))</f>
        <v/>
      </c>
      <c r="F193" s="13" t="n"/>
      <c r="G193" s="111" t="n"/>
      <c r="H193" s="607" t="inlineStr">
        <is>
          <t>Итого</t>
        </is>
      </c>
      <c r="I193" s="617" t="n"/>
      <c r="J193" s="617" t="n"/>
      <c r="K193" s="872" t="n"/>
      <c r="L193" s="617">
        <f>IF(K193="RUB",J193/ЮАНЬ,IF(K193="EUR",J193*ЕВРО/ЮАНЬ,""))</f>
        <v/>
      </c>
      <c r="M193" s="873" t="n"/>
      <c r="N193" s="871">
        <f>IF(BP193&gt;0,1,IF(BN193&gt;0,2,))</f>
        <v/>
      </c>
      <c r="O193" s="40" t="n"/>
      <c r="P193" s="41" t="n"/>
      <c r="Q193" s="42" t="n"/>
      <c r="R193" s="41" t="n"/>
      <c r="S193" s="40" t="n"/>
      <c r="T193" s="41" t="n"/>
      <c r="U193" s="42" t="n"/>
      <c r="V193" s="41" t="n"/>
      <c r="W193" s="40" t="n"/>
      <c r="X193" s="41" t="n"/>
      <c r="Y193" s="42" t="n"/>
      <c r="Z193" s="41" t="n"/>
      <c r="AA193" s="40" t="n"/>
      <c r="AB193" s="41" t="n"/>
      <c r="AC193" s="42" t="n"/>
      <c r="AD193" s="41" t="n"/>
      <c r="AE193" s="40" t="n"/>
      <c r="AF193" s="41" t="n"/>
      <c r="AG193" s="42" t="n"/>
      <c r="AH193" s="41" t="n"/>
      <c r="AI193" s="40" t="n"/>
      <c r="AJ193" s="41" t="n"/>
      <c r="AK193" s="42" t="n"/>
      <c r="AL193" s="41" t="n"/>
      <c r="AM193" s="40" t="n"/>
      <c r="AN193" s="41" t="n"/>
      <c r="AO193" s="42" t="n"/>
      <c r="AP193" s="41" t="n"/>
      <c r="AQ193" s="40" t="n"/>
      <c r="AR193" s="41" t="n"/>
      <c r="AS193" s="42" t="n"/>
      <c r="AT193" s="41" t="n"/>
      <c r="AU193" s="40" t="n"/>
      <c r="AV193" s="41" t="n"/>
      <c r="AW193" s="42" t="n"/>
      <c r="AX193" s="41" t="n"/>
      <c r="AY193" s="40" t="n"/>
      <c r="AZ193" s="41" t="n"/>
      <c r="BA193" s="42" t="n"/>
      <c r="BB193" s="41" t="n"/>
      <c r="BC193" s="40" t="n"/>
      <c r="BD193" s="41" t="n"/>
      <c r="BE193" s="42" t="n"/>
      <c r="BF193" s="41" t="n"/>
      <c r="BG193" s="40" t="n"/>
      <c r="BH193" s="41" t="n"/>
      <c r="BI193" s="42" t="n"/>
      <c r="BJ193" s="43" t="n"/>
      <c r="BK193" s="341" t="n"/>
      <c r="BL193" s="811">
        <f>SUMPRODUCT(--(MOD(COLUMN($O193:$AL193),4)=MOD(COLUMN($O193)+0,4)),$O193:$AL193)
+SUMPRODUCT(--(MOD(COLUMN($AM193:$BJ193),4)=MOD(COLUMN($AM193)+0,4)),$AM193:$BJ193)</f>
        <v/>
      </c>
      <c r="BM193" s="811">
        <f>SUMPRODUCT(--(MOD(COLUMN($O193:$AL193),4)=MOD(COLUMN($O193)+0,4)),$O193:$AL193)*
$I193+SUMPRODUCT(--(MOD(COLUMN($AM193:$BJ193),4)=MOD(COLUMN($AM193)+0,4)),$AM193:$BJ193)*$I193</f>
        <v/>
      </c>
      <c r="BN193" s="805">
        <f>SUMPRODUCT(--(MOD(COLUMN($O193:$AL193),4)=MOD(COLUMN($O193)+1,4)),$O193:$AL193)
+SUMPRODUCT(--(MOD(COLUMN($AM193:$BJ193),4)=MOD(COLUMN($AM193)+1,4)),$AM193:$BJ193)</f>
        <v/>
      </c>
      <c r="BO193" s="806">
        <f>SUMPRODUCT(--(MOD(COLUMN($O193:$AL193),4)=MOD(COLUMN($O193)+1,4)),$O193:$AL193)*
$I193+SUMPRODUCT(--(MOD(COLUMN($AM193:$BJ193),4)=MOD(COLUMN($AM193)+1,4)),$AM193:$BJ193)*$I193</f>
        <v/>
      </c>
      <c r="BP193" s="807">
        <f>SUMPRODUCT(--(MOD(COLUMN($O193:$AL193),4)=MOD(COLUMN($O193)+2,4)),$O193:$AL193)
+SUMPRODUCT(--(MOD(COLUMN($AM193:$BJ193),4)=MOD(COLUMN($AM193)+2,4)),$AM193:$BJ193)</f>
        <v/>
      </c>
      <c r="BQ193" s="808">
        <f>SUMPRODUCT(--(MOD(COLUMN($O193:$AL193),4)=MOD(COLUMN($O193)+2,4)),$O193:$AL193)*
$I193+SUMPRODUCT(--(MOD(COLUMN($AM193:$BJ193),4)=MOD(COLUMN($AM193)+2,4)),$AM193:$BJ193)*$I193</f>
        <v/>
      </c>
      <c r="BR193" s="801" t="n"/>
      <c r="BS193" s="819" t="n"/>
      <c r="BT193" s="40" t="n"/>
      <c r="BU193" s="41" t="n"/>
      <c r="BV193" s="42" t="n"/>
      <c r="BW193" s="41" t="n"/>
      <c r="BX193" s="40" t="n"/>
      <c r="BY193" s="41" t="n"/>
      <c r="BZ193" s="42" t="n"/>
      <c r="CA193" s="41" t="n"/>
      <c r="CB193" s="40" t="n"/>
      <c r="CC193" s="41" t="n"/>
      <c r="CD193" s="42" t="n"/>
      <c r="CE193" s="41" t="n"/>
      <c r="CF193" s="40" t="n"/>
      <c r="CG193" s="41" t="n"/>
      <c r="CH193" s="42" t="n"/>
      <c r="CI193" s="41" t="n"/>
      <c r="CJ193" s="40" t="n"/>
      <c r="CK193" s="41" t="n"/>
      <c r="CL193" s="42" t="n"/>
      <c r="CM193" s="41" t="n"/>
      <c r="CN193" s="40" t="n"/>
      <c r="CO193" s="41" t="n"/>
      <c r="CP193" s="42" t="n"/>
      <c r="CQ193" s="41" t="n"/>
      <c r="CR193" s="40" t="n"/>
      <c r="CS193" s="41" t="n"/>
      <c r="CT193" s="42" t="n"/>
      <c r="CU193" s="41" t="n"/>
      <c r="CV193" s="40" t="n"/>
      <c r="CW193" s="41" t="n"/>
      <c r="CX193" s="42" t="n"/>
      <c r="CY193" s="41" t="n"/>
      <c r="CZ193" s="40" t="n"/>
      <c r="DA193" s="41" t="n"/>
      <c r="DB193" s="42" t="n"/>
      <c r="DC193" s="41" t="n"/>
      <c r="DD193" s="40" t="n"/>
      <c r="DE193" s="41" t="n"/>
      <c r="DF193" s="42" t="n"/>
      <c r="DG193" s="41" t="n"/>
      <c r="DH193" s="40" t="n"/>
      <c r="DI193" s="41" t="n"/>
      <c r="DJ193" s="42" t="n"/>
      <c r="DK193" s="41" t="n"/>
      <c r="DL193" s="40" t="n"/>
      <c r="DM193" s="41" t="n"/>
      <c r="DN193" s="42" t="n"/>
      <c r="DO193" s="43" t="n"/>
      <c r="DP193" s="341" t="n"/>
      <c r="DQ193" s="811">
        <f>SUMPRODUCT(--(MOD(COLUMN(BT193:CQ193),4)=MOD(COLUMN(BT193),4)),BT193:CQ193)+SUMPRODUCT(--(MOD(COLUMN(CR193:DO193),4)=MOD(COLUMN(CR193),4)),CR193:DO193)</f>
        <v/>
      </c>
      <c r="DR193" s="811">
        <f>SUMPRODUCT(--(MOD(COLUMN(BT193:CQ193),4)=MOD(COLUMN(BT193),4)),BT193:CQ193)*$I193+SUMPRODUCT(--(MOD(COLUMN(CR193:DO193),4)=MOD(COLUMN(CR193),4)),CR193:DO193)*$I193</f>
        <v/>
      </c>
      <c r="DS193" s="801" t="n"/>
      <c r="DT193" s="819" t="n"/>
      <c r="DU193" s="40" t="n"/>
      <c r="DV193" s="41" t="n"/>
      <c r="DW193" s="42" t="n"/>
      <c r="DX193" s="41" t="n"/>
      <c r="DY193" s="40" t="n"/>
      <c r="DZ193" s="41" t="n"/>
      <c r="EA193" s="42" t="n"/>
      <c r="EB193" s="41" t="n"/>
      <c r="EC193" s="40" t="n"/>
      <c r="ED193" s="41" t="n"/>
      <c r="EE193" s="42" t="n"/>
      <c r="EF193" s="41" t="n"/>
      <c r="EG193" s="40" t="n"/>
      <c r="EH193" s="41" t="n"/>
      <c r="EI193" s="42" t="n"/>
      <c r="EJ193" s="41" t="n"/>
      <c r="EK193" s="40" t="n"/>
      <c r="EL193" s="41" t="n"/>
      <c r="EM193" s="42" t="n"/>
      <c r="EN193" s="41" t="n"/>
      <c r="EO193" s="40" t="n"/>
      <c r="EP193" s="41" t="n"/>
      <c r="EQ193" s="42" t="n"/>
      <c r="ER193" s="41" t="n"/>
      <c r="ES193" s="40" t="n"/>
      <c r="ET193" s="41" t="n"/>
      <c r="EU193" s="42" t="n"/>
      <c r="EV193" s="41" t="n"/>
      <c r="EW193" s="40" t="n"/>
      <c r="EX193" s="41" t="n"/>
      <c r="EY193" s="42" t="n"/>
      <c r="EZ193" s="41" t="n"/>
      <c r="FA193" s="40" t="n"/>
      <c r="FB193" s="41" t="n"/>
      <c r="FC193" s="42" t="n"/>
      <c r="FD193" s="41" t="n"/>
      <c r="FE193" s="40" t="n"/>
      <c r="FF193" s="41" t="n"/>
      <c r="FG193" s="42" t="n"/>
      <c r="FH193" s="41" t="n"/>
      <c r="FI193" s="40" t="n"/>
      <c r="FJ193" s="41" t="n"/>
      <c r="FK193" s="42" t="n"/>
      <c r="FL193" s="41" t="n"/>
      <c r="FM193" s="40" t="n"/>
      <c r="FN193" s="41" t="n"/>
      <c r="FO193" s="42" t="n"/>
      <c r="FP193" s="43" t="n"/>
      <c r="FQ193" s="341" t="n"/>
      <c r="FR193" s="811">
        <f>SUMPRODUCT(--(MOD(COLUMN(DU193:ER193),4)=MOD(COLUMN(DU193),4)),DU193:ER193)+SUMPRODUCT(--(MOD(COLUMN(ES193:FP193),4)=MOD(COLUMN(ES193),4)),ES193:FP193)</f>
        <v/>
      </c>
      <c r="FS193" s="811">
        <f>SUMPRODUCT(--(MOD(COLUMN(DU193:ER193),4)=MOD(COLUMN(DU193),4)),DU193:ER193)*$I193+SUMPRODUCT(--(MOD(COLUMN(ES193:FP193),4)=MOD(COLUMN(ES193),4)),ES193:FP193)*$I193</f>
        <v/>
      </c>
      <c r="FT193" s="361" t="n"/>
    </row>
    <row r="194" outlineLevel="1" customFormat="1" s="116">
      <c r="A194" s="46" t="inlineStr">
        <is>
          <t>ПАО «Уралавтоприцеп»</t>
        </is>
      </c>
      <c r="B194" s="388" t="n"/>
      <c r="C194" s="650" t="n"/>
      <c r="D194" s="651" t="n"/>
      <c r="E194" s="118">
        <f>IF(ISBLANK(G194),"",IF($A$6:$A$330=$A194,COUNTIF($A$6:A194,$A194),""))</f>
        <v/>
      </c>
      <c r="F194" s="117" t="n"/>
      <c r="G194" s="119" t="n"/>
      <c r="H194" s="608" t="n"/>
      <c r="I194" s="620" t="n"/>
      <c r="J194" s="620" t="n"/>
      <c r="K194" s="120" t="n"/>
      <c r="L194" s="620">
        <f>IF(K194="RUB",J194/ЮАНЬ,IF(K194="EUR",J194*ЕВРО/ЮАНЬ,""))</f>
        <v/>
      </c>
      <c r="M194" s="873" t="n"/>
      <c r="N194" s="871">
        <f>IF(BP194&gt;0,1,IF(BN194&gt;0,2,))</f>
        <v/>
      </c>
      <c r="O194" s="121" t="n"/>
      <c r="P194" s="121" t="n"/>
      <c r="Q194" s="121" t="n"/>
      <c r="R194" s="121" t="n"/>
      <c r="S194" s="121" t="n"/>
      <c r="T194" s="121" t="n"/>
      <c r="U194" s="121" t="n"/>
      <c r="V194" s="121" t="n"/>
      <c r="W194" s="121" t="n"/>
      <c r="X194" s="121" t="n"/>
      <c r="Y194" s="121" t="n"/>
      <c r="Z194" s="121" t="n"/>
      <c r="AA194" s="121" t="n"/>
      <c r="AB194" s="121" t="n"/>
      <c r="AC194" s="121" t="n"/>
      <c r="AD194" s="121" t="n"/>
      <c r="AE194" s="121" t="n"/>
      <c r="AF194" s="121" t="n"/>
      <c r="AG194" s="121" t="n"/>
      <c r="AH194" s="121" t="n"/>
      <c r="AI194" s="121" t="n"/>
      <c r="AJ194" s="121" t="n"/>
      <c r="AK194" s="121" t="n"/>
      <c r="AL194" s="121" t="n"/>
      <c r="AM194" s="121" t="n"/>
      <c r="AN194" s="121" t="n"/>
      <c r="AO194" s="121" t="n"/>
      <c r="AP194" s="121" t="n"/>
      <c r="AQ194" s="121" t="n"/>
      <c r="AR194" s="121" t="n"/>
      <c r="AS194" s="121" t="n"/>
      <c r="AT194" s="121" t="n"/>
      <c r="AU194" s="121" t="n"/>
      <c r="AV194" s="121" t="n"/>
      <c r="AW194" s="121" t="n"/>
      <c r="AX194" s="121" t="n"/>
      <c r="AY194" s="121" t="n"/>
      <c r="AZ194" s="121" t="n"/>
      <c r="BA194" s="121" t="n"/>
      <c r="BB194" s="121" t="n"/>
      <c r="BC194" s="121" t="n"/>
      <c r="BD194" s="121" t="n"/>
      <c r="BE194" s="121" t="n"/>
      <c r="BF194" s="121" t="n"/>
      <c r="BG194" s="121" t="n"/>
      <c r="BH194" s="121" t="n"/>
      <c r="BI194" s="121" t="n"/>
      <c r="BJ194" s="121" t="n"/>
      <c r="BK194" s="356" t="n"/>
      <c r="BL194" s="814">
        <f>SUMPRODUCT(--(MOD(COLUMN($O194:$AL194),4)=MOD(COLUMN($O194)+0,4)),$O194:$AL194)
+SUMPRODUCT(--(MOD(COLUMN($AM194:$BJ194),4)=MOD(COLUMN($AM194)+0,4)),$AM194:$BJ194)</f>
        <v/>
      </c>
      <c r="BM194" s="814">
        <f>SUMPRODUCT(--(MOD(COLUMN($O194:$AL194),4)=MOD(COLUMN($O194)+0,4)),$O194:$AL194)*
$I194+SUMPRODUCT(--(MOD(COLUMN($AM194:$BJ194),4)=MOD(COLUMN($AM194)+0,4)),$AM194:$BJ194)*$I194</f>
        <v/>
      </c>
      <c r="BN194" s="814">
        <f>SUMPRODUCT(--(MOD(COLUMN($O194:$AL194),4)=MOD(COLUMN($O194)+1,4)),$O194:$AL194)
+SUMPRODUCT(--(MOD(COLUMN($AM194:$BJ194),4)=MOD(COLUMN($AM194)+1,4)),$AM194:$BJ194)</f>
        <v/>
      </c>
      <c r="BO194" s="814">
        <f>SUMPRODUCT(--(MOD(COLUMN($O194:$AL194),4)=MOD(COLUMN($O194)+1,4)),$O194:$AL194)*
$I194+SUMPRODUCT(--(MOD(COLUMN($AM194:$BJ194),4)=MOD(COLUMN($AM194)+1,4)),$AM194:$BJ194)*$I194</f>
        <v/>
      </c>
      <c r="BP194" s="814">
        <f>SUMPRODUCT(--(MOD(COLUMN($O194:$AL194),4)=MOD(COLUMN($O194)+2,4)),$O194:$AL194)
+SUMPRODUCT(--(MOD(COLUMN($AM194:$BJ194),4)=MOD(COLUMN($AM194)+2,4)),$AM194:$BJ194)</f>
        <v/>
      </c>
      <c r="BQ194" s="814">
        <f>SUMPRODUCT(--(MOD(COLUMN($O194:$AL194),4)=MOD(COLUMN($O194)+2,4)),$O194:$AL194)*
$I194+SUMPRODUCT(--(MOD(COLUMN($AM194:$BJ194),4)=MOD(COLUMN($AM194)+2,4)),$AM194:$BJ194)*$I194</f>
        <v/>
      </c>
      <c r="BR194" s="51" t="n"/>
      <c r="BS194" s="335" t="n"/>
      <c r="BT194" s="121" t="n"/>
      <c r="BU194" s="121" t="n"/>
      <c r="BV194" s="121" t="n"/>
      <c r="BW194" s="121" t="n"/>
      <c r="BX194" s="121" t="n"/>
      <c r="BY194" s="121" t="n"/>
      <c r="BZ194" s="121" t="n"/>
      <c r="CA194" s="121" t="n"/>
      <c r="CB194" s="121" t="n"/>
      <c r="CC194" s="121" t="n"/>
      <c r="CD194" s="121" t="n"/>
      <c r="CE194" s="121" t="n"/>
      <c r="CF194" s="121" t="n"/>
      <c r="CG194" s="121" t="n"/>
      <c r="CH194" s="121" t="n"/>
      <c r="CI194" s="121" t="n"/>
      <c r="CJ194" s="121" t="n"/>
      <c r="CK194" s="121" t="n"/>
      <c r="CL194" s="121" t="n"/>
      <c r="CM194" s="121" t="n"/>
      <c r="CN194" s="121" t="n"/>
      <c r="CO194" s="121" t="n"/>
      <c r="CP194" s="121" t="n"/>
      <c r="CQ194" s="121" t="n"/>
      <c r="CR194" s="121" t="n"/>
      <c r="CS194" s="121" t="n"/>
      <c r="CT194" s="121" t="n"/>
      <c r="CU194" s="121" t="n"/>
      <c r="CV194" s="121" t="n"/>
      <c r="CW194" s="121" t="n"/>
      <c r="CX194" s="121" t="n"/>
      <c r="CY194" s="121" t="n"/>
      <c r="CZ194" s="121" t="n"/>
      <c r="DA194" s="121" t="n"/>
      <c r="DB194" s="121" t="n"/>
      <c r="DC194" s="121" t="n"/>
      <c r="DD194" s="121" t="n"/>
      <c r="DE194" s="121" t="n"/>
      <c r="DF194" s="121" t="n"/>
      <c r="DG194" s="121" t="n"/>
      <c r="DH194" s="121" t="n"/>
      <c r="DI194" s="121" t="n"/>
      <c r="DJ194" s="121" t="n"/>
      <c r="DK194" s="121" t="n"/>
      <c r="DL194" s="121" t="n"/>
      <c r="DM194" s="121" t="n"/>
      <c r="DN194" s="121" t="n"/>
      <c r="DO194" s="121" t="n"/>
      <c r="DP194" s="356" t="n"/>
      <c r="DQ194" s="814">
        <f>SUMPRODUCT(--(MOD(COLUMN(BT194:CQ194),4)=MOD(COLUMN(BT194),4)),BT194:CQ194)+SUMPRODUCT(--(MOD(COLUMN(CR194:DO194),4)=MOD(COLUMN(CR194),4)),CR194:DO194)</f>
        <v/>
      </c>
      <c r="DR194" s="814">
        <f>SUMPRODUCT(--(MOD(COLUMN(BT194:CQ194),4)=MOD(COLUMN(BT194),4)),BT194:CQ194)*$I194+SUMPRODUCT(--(MOD(COLUMN(CR194:DO194),4)=MOD(COLUMN(CR194),4)),CR194:DO194)*$I194</f>
        <v/>
      </c>
      <c r="DS194" s="51" t="n"/>
      <c r="DT194" s="335" t="n"/>
      <c r="DU194" s="121" t="n"/>
      <c r="DV194" s="121" t="n"/>
      <c r="DW194" s="121" t="n"/>
      <c r="DX194" s="121" t="n"/>
      <c r="DY194" s="121" t="n"/>
      <c r="DZ194" s="121" t="n"/>
      <c r="EA194" s="121" t="n"/>
      <c r="EB194" s="121" t="n"/>
      <c r="EC194" s="121" t="n"/>
      <c r="ED194" s="121" t="n"/>
      <c r="EE194" s="121" t="n"/>
      <c r="EF194" s="121" t="n"/>
      <c r="EG194" s="121" t="n"/>
      <c r="EH194" s="121" t="n"/>
      <c r="EI194" s="121" t="n"/>
      <c r="EJ194" s="121" t="n"/>
      <c r="EK194" s="121" t="n"/>
      <c r="EL194" s="121" t="n"/>
      <c r="EM194" s="121" t="n"/>
      <c r="EN194" s="121" t="n"/>
      <c r="EO194" s="121" t="n"/>
      <c r="EP194" s="121" t="n"/>
      <c r="EQ194" s="121" t="n"/>
      <c r="ER194" s="121" t="n"/>
      <c r="ES194" s="121" t="n"/>
      <c r="ET194" s="121" t="n"/>
      <c r="EU194" s="121" t="n"/>
      <c r="EV194" s="121" t="n"/>
      <c r="EW194" s="121" t="n"/>
      <c r="EX194" s="121" t="n"/>
      <c r="EY194" s="121" t="n"/>
      <c r="EZ194" s="121" t="n"/>
      <c r="FA194" s="121" t="n"/>
      <c r="FB194" s="121" t="n"/>
      <c r="FC194" s="121" t="n"/>
      <c r="FD194" s="121" t="n"/>
      <c r="FE194" s="121" t="n"/>
      <c r="FF194" s="121" t="n"/>
      <c r="FG194" s="121" t="n"/>
      <c r="FH194" s="121" t="n"/>
      <c r="FI194" s="121" t="n"/>
      <c r="FJ194" s="121" t="n"/>
      <c r="FK194" s="121" t="n"/>
      <c r="FL194" s="121" t="n"/>
      <c r="FM194" s="121" t="n"/>
      <c r="FN194" s="121" t="n"/>
      <c r="FO194" s="121" t="n"/>
      <c r="FP194" s="121" t="n"/>
      <c r="FQ194" s="356" t="n"/>
      <c r="FR194" s="814">
        <f>SUMPRODUCT(--(MOD(COLUMN(DU194:ER194),4)=MOD(COLUMN(DU194),4)),DU194:ER194)+SUMPRODUCT(--(MOD(COLUMN(ES194:FP194),4)=MOD(COLUMN(ES194),4)),ES194:FP194)</f>
        <v/>
      </c>
      <c r="FS194" s="814">
        <f>SUMPRODUCT(--(MOD(COLUMN(DU194:ER194),4)=MOD(COLUMN(DU194),4)),DU194:ER194)*$I194+SUMPRODUCT(--(MOD(COLUMN(ES194:FP194),4)=MOD(COLUMN(ES194),4)),ES194:FP194)*$I194</f>
        <v/>
      </c>
      <c r="FT194" s="343" t="n"/>
    </row>
    <row r="195" outlineLevel="2">
      <c r="A195" s="56" t="inlineStr">
        <is>
          <t>СПЕЦАВТО-ВОСТОК ООО</t>
        </is>
      </c>
      <c r="B195" s="387" t="inlineStr">
        <is>
          <t>Отсрочка 15 дней</t>
        </is>
      </c>
      <c r="C195" s="173" t="inlineStr">
        <is>
          <t>ВБК Восток</t>
        </is>
      </c>
      <c r="D195" s="565" t="inlineStr">
        <is>
          <t>Прасолов, Соловьёв</t>
        </is>
      </c>
      <c r="E195" s="10">
        <f>IF(ISBLANK(G195),"",IF($A$6:$A$330=$A195,COUNTIF($A$6:A195,$A195),""))</f>
        <v/>
      </c>
      <c r="F195" s="10" t="n">
        <v>1</v>
      </c>
      <c r="G195" s="55" t="n">
        <v>4231069000</v>
      </c>
      <c r="H195" s="54" t="inlineStr">
        <is>
          <t>Камера тормозная тип 24</t>
        </is>
      </c>
      <c r="I195" s="617">
        <f>145/НДС_20</f>
        <v/>
      </c>
      <c r="J195" s="617" t="n"/>
      <c r="K195" s="872" t="n"/>
      <c r="L195" s="617">
        <f>IF(K195="RUB",J195/ЮАНЬ,IF(K195="EUR",J195*ЕВРО/ЮАНЬ,""))</f>
        <v/>
      </c>
      <c r="M195" s="873" t="n"/>
      <c r="N195" s="871">
        <f>IF(BP195&gt;0,1,IF(BN195&gt;0,2,))</f>
        <v/>
      </c>
      <c r="O195" s="23" t="n"/>
      <c r="P195" s="24" t="n"/>
      <c r="Q195" s="25" t="n"/>
      <c r="R195" s="24" t="n"/>
      <c r="S195" s="23" t="n"/>
      <c r="T195" s="24" t="n"/>
      <c r="U195" s="25" t="n"/>
      <c r="V195" s="24" t="n"/>
      <c r="W195" s="23" t="n"/>
      <c r="X195" s="24" t="n"/>
      <c r="Y195" s="25" t="n"/>
      <c r="Z195" s="24" t="n"/>
      <c r="AA195" s="23" t="n"/>
      <c r="AB195" s="24" t="n"/>
      <c r="AC195" s="25" t="n"/>
      <c r="AD195" s="24" t="n"/>
      <c r="AE195" s="23" t="n"/>
      <c r="AF195" s="24" t="n"/>
      <c r="AG195" s="25" t="n"/>
      <c r="AH195" s="24" t="n"/>
      <c r="AI195" s="23" t="n"/>
      <c r="AJ195" s="24" t="n"/>
      <c r="AK195" s="25" t="n"/>
      <c r="AL195" s="24" t="n"/>
      <c r="AM195" s="23" t="n"/>
      <c r="AN195" s="24" t="n"/>
      <c r="AO195" s="25" t="n"/>
      <c r="AP195" s="24" t="n"/>
      <c r="AQ195" s="23" t="n"/>
      <c r="AR195" s="24" t="n"/>
      <c r="AS195" s="25" t="n"/>
      <c r="AT195" s="24" t="n"/>
      <c r="AU195" s="23" t="n"/>
      <c r="AV195" s="24" t="n"/>
      <c r="AW195" s="25" t="n"/>
      <c r="AX195" s="24" t="n"/>
      <c r="AY195" s="23" t="n"/>
      <c r="AZ195" s="24" t="n"/>
      <c r="BA195" s="25" t="n"/>
      <c r="BB195" s="24" t="n"/>
      <c r="BC195" s="23" t="n"/>
      <c r="BD195" s="24" t="n"/>
      <c r="BE195" s="25" t="n"/>
      <c r="BF195" s="24" t="n"/>
      <c r="BG195" s="23" t="n"/>
      <c r="BH195" s="24" t="n"/>
      <c r="BI195" s="25" t="n"/>
      <c r="BJ195" s="24" t="n"/>
      <c r="BK195" s="340" t="n"/>
      <c r="BL195" s="803">
        <f>SUMPRODUCT(--(MOD(COLUMN($O195:$AL195),4)=MOD(COLUMN($O195)+0,4)),$O195:$AL195)
+SUMPRODUCT(--(MOD(COLUMN($AM195:$BJ195),4)=MOD(COLUMN($AM195)+0,4)),$AM195:$BJ195)</f>
        <v/>
      </c>
      <c r="BM195" s="803">
        <f>SUMPRODUCT(--(MOD(COLUMN($O195:$AL195),4)=MOD(COLUMN($O195)+0,4)),$O195:$AL195)*
$I195+SUMPRODUCT(--(MOD(COLUMN($AM195:$BJ195),4)=MOD(COLUMN($AM195)+0,4)),$AM195:$BJ195)*$I195</f>
        <v/>
      </c>
      <c r="BN195" s="805">
        <f>SUMPRODUCT(--(MOD(COLUMN($O195:$AL195),4)=MOD(COLUMN($O195)+1,4)),$O195:$AL195)
+SUMPRODUCT(--(MOD(COLUMN($AM195:$BJ195),4)=MOD(COLUMN($AM195)+1,4)),$AM195:$BJ195)</f>
        <v/>
      </c>
      <c r="BO195" s="806">
        <f>SUMPRODUCT(--(MOD(COLUMN($O195:$AL195),4)=MOD(COLUMN($O195)+1,4)),$O195:$AL195)*
$I195+SUMPRODUCT(--(MOD(COLUMN($AM195:$BJ195),4)=MOD(COLUMN($AM195)+1,4)),$AM195:$BJ195)*$I195</f>
        <v/>
      </c>
      <c r="BP195" s="807">
        <f>SUMPRODUCT(--(MOD(COLUMN($O195:$AL195),4)=MOD(COLUMN($O195)+2,4)),$O195:$AL195)
+SUMPRODUCT(--(MOD(COLUMN($AM195:$BJ195),4)=MOD(COLUMN($AM195)+2,4)),$AM195:$BJ195)</f>
        <v/>
      </c>
      <c r="BQ195" s="808">
        <f>SUMPRODUCT(--(MOD(COLUMN($O195:$AL195),4)=MOD(COLUMN($O195)+2,4)),$O195:$AL195)*
$I195+SUMPRODUCT(--(MOD(COLUMN($AM195:$BJ195),4)=MOD(COLUMN($AM195)+2,4)),$AM195:$BJ195)*$I195</f>
        <v/>
      </c>
      <c r="BR195" s="801" t="n"/>
      <c r="BS195" s="819" t="n"/>
      <c r="BT195" s="23" t="n"/>
      <c r="BU195" s="24" t="n"/>
      <c r="BV195" s="25" t="n"/>
      <c r="BW195" s="24" t="n"/>
      <c r="BX195" s="23" t="n"/>
      <c r="BY195" s="24" t="n"/>
      <c r="BZ195" s="25" t="n"/>
      <c r="CA195" s="24" t="n"/>
      <c r="CB195" s="23" t="n"/>
      <c r="CC195" s="24" t="n"/>
      <c r="CD195" s="25" t="n"/>
      <c r="CE195" s="24" t="n"/>
      <c r="CF195" s="23" t="n"/>
      <c r="CG195" s="24" t="n"/>
      <c r="CH195" s="25" t="n"/>
      <c r="CI195" s="24" t="n"/>
      <c r="CJ195" s="23" t="n"/>
      <c r="CK195" s="24" t="n"/>
      <c r="CL195" s="25" t="n"/>
      <c r="CM195" s="24" t="n"/>
      <c r="CN195" s="23" t="n"/>
      <c r="CO195" s="24" t="n"/>
      <c r="CP195" s="25" t="n"/>
      <c r="CQ195" s="24" t="n"/>
      <c r="CR195" s="23" t="n"/>
      <c r="CS195" s="24" t="n"/>
      <c r="CT195" s="25" t="n"/>
      <c r="CU195" s="24" t="n"/>
      <c r="CV195" s="23" t="n"/>
      <c r="CW195" s="24" t="n"/>
      <c r="CX195" s="25" t="n"/>
      <c r="CY195" s="24" t="n"/>
      <c r="CZ195" s="23" t="n"/>
      <c r="DA195" s="24" t="n"/>
      <c r="DB195" s="25" t="n"/>
      <c r="DC195" s="24" t="n"/>
      <c r="DD195" s="23" t="n"/>
      <c r="DE195" s="24" t="n"/>
      <c r="DF195" s="25" t="n"/>
      <c r="DG195" s="24" t="n"/>
      <c r="DH195" s="23" t="n"/>
      <c r="DI195" s="24" t="n"/>
      <c r="DJ195" s="25" t="n"/>
      <c r="DK195" s="24" t="n"/>
      <c r="DL195" s="23" t="n"/>
      <c r="DM195" s="24" t="n"/>
      <c r="DN195" s="25" t="n"/>
      <c r="DO195" s="24" t="n"/>
      <c r="DP195" s="340" t="n"/>
      <c r="DQ195" s="803">
        <f>SUMPRODUCT(--(MOD(COLUMN(BT195:CQ195),4)=MOD(COLUMN(BT195),4)),BT195:CQ195)+SUMPRODUCT(--(MOD(COLUMN(CR195:DO195),4)=MOD(COLUMN(CR195),4)),CR195:DO195)</f>
        <v/>
      </c>
      <c r="DR195" s="803">
        <f>SUMPRODUCT(--(MOD(COLUMN(BT195:CQ195),4)=MOD(COLUMN(BT195),4)),BT195:CQ195)*$I195+SUMPRODUCT(--(MOD(COLUMN(CR195:DO195),4)=MOD(COLUMN(CR195),4)),CR195:DO195)*$I195</f>
        <v/>
      </c>
      <c r="DS195" s="801" t="n"/>
      <c r="DT195" s="819" t="n"/>
      <c r="DU195" s="23" t="n"/>
      <c r="DV195" s="24" t="n"/>
      <c r="DW195" s="25" t="n"/>
      <c r="DX195" s="24" t="n"/>
      <c r="DY195" s="23" t="n"/>
      <c r="DZ195" s="24" t="n"/>
      <c r="EA195" s="25" t="n"/>
      <c r="EB195" s="24" t="n"/>
      <c r="EC195" s="23" t="n"/>
      <c r="ED195" s="24" t="n"/>
      <c r="EE195" s="25" t="n"/>
      <c r="EF195" s="24" t="n"/>
      <c r="EG195" s="23" t="n"/>
      <c r="EH195" s="24" t="n"/>
      <c r="EI195" s="25" t="n"/>
      <c r="EJ195" s="24" t="n"/>
      <c r="EK195" s="23" t="n"/>
      <c r="EL195" s="24" t="n"/>
      <c r="EM195" s="25" t="n"/>
      <c r="EN195" s="24" t="n"/>
      <c r="EO195" s="23" t="n"/>
      <c r="EP195" s="24" t="n"/>
      <c r="EQ195" s="25" t="n"/>
      <c r="ER195" s="24" t="n"/>
      <c r="ES195" s="23" t="n"/>
      <c r="ET195" s="24" t="n"/>
      <c r="EU195" s="25" t="n"/>
      <c r="EV195" s="24" t="n"/>
      <c r="EW195" s="23" t="n"/>
      <c r="EX195" s="24" t="n"/>
      <c r="EY195" s="25" t="n"/>
      <c r="EZ195" s="24" t="n"/>
      <c r="FA195" s="23" t="n"/>
      <c r="FB195" s="24" t="n"/>
      <c r="FC195" s="25" t="n"/>
      <c r="FD195" s="24" t="n"/>
      <c r="FE195" s="23" t="n"/>
      <c r="FF195" s="24" t="n"/>
      <c r="FG195" s="25" t="n"/>
      <c r="FH195" s="24" t="n"/>
      <c r="FI195" s="23" t="n"/>
      <c r="FJ195" s="24" t="n"/>
      <c r="FK195" s="25" t="n"/>
      <c r="FL195" s="24" t="n"/>
      <c r="FM195" s="23" t="n"/>
      <c r="FN195" s="24" t="n"/>
      <c r="FO195" s="25" t="n"/>
      <c r="FP195" s="24" t="n"/>
      <c r="FQ195" s="340" t="n"/>
      <c r="FR195" s="803">
        <f>SUMPRODUCT(--(MOD(COLUMN(DU195:ER195),4)=MOD(COLUMN(DU195),4)),DU195:ER195)+SUMPRODUCT(--(MOD(COLUMN(ES195:FP195),4)=MOD(COLUMN(ES195),4)),ES195:FP195)</f>
        <v/>
      </c>
      <c r="FS195" s="803">
        <f>SUMPRODUCT(--(MOD(COLUMN(DU195:ER195),4)=MOD(COLUMN(DU195),4)),DU195:ER195)*$I195+SUMPRODUCT(--(MOD(COLUMN(ES195:FP195),4)=MOD(COLUMN(ES195),4)),ES195:FP195)*$I195</f>
        <v/>
      </c>
      <c r="FT195" s="361" t="n"/>
    </row>
    <row r="196" outlineLevel="2">
      <c r="A196" s="56" t="inlineStr">
        <is>
          <t>СПЕЦАВТО-ВОСТОК ООО</t>
        </is>
      </c>
      <c r="B196" s="387" t="inlineStr">
        <is>
          <t>Отсрочка 15 дней</t>
        </is>
      </c>
      <c r="C196" s="173" t="inlineStr">
        <is>
          <t>ВБК Восток</t>
        </is>
      </c>
      <c r="D196" s="565" t="inlineStr">
        <is>
          <t>Прасолов, Соловьёв</t>
        </is>
      </c>
      <c r="E196" s="10">
        <f>IF(ISBLANK(G196),"",IF($A$6:$A$330=$A196,COUNTIF($A$6:A196,$A196),""))</f>
        <v/>
      </c>
      <c r="F196" s="10" t="n">
        <v>1</v>
      </c>
      <c r="G196" s="55" t="n">
        <v>4231079000</v>
      </c>
      <c r="H196" s="54" t="inlineStr">
        <is>
          <t>Камера тормозная тип 30</t>
        </is>
      </c>
      <c r="I196" s="617">
        <f>153/НДС_20</f>
        <v/>
      </c>
      <c r="J196" s="617" t="n"/>
      <c r="K196" s="872" t="n"/>
      <c r="L196" s="617">
        <f>IF(K196="RUB",J196/ЮАНЬ,IF(K196="EUR",J196*ЕВРО/ЮАНЬ,""))</f>
        <v/>
      </c>
      <c r="M196" s="873" t="n"/>
      <c r="N196" s="871">
        <f>IF(BP196&gt;0,1,IF(BN196&gt;0,2,))</f>
        <v/>
      </c>
      <c r="O196" s="23" t="n"/>
      <c r="P196" s="24" t="n"/>
      <c r="Q196" s="25" t="n"/>
      <c r="R196" s="24" t="n"/>
      <c r="S196" s="23" t="n"/>
      <c r="T196" s="24" t="n"/>
      <c r="U196" s="25" t="n"/>
      <c r="V196" s="24" t="n"/>
      <c r="W196" s="23" t="n"/>
      <c r="X196" s="24" t="n"/>
      <c r="Y196" s="25" t="n"/>
      <c r="Z196" s="24" t="n"/>
      <c r="AA196" s="23" t="n"/>
      <c r="AB196" s="24" t="n"/>
      <c r="AC196" s="25" t="n"/>
      <c r="AD196" s="24" t="n"/>
      <c r="AE196" s="23" t="n"/>
      <c r="AF196" s="24" t="n"/>
      <c r="AG196" s="25" t="n"/>
      <c r="AH196" s="24" t="n"/>
      <c r="AI196" s="23" t="n"/>
      <c r="AJ196" s="24" t="n"/>
      <c r="AK196" s="25" t="n"/>
      <c r="AL196" s="24" t="n"/>
      <c r="AM196" s="23" t="n"/>
      <c r="AN196" s="24" t="n"/>
      <c r="AO196" s="25" t="n"/>
      <c r="AP196" s="24" t="n"/>
      <c r="AQ196" s="23" t="n"/>
      <c r="AR196" s="24" t="n"/>
      <c r="AS196" s="25" t="n"/>
      <c r="AT196" s="24" t="n"/>
      <c r="AU196" s="23" t="n"/>
      <c r="AV196" s="24" t="n"/>
      <c r="AW196" s="25" t="n"/>
      <c r="AX196" s="24" t="n"/>
      <c r="AY196" s="23" t="n"/>
      <c r="AZ196" s="24" t="n"/>
      <c r="BA196" s="25" t="n"/>
      <c r="BB196" s="24" t="n"/>
      <c r="BC196" s="23" t="n"/>
      <c r="BD196" s="24" t="n"/>
      <c r="BE196" s="25" t="n"/>
      <c r="BF196" s="24" t="n"/>
      <c r="BG196" s="23" t="n"/>
      <c r="BH196" s="24" t="n"/>
      <c r="BI196" s="25" t="n"/>
      <c r="BJ196" s="24" t="n"/>
      <c r="BK196" s="340" t="n"/>
      <c r="BL196" s="803">
        <f>SUMPRODUCT(--(MOD(COLUMN($O196:$AL196),4)=MOD(COLUMN($O196)+0,4)),$O196:$AL196)
+SUMPRODUCT(--(MOD(COLUMN($AM196:$BJ196),4)=MOD(COLUMN($AM196)+0,4)),$AM196:$BJ196)</f>
        <v/>
      </c>
      <c r="BM196" s="803">
        <f>SUMPRODUCT(--(MOD(COLUMN($O196:$AL196),4)=MOD(COLUMN($O196)+0,4)),$O196:$AL196)*
$I196+SUMPRODUCT(--(MOD(COLUMN($AM196:$BJ196),4)=MOD(COLUMN($AM196)+0,4)),$AM196:$BJ196)*$I196</f>
        <v/>
      </c>
      <c r="BN196" s="805">
        <f>SUMPRODUCT(--(MOD(COLUMN($O196:$AL196),4)=MOD(COLUMN($O196)+1,4)),$O196:$AL196)
+SUMPRODUCT(--(MOD(COLUMN($AM196:$BJ196),4)=MOD(COLUMN($AM196)+1,4)),$AM196:$BJ196)</f>
        <v/>
      </c>
      <c r="BO196" s="806">
        <f>SUMPRODUCT(--(MOD(COLUMN($O196:$AL196),4)=MOD(COLUMN($O196)+1,4)),$O196:$AL196)*
$I196+SUMPRODUCT(--(MOD(COLUMN($AM196:$BJ196),4)=MOD(COLUMN($AM196)+1,4)),$AM196:$BJ196)*$I196</f>
        <v/>
      </c>
      <c r="BP196" s="807">
        <f>SUMPRODUCT(--(MOD(COLUMN($O196:$AL196),4)=MOD(COLUMN($O196)+2,4)),$O196:$AL196)
+SUMPRODUCT(--(MOD(COLUMN($AM196:$BJ196),4)=MOD(COLUMN($AM196)+2,4)),$AM196:$BJ196)</f>
        <v/>
      </c>
      <c r="BQ196" s="808">
        <f>SUMPRODUCT(--(MOD(COLUMN($O196:$AL196),4)=MOD(COLUMN($O196)+2,4)),$O196:$AL196)*
$I196+SUMPRODUCT(--(MOD(COLUMN($AM196:$BJ196),4)=MOD(COLUMN($AM196)+2,4)),$AM196:$BJ196)*$I196</f>
        <v/>
      </c>
      <c r="BR196" s="801" t="n"/>
      <c r="BS196" s="819" t="n"/>
      <c r="BT196" s="23" t="n"/>
      <c r="BU196" s="24" t="n"/>
      <c r="BV196" s="25" t="n"/>
      <c r="BW196" s="24" t="n"/>
      <c r="BX196" s="23" t="n"/>
      <c r="BY196" s="24" t="n"/>
      <c r="BZ196" s="25" t="n"/>
      <c r="CA196" s="24" t="n"/>
      <c r="CB196" s="23" t="n"/>
      <c r="CC196" s="24" t="n"/>
      <c r="CD196" s="25" t="n"/>
      <c r="CE196" s="24" t="n"/>
      <c r="CF196" s="23" t="n"/>
      <c r="CG196" s="24" t="n"/>
      <c r="CH196" s="25" t="n"/>
      <c r="CI196" s="24" t="n"/>
      <c r="CJ196" s="23" t="n"/>
      <c r="CK196" s="24" t="n"/>
      <c r="CL196" s="25" t="n"/>
      <c r="CM196" s="24" t="n"/>
      <c r="CN196" s="23" t="n"/>
      <c r="CO196" s="24" t="n"/>
      <c r="CP196" s="25" t="n"/>
      <c r="CQ196" s="24" t="n"/>
      <c r="CR196" s="23" t="n"/>
      <c r="CS196" s="24" t="n"/>
      <c r="CT196" s="25" t="n"/>
      <c r="CU196" s="24" t="n"/>
      <c r="CV196" s="23" t="n"/>
      <c r="CW196" s="24" t="n"/>
      <c r="CX196" s="25" t="n"/>
      <c r="CY196" s="24" t="n"/>
      <c r="CZ196" s="23" t="n"/>
      <c r="DA196" s="24" t="n"/>
      <c r="DB196" s="25" t="n"/>
      <c r="DC196" s="24" t="n"/>
      <c r="DD196" s="23" t="n"/>
      <c r="DE196" s="24" t="n"/>
      <c r="DF196" s="25" t="n"/>
      <c r="DG196" s="24" t="n"/>
      <c r="DH196" s="23" t="n"/>
      <c r="DI196" s="24" t="n"/>
      <c r="DJ196" s="25" t="n"/>
      <c r="DK196" s="24" t="n"/>
      <c r="DL196" s="23" t="n"/>
      <c r="DM196" s="24" t="n"/>
      <c r="DN196" s="25" t="n"/>
      <c r="DO196" s="24" t="n"/>
      <c r="DP196" s="340" t="n"/>
      <c r="DQ196" s="803">
        <f>SUMPRODUCT(--(MOD(COLUMN(BT196:CQ196),4)=MOD(COLUMN(BT196),4)),BT196:CQ196)+SUMPRODUCT(--(MOD(COLUMN(CR196:DO196),4)=MOD(COLUMN(CR196),4)),CR196:DO196)</f>
        <v/>
      </c>
      <c r="DR196" s="803">
        <f>SUMPRODUCT(--(MOD(COLUMN(BT196:CQ196),4)=MOD(COLUMN(BT196),4)),BT196:CQ196)*$I196+SUMPRODUCT(--(MOD(COLUMN(CR196:DO196),4)=MOD(COLUMN(CR196),4)),CR196:DO196)*$I196</f>
        <v/>
      </c>
      <c r="DS196" s="801" t="n"/>
      <c r="DT196" s="819" t="n"/>
      <c r="DU196" s="23" t="n"/>
      <c r="DV196" s="24" t="n"/>
      <c r="DW196" s="25" t="n"/>
      <c r="DX196" s="24" t="n"/>
      <c r="DY196" s="23" t="n"/>
      <c r="DZ196" s="24" t="n"/>
      <c r="EA196" s="25" t="n"/>
      <c r="EB196" s="24" t="n"/>
      <c r="EC196" s="23" t="n"/>
      <c r="ED196" s="24" t="n"/>
      <c r="EE196" s="25" t="n"/>
      <c r="EF196" s="24" t="n"/>
      <c r="EG196" s="23" t="n"/>
      <c r="EH196" s="24" t="n"/>
      <c r="EI196" s="25" t="n"/>
      <c r="EJ196" s="24" t="n"/>
      <c r="EK196" s="23" t="n"/>
      <c r="EL196" s="24" t="n"/>
      <c r="EM196" s="25" t="n"/>
      <c r="EN196" s="24" t="n"/>
      <c r="EO196" s="23" t="n"/>
      <c r="EP196" s="24" t="n"/>
      <c r="EQ196" s="25" t="n"/>
      <c r="ER196" s="24" t="n"/>
      <c r="ES196" s="23" t="n"/>
      <c r="ET196" s="24" t="n"/>
      <c r="EU196" s="25" t="n"/>
      <c r="EV196" s="24" t="n"/>
      <c r="EW196" s="23" t="n"/>
      <c r="EX196" s="24" t="n"/>
      <c r="EY196" s="25" t="n"/>
      <c r="EZ196" s="24" t="n"/>
      <c r="FA196" s="23" t="n"/>
      <c r="FB196" s="24" t="n"/>
      <c r="FC196" s="25" t="n"/>
      <c r="FD196" s="24" t="n"/>
      <c r="FE196" s="23" t="n"/>
      <c r="FF196" s="24" t="n"/>
      <c r="FG196" s="25" t="n"/>
      <c r="FH196" s="24" t="n"/>
      <c r="FI196" s="23" t="n"/>
      <c r="FJ196" s="24" t="n"/>
      <c r="FK196" s="25" t="n"/>
      <c r="FL196" s="24" t="n"/>
      <c r="FM196" s="23" t="n"/>
      <c r="FN196" s="24" t="n"/>
      <c r="FO196" s="25" t="n"/>
      <c r="FP196" s="24" t="n"/>
      <c r="FQ196" s="340" t="n"/>
      <c r="FR196" s="803">
        <f>SUMPRODUCT(--(MOD(COLUMN(DU196:ER196),4)=MOD(COLUMN(DU196),4)),DU196:ER196)+SUMPRODUCT(--(MOD(COLUMN(ES196:FP196),4)=MOD(COLUMN(ES196),4)),ES196:FP196)</f>
        <v/>
      </c>
      <c r="FS196" s="803">
        <f>SUMPRODUCT(--(MOD(COLUMN(DU196:ER196),4)=MOD(COLUMN(DU196),4)),DU196:ER196)*$I196+SUMPRODUCT(--(MOD(COLUMN(ES196:FP196),4)=MOD(COLUMN(ES196),4)),ES196:FP196)*$I196</f>
        <v/>
      </c>
      <c r="FT196" s="361" t="n"/>
    </row>
    <row r="197" outlineLevel="2">
      <c r="A197" s="56" t="inlineStr">
        <is>
          <t>СПЕЦАВТО-ВОСТОК ООО</t>
        </is>
      </c>
      <c r="B197" s="387" t="inlineStr">
        <is>
          <t>Отсрочка 15 дней</t>
        </is>
      </c>
      <c r="C197" s="173" t="inlineStr">
        <is>
          <t>ВБК Восток</t>
        </is>
      </c>
      <c r="D197" s="565" t="inlineStr">
        <is>
          <t>Прасолов, Соловьёв</t>
        </is>
      </c>
      <c r="E197" s="10">
        <f>IF(ISBLANK(G197),"",IF($A$6:$A$330=$A197,COUNTIF($A$6:A197,$A197),""))</f>
        <v/>
      </c>
      <c r="F197" s="10" t="n">
        <v>1</v>
      </c>
      <c r="G197" s="55" t="n">
        <v>9253761210</v>
      </c>
      <c r="H197" s="54" t="inlineStr">
        <is>
          <t>Энергоаккумулятор тип 24/30</t>
        </is>
      </c>
      <c r="I197" s="617">
        <f>306/НДС</f>
        <v/>
      </c>
      <c r="J197" s="617" t="n"/>
      <c r="K197" s="872" t="n"/>
      <c r="L197" s="617">
        <f>IF(K197="RUB",J197/ЮАНЬ,IF(K197="EUR",J197*ЕВРО/ЮАНЬ,""))</f>
        <v/>
      </c>
      <c r="M197" s="873" t="n"/>
      <c r="N197" s="871">
        <f>IF(BP197&gt;0,1,IF(BN197&gt;0,2,))</f>
        <v/>
      </c>
      <c r="O197" s="23" t="n">
        <v>80</v>
      </c>
      <c r="P197" s="24" t="n"/>
      <c r="Q197" s="25" t="n">
        <v>0</v>
      </c>
      <c r="R197" s="24" t="n"/>
      <c r="S197" s="23" t="n">
        <v>80</v>
      </c>
      <c r="T197" s="24">
        <f>80</f>
        <v/>
      </c>
      <c r="U197" s="25" t="n">
        <v>80</v>
      </c>
      <c r="V197" s="24" t="n"/>
      <c r="W197" s="23" t="n">
        <v>40</v>
      </c>
      <c r="X197" s="24" t="n"/>
      <c r="Y197" s="25" t="n">
        <v>0</v>
      </c>
      <c r="Z197" s="24" t="n"/>
      <c r="AA197" s="23" t="n">
        <v>80</v>
      </c>
      <c r="AB197" s="24">
        <f>80</f>
        <v/>
      </c>
      <c r="AC197" s="25" t="n">
        <v>80</v>
      </c>
      <c r="AD197" s="24" t="n"/>
      <c r="AE197" s="23" t="n"/>
      <c r="AF197" s="24" t="n"/>
      <c r="AG197" s="25" t="n"/>
      <c r="AH197" s="24" t="n"/>
      <c r="AI197" s="23" t="n">
        <v>80</v>
      </c>
      <c r="AJ197" s="24" t="n">
        <v>80</v>
      </c>
      <c r="AK197" s="25" t="n">
        <v>0</v>
      </c>
      <c r="AL197" s="24" t="n">
        <v>80</v>
      </c>
      <c r="AM197" s="23" t="n"/>
      <c r="AN197" s="24" t="n"/>
      <c r="AO197" s="25" t="n"/>
      <c r="AP197" s="24" t="n"/>
      <c r="AQ197" s="23" t="n">
        <v>80</v>
      </c>
      <c r="AR197" s="24" t="n">
        <v>80</v>
      </c>
      <c r="AS197" s="25" t="n">
        <v>0</v>
      </c>
      <c r="AT197" s="24" t="n"/>
      <c r="AU197" s="23" t="n"/>
      <c r="AV197" s="24" t="n"/>
      <c r="AW197" s="25" t="n"/>
      <c r="AX197" s="24" t="n"/>
      <c r="AY197" s="23" t="n">
        <v>80</v>
      </c>
      <c r="AZ197" s="24" t="n">
        <v>80</v>
      </c>
      <c r="BA197" s="25" t="n">
        <v>0</v>
      </c>
      <c r="BB197" s="24" t="n"/>
      <c r="BC197" s="23" t="n"/>
      <c r="BD197" s="24" t="n"/>
      <c r="BE197" s="25" t="n"/>
      <c r="BF197" s="24" t="n"/>
      <c r="BG197" s="23" t="n">
        <v>80</v>
      </c>
      <c r="BH197" s="24" t="n">
        <v>80</v>
      </c>
      <c r="BI197" s="25" t="n">
        <v>0</v>
      </c>
      <c r="BJ197" s="24" t="n"/>
      <c r="BK197" s="340" t="n"/>
      <c r="BL197" s="803">
        <f>SUMPRODUCT(--(MOD(COLUMN($O197:$AL197),4)=MOD(COLUMN($O197)+0,4)),$O197:$AL197)
+SUMPRODUCT(--(MOD(COLUMN($AM197:$BJ197),4)=MOD(COLUMN($AM197)+0,4)),$AM197:$BJ197)</f>
        <v/>
      </c>
      <c r="BM197" s="803">
        <f>SUMPRODUCT(--(MOD(COLUMN($O197:$AL197),4)=MOD(COLUMN($O197)+0,4)),$O197:$AL197)*
$I197+SUMPRODUCT(--(MOD(COLUMN($AM197:$BJ197),4)=MOD(COLUMN($AM197)+0,4)),$AM197:$BJ197)*$I197</f>
        <v/>
      </c>
      <c r="BN197" s="805">
        <f>SUMPRODUCT(--(MOD(COLUMN($O197:$AL197),4)=MOD(COLUMN($O197)+1,4)),$O197:$AL197)
+SUMPRODUCT(--(MOD(COLUMN($AM197:$BJ197),4)=MOD(COLUMN($AM197)+1,4)),$AM197:$BJ197)</f>
        <v/>
      </c>
      <c r="BO197" s="806">
        <f>SUMPRODUCT(--(MOD(COLUMN($O197:$AL197),4)=MOD(COLUMN($O197)+1,4)),$O197:$AL197)*
$I197+SUMPRODUCT(--(MOD(COLUMN($AM197:$BJ197),4)=MOD(COLUMN($AM197)+1,4)),$AM197:$BJ197)*$I197</f>
        <v/>
      </c>
      <c r="BP197" s="807">
        <f>SUMPRODUCT(--(MOD(COLUMN($O197:$AL197),4)=MOD(COLUMN($O197)+2,4)),$O197:$AL197)
+SUMPRODUCT(--(MOD(COLUMN($AM197:$BJ197),4)=MOD(COLUMN($AM197)+2,4)),$AM197:$BJ197)</f>
        <v/>
      </c>
      <c r="BQ197" s="808">
        <f>SUMPRODUCT(--(MOD(COLUMN($O197:$AL197),4)=MOD(COLUMN($O197)+2,4)),$O197:$AL197)*
$I197+SUMPRODUCT(--(MOD(COLUMN($AM197:$BJ197),4)=MOD(COLUMN($AM197)+2,4)),$AM197:$BJ197)*$I197</f>
        <v/>
      </c>
      <c r="BR197" s="801" t="n"/>
      <c r="BS197" s="819" t="n"/>
      <c r="BT197" s="23" t="n">
        <v>60</v>
      </c>
      <c r="BU197" s="24" t="n"/>
      <c r="BV197" s="25" t="n">
        <v>0</v>
      </c>
      <c r="BW197" s="24" t="n"/>
      <c r="BX197" s="23" t="n">
        <v>60</v>
      </c>
      <c r="BY197" s="24" t="n"/>
      <c r="BZ197" s="25" t="n">
        <v>0</v>
      </c>
      <c r="CA197" s="24" t="n"/>
      <c r="CB197" s="23" t="n">
        <v>60</v>
      </c>
      <c r="CC197" s="24" t="n"/>
      <c r="CD197" s="25" t="n">
        <v>0</v>
      </c>
      <c r="CE197" s="24" t="n"/>
      <c r="CF197" s="23" t="n">
        <v>60</v>
      </c>
      <c r="CG197" s="24" t="n"/>
      <c r="CH197" s="25" t="n">
        <v>0</v>
      </c>
      <c r="CI197" s="24" t="n"/>
      <c r="CJ197" s="23" t="n">
        <v>60</v>
      </c>
      <c r="CK197" s="24" t="n"/>
      <c r="CL197" s="25" t="n">
        <v>0</v>
      </c>
      <c r="CM197" s="24" t="n"/>
      <c r="CN197" s="23" t="n">
        <v>60</v>
      </c>
      <c r="CO197" s="24" t="n"/>
      <c r="CP197" s="25" t="n">
        <v>0</v>
      </c>
      <c r="CQ197" s="24" t="n"/>
      <c r="CR197" s="23" t="n">
        <v>60</v>
      </c>
      <c r="CS197" s="24" t="n"/>
      <c r="CT197" s="25" t="n">
        <v>0</v>
      </c>
      <c r="CU197" s="24" t="n"/>
      <c r="CV197" s="23" t="n">
        <v>60</v>
      </c>
      <c r="CW197" s="24" t="n"/>
      <c r="CX197" s="25" t="n">
        <v>0</v>
      </c>
      <c r="CY197" s="24" t="n"/>
      <c r="CZ197" s="23" t="n">
        <v>60</v>
      </c>
      <c r="DA197" s="24" t="n"/>
      <c r="DB197" s="25" t="n">
        <v>0</v>
      </c>
      <c r="DC197" s="24" t="n"/>
      <c r="DD197" s="23" t="n">
        <v>60</v>
      </c>
      <c r="DE197" s="24" t="n"/>
      <c r="DF197" s="25" t="n">
        <v>0</v>
      </c>
      <c r="DG197" s="24" t="n"/>
      <c r="DH197" s="23" t="n">
        <v>60</v>
      </c>
      <c r="DI197" s="24" t="n"/>
      <c r="DJ197" s="25" t="n">
        <v>0</v>
      </c>
      <c r="DK197" s="24" t="n"/>
      <c r="DL197" s="23" t="n">
        <v>60</v>
      </c>
      <c r="DM197" s="24" t="n"/>
      <c r="DN197" s="25" t="n">
        <v>0</v>
      </c>
      <c r="DO197" s="24" t="n"/>
      <c r="DP197" s="340" t="n"/>
      <c r="DQ197" s="803">
        <f>SUMPRODUCT(--(MOD(COLUMN(BT197:CQ197),4)=MOD(COLUMN(BT197),4)),BT197:CQ197)+SUMPRODUCT(--(MOD(COLUMN(CR197:DO197),4)=MOD(COLUMN(CR197),4)),CR197:DO197)</f>
        <v/>
      </c>
      <c r="DR197" s="803">
        <f>SUMPRODUCT(--(MOD(COLUMN(BT197:CQ197),4)=MOD(COLUMN(BT197),4)),BT197:CQ197)*$I197+SUMPRODUCT(--(MOD(COLUMN(CR197:DO197),4)=MOD(COLUMN(CR197),4)),CR197:DO197)*$I197</f>
        <v/>
      </c>
      <c r="DS197" s="801" t="n"/>
      <c r="DT197" s="819" t="n"/>
      <c r="DU197" s="23" t="n">
        <v>70</v>
      </c>
      <c r="DV197" s="24" t="n"/>
      <c r="DW197" s="25" t="n">
        <v>0</v>
      </c>
      <c r="DX197" s="24" t="n"/>
      <c r="DY197" s="23" t="n">
        <v>70</v>
      </c>
      <c r="DZ197" s="24" t="n"/>
      <c r="EA197" s="25" t="n">
        <v>0</v>
      </c>
      <c r="EB197" s="24" t="n"/>
      <c r="EC197" s="23" t="n">
        <v>70</v>
      </c>
      <c r="ED197" s="24" t="n"/>
      <c r="EE197" s="25" t="n">
        <v>0</v>
      </c>
      <c r="EF197" s="24" t="n"/>
      <c r="EG197" s="23" t="n">
        <v>70</v>
      </c>
      <c r="EH197" s="24" t="n"/>
      <c r="EI197" s="25" t="n">
        <v>0</v>
      </c>
      <c r="EJ197" s="24" t="n"/>
      <c r="EK197" s="23" t="n">
        <v>70</v>
      </c>
      <c r="EL197" s="24" t="n"/>
      <c r="EM197" s="25" t="n">
        <v>0</v>
      </c>
      <c r="EN197" s="24" t="n"/>
      <c r="EO197" s="23" t="n">
        <v>70</v>
      </c>
      <c r="EP197" s="24" t="n"/>
      <c r="EQ197" s="25" t="n">
        <v>0</v>
      </c>
      <c r="ER197" s="24" t="n"/>
      <c r="ES197" s="23" t="n">
        <v>70</v>
      </c>
      <c r="ET197" s="24" t="n"/>
      <c r="EU197" s="25" t="n">
        <v>0</v>
      </c>
      <c r="EV197" s="24" t="n"/>
      <c r="EW197" s="23" t="n">
        <v>70</v>
      </c>
      <c r="EX197" s="24" t="n"/>
      <c r="EY197" s="25" t="n">
        <v>0</v>
      </c>
      <c r="EZ197" s="24" t="n"/>
      <c r="FA197" s="23" t="n">
        <v>70</v>
      </c>
      <c r="FB197" s="24" t="n"/>
      <c r="FC197" s="25" t="n">
        <v>0</v>
      </c>
      <c r="FD197" s="24" t="n"/>
      <c r="FE197" s="23" t="n">
        <v>70</v>
      </c>
      <c r="FF197" s="24" t="n"/>
      <c r="FG197" s="25" t="n">
        <v>0</v>
      </c>
      <c r="FH197" s="24" t="n"/>
      <c r="FI197" s="23" t="n">
        <v>70</v>
      </c>
      <c r="FJ197" s="24" t="n"/>
      <c r="FK197" s="25" t="n">
        <v>0</v>
      </c>
      <c r="FL197" s="24" t="n"/>
      <c r="FM197" s="23" t="n">
        <v>70</v>
      </c>
      <c r="FN197" s="24" t="n"/>
      <c r="FO197" s="25" t="n">
        <v>0</v>
      </c>
      <c r="FP197" s="24" t="n"/>
      <c r="FQ197" s="340" t="n"/>
      <c r="FR197" s="803">
        <f>SUMPRODUCT(--(MOD(COLUMN(DU197:ER197),4)=MOD(COLUMN(DU197),4)),DU197:ER197)+SUMPRODUCT(--(MOD(COLUMN(ES197:FP197),4)=MOD(COLUMN(ES197),4)),ES197:FP197)</f>
        <v/>
      </c>
      <c r="FS197" s="803">
        <f>SUMPRODUCT(--(MOD(COLUMN(DU197:ER197),4)=MOD(COLUMN(DU197),4)),DU197:ER197)*$I197+SUMPRODUCT(--(MOD(COLUMN(ES197:FP197),4)=MOD(COLUMN(ES197),4)),ES197:FP197)*$I197</f>
        <v/>
      </c>
      <c r="FT197" s="361" t="n"/>
    </row>
    <row r="198" outlineLevel="2">
      <c r="A198" s="56" t="inlineStr">
        <is>
          <t>СПЕЦАВТО-ВОСТОК ООО</t>
        </is>
      </c>
      <c r="B198" s="387" t="inlineStr">
        <is>
          <t>Отсрочка 15 дней</t>
        </is>
      </c>
      <c r="C198" s="173" t="inlineStr">
        <is>
          <t>ВБК Восток</t>
        </is>
      </c>
      <c r="D198" s="565" t="inlineStr">
        <is>
          <t>Прасолов, Соловьёв</t>
        </is>
      </c>
      <c r="E198" s="10">
        <f>IF(ISBLANK(G198),"",IF($A$6:$A$330=$A198,COUNTIF($A$6:A198,$A198),""))</f>
        <v/>
      </c>
      <c r="F198" s="10" t="n">
        <v>1</v>
      </c>
      <c r="G198" s="55" t="n">
        <v>9253771100</v>
      </c>
      <c r="H198" s="54" t="inlineStr">
        <is>
          <t>Энергоаккумулятор тип 30/30</t>
        </is>
      </c>
      <c r="I198" s="617">
        <f>310/НДС</f>
        <v/>
      </c>
      <c r="J198" s="617" t="n"/>
      <c r="K198" s="872" t="n"/>
      <c r="L198" s="617">
        <f>IF(K198="RUB",J198/ЮАНЬ,IF(K198="EUR",J198*ЕВРО/ЮАНЬ,""))</f>
        <v/>
      </c>
      <c r="M198" s="873" t="n"/>
      <c r="N198" s="871">
        <f>IF(BP198&gt;0,1,IF(BN198&gt;0,2,))</f>
        <v/>
      </c>
      <c r="O198" s="23" t="n">
        <v>40</v>
      </c>
      <c r="P198" s="24" t="n"/>
      <c r="Q198" s="25" t="n">
        <v>0</v>
      </c>
      <c r="R198" s="24" t="n"/>
      <c r="S198" s="23" t="n">
        <v>40</v>
      </c>
      <c r="T198" s="24">
        <f>80</f>
        <v/>
      </c>
      <c r="U198" s="25" t="n">
        <v>80</v>
      </c>
      <c r="V198" s="24" t="n"/>
      <c r="W198" s="23" t="n">
        <v>40</v>
      </c>
      <c r="X198" s="24" t="n"/>
      <c r="Y198" s="25" t="n">
        <v>0</v>
      </c>
      <c r="Z198" s="24" t="n"/>
      <c r="AA198" s="23" t="n">
        <v>40</v>
      </c>
      <c r="AB198" s="24">
        <f>40+80</f>
        <v/>
      </c>
      <c r="AC198" s="25" t="n">
        <v>120</v>
      </c>
      <c r="AD198" s="24" t="n"/>
      <c r="AE198" s="23" t="n"/>
      <c r="AF198" s="24" t="n"/>
      <c r="AG198" s="25" t="n"/>
      <c r="AH198" s="24" t="n"/>
      <c r="AI198" s="23" t="n">
        <v>40</v>
      </c>
      <c r="AJ198" s="24" t="n">
        <v>40</v>
      </c>
      <c r="AK198" s="25" t="n">
        <v>0</v>
      </c>
      <c r="AL198" s="24" t="n">
        <v>40</v>
      </c>
      <c r="AM198" s="23" t="n"/>
      <c r="AN198" s="24" t="n"/>
      <c r="AO198" s="25" t="n"/>
      <c r="AP198" s="24" t="n"/>
      <c r="AQ198" s="23" t="n">
        <v>40</v>
      </c>
      <c r="AR198" s="24" t="n">
        <v>40</v>
      </c>
      <c r="AS198" s="25" t="n">
        <v>0</v>
      </c>
      <c r="AT198" s="24" t="n"/>
      <c r="AU198" s="23" t="n"/>
      <c r="AV198" s="24" t="n"/>
      <c r="AW198" s="25" t="n"/>
      <c r="AX198" s="24" t="n"/>
      <c r="AY198" s="23" t="n">
        <v>40</v>
      </c>
      <c r="AZ198" s="24" t="n">
        <v>40</v>
      </c>
      <c r="BA198" s="25" t="n">
        <v>0</v>
      </c>
      <c r="BB198" s="24" t="n"/>
      <c r="BC198" s="23" t="n"/>
      <c r="BD198" s="24" t="n"/>
      <c r="BE198" s="25" t="n"/>
      <c r="BF198" s="24" t="n"/>
      <c r="BG198" s="23" t="n">
        <v>40</v>
      </c>
      <c r="BH198" s="24" t="n">
        <v>40</v>
      </c>
      <c r="BI198" s="25" t="n">
        <v>0</v>
      </c>
      <c r="BJ198" s="24" t="n"/>
      <c r="BK198" s="340" t="n"/>
      <c r="BL198" s="803">
        <f>SUMPRODUCT(--(MOD(COLUMN($O198:$AL198),4)=MOD(COLUMN($O198)+0,4)),$O198:$AL198)
+SUMPRODUCT(--(MOD(COLUMN($AM198:$BJ198),4)=MOD(COLUMN($AM198)+0,4)),$AM198:$BJ198)</f>
        <v/>
      </c>
      <c r="BM198" s="803">
        <f>SUMPRODUCT(--(MOD(COLUMN($O198:$AL198),4)=MOD(COLUMN($O198)+0,4)),$O198:$AL198)*
$I198+SUMPRODUCT(--(MOD(COLUMN($AM198:$BJ198),4)=MOD(COLUMN($AM198)+0,4)),$AM198:$BJ198)*$I198</f>
        <v/>
      </c>
      <c r="BN198" s="805">
        <f>SUMPRODUCT(--(MOD(COLUMN($O198:$AL198),4)=MOD(COLUMN($O198)+1,4)),$O198:$AL198)
+SUMPRODUCT(--(MOD(COLUMN($AM198:$BJ198),4)=MOD(COLUMN($AM198)+1,4)),$AM198:$BJ198)</f>
        <v/>
      </c>
      <c r="BO198" s="806">
        <f>SUMPRODUCT(--(MOD(COLUMN($O198:$AL198),4)=MOD(COLUMN($O198)+1,4)),$O198:$AL198)*
$I198+SUMPRODUCT(--(MOD(COLUMN($AM198:$BJ198),4)=MOD(COLUMN($AM198)+1,4)),$AM198:$BJ198)*$I198</f>
        <v/>
      </c>
      <c r="BP198" s="807">
        <f>SUMPRODUCT(--(MOD(COLUMN($O198:$AL198),4)=MOD(COLUMN($O198)+2,4)),$O198:$AL198)
+SUMPRODUCT(--(MOD(COLUMN($AM198:$BJ198),4)=MOD(COLUMN($AM198)+2,4)),$AM198:$BJ198)</f>
        <v/>
      </c>
      <c r="BQ198" s="808">
        <f>SUMPRODUCT(--(MOD(COLUMN($O198:$AL198),4)=MOD(COLUMN($O198)+2,4)),$O198:$AL198)*
$I198+SUMPRODUCT(--(MOD(COLUMN($AM198:$BJ198),4)=MOD(COLUMN($AM198)+2,4)),$AM198:$BJ198)*$I198</f>
        <v/>
      </c>
      <c r="BR198" s="801" t="n"/>
      <c r="BS198" s="819" t="n"/>
      <c r="BT198" s="23" t="n">
        <v>60</v>
      </c>
      <c r="BU198" s="24" t="n"/>
      <c r="BV198" s="25" t="n">
        <v>0</v>
      </c>
      <c r="BW198" s="24" t="n"/>
      <c r="BX198" s="23" t="n">
        <v>60</v>
      </c>
      <c r="BY198" s="24" t="n"/>
      <c r="BZ198" s="25" t="n">
        <v>0</v>
      </c>
      <c r="CA198" s="24" t="n"/>
      <c r="CB198" s="23" t="n">
        <v>60</v>
      </c>
      <c r="CC198" s="24" t="n"/>
      <c r="CD198" s="25" t="n">
        <v>0</v>
      </c>
      <c r="CE198" s="24" t="n"/>
      <c r="CF198" s="23" t="n">
        <v>60</v>
      </c>
      <c r="CG198" s="24" t="n"/>
      <c r="CH198" s="25" t="n">
        <v>0</v>
      </c>
      <c r="CI198" s="24" t="n"/>
      <c r="CJ198" s="23" t="n">
        <v>60</v>
      </c>
      <c r="CK198" s="24" t="n"/>
      <c r="CL198" s="25" t="n">
        <v>0</v>
      </c>
      <c r="CM198" s="24" t="n"/>
      <c r="CN198" s="23" t="n">
        <v>60</v>
      </c>
      <c r="CO198" s="24" t="n"/>
      <c r="CP198" s="25" t="n">
        <v>0</v>
      </c>
      <c r="CQ198" s="24" t="n"/>
      <c r="CR198" s="23" t="n">
        <v>60</v>
      </c>
      <c r="CS198" s="24" t="n"/>
      <c r="CT198" s="25" t="n">
        <v>0</v>
      </c>
      <c r="CU198" s="24" t="n"/>
      <c r="CV198" s="23" t="n">
        <v>60</v>
      </c>
      <c r="CW198" s="24" t="n"/>
      <c r="CX198" s="25" t="n">
        <v>0</v>
      </c>
      <c r="CY198" s="24" t="n"/>
      <c r="CZ198" s="23" t="n">
        <v>60</v>
      </c>
      <c r="DA198" s="24" t="n"/>
      <c r="DB198" s="25" t="n">
        <v>0</v>
      </c>
      <c r="DC198" s="24" t="n"/>
      <c r="DD198" s="23" t="n">
        <v>60</v>
      </c>
      <c r="DE198" s="24" t="n"/>
      <c r="DF198" s="25" t="n">
        <v>0</v>
      </c>
      <c r="DG198" s="24" t="n"/>
      <c r="DH198" s="23" t="n">
        <v>60</v>
      </c>
      <c r="DI198" s="24" t="n"/>
      <c r="DJ198" s="25" t="n">
        <v>0</v>
      </c>
      <c r="DK198" s="24" t="n"/>
      <c r="DL198" s="23" t="n">
        <v>60</v>
      </c>
      <c r="DM198" s="24" t="n"/>
      <c r="DN198" s="25" t="n">
        <v>0</v>
      </c>
      <c r="DO198" s="24" t="n"/>
      <c r="DP198" s="340" t="n"/>
      <c r="DQ198" s="803">
        <f>SUMPRODUCT(--(MOD(COLUMN(BT198:CQ198),4)=MOD(COLUMN(BT198),4)),BT198:CQ198)+SUMPRODUCT(--(MOD(COLUMN(CR198:DO198),4)=MOD(COLUMN(CR198),4)),CR198:DO198)</f>
        <v/>
      </c>
      <c r="DR198" s="803">
        <f>SUMPRODUCT(--(MOD(COLUMN(BT198:CQ198),4)=MOD(COLUMN(BT198),4)),BT198:CQ198)*$I198+SUMPRODUCT(--(MOD(COLUMN(CR198:DO198),4)=MOD(COLUMN(CR198),4)),CR198:DO198)*$I198</f>
        <v/>
      </c>
      <c r="DS198" s="801" t="n"/>
      <c r="DT198" s="819" t="n"/>
      <c r="DU198" s="23" t="n">
        <v>70</v>
      </c>
      <c r="DV198" s="24" t="n"/>
      <c r="DW198" s="25" t="n">
        <v>0</v>
      </c>
      <c r="DX198" s="24" t="n"/>
      <c r="DY198" s="23" t="n">
        <v>70</v>
      </c>
      <c r="DZ198" s="24" t="n"/>
      <c r="EA198" s="25" t="n">
        <v>0</v>
      </c>
      <c r="EB198" s="24" t="n"/>
      <c r="EC198" s="23" t="n">
        <v>70</v>
      </c>
      <c r="ED198" s="24" t="n"/>
      <c r="EE198" s="25" t="n">
        <v>0</v>
      </c>
      <c r="EF198" s="24" t="n"/>
      <c r="EG198" s="23" t="n">
        <v>70</v>
      </c>
      <c r="EH198" s="24" t="n"/>
      <c r="EI198" s="25" t="n">
        <v>0</v>
      </c>
      <c r="EJ198" s="24" t="n"/>
      <c r="EK198" s="23" t="n">
        <v>70</v>
      </c>
      <c r="EL198" s="24" t="n"/>
      <c r="EM198" s="25" t="n">
        <v>0</v>
      </c>
      <c r="EN198" s="24" t="n"/>
      <c r="EO198" s="23" t="n">
        <v>70</v>
      </c>
      <c r="EP198" s="24" t="n"/>
      <c r="EQ198" s="25" t="n">
        <v>0</v>
      </c>
      <c r="ER198" s="24" t="n"/>
      <c r="ES198" s="23" t="n">
        <v>70</v>
      </c>
      <c r="ET198" s="24" t="n"/>
      <c r="EU198" s="25" t="n">
        <v>0</v>
      </c>
      <c r="EV198" s="24" t="n"/>
      <c r="EW198" s="23" t="n">
        <v>70</v>
      </c>
      <c r="EX198" s="24" t="n"/>
      <c r="EY198" s="25" t="n">
        <v>0</v>
      </c>
      <c r="EZ198" s="24" t="n"/>
      <c r="FA198" s="23" t="n">
        <v>70</v>
      </c>
      <c r="FB198" s="24" t="n"/>
      <c r="FC198" s="25" t="n">
        <v>0</v>
      </c>
      <c r="FD198" s="24" t="n"/>
      <c r="FE198" s="23" t="n">
        <v>70</v>
      </c>
      <c r="FF198" s="24" t="n"/>
      <c r="FG198" s="25" t="n">
        <v>0</v>
      </c>
      <c r="FH198" s="24" t="n"/>
      <c r="FI198" s="23" t="n">
        <v>70</v>
      </c>
      <c r="FJ198" s="24" t="n"/>
      <c r="FK198" s="25" t="n">
        <v>0</v>
      </c>
      <c r="FL198" s="24" t="n"/>
      <c r="FM198" s="23" t="n">
        <v>70</v>
      </c>
      <c r="FN198" s="24" t="n"/>
      <c r="FO198" s="25" t="n">
        <v>0</v>
      </c>
      <c r="FP198" s="24" t="n"/>
      <c r="FQ198" s="340" t="n"/>
      <c r="FR198" s="803">
        <f>SUMPRODUCT(--(MOD(COLUMN(DU198:ER198),4)=MOD(COLUMN(DU198),4)),DU198:ER198)+SUMPRODUCT(--(MOD(COLUMN(ES198:FP198),4)=MOD(COLUMN(ES198),4)),ES198:FP198)</f>
        <v/>
      </c>
      <c r="FS198" s="803">
        <f>SUMPRODUCT(--(MOD(COLUMN(DU198:ER198),4)=MOD(COLUMN(DU198),4)),DU198:ER198)*$I198+SUMPRODUCT(--(MOD(COLUMN(ES198:FP198),4)=MOD(COLUMN(ES198),4)),ES198:FP198)*$I198</f>
        <v/>
      </c>
      <c r="FT198" s="361" t="n"/>
    </row>
    <row r="199" outlineLevel="2">
      <c r="A199" s="56" t="inlineStr">
        <is>
          <t>СПЕЦАВТО-ВОСТОК ООО</t>
        </is>
      </c>
      <c r="B199" s="387" t="inlineStr">
        <is>
          <t>Отсрочка 15 дней</t>
        </is>
      </c>
      <c r="C199" s="173" t="inlineStr">
        <is>
          <t>ВБК РУС</t>
        </is>
      </c>
      <c r="D199" s="565" t="inlineStr">
        <is>
          <t>Прасолов, Соловьёв</t>
        </is>
      </c>
      <c r="E199" s="10">
        <f>IF(ISBLANK(G199),"",IF($A$6:$A$330=$A199,COUNTIF($A$6:A199,$A199),""))</f>
        <v/>
      </c>
      <c r="F199" s="10" t="n">
        <v>2</v>
      </c>
      <c r="G199" s="55" t="n">
        <v>4497120300</v>
      </c>
      <c r="H199" s="54" t="inlineStr">
        <is>
          <t>Кабель-удлинитель датчика ABS, 3 м</t>
        </is>
      </c>
      <c r="I199" s="617">
        <f>82/НДС_20</f>
        <v/>
      </c>
      <c r="J199" s="617" t="n"/>
      <c r="K199" s="872" t="n"/>
      <c r="L199" s="617">
        <f>IF(K199="RUB",J199/ЮАНЬ,IF(K199="EUR",J199*ЕВРО/ЮАНЬ,""))</f>
        <v/>
      </c>
      <c r="M199" s="873" t="n"/>
      <c r="N199" s="871">
        <f>IF(BP199&gt;0,1,IF(BN199&gt;0,2,))</f>
        <v/>
      </c>
      <c r="O199" s="23" t="n"/>
      <c r="P199" s="24" t="n"/>
      <c r="Q199" s="25" t="n"/>
      <c r="R199" s="24" t="n"/>
      <c r="S199" s="23" t="n"/>
      <c r="T199" s="24" t="n"/>
      <c r="U199" s="25" t="n"/>
      <c r="V199" s="24" t="n"/>
      <c r="W199" s="23" t="n"/>
      <c r="X199" s="24" t="n"/>
      <c r="Y199" s="25" t="n"/>
      <c r="Z199" s="24" t="n"/>
      <c r="AA199" s="23" t="n"/>
      <c r="AB199" s="24" t="n"/>
      <c r="AC199" s="25" t="n"/>
      <c r="AD199" s="24" t="n"/>
      <c r="AE199" s="23" t="n"/>
      <c r="AF199" s="24" t="n"/>
      <c r="AG199" s="25" t="n"/>
      <c r="AH199" s="24" t="n"/>
      <c r="AI199" s="23" t="n"/>
      <c r="AJ199" s="24" t="n"/>
      <c r="AK199" s="25" t="n"/>
      <c r="AL199" s="24" t="n"/>
      <c r="AM199" s="23" t="n"/>
      <c r="AN199" s="24" t="n"/>
      <c r="AO199" s="25" t="n"/>
      <c r="AP199" s="24" t="n"/>
      <c r="AQ199" s="23" t="n"/>
      <c r="AR199" s="24" t="n"/>
      <c r="AS199" s="25" t="n"/>
      <c r="AT199" s="24" t="n"/>
      <c r="AU199" s="23" t="n"/>
      <c r="AV199" s="24" t="n"/>
      <c r="AW199" s="25" t="n"/>
      <c r="AX199" s="24" t="n"/>
      <c r="AY199" s="23" t="n"/>
      <c r="AZ199" s="24" t="n"/>
      <c r="BA199" s="25" t="n"/>
      <c r="BB199" s="24" t="n"/>
      <c r="BC199" s="23" t="n"/>
      <c r="BD199" s="24" t="n"/>
      <c r="BE199" s="25" t="n"/>
      <c r="BF199" s="24" t="n"/>
      <c r="BG199" s="23" t="n"/>
      <c r="BH199" s="24" t="n"/>
      <c r="BI199" s="25" t="n"/>
      <c r="BJ199" s="24" t="n"/>
      <c r="BK199" s="340" t="n"/>
      <c r="BL199" s="803">
        <f>SUMPRODUCT(--(MOD(COLUMN($O199:$AL199),4)=MOD(COLUMN($O199)+0,4)),$O199:$AL199)
+SUMPRODUCT(--(MOD(COLUMN($AM199:$BJ199),4)=MOD(COLUMN($AM199)+0,4)),$AM199:$BJ199)</f>
        <v/>
      </c>
      <c r="BM199" s="803">
        <f>SUMPRODUCT(--(MOD(COLUMN($O199:$AL199),4)=MOD(COLUMN($O199)+0,4)),$O199:$AL199)*
$I199+SUMPRODUCT(--(MOD(COLUMN($AM199:$BJ199),4)=MOD(COLUMN($AM199)+0,4)),$AM199:$BJ199)*$I199</f>
        <v/>
      </c>
      <c r="BN199" s="805">
        <f>SUMPRODUCT(--(MOD(COLUMN($O199:$AL199),4)=MOD(COLUMN($O199)+1,4)),$O199:$AL199)
+SUMPRODUCT(--(MOD(COLUMN($AM199:$BJ199),4)=MOD(COLUMN($AM199)+1,4)),$AM199:$BJ199)</f>
        <v/>
      </c>
      <c r="BO199" s="806">
        <f>SUMPRODUCT(--(MOD(COLUMN($O199:$AL199),4)=MOD(COLUMN($O199)+1,4)),$O199:$AL199)*
$I199+SUMPRODUCT(--(MOD(COLUMN($AM199:$BJ199),4)=MOD(COLUMN($AM199)+1,4)),$AM199:$BJ199)*$I199</f>
        <v/>
      </c>
      <c r="BP199" s="807">
        <f>SUMPRODUCT(--(MOD(COLUMN($O199:$AL199),4)=MOD(COLUMN($O199)+2,4)),$O199:$AL199)
+SUMPRODUCT(--(MOD(COLUMN($AM199:$BJ199),4)=MOD(COLUMN($AM199)+2,4)),$AM199:$BJ199)</f>
        <v/>
      </c>
      <c r="BQ199" s="808">
        <f>SUMPRODUCT(--(MOD(COLUMN($O199:$AL199),4)=MOD(COLUMN($O199)+2,4)),$O199:$AL199)*
$I199+SUMPRODUCT(--(MOD(COLUMN($AM199:$BJ199),4)=MOD(COLUMN($AM199)+2,4)),$AM199:$BJ199)*$I199</f>
        <v/>
      </c>
      <c r="BR199" s="801" t="n"/>
      <c r="BS199" s="819" t="n"/>
      <c r="BT199" s="23" t="n"/>
      <c r="BU199" s="24" t="n"/>
      <c r="BV199" s="25" t="n"/>
      <c r="BW199" s="24" t="n"/>
      <c r="BX199" s="23" t="n"/>
      <c r="BY199" s="24" t="n"/>
      <c r="BZ199" s="25" t="n"/>
      <c r="CA199" s="24" t="n"/>
      <c r="CB199" s="23" t="n"/>
      <c r="CC199" s="24" t="n"/>
      <c r="CD199" s="25" t="n"/>
      <c r="CE199" s="108" t="n"/>
      <c r="CF199" s="23" t="n"/>
      <c r="CG199" s="24" t="n"/>
      <c r="CH199" s="25" t="n"/>
      <c r="CI199" s="24" t="n"/>
      <c r="CJ199" s="23" t="n"/>
      <c r="CK199" s="24" t="n"/>
      <c r="CL199" s="25" t="n"/>
      <c r="CM199" s="24" t="n"/>
      <c r="CN199" s="23" t="n"/>
      <c r="CO199" s="24" t="n"/>
      <c r="CP199" s="25" t="n"/>
      <c r="CQ199" s="24" t="n"/>
      <c r="CR199" s="23" t="n"/>
      <c r="CS199" s="24" t="n"/>
      <c r="CT199" s="25" t="n"/>
      <c r="CU199" s="24" t="n"/>
      <c r="CV199" s="23" t="n"/>
      <c r="CW199" s="24" t="n"/>
      <c r="CX199" s="25" t="n"/>
      <c r="CY199" s="24" t="n"/>
      <c r="CZ199" s="23" t="n"/>
      <c r="DA199" s="24" t="n"/>
      <c r="DB199" s="25" t="n"/>
      <c r="DC199" s="24" t="n"/>
      <c r="DD199" s="23" t="n"/>
      <c r="DE199" s="24" t="n"/>
      <c r="DF199" s="25" t="n"/>
      <c r="DG199" s="24" t="n"/>
      <c r="DH199" s="23" t="n"/>
      <c r="DI199" s="24" t="n"/>
      <c r="DJ199" s="25" t="n"/>
      <c r="DK199" s="24" t="n"/>
      <c r="DL199" s="23" t="n"/>
      <c r="DM199" s="24" t="n"/>
      <c r="DN199" s="25" t="n"/>
      <c r="DO199" s="24" t="n"/>
      <c r="DP199" s="340" t="n"/>
      <c r="DQ199" s="803">
        <f>SUMPRODUCT(--(MOD(COLUMN(BT199:CQ199),4)=MOD(COLUMN(BT199),4)),BT199:CQ199)+SUMPRODUCT(--(MOD(COLUMN(CR199:DO199),4)=MOD(COLUMN(CR199),4)),CR199:DO199)</f>
        <v/>
      </c>
      <c r="DR199" s="803">
        <f>SUMPRODUCT(--(MOD(COLUMN(BT199:CQ199),4)=MOD(COLUMN(BT199),4)),BT199:CQ199)*$I199+SUMPRODUCT(--(MOD(COLUMN(CR199:DO199),4)=MOD(COLUMN(CR199),4)),CR199:DO199)*$I199</f>
        <v/>
      </c>
      <c r="DS199" s="801" t="n"/>
      <c r="DT199" s="819" t="n"/>
      <c r="DU199" s="23" t="n"/>
      <c r="DV199" s="24" t="n"/>
      <c r="DW199" s="25" t="n"/>
      <c r="DX199" s="24" t="n"/>
      <c r="DY199" s="23" t="n"/>
      <c r="DZ199" s="24" t="n"/>
      <c r="EA199" s="25" t="n"/>
      <c r="EB199" s="24" t="n"/>
      <c r="EC199" s="23" t="n"/>
      <c r="ED199" s="24" t="n"/>
      <c r="EE199" s="25" t="n"/>
      <c r="EF199" s="108" t="n"/>
      <c r="EG199" s="23" t="n"/>
      <c r="EH199" s="24" t="n"/>
      <c r="EI199" s="25" t="n"/>
      <c r="EJ199" s="24" t="n"/>
      <c r="EK199" s="23" t="n"/>
      <c r="EL199" s="24" t="n"/>
      <c r="EM199" s="25" t="n"/>
      <c r="EN199" s="24" t="n"/>
      <c r="EO199" s="23" t="n"/>
      <c r="EP199" s="24" t="n"/>
      <c r="EQ199" s="25" t="n"/>
      <c r="ER199" s="24" t="n"/>
      <c r="ES199" s="23" t="n"/>
      <c r="ET199" s="24" t="n"/>
      <c r="EU199" s="25" t="n"/>
      <c r="EV199" s="24" t="n"/>
      <c r="EW199" s="23" t="n"/>
      <c r="EX199" s="24" t="n"/>
      <c r="EY199" s="25" t="n"/>
      <c r="EZ199" s="24" t="n"/>
      <c r="FA199" s="23" t="n"/>
      <c r="FB199" s="24" t="n"/>
      <c r="FC199" s="25" t="n"/>
      <c r="FD199" s="24" t="n"/>
      <c r="FE199" s="23" t="n"/>
      <c r="FF199" s="24" t="n"/>
      <c r="FG199" s="25" t="n"/>
      <c r="FH199" s="24" t="n"/>
      <c r="FI199" s="23" t="n"/>
      <c r="FJ199" s="24" t="n"/>
      <c r="FK199" s="25" t="n"/>
      <c r="FL199" s="24" t="n"/>
      <c r="FM199" s="23" t="n"/>
      <c r="FN199" s="24" t="n"/>
      <c r="FO199" s="25" t="n"/>
      <c r="FP199" s="24" t="n"/>
      <c r="FQ199" s="340" t="n"/>
      <c r="FR199" s="803">
        <f>SUMPRODUCT(--(MOD(COLUMN(DU199:ER199),4)=MOD(COLUMN(DU199),4)),DU199:ER199)+SUMPRODUCT(--(MOD(COLUMN(ES199:FP199),4)=MOD(COLUMN(ES199),4)),ES199:FP199)</f>
        <v/>
      </c>
      <c r="FS199" s="803">
        <f>SUMPRODUCT(--(MOD(COLUMN(DU199:ER199),4)=MOD(COLUMN(DU199),4)),DU199:ER199)*$I199+SUMPRODUCT(--(MOD(COLUMN(ES199:FP199),4)=MOD(COLUMN(ES199),4)),ES199:FP199)*$I199</f>
        <v/>
      </c>
      <c r="FT199" s="361" t="n"/>
    </row>
    <row r="200" outlineLevel="2">
      <c r="A200" s="56" t="inlineStr">
        <is>
          <t>СПЕЦАВТО-ВОСТОК ООО</t>
        </is>
      </c>
      <c r="B200" s="387" t="inlineStr">
        <is>
          <t>Отсрочка 15 дней</t>
        </is>
      </c>
      <c r="C200" s="173" t="inlineStr">
        <is>
          <t>ВБК РУС</t>
        </is>
      </c>
      <c r="D200" s="565" t="inlineStr">
        <is>
          <t>Прасолов, Соловьёв</t>
        </is>
      </c>
      <c r="E200" s="10">
        <f>IF(ISBLANK(G200),"",IF($A$6:$A$330=$A200,COUNTIF($A$6:A200,$A200),""))</f>
        <v/>
      </c>
      <c r="F200" s="10" t="n">
        <v>2</v>
      </c>
      <c r="G200" s="55" t="n">
        <v>4497490300</v>
      </c>
      <c r="H200" s="54" t="inlineStr">
        <is>
          <t>Кабель-удлинитель датчика ABS, 3 м</t>
        </is>
      </c>
      <c r="I200" s="617">
        <f>82/НДС_20</f>
        <v/>
      </c>
      <c r="J200" s="617" t="n"/>
      <c r="K200" s="872" t="n"/>
      <c r="L200" s="617">
        <f>IF(K200="RUB",J200/ЮАНЬ,IF(K200="EUR",J200*ЕВРО/ЮАНЬ,""))</f>
        <v/>
      </c>
      <c r="M200" s="873" t="n"/>
      <c r="N200" s="871">
        <f>IF(BP200&gt;0,1,IF(BN200&gt;0,2,))</f>
        <v/>
      </c>
      <c r="O200" s="23" t="n"/>
      <c r="P200" s="24" t="n"/>
      <c r="Q200" s="25" t="n">
        <v>0</v>
      </c>
      <c r="R200" s="24" t="n"/>
      <c r="S200" s="23" t="n"/>
      <c r="T200" s="24" t="n"/>
      <c r="U200" s="25" t="n">
        <v>10</v>
      </c>
      <c r="V200" s="24" t="n"/>
      <c r="W200" s="23" t="n"/>
      <c r="X200" s="24" t="n"/>
      <c r="Y200" s="25" t="n">
        <v>32</v>
      </c>
      <c r="Z200" s="108" t="n"/>
      <c r="AA200" s="23" t="n"/>
      <c r="AB200" s="24" t="n"/>
      <c r="AC200" s="25" t="n">
        <v>0</v>
      </c>
      <c r="AD200" s="24" t="n"/>
      <c r="AE200" s="23" t="n"/>
      <c r="AF200" s="24" t="n"/>
      <c r="AG200" s="25" t="n">
        <v>0</v>
      </c>
      <c r="AH200" s="24" t="n"/>
      <c r="AI200" s="23" t="n"/>
      <c r="AJ200" s="24" t="n"/>
      <c r="AK200" s="25" t="n">
        <v>0</v>
      </c>
      <c r="AL200" s="24" t="n"/>
      <c r="AM200" s="23" t="n"/>
      <c r="AN200" s="24" t="n"/>
      <c r="AO200" s="25" t="n">
        <v>0</v>
      </c>
      <c r="AP200" s="24" t="n"/>
      <c r="AQ200" s="23" t="n"/>
      <c r="AR200" s="24" t="n"/>
      <c r="AS200" s="25" t="n">
        <v>0</v>
      </c>
      <c r="AT200" s="24" t="n"/>
      <c r="AU200" s="23" t="n"/>
      <c r="AV200" s="24" t="n"/>
      <c r="AW200" s="25" t="n">
        <v>0</v>
      </c>
      <c r="AX200" s="24" t="n"/>
      <c r="AY200" s="23" t="n"/>
      <c r="AZ200" s="24" t="n"/>
      <c r="BA200" s="25" t="n">
        <v>0</v>
      </c>
      <c r="BB200" s="24" t="n"/>
      <c r="BC200" s="23" t="n"/>
      <c r="BD200" s="24" t="n"/>
      <c r="BE200" s="25" t="n">
        <v>0</v>
      </c>
      <c r="BF200" s="24" t="n"/>
      <c r="BG200" s="23" t="n"/>
      <c r="BH200" s="24" t="n"/>
      <c r="BI200" s="25" t="n">
        <v>0</v>
      </c>
      <c r="BJ200" s="24" t="n"/>
      <c r="BK200" s="340" t="n"/>
      <c r="BL200" s="803">
        <f>SUMPRODUCT(--(MOD(COLUMN($O200:$AL200),4)=MOD(COLUMN($O200)+0,4)),$O200:$AL200)
+SUMPRODUCT(--(MOD(COLUMN($AM200:$BJ200),4)=MOD(COLUMN($AM200)+0,4)),$AM200:$BJ200)</f>
        <v/>
      </c>
      <c r="BM200" s="803">
        <f>SUMPRODUCT(--(MOD(COLUMN($O200:$AL200),4)=MOD(COLUMN($O200)+0,4)),$O200:$AL200)*
$I200+SUMPRODUCT(--(MOD(COLUMN($AM200:$BJ200),4)=MOD(COLUMN($AM200)+0,4)),$AM200:$BJ200)*$I200</f>
        <v/>
      </c>
      <c r="BN200" s="805">
        <f>SUMPRODUCT(--(MOD(COLUMN($O200:$AL200),4)=MOD(COLUMN($O200)+1,4)),$O200:$AL200)
+SUMPRODUCT(--(MOD(COLUMN($AM200:$BJ200),4)=MOD(COLUMN($AM200)+1,4)),$AM200:$BJ200)</f>
        <v/>
      </c>
      <c r="BO200" s="806">
        <f>SUMPRODUCT(--(MOD(COLUMN($O200:$AL200),4)=MOD(COLUMN($O200)+1,4)),$O200:$AL200)*
$I200+SUMPRODUCT(--(MOD(COLUMN($AM200:$BJ200),4)=MOD(COLUMN($AM200)+1,4)),$AM200:$BJ200)*$I200</f>
        <v/>
      </c>
      <c r="BP200" s="807">
        <f>SUMPRODUCT(--(MOD(COLUMN($O200:$AL200),4)=MOD(COLUMN($O200)+2,4)),$O200:$AL200)
+SUMPRODUCT(--(MOD(COLUMN($AM200:$BJ200),4)=MOD(COLUMN($AM200)+2,4)),$AM200:$BJ200)</f>
        <v/>
      </c>
      <c r="BQ200" s="808">
        <f>SUMPRODUCT(--(MOD(COLUMN($O200:$AL200),4)=MOD(COLUMN($O200)+2,4)),$O200:$AL200)*
$I200+SUMPRODUCT(--(MOD(COLUMN($AM200:$BJ200),4)=MOD(COLUMN($AM200)+2,4)),$AM200:$BJ200)*$I200</f>
        <v/>
      </c>
      <c r="BR200" s="801" t="n"/>
      <c r="BS200" s="819" t="n"/>
      <c r="BT200" s="23" t="n"/>
      <c r="BU200" s="24" t="n"/>
      <c r="BV200" s="25" t="n">
        <v>0</v>
      </c>
      <c r="BW200" s="24" t="n"/>
      <c r="BX200" s="23" t="n"/>
      <c r="BY200" s="24" t="n"/>
      <c r="BZ200" s="25" t="n">
        <v>0</v>
      </c>
      <c r="CA200" s="24" t="n"/>
      <c r="CB200" s="23" t="n"/>
      <c r="CC200" s="24" t="n"/>
      <c r="CD200" s="25" t="n">
        <v>0</v>
      </c>
      <c r="CE200" s="108" t="n"/>
      <c r="CF200" s="23" t="n"/>
      <c r="CG200" s="24" t="n"/>
      <c r="CH200" s="25" t="n">
        <v>0</v>
      </c>
      <c r="CI200" s="24" t="n"/>
      <c r="CJ200" s="23" t="n"/>
      <c r="CK200" s="24" t="n"/>
      <c r="CL200" s="25" t="n">
        <v>0</v>
      </c>
      <c r="CM200" s="24" t="n"/>
      <c r="CN200" s="23" t="n"/>
      <c r="CO200" s="24" t="n"/>
      <c r="CP200" s="25" t="n">
        <v>0</v>
      </c>
      <c r="CQ200" s="24" t="n"/>
      <c r="CR200" s="23" t="n"/>
      <c r="CS200" s="24" t="n"/>
      <c r="CT200" s="25" t="n">
        <v>0</v>
      </c>
      <c r="CU200" s="24" t="n"/>
      <c r="CV200" s="23" t="n"/>
      <c r="CW200" s="24" t="n"/>
      <c r="CX200" s="25" t="n">
        <v>0</v>
      </c>
      <c r="CY200" s="24" t="n"/>
      <c r="CZ200" s="23" t="n"/>
      <c r="DA200" s="24" t="n"/>
      <c r="DB200" s="25" t="n">
        <v>0</v>
      </c>
      <c r="DC200" s="24" t="n"/>
      <c r="DD200" s="23" t="n"/>
      <c r="DE200" s="24" t="n"/>
      <c r="DF200" s="25" t="n">
        <v>0</v>
      </c>
      <c r="DG200" s="24" t="n"/>
      <c r="DH200" s="23" t="n"/>
      <c r="DI200" s="24" t="n"/>
      <c r="DJ200" s="25" t="n">
        <v>0</v>
      </c>
      <c r="DK200" s="24" t="n"/>
      <c r="DL200" s="23" t="n"/>
      <c r="DM200" s="24" t="n"/>
      <c r="DN200" s="25" t="n">
        <v>0</v>
      </c>
      <c r="DO200" s="24" t="n"/>
      <c r="DP200" s="340" t="n"/>
      <c r="DQ200" s="803">
        <f>SUMPRODUCT(--(MOD(COLUMN(BT200:CQ200),4)=MOD(COLUMN(BT200),4)),BT200:CQ200)+SUMPRODUCT(--(MOD(COLUMN(CR200:DO200),4)=MOD(COLUMN(CR200),4)),CR200:DO200)</f>
        <v/>
      </c>
      <c r="DR200" s="803">
        <f>SUMPRODUCT(--(MOD(COLUMN(BT200:CQ200),4)=MOD(COLUMN(BT200),4)),BT200:CQ200)*$I200+SUMPRODUCT(--(MOD(COLUMN(CR200:DO200),4)=MOD(COLUMN(CR200),4)),CR200:DO200)*$I200</f>
        <v/>
      </c>
      <c r="DS200" s="801" t="n"/>
      <c r="DT200" s="819" t="n"/>
      <c r="DU200" s="23" t="n"/>
      <c r="DV200" s="24" t="n"/>
      <c r="DW200" s="25" t="n">
        <v>0</v>
      </c>
      <c r="DX200" s="24" t="n"/>
      <c r="DY200" s="23" t="n"/>
      <c r="DZ200" s="24" t="n"/>
      <c r="EA200" s="25" t="n">
        <v>0</v>
      </c>
      <c r="EB200" s="24" t="n"/>
      <c r="EC200" s="23" t="n"/>
      <c r="ED200" s="24" t="n"/>
      <c r="EE200" s="25" t="n">
        <v>0</v>
      </c>
      <c r="EF200" s="108" t="n"/>
      <c r="EG200" s="23" t="n"/>
      <c r="EH200" s="24" t="n"/>
      <c r="EI200" s="25" t="n">
        <v>0</v>
      </c>
      <c r="EJ200" s="24" t="n"/>
      <c r="EK200" s="23" t="n"/>
      <c r="EL200" s="24" t="n"/>
      <c r="EM200" s="25" t="n">
        <v>0</v>
      </c>
      <c r="EN200" s="24" t="n"/>
      <c r="EO200" s="23" t="n"/>
      <c r="EP200" s="24" t="n"/>
      <c r="EQ200" s="25" t="n">
        <v>0</v>
      </c>
      <c r="ER200" s="24" t="n"/>
      <c r="ES200" s="23" t="n"/>
      <c r="ET200" s="24" t="n"/>
      <c r="EU200" s="25" t="n">
        <v>0</v>
      </c>
      <c r="EV200" s="24" t="n"/>
      <c r="EW200" s="23" t="n"/>
      <c r="EX200" s="24" t="n"/>
      <c r="EY200" s="25" t="n">
        <v>0</v>
      </c>
      <c r="EZ200" s="24" t="n"/>
      <c r="FA200" s="23" t="n"/>
      <c r="FB200" s="24" t="n"/>
      <c r="FC200" s="25" t="n">
        <v>0</v>
      </c>
      <c r="FD200" s="24" t="n"/>
      <c r="FE200" s="23" t="n"/>
      <c r="FF200" s="24" t="n"/>
      <c r="FG200" s="25" t="n">
        <v>0</v>
      </c>
      <c r="FH200" s="24" t="n"/>
      <c r="FI200" s="23" t="n"/>
      <c r="FJ200" s="24" t="n"/>
      <c r="FK200" s="25" t="n">
        <v>0</v>
      </c>
      <c r="FL200" s="24" t="n"/>
      <c r="FM200" s="23" t="n"/>
      <c r="FN200" s="24" t="n"/>
      <c r="FO200" s="25" t="n">
        <v>0</v>
      </c>
      <c r="FP200" s="24" t="n"/>
      <c r="FQ200" s="340" t="n"/>
      <c r="FR200" s="803">
        <f>SUMPRODUCT(--(MOD(COLUMN(DU200:ER200),4)=MOD(COLUMN(DU200),4)),DU200:ER200)+SUMPRODUCT(--(MOD(COLUMN(ES200:FP200),4)=MOD(COLUMN(ES200),4)),ES200:FP200)</f>
        <v/>
      </c>
      <c r="FS200" s="803">
        <f>SUMPRODUCT(--(MOD(COLUMN(DU200:ER200),4)=MOD(COLUMN(DU200),4)),DU200:ER200)*$I200+SUMPRODUCT(--(MOD(COLUMN(ES200:FP200),4)=MOD(COLUMN(ES200),4)),ES200:FP200)*$I200</f>
        <v/>
      </c>
      <c r="FT200" s="361" t="n"/>
    </row>
    <row r="201" outlineLevel="2">
      <c r="A201" s="375" t="inlineStr">
        <is>
          <t>СПЕЦАВТО-ВОСТОК ООО</t>
        </is>
      </c>
      <c r="B201" s="389" t="inlineStr">
        <is>
          <t>Отсрочка 15 дней</t>
        </is>
      </c>
      <c r="C201" s="311" t="inlineStr">
        <is>
          <t>ВБК РУС</t>
        </is>
      </c>
      <c r="D201" s="575" t="inlineStr">
        <is>
          <t>Прасолов, Соловьёв</t>
        </is>
      </c>
      <c r="E201" s="284">
        <f>IF(ISBLANK(G201),"",IF($A$6:$A$330=$A201,COUNTIF($A$6:A201,$A201),""))</f>
        <v/>
      </c>
      <c r="F201" s="284" t="n">
        <v>1</v>
      </c>
      <c r="G201" s="304" t="n">
        <v>4497120000</v>
      </c>
      <c r="H201" s="602" t="inlineStr">
        <is>
          <t>Кабель-удлинитель датчика ABS, 3 м</t>
        </is>
      </c>
      <c r="I201" s="616">
        <f>82/НДС_20</f>
        <v/>
      </c>
      <c r="J201" s="616" t="n"/>
      <c r="K201" s="870" t="n"/>
      <c r="L201" s="616">
        <f>IF(K201="RUB",J201/ЮАНЬ,IF(K201="EUR",J201*ЕВРО/ЮАНЬ,""))</f>
        <v/>
      </c>
      <c r="M201" s="871" t="n"/>
      <c r="N201" s="871">
        <f>IF(BP201&gt;0,1,IF(BN201&gt;0,2,))</f>
        <v/>
      </c>
      <c r="O201" s="322" t="n"/>
      <c r="P201" s="408" t="n"/>
      <c r="Q201" s="307" t="n"/>
      <c r="R201" s="408" t="n"/>
      <c r="S201" s="322" t="n"/>
      <c r="T201" s="408" t="n"/>
      <c r="U201" s="307" t="n"/>
      <c r="V201" s="408" t="n"/>
      <c r="W201" s="322" t="n"/>
      <c r="X201" s="408" t="n"/>
      <c r="Y201" s="307" t="n"/>
      <c r="Z201" s="334" t="n"/>
      <c r="AA201" s="322" t="n"/>
      <c r="AB201" s="408" t="n"/>
      <c r="AC201" s="307" t="n"/>
      <c r="AD201" s="408" t="n"/>
      <c r="AE201" s="322" t="n"/>
      <c r="AF201" s="408" t="n"/>
      <c r="AG201" s="307" t="n"/>
      <c r="AH201" s="408" t="n"/>
      <c r="AI201" s="322" t="n"/>
      <c r="AJ201" s="408" t="n"/>
      <c r="AK201" s="307" t="n"/>
      <c r="AL201" s="408" t="n"/>
      <c r="AM201" s="322" t="n"/>
      <c r="AN201" s="408" t="n"/>
      <c r="AO201" s="307" t="n"/>
      <c r="AP201" s="408" t="n"/>
      <c r="AQ201" s="322" t="n"/>
      <c r="AR201" s="408" t="n"/>
      <c r="AS201" s="307" t="n"/>
      <c r="AT201" s="408" t="n"/>
      <c r="AU201" s="322" t="n"/>
      <c r="AV201" s="408" t="n"/>
      <c r="AW201" s="307" t="n"/>
      <c r="AX201" s="408" t="n"/>
      <c r="AY201" s="322" t="n"/>
      <c r="AZ201" s="408" t="n"/>
      <c r="BA201" s="307" t="n"/>
      <c r="BB201" s="408" t="n"/>
      <c r="BC201" s="322" t="n"/>
      <c r="BD201" s="408" t="n"/>
      <c r="BE201" s="307" t="n"/>
      <c r="BF201" s="408" t="n"/>
      <c r="BG201" s="322" t="n"/>
      <c r="BH201" s="408" t="n"/>
      <c r="BI201" s="307" t="n"/>
      <c r="BJ201" s="408" t="n"/>
      <c r="BK201" s="340" t="n"/>
      <c r="BL201" s="820">
        <f>SUMPRODUCT(--(MOD(COLUMN($O201:$AL201),4)=MOD(COLUMN($O201)+0,4)),$O201:$AL201)
+SUMPRODUCT(--(MOD(COLUMN($AM201:$BJ201),4)=MOD(COLUMN($AM201)+0,4)),$AM201:$BJ201)</f>
        <v/>
      </c>
      <c r="BM201" s="820">
        <f>SUMPRODUCT(--(MOD(COLUMN($O201:$AL201),4)=MOD(COLUMN($O201)+0,4)),$O201:$AL201)*
$I201+SUMPRODUCT(--(MOD(COLUMN($AM201:$BJ201),4)=MOD(COLUMN($AM201)+0,4)),$AM201:$BJ201)*$I201</f>
        <v/>
      </c>
      <c r="BN201" s="822">
        <f>SUMPRODUCT(--(MOD(COLUMN($O201:$AL201),4)=MOD(COLUMN($O201)+1,4)),$O201:$AL201)
+SUMPRODUCT(--(MOD(COLUMN($AM201:$BJ201),4)=MOD(COLUMN($AM201)+1,4)),$AM201:$BJ201)</f>
        <v/>
      </c>
      <c r="BO201" s="823">
        <f>SUMPRODUCT(--(MOD(COLUMN($O201:$AL201),4)=MOD(COLUMN($O201)+1,4)),$O201:$AL201)*
$I201+SUMPRODUCT(--(MOD(COLUMN($AM201:$BJ201),4)=MOD(COLUMN($AM201)+1,4)),$AM201:$BJ201)*$I201</f>
        <v/>
      </c>
      <c r="BP201" s="824">
        <f>SUMPRODUCT(--(MOD(COLUMN($O201:$AL201),4)=MOD(COLUMN($O201)+2,4)),$O201:$AL201)
+SUMPRODUCT(--(MOD(COLUMN($AM201:$BJ201),4)=MOD(COLUMN($AM201)+2,4)),$AM201:$BJ201)</f>
        <v/>
      </c>
      <c r="BQ201" s="825">
        <f>SUMPRODUCT(--(MOD(COLUMN($O201:$AL201),4)=MOD(COLUMN($O201)+2,4)),$O201:$AL201)*
$I201+SUMPRODUCT(--(MOD(COLUMN($AM201:$BJ201),4)=MOD(COLUMN($AM201)+2,4)),$AM201:$BJ201)*$I201</f>
        <v/>
      </c>
      <c r="BR201" s="819" t="n"/>
      <c r="BS201" s="819" t="n"/>
      <c r="BT201" s="322" t="n"/>
      <c r="BU201" s="408" t="n"/>
      <c r="BV201" s="307" t="n"/>
      <c r="BW201" s="408" t="n"/>
      <c r="BX201" s="322" t="n"/>
      <c r="BY201" s="408" t="n"/>
      <c r="BZ201" s="307" t="n"/>
      <c r="CA201" s="408" t="n"/>
      <c r="CB201" s="322" t="n"/>
      <c r="CC201" s="408" t="n"/>
      <c r="CD201" s="307" t="n"/>
      <c r="CE201" s="334" t="n"/>
      <c r="CF201" s="322" t="n"/>
      <c r="CG201" s="408" t="n"/>
      <c r="CH201" s="307" t="n"/>
      <c r="CI201" s="408" t="n"/>
      <c r="CJ201" s="322" t="n"/>
      <c r="CK201" s="408" t="n"/>
      <c r="CL201" s="307" t="n"/>
      <c r="CM201" s="408" t="n"/>
      <c r="CN201" s="322" t="n"/>
      <c r="CO201" s="408" t="n"/>
      <c r="CP201" s="307" t="n"/>
      <c r="CQ201" s="408" t="n"/>
      <c r="CR201" s="322" t="n"/>
      <c r="CS201" s="408" t="n"/>
      <c r="CT201" s="307" t="n"/>
      <c r="CU201" s="408" t="n"/>
      <c r="CV201" s="322" t="n"/>
      <c r="CW201" s="408" t="n"/>
      <c r="CX201" s="307" t="n"/>
      <c r="CY201" s="408" t="n"/>
      <c r="CZ201" s="322" t="n"/>
      <c r="DA201" s="408" t="n"/>
      <c r="DB201" s="307" t="n"/>
      <c r="DC201" s="408" t="n"/>
      <c r="DD201" s="322" t="n"/>
      <c r="DE201" s="408" t="n"/>
      <c r="DF201" s="307" t="n"/>
      <c r="DG201" s="408" t="n"/>
      <c r="DH201" s="322" t="n"/>
      <c r="DI201" s="408" t="n"/>
      <c r="DJ201" s="307" t="n"/>
      <c r="DK201" s="408" t="n"/>
      <c r="DL201" s="322" t="n"/>
      <c r="DM201" s="408" t="n"/>
      <c r="DN201" s="307" t="n"/>
      <c r="DO201" s="408" t="n"/>
      <c r="DP201" s="340" t="n"/>
      <c r="DQ201" s="820">
        <f>SUMPRODUCT(--(MOD(COLUMN(BT201:CQ201),4)=MOD(COLUMN(BT201),4)),BT201:CQ201)+SUMPRODUCT(--(MOD(COLUMN(CR201:DO201),4)=MOD(COLUMN(CR201),4)),CR201:DO201)</f>
        <v/>
      </c>
      <c r="DR201" s="820">
        <f>SUMPRODUCT(--(MOD(COLUMN(BT201:CQ201),4)=MOD(COLUMN(BT201),4)),BT201:CQ201)*$I201+SUMPRODUCT(--(MOD(COLUMN(CR201:DO201),4)=MOD(COLUMN(CR201),4)),CR201:DO201)*$I201</f>
        <v/>
      </c>
      <c r="DS201" s="819" t="n"/>
      <c r="DT201" s="819" t="n"/>
      <c r="DU201" s="322" t="n"/>
      <c r="DV201" s="408" t="n"/>
      <c r="DW201" s="307" t="n"/>
      <c r="DX201" s="408" t="n"/>
      <c r="DY201" s="322" t="n"/>
      <c r="DZ201" s="408" t="n"/>
      <c r="EA201" s="307" t="n"/>
      <c r="EB201" s="408" t="n"/>
      <c r="EC201" s="322" t="n"/>
      <c r="ED201" s="408" t="n"/>
      <c r="EE201" s="307" t="n"/>
      <c r="EF201" s="334" t="n"/>
      <c r="EG201" s="322" t="n"/>
      <c r="EH201" s="408" t="n"/>
      <c r="EI201" s="307" t="n"/>
      <c r="EJ201" s="408" t="n"/>
      <c r="EK201" s="322" t="n"/>
      <c r="EL201" s="408" t="n"/>
      <c r="EM201" s="307" t="n"/>
      <c r="EN201" s="408" t="n"/>
      <c r="EO201" s="322" t="n"/>
      <c r="EP201" s="408" t="n"/>
      <c r="EQ201" s="307" t="n"/>
      <c r="ER201" s="408" t="n"/>
      <c r="ES201" s="322" t="n"/>
      <c r="ET201" s="408" t="n"/>
      <c r="EU201" s="307" t="n"/>
      <c r="EV201" s="408" t="n"/>
      <c r="EW201" s="322" t="n"/>
      <c r="EX201" s="408" t="n"/>
      <c r="EY201" s="307" t="n"/>
      <c r="EZ201" s="408" t="n"/>
      <c r="FA201" s="322" t="n"/>
      <c r="FB201" s="408" t="n"/>
      <c r="FC201" s="307" t="n"/>
      <c r="FD201" s="408" t="n"/>
      <c r="FE201" s="322" t="n"/>
      <c r="FF201" s="408" t="n"/>
      <c r="FG201" s="307" t="n"/>
      <c r="FH201" s="408" t="n"/>
      <c r="FI201" s="322" t="n"/>
      <c r="FJ201" s="408" t="n"/>
      <c r="FK201" s="307" t="n"/>
      <c r="FL201" s="408" t="n"/>
      <c r="FM201" s="322" t="n"/>
      <c r="FN201" s="408" t="n"/>
      <c r="FO201" s="307" t="n"/>
      <c r="FP201" s="408" t="n"/>
      <c r="FQ201" s="340" t="n"/>
      <c r="FR201" s="820">
        <f>SUMPRODUCT(--(MOD(COLUMN(DU201:ER201),4)=MOD(COLUMN(DU201),4)),DU201:ER201)+SUMPRODUCT(--(MOD(COLUMN(ES201:FP201),4)=MOD(COLUMN(ES201),4)),ES201:FP201)</f>
        <v/>
      </c>
      <c r="FS201" s="820">
        <f>SUMPRODUCT(--(MOD(COLUMN(DU201:ER201),4)=MOD(COLUMN(DU201),4)),DU201:ER201)*$I201+SUMPRODUCT(--(MOD(COLUMN(ES201:FP201),4)=MOD(COLUMN(ES201),4)),ES201:FP201)*$I201</f>
        <v/>
      </c>
      <c r="FT201" s="361" t="n"/>
    </row>
    <row r="202" outlineLevel="2">
      <c r="A202" s="413" t="inlineStr">
        <is>
          <t>СПЕЦАВТО-ВОСТОК ООО</t>
        </is>
      </c>
      <c r="B202" s="444" t="inlineStr">
        <is>
          <t>Отсрочка 15 дней</t>
        </is>
      </c>
      <c r="C202" s="592" t="inlineStr">
        <is>
          <t>ВБК РУС</t>
        </is>
      </c>
      <c r="D202" s="580" t="inlineStr">
        <is>
          <t>Прасолов, Соловьёв</t>
        </is>
      </c>
      <c r="E202" s="414">
        <f>IF(ISBLANK(G202),"",IF($A$6:$A$330=$A202,COUNTIF($A$6:A202,$A202),""))</f>
        <v/>
      </c>
      <c r="F202" s="284" t="n">
        <v>1</v>
      </c>
      <c r="G202" s="304" t="n">
        <v>4630840310</v>
      </c>
      <c r="H202" s="602" t="inlineStr">
        <is>
          <t>Клапан управления подъемом оси (LACV)</t>
        </is>
      </c>
      <c r="I202" s="616">
        <f>643.7/НДС</f>
        <v/>
      </c>
      <c r="J202" s="616" t="n"/>
      <c r="K202" s="870" t="n"/>
      <c r="L202" s="616" t="n"/>
      <c r="M202" s="871" t="n"/>
      <c r="N202" s="871">
        <f>IF(BP202&gt;0,1,IF(BN202&gt;0,2,))</f>
        <v/>
      </c>
      <c r="O202" s="322" t="n"/>
      <c r="P202" s="408" t="n"/>
      <c r="Q202" s="307" t="n"/>
      <c r="R202" s="408" t="n"/>
      <c r="S202" s="322" t="n"/>
      <c r="T202" s="408" t="n"/>
      <c r="U202" s="307" t="n"/>
      <c r="V202" s="408" t="n"/>
      <c r="W202" s="322" t="n"/>
      <c r="X202" s="408" t="n"/>
      <c r="Y202" s="307" t="n">
        <v>10</v>
      </c>
      <c r="Z202" s="334" t="n"/>
      <c r="AA202" s="322" t="n"/>
      <c r="AB202" s="408" t="n"/>
      <c r="AC202" s="307" t="n">
        <v>0</v>
      </c>
      <c r="AD202" s="408" t="n"/>
      <c r="AE202" s="322" t="n"/>
      <c r="AF202" s="408" t="n"/>
      <c r="AG202" s="307" t="n"/>
      <c r="AH202" s="408" t="n"/>
      <c r="AI202" s="322" t="n"/>
      <c r="AJ202" s="408">
        <f>10</f>
        <v/>
      </c>
      <c r="AK202" s="307" t="n">
        <v>0</v>
      </c>
      <c r="AL202" s="408" t="n"/>
      <c r="AM202" s="322" t="n"/>
      <c r="AN202" s="408" t="n"/>
      <c r="AO202" s="307" t="n"/>
      <c r="AP202" s="408" t="n"/>
      <c r="AQ202" s="322" t="n"/>
      <c r="AR202" s="408" t="n"/>
      <c r="AS202" s="307" t="n"/>
      <c r="AT202" s="408" t="n"/>
      <c r="AU202" s="322" t="n"/>
      <c r="AV202" s="408" t="n"/>
      <c r="AW202" s="307" t="n"/>
      <c r="AX202" s="408" t="n"/>
      <c r="AY202" s="322" t="n"/>
      <c r="AZ202" s="408" t="n"/>
      <c r="BA202" s="307" t="n"/>
      <c r="BB202" s="408" t="n"/>
      <c r="BC202" s="322" t="n"/>
      <c r="BD202" s="408" t="n"/>
      <c r="BE202" s="307" t="n"/>
      <c r="BF202" s="408" t="n"/>
      <c r="BG202" s="322" t="n"/>
      <c r="BH202" s="408" t="n"/>
      <c r="BI202" s="307" t="n"/>
      <c r="BJ202" s="408" t="n"/>
      <c r="BK202" s="340" t="n"/>
      <c r="BL202" s="820">
        <f>SUMPRODUCT(--(MOD(COLUMN($O202:$AL202),4)=MOD(COLUMN($O202)+0,4)),$O202:$AL202)
+SUMPRODUCT(--(MOD(COLUMN($AM202:$BJ202),4)=MOD(COLUMN($AM202)+0,4)),$AM202:$BJ202)</f>
        <v/>
      </c>
      <c r="BM202" s="820">
        <f>SUMPRODUCT(--(MOD(COLUMN($O202:$AL202),4)=MOD(COLUMN($O202)+0,4)),$O202:$AL202)*
$I202+SUMPRODUCT(--(MOD(COLUMN($AM202:$BJ202),4)=MOD(COLUMN($AM202)+0,4)),$AM202:$BJ202)*$I202</f>
        <v/>
      </c>
      <c r="BN202" s="822">
        <f>SUMPRODUCT(--(MOD(COLUMN($O202:$AL202),4)=MOD(COLUMN($O202)+1,4)),$O202:$AL202)
+SUMPRODUCT(--(MOD(COLUMN($AM202:$BJ202),4)=MOD(COLUMN($AM202)+1,4)),$AM202:$BJ202)</f>
        <v/>
      </c>
      <c r="BO202" s="823">
        <f>SUMPRODUCT(--(MOD(COLUMN($O202:$AL202),4)=MOD(COLUMN($O202)+1,4)),$O202:$AL202)*
$I202+SUMPRODUCT(--(MOD(COLUMN($AM202:$BJ202),4)=MOD(COLUMN($AM202)+1,4)),$AM202:$BJ202)*$I202</f>
        <v/>
      </c>
      <c r="BP202" s="824">
        <f>SUMPRODUCT(--(MOD(COLUMN($O202:$AL202),4)=MOD(COLUMN($O202)+2,4)),$O202:$AL202)
+SUMPRODUCT(--(MOD(COLUMN($AM202:$BJ202),4)=MOD(COLUMN($AM202)+2,4)),$AM202:$BJ202)</f>
        <v/>
      </c>
      <c r="BQ202" s="825">
        <f>SUMPRODUCT(--(MOD(COLUMN($O202:$AL202),4)=MOD(COLUMN($O202)+2,4)),$O202:$AL202)*
$I202+SUMPRODUCT(--(MOD(COLUMN($AM202:$BJ202),4)=MOD(COLUMN($AM202)+2,4)),$AM202:$BJ202)*$I202</f>
        <v/>
      </c>
      <c r="BR202" s="819" t="n"/>
      <c r="BS202" s="819" t="n"/>
      <c r="BT202" s="322" t="n"/>
      <c r="BU202" s="408" t="n"/>
      <c r="BV202" s="307" t="n">
        <v>0</v>
      </c>
      <c r="BW202" s="408" t="n"/>
      <c r="BX202" s="322" t="n"/>
      <c r="BY202" s="408" t="n"/>
      <c r="BZ202" s="307" t="n">
        <v>0</v>
      </c>
      <c r="CA202" s="408" t="n"/>
      <c r="CB202" s="322" t="n"/>
      <c r="CC202" s="408" t="n"/>
      <c r="CD202" s="307" t="n">
        <v>0</v>
      </c>
      <c r="CE202" s="334" t="n"/>
      <c r="CF202" s="322" t="n"/>
      <c r="CG202" s="408" t="n"/>
      <c r="CH202" s="307" t="n">
        <v>0</v>
      </c>
      <c r="CI202" s="408" t="n"/>
      <c r="CJ202" s="322" t="n"/>
      <c r="CK202" s="408" t="n"/>
      <c r="CL202" s="307" t="n">
        <v>0</v>
      </c>
      <c r="CM202" s="408" t="n"/>
      <c r="CN202" s="322" t="n"/>
      <c r="CO202" s="408" t="n"/>
      <c r="CP202" s="307" t="n">
        <v>0</v>
      </c>
      <c r="CQ202" s="408" t="n"/>
      <c r="CR202" s="322" t="n"/>
      <c r="CS202" s="408" t="n"/>
      <c r="CT202" s="307" t="n">
        <v>0</v>
      </c>
      <c r="CU202" s="408" t="n"/>
      <c r="CV202" s="322" t="n"/>
      <c r="CW202" s="408" t="n"/>
      <c r="CX202" s="307" t="n">
        <v>0</v>
      </c>
      <c r="CY202" s="408" t="n"/>
      <c r="CZ202" s="322" t="n"/>
      <c r="DA202" s="408" t="n"/>
      <c r="DB202" s="307" t="n">
        <v>0</v>
      </c>
      <c r="DC202" s="408" t="n"/>
      <c r="DD202" s="322" t="n"/>
      <c r="DE202" s="408" t="n"/>
      <c r="DF202" s="307" t="n">
        <v>0</v>
      </c>
      <c r="DG202" s="408" t="n"/>
      <c r="DH202" s="322" t="n"/>
      <c r="DI202" s="408" t="n"/>
      <c r="DJ202" s="307" t="n">
        <v>0</v>
      </c>
      <c r="DK202" s="408" t="n"/>
      <c r="DL202" s="322" t="n"/>
      <c r="DM202" s="408" t="n"/>
      <c r="DN202" s="307" t="n">
        <v>0</v>
      </c>
      <c r="DO202" s="408" t="n"/>
      <c r="DP202" s="340" t="n"/>
      <c r="DQ202" s="820" t="n"/>
      <c r="DR202" s="820" t="n"/>
      <c r="DS202" s="819" t="n"/>
      <c r="DT202" s="819" t="n"/>
      <c r="DU202" s="322" t="n"/>
      <c r="DV202" s="408" t="n"/>
      <c r="DW202" s="307" t="n">
        <v>0</v>
      </c>
      <c r="DX202" s="408" t="n"/>
      <c r="DY202" s="322" t="n"/>
      <c r="DZ202" s="408" t="n"/>
      <c r="EA202" s="307" t="n">
        <v>0</v>
      </c>
      <c r="EB202" s="408" t="n"/>
      <c r="EC202" s="322" t="n"/>
      <c r="ED202" s="408" t="n"/>
      <c r="EE202" s="307" t="n">
        <v>0</v>
      </c>
      <c r="EF202" s="334" t="n"/>
      <c r="EG202" s="322" t="n"/>
      <c r="EH202" s="408" t="n"/>
      <c r="EI202" s="307" t="n">
        <v>0</v>
      </c>
      <c r="EJ202" s="408" t="n"/>
      <c r="EK202" s="322" t="n"/>
      <c r="EL202" s="408" t="n"/>
      <c r="EM202" s="307" t="n">
        <v>0</v>
      </c>
      <c r="EN202" s="408" t="n"/>
      <c r="EO202" s="322" t="n"/>
      <c r="EP202" s="408" t="n"/>
      <c r="EQ202" s="307" t="n">
        <v>0</v>
      </c>
      <c r="ER202" s="408" t="n"/>
      <c r="ES202" s="322" t="n"/>
      <c r="ET202" s="408" t="n"/>
      <c r="EU202" s="307" t="n">
        <v>0</v>
      </c>
      <c r="EV202" s="408" t="n"/>
      <c r="EW202" s="322" t="n"/>
      <c r="EX202" s="408" t="n"/>
      <c r="EY202" s="307" t="n">
        <v>0</v>
      </c>
      <c r="EZ202" s="408" t="n"/>
      <c r="FA202" s="322" t="n"/>
      <c r="FB202" s="408" t="n"/>
      <c r="FC202" s="307" t="n">
        <v>0</v>
      </c>
      <c r="FD202" s="408" t="n"/>
      <c r="FE202" s="322" t="n"/>
      <c r="FF202" s="408" t="n"/>
      <c r="FG202" s="307" t="n">
        <v>0</v>
      </c>
      <c r="FH202" s="408" t="n"/>
      <c r="FI202" s="322" t="n"/>
      <c r="FJ202" s="408" t="n"/>
      <c r="FK202" s="307" t="n">
        <v>0</v>
      </c>
      <c r="FL202" s="408" t="n"/>
      <c r="FM202" s="322" t="n"/>
      <c r="FN202" s="408" t="n"/>
      <c r="FO202" s="307" t="n">
        <v>0</v>
      </c>
      <c r="FP202" s="408" t="n"/>
      <c r="FQ202" s="340" t="n"/>
      <c r="FR202" s="820" t="n"/>
      <c r="FS202" s="820" t="n"/>
      <c r="FT202" s="361" t="n"/>
    </row>
    <row r="203" outlineLevel="2">
      <c r="A203" s="411" t="inlineStr">
        <is>
          <t>СПЕЦАВТО-ВОСТОК ООО</t>
        </is>
      </c>
      <c r="B203" s="448" t="inlineStr">
        <is>
          <t>Отсрочка 15 дней</t>
        </is>
      </c>
      <c r="C203" s="594" t="inlineStr">
        <is>
          <t>ВБК РУС</t>
        </is>
      </c>
      <c r="D203" s="589" t="inlineStr">
        <is>
          <t>Прасолов, Соловьёв</t>
        </is>
      </c>
      <c r="E203" s="412">
        <f>IF(ISBLANK(G203),"",IF($A$6:$A$330=$A203,COUNTIF($A$6:A203,$A203),""))</f>
        <v/>
      </c>
      <c r="F203" s="10" t="n">
        <v>1</v>
      </c>
      <c r="G203" s="55" t="n">
        <v>4640061000</v>
      </c>
      <c r="H203" s="54" t="inlineStr">
        <is>
          <t>Кран уровня пола</t>
        </is>
      </c>
      <c r="I203" s="617">
        <f>364/НДС_20</f>
        <v/>
      </c>
      <c r="J203" s="617" t="n"/>
      <c r="K203" s="872" t="n"/>
      <c r="L203" s="617">
        <f>IF(K203="RUB",J203/ЮАНЬ,IF(K203="EUR",J203*ЕВРО/ЮАНЬ,""))</f>
        <v/>
      </c>
      <c r="M203" s="873" t="n"/>
      <c r="N203" s="871">
        <f>IF(BP203&gt;0,1,IF(BN203&gt;0,2,))</f>
        <v/>
      </c>
      <c r="O203" s="23" t="n">
        <v>10</v>
      </c>
      <c r="P203" s="24" t="n"/>
      <c r="Q203" s="25" t="n">
        <v>0</v>
      </c>
      <c r="R203" s="24" t="n"/>
      <c r="S203" s="23" t="n">
        <v>10</v>
      </c>
      <c r="T203" s="24" t="n"/>
      <c r="U203" s="25" t="n">
        <v>26</v>
      </c>
      <c r="V203" s="24" t="n"/>
      <c r="W203" s="23" t="n">
        <v>10</v>
      </c>
      <c r="X203" s="24" t="n"/>
      <c r="Y203" s="25" t="n">
        <v>18</v>
      </c>
      <c r="Z203" s="24" t="n"/>
      <c r="AA203" s="23" t="n">
        <v>10</v>
      </c>
      <c r="AB203" s="24" t="n"/>
      <c r="AC203" s="25" t="n">
        <v>0</v>
      </c>
      <c r="AD203" s="24" t="n"/>
      <c r="AE203" s="23" t="n">
        <v>10</v>
      </c>
      <c r="AF203" s="24" t="n"/>
      <c r="AG203" s="25" t="n">
        <v>2</v>
      </c>
      <c r="AH203" s="24" t="n"/>
      <c r="AI203" s="23" t="n">
        <v>10</v>
      </c>
      <c r="AJ203" s="24" t="n"/>
      <c r="AK203" s="25" t="n">
        <v>0</v>
      </c>
      <c r="AL203" s="24" t="n"/>
      <c r="AM203" s="23" t="n">
        <v>10</v>
      </c>
      <c r="AN203" s="24" t="n">
        <v>10</v>
      </c>
      <c r="AO203" s="25" t="n">
        <v>0</v>
      </c>
      <c r="AP203" s="24" t="n"/>
      <c r="AQ203" s="23" t="n">
        <v>10</v>
      </c>
      <c r="AR203" s="24" t="n">
        <v>10</v>
      </c>
      <c r="AS203" s="25" t="n">
        <v>0</v>
      </c>
      <c r="AT203" s="24" t="n"/>
      <c r="AU203" s="23" t="n">
        <v>10</v>
      </c>
      <c r="AV203" s="24" t="n">
        <v>10</v>
      </c>
      <c r="AW203" s="25" t="n">
        <v>0</v>
      </c>
      <c r="AX203" s="24" t="n"/>
      <c r="AY203" s="23" t="n">
        <v>10</v>
      </c>
      <c r="AZ203" s="24" t="n">
        <v>10</v>
      </c>
      <c r="BA203" s="25" t="n">
        <v>0</v>
      </c>
      <c r="BB203" s="24" t="n"/>
      <c r="BC203" s="23" t="n">
        <v>10</v>
      </c>
      <c r="BD203" s="24" t="n">
        <v>10</v>
      </c>
      <c r="BE203" s="25" t="n">
        <v>0</v>
      </c>
      <c r="BF203" s="24" t="n"/>
      <c r="BG203" s="23" t="n">
        <v>10</v>
      </c>
      <c r="BH203" s="24" t="n">
        <v>10</v>
      </c>
      <c r="BI203" s="25" t="n">
        <v>0</v>
      </c>
      <c r="BJ203" s="24" t="n"/>
      <c r="BK203" s="340" t="n"/>
      <c r="BL203" s="803">
        <f>SUMPRODUCT(--(MOD(COLUMN($O203:$AL203),4)=MOD(COLUMN($O203)+0,4)),$O203:$AL203)
+SUMPRODUCT(--(MOD(COLUMN($AM203:$BJ203),4)=MOD(COLUMN($AM203)+0,4)),$AM203:$BJ203)</f>
        <v/>
      </c>
      <c r="BM203" s="803">
        <f>SUMPRODUCT(--(MOD(COLUMN($O203:$AL203),4)=MOD(COLUMN($O203)+0,4)),$O203:$AL203)*
$I203+SUMPRODUCT(--(MOD(COLUMN($AM203:$BJ203),4)=MOD(COLUMN($AM203)+0,4)),$AM203:$BJ203)*$I203</f>
        <v/>
      </c>
      <c r="BN203" s="805">
        <f>SUMPRODUCT(--(MOD(COLUMN($O203:$AL203),4)=MOD(COLUMN($O203)+1,4)),$O203:$AL203)
+SUMPRODUCT(--(MOD(COLUMN($AM203:$BJ203),4)=MOD(COLUMN($AM203)+1,4)),$AM203:$BJ203)</f>
        <v/>
      </c>
      <c r="BO203" s="806">
        <f>SUMPRODUCT(--(MOD(COLUMN($O203:$AL203),4)=MOD(COLUMN($O203)+1,4)),$O203:$AL203)*
$I203+SUMPRODUCT(--(MOD(COLUMN($AM203:$BJ203),4)=MOD(COLUMN($AM203)+1,4)),$AM203:$BJ203)*$I203</f>
        <v/>
      </c>
      <c r="BP203" s="807">
        <f>SUMPRODUCT(--(MOD(COLUMN($O203:$AL203),4)=MOD(COLUMN($O203)+2,4)),$O203:$AL203)
+SUMPRODUCT(--(MOD(COLUMN($AM203:$BJ203),4)=MOD(COLUMN($AM203)+2,4)),$AM203:$BJ203)</f>
        <v/>
      </c>
      <c r="BQ203" s="808">
        <f>SUMPRODUCT(--(MOD(COLUMN($O203:$AL203),4)=MOD(COLUMN($O203)+2,4)),$O203:$AL203)*
$I203+SUMPRODUCT(--(MOD(COLUMN($AM203:$BJ203),4)=MOD(COLUMN($AM203)+2,4)),$AM203:$BJ203)*$I203</f>
        <v/>
      </c>
      <c r="BR203" s="801" t="n"/>
      <c r="BS203" s="819" t="n"/>
      <c r="BT203" s="23" t="n">
        <v>10</v>
      </c>
      <c r="BU203" s="24" t="n"/>
      <c r="BV203" s="25" t="n">
        <v>0</v>
      </c>
      <c r="BW203" s="24" t="n"/>
      <c r="BX203" s="23" t="n">
        <v>10</v>
      </c>
      <c r="BY203" s="24" t="n"/>
      <c r="BZ203" s="25" t="n">
        <v>0</v>
      </c>
      <c r="CA203" s="24" t="n"/>
      <c r="CB203" s="23" t="n">
        <v>10</v>
      </c>
      <c r="CC203" s="24" t="n"/>
      <c r="CD203" s="25" t="n">
        <v>0</v>
      </c>
      <c r="CE203" s="24" t="n"/>
      <c r="CF203" s="23" t="n">
        <v>10</v>
      </c>
      <c r="CG203" s="24" t="n"/>
      <c r="CH203" s="25" t="n">
        <v>0</v>
      </c>
      <c r="CI203" s="24" t="n"/>
      <c r="CJ203" s="23" t="n">
        <v>10</v>
      </c>
      <c r="CK203" s="24" t="n"/>
      <c r="CL203" s="25" t="n">
        <v>0</v>
      </c>
      <c r="CM203" s="24" t="n"/>
      <c r="CN203" s="23" t="n">
        <v>10</v>
      </c>
      <c r="CO203" s="24" t="n"/>
      <c r="CP203" s="25" t="n">
        <v>0</v>
      </c>
      <c r="CQ203" s="24" t="n"/>
      <c r="CR203" s="23" t="n">
        <v>10</v>
      </c>
      <c r="CS203" s="24" t="n"/>
      <c r="CT203" s="25" t="n">
        <v>0</v>
      </c>
      <c r="CU203" s="24" t="n"/>
      <c r="CV203" s="23" t="n">
        <v>10</v>
      </c>
      <c r="CW203" s="24" t="n"/>
      <c r="CX203" s="25" t="n">
        <v>0</v>
      </c>
      <c r="CY203" s="24" t="n"/>
      <c r="CZ203" s="23" t="n">
        <v>10</v>
      </c>
      <c r="DA203" s="24" t="n"/>
      <c r="DB203" s="25" t="n">
        <v>0</v>
      </c>
      <c r="DC203" s="24" t="n"/>
      <c r="DD203" s="23" t="n">
        <v>10</v>
      </c>
      <c r="DE203" s="24" t="n"/>
      <c r="DF203" s="25" t="n">
        <v>0</v>
      </c>
      <c r="DG203" s="24" t="n"/>
      <c r="DH203" s="23" t="n">
        <v>10</v>
      </c>
      <c r="DI203" s="24" t="n"/>
      <c r="DJ203" s="25" t="n">
        <v>0</v>
      </c>
      <c r="DK203" s="24" t="n"/>
      <c r="DL203" s="23" t="n">
        <v>10</v>
      </c>
      <c r="DM203" s="24" t="n"/>
      <c r="DN203" s="25" t="n">
        <v>0</v>
      </c>
      <c r="DO203" s="24" t="n"/>
      <c r="DP203" s="340" t="n"/>
      <c r="DQ203" s="803">
        <f>SUMPRODUCT(--(MOD(COLUMN(BT203:CQ203),4)=MOD(COLUMN(BT203),4)),BT203:CQ203)+SUMPRODUCT(--(MOD(COLUMN(CR203:DO203),4)=MOD(COLUMN(CR203),4)),CR203:DO203)</f>
        <v/>
      </c>
      <c r="DR203" s="803">
        <f>SUMPRODUCT(--(MOD(COLUMN(BT203:CQ203),4)=MOD(COLUMN(BT203),4)),BT203:CQ203)*$I203+SUMPRODUCT(--(MOD(COLUMN(CR203:DO203),4)=MOD(COLUMN(CR203),4)),CR203:DO203)*$I203</f>
        <v/>
      </c>
      <c r="DS203" s="801" t="n"/>
      <c r="DT203" s="819" t="n"/>
      <c r="DU203" s="23" t="n">
        <v>10</v>
      </c>
      <c r="DV203" s="24" t="n"/>
      <c r="DW203" s="25" t="n">
        <v>0</v>
      </c>
      <c r="DX203" s="24" t="n"/>
      <c r="DY203" s="23" t="n">
        <v>10</v>
      </c>
      <c r="DZ203" s="24" t="n"/>
      <c r="EA203" s="25" t="n">
        <v>0</v>
      </c>
      <c r="EB203" s="24" t="n"/>
      <c r="EC203" s="23" t="n">
        <v>10</v>
      </c>
      <c r="ED203" s="24" t="n"/>
      <c r="EE203" s="25" t="n">
        <v>0</v>
      </c>
      <c r="EF203" s="24" t="n"/>
      <c r="EG203" s="23" t="n">
        <v>10</v>
      </c>
      <c r="EH203" s="24" t="n"/>
      <c r="EI203" s="25" t="n">
        <v>0</v>
      </c>
      <c r="EJ203" s="24" t="n"/>
      <c r="EK203" s="23" t="n">
        <v>10</v>
      </c>
      <c r="EL203" s="24" t="n"/>
      <c r="EM203" s="25" t="n">
        <v>0</v>
      </c>
      <c r="EN203" s="24" t="n"/>
      <c r="EO203" s="23" t="n">
        <v>10</v>
      </c>
      <c r="EP203" s="24" t="n"/>
      <c r="EQ203" s="25" t="n">
        <v>0</v>
      </c>
      <c r="ER203" s="24" t="n"/>
      <c r="ES203" s="23" t="n">
        <v>10</v>
      </c>
      <c r="ET203" s="24" t="n"/>
      <c r="EU203" s="25" t="n">
        <v>0</v>
      </c>
      <c r="EV203" s="24" t="n"/>
      <c r="EW203" s="23" t="n">
        <v>10</v>
      </c>
      <c r="EX203" s="24" t="n"/>
      <c r="EY203" s="25" t="n">
        <v>0</v>
      </c>
      <c r="EZ203" s="24" t="n"/>
      <c r="FA203" s="23" t="n">
        <v>10</v>
      </c>
      <c r="FB203" s="24" t="n"/>
      <c r="FC203" s="25" t="n">
        <v>0</v>
      </c>
      <c r="FD203" s="24" t="n"/>
      <c r="FE203" s="23" t="n">
        <v>10</v>
      </c>
      <c r="FF203" s="24" t="n"/>
      <c r="FG203" s="25" t="n">
        <v>0</v>
      </c>
      <c r="FH203" s="24" t="n"/>
      <c r="FI203" s="23" t="n">
        <v>10</v>
      </c>
      <c r="FJ203" s="24" t="n"/>
      <c r="FK203" s="25" t="n">
        <v>0</v>
      </c>
      <c r="FL203" s="24" t="n"/>
      <c r="FM203" s="23" t="n">
        <v>10</v>
      </c>
      <c r="FN203" s="24" t="n"/>
      <c r="FO203" s="25" t="n">
        <v>0</v>
      </c>
      <c r="FP203" s="24" t="n"/>
      <c r="FQ203" s="340" t="n"/>
      <c r="FR203" s="803">
        <f>SUMPRODUCT(--(MOD(COLUMN(DU203:ER203),4)=MOD(COLUMN(DU203),4)),DU203:ER203)+SUMPRODUCT(--(MOD(COLUMN(ES203:FP203),4)=MOD(COLUMN(ES203),4)),ES203:FP203)</f>
        <v/>
      </c>
      <c r="FS203" s="803">
        <f>SUMPRODUCT(--(MOD(COLUMN(DU203:ER203),4)=MOD(COLUMN(DU203),4)),DU203:ER203)*$I203+SUMPRODUCT(--(MOD(COLUMN(ES203:FP203),4)=MOD(COLUMN(ES203),4)),ES203:FP203)*$I203</f>
        <v/>
      </c>
      <c r="FT203" s="361" t="n"/>
    </row>
    <row r="204" outlineLevel="2">
      <c r="A204" s="411" t="inlineStr">
        <is>
          <t>СПЕЦАВТО-ВОСТОК ООО</t>
        </is>
      </c>
      <c r="B204" s="448" t="inlineStr">
        <is>
          <t>Отсрочка 15 дней</t>
        </is>
      </c>
      <c r="C204" s="594" t="inlineStr">
        <is>
          <t>ВБК РУС</t>
        </is>
      </c>
      <c r="D204" s="589" t="inlineStr">
        <is>
          <t>Прасолов, Соловьёв</t>
        </is>
      </c>
      <c r="E204" s="412">
        <f>IF(ISBLANK(G204),"",IF($A$6:$A$330=$A204,COUNTIF($A$6:A204,$A204),""))</f>
        <v/>
      </c>
      <c r="F204" s="10" t="n">
        <v>1</v>
      </c>
      <c r="G204" s="55" t="n">
        <v>4630320200</v>
      </c>
      <c r="H204" s="54" t="inlineStr">
        <is>
          <t>Кран ручного управления</t>
        </is>
      </c>
      <c r="I204" s="617">
        <f>301.19/НДС_20</f>
        <v/>
      </c>
      <c r="J204" s="617" t="n"/>
      <c r="K204" s="872" t="n"/>
      <c r="L204" s="617">
        <f>IF(K204="RUB",J204/ЮАНЬ,IF(K204="EUR",J204*ЕВРО/ЮАНЬ,""))</f>
        <v/>
      </c>
      <c r="M204" s="873" t="n"/>
      <c r="N204" s="871">
        <f>IF(BP204&gt;0,1,IF(BN204&gt;0,2,))</f>
        <v/>
      </c>
      <c r="O204" s="23" t="n">
        <v>10</v>
      </c>
      <c r="P204" s="24" t="n"/>
      <c r="Q204" s="25" t="n">
        <v>0</v>
      </c>
      <c r="R204" s="24" t="n"/>
      <c r="S204" s="23" t="n">
        <v>10</v>
      </c>
      <c r="T204" s="24" t="n"/>
      <c r="U204" s="25" t="n">
        <v>26</v>
      </c>
      <c r="V204" s="24" t="n"/>
      <c r="W204" s="23" t="n">
        <v>10</v>
      </c>
      <c r="X204" s="24" t="n"/>
      <c r="Y204" s="25" t="n">
        <v>18</v>
      </c>
      <c r="Z204" s="24" t="n"/>
      <c r="AA204" s="23" t="n">
        <v>10</v>
      </c>
      <c r="AB204" s="24" t="n"/>
      <c r="AC204" s="25" t="n">
        <v>0</v>
      </c>
      <c r="AD204" s="24" t="n"/>
      <c r="AE204" s="23" t="n">
        <v>10</v>
      </c>
      <c r="AF204" s="24" t="n"/>
      <c r="AG204" s="25" t="n">
        <v>2</v>
      </c>
      <c r="AH204" s="24" t="n"/>
      <c r="AI204" s="23" t="n">
        <v>10</v>
      </c>
      <c r="AJ204" s="24" t="n"/>
      <c r="AK204" s="25" t="n">
        <v>0</v>
      </c>
      <c r="AL204" s="24" t="n"/>
      <c r="AM204" s="23" t="n">
        <v>10</v>
      </c>
      <c r="AN204" s="24" t="n">
        <v>10</v>
      </c>
      <c r="AO204" s="25" t="n">
        <v>0</v>
      </c>
      <c r="AP204" s="24" t="n"/>
      <c r="AQ204" s="23" t="n">
        <v>10</v>
      </c>
      <c r="AR204" s="24" t="n">
        <v>10</v>
      </c>
      <c r="AS204" s="25" t="n">
        <v>0</v>
      </c>
      <c r="AT204" s="24" t="n"/>
      <c r="AU204" s="23" t="n">
        <v>10</v>
      </c>
      <c r="AV204" s="24" t="n">
        <v>10</v>
      </c>
      <c r="AW204" s="25" t="n">
        <v>0</v>
      </c>
      <c r="AX204" s="24" t="n"/>
      <c r="AY204" s="23" t="n">
        <v>10</v>
      </c>
      <c r="AZ204" s="24" t="n">
        <v>10</v>
      </c>
      <c r="BA204" s="25" t="n">
        <v>0</v>
      </c>
      <c r="BB204" s="24" t="n"/>
      <c r="BC204" s="23" t="n">
        <v>10</v>
      </c>
      <c r="BD204" s="24" t="n">
        <v>10</v>
      </c>
      <c r="BE204" s="25" t="n">
        <v>0</v>
      </c>
      <c r="BF204" s="24" t="n"/>
      <c r="BG204" s="23" t="n">
        <v>10</v>
      </c>
      <c r="BH204" s="24" t="n">
        <v>10</v>
      </c>
      <c r="BI204" s="25" t="n">
        <v>0</v>
      </c>
      <c r="BJ204" s="24" t="n"/>
      <c r="BK204" s="340" t="n"/>
      <c r="BL204" s="803">
        <f>SUMPRODUCT(--(MOD(COLUMN($O204:$AL204),4)=MOD(COLUMN($O204)+0,4)),$O204:$AL204)
+SUMPRODUCT(--(MOD(COLUMN($AM204:$BJ204),4)=MOD(COLUMN($AM204)+0,4)),$AM204:$BJ204)</f>
        <v/>
      </c>
      <c r="BM204" s="803">
        <f>SUMPRODUCT(--(MOD(COLUMN($O204:$AL204),4)=MOD(COLUMN($O204)+0,4)),$O204:$AL204)*
$I204+SUMPRODUCT(--(MOD(COLUMN($AM204:$BJ204),4)=MOD(COLUMN($AM204)+0,4)),$AM204:$BJ204)*$I204</f>
        <v/>
      </c>
      <c r="BN204" s="805">
        <f>SUMPRODUCT(--(MOD(COLUMN($O204:$AL204),4)=MOD(COLUMN($O204)+1,4)),$O204:$AL204)
+SUMPRODUCT(--(MOD(COLUMN($AM204:$BJ204),4)=MOD(COLUMN($AM204)+1,4)),$AM204:$BJ204)</f>
        <v/>
      </c>
      <c r="BO204" s="806">
        <f>SUMPRODUCT(--(MOD(COLUMN($O204:$AL204),4)=MOD(COLUMN($O204)+1,4)),$O204:$AL204)*
$I204+SUMPRODUCT(--(MOD(COLUMN($AM204:$BJ204),4)=MOD(COLUMN($AM204)+1,4)),$AM204:$BJ204)*$I204</f>
        <v/>
      </c>
      <c r="BP204" s="807">
        <f>SUMPRODUCT(--(MOD(COLUMN($O204:$AL204),4)=MOD(COLUMN($O204)+2,4)),$O204:$AL204)
+SUMPRODUCT(--(MOD(COLUMN($AM204:$BJ204),4)=MOD(COLUMN($AM204)+2,4)),$AM204:$BJ204)</f>
        <v/>
      </c>
      <c r="BQ204" s="808">
        <f>SUMPRODUCT(--(MOD(COLUMN($O204:$AL204),4)=MOD(COLUMN($O204)+2,4)),$O204:$AL204)*
$I204+SUMPRODUCT(--(MOD(COLUMN($AM204:$BJ204),4)=MOD(COLUMN($AM204)+2,4)),$AM204:$BJ204)*$I204</f>
        <v/>
      </c>
      <c r="BR204" s="801" t="n"/>
      <c r="BS204" s="819" t="n"/>
      <c r="BT204" s="23" t="n">
        <v>10</v>
      </c>
      <c r="BU204" s="24" t="n"/>
      <c r="BV204" s="25" t="n">
        <v>0</v>
      </c>
      <c r="BW204" s="24" t="n"/>
      <c r="BX204" s="23" t="n">
        <v>10</v>
      </c>
      <c r="BY204" s="24" t="n"/>
      <c r="BZ204" s="25" t="n">
        <v>0</v>
      </c>
      <c r="CA204" s="24" t="n"/>
      <c r="CB204" s="23" t="n">
        <v>10</v>
      </c>
      <c r="CC204" s="24" t="n"/>
      <c r="CD204" s="25" t="n">
        <v>0</v>
      </c>
      <c r="CE204" s="24" t="n"/>
      <c r="CF204" s="23" t="n">
        <v>10</v>
      </c>
      <c r="CG204" s="24" t="n"/>
      <c r="CH204" s="25" t="n">
        <v>0</v>
      </c>
      <c r="CI204" s="24" t="n"/>
      <c r="CJ204" s="23" t="n">
        <v>10</v>
      </c>
      <c r="CK204" s="24" t="n"/>
      <c r="CL204" s="25" t="n">
        <v>0</v>
      </c>
      <c r="CM204" s="24" t="n"/>
      <c r="CN204" s="23" t="n">
        <v>10</v>
      </c>
      <c r="CO204" s="24" t="n"/>
      <c r="CP204" s="25" t="n">
        <v>0</v>
      </c>
      <c r="CQ204" s="24" t="n"/>
      <c r="CR204" s="23" t="n">
        <v>10</v>
      </c>
      <c r="CS204" s="24" t="n"/>
      <c r="CT204" s="25" t="n">
        <v>0</v>
      </c>
      <c r="CU204" s="24" t="n"/>
      <c r="CV204" s="23" t="n">
        <v>10</v>
      </c>
      <c r="CW204" s="24" t="n"/>
      <c r="CX204" s="25" t="n">
        <v>0</v>
      </c>
      <c r="CY204" s="24" t="n"/>
      <c r="CZ204" s="23" t="n">
        <v>10</v>
      </c>
      <c r="DA204" s="24" t="n"/>
      <c r="DB204" s="25" t="n">
        <v>0</v>
      </c>
      <c r="DC204" s="24" t="n"/>
      <c r="DD204" s="23" t="n">
        <v>10</v>
      </c>
      <c r="DE204" s="24" t="n"/>
      <c r="DF204" s="25" t="n">
        <v>0</v>
      </c>
      <c r="DG204" s="24" t="n"/>
      <c r="DH204" s="23" t="n">
        <v>10</v>
      </c>
      <c r="DI204" s="24" t="n"/>
      <c r="DJ204" s="25" t="n">
        <v>0</v>
      </c>
      <c r="DK204" s="24" t="n"/>
      <c r="DL204" s="23" t="n">
        <v>10</v>
      </c>
      <c r="DM204" s="24" t="n"/>
      <c r="DN204" s="25" t="n">
        <v>0</v>
      </c>
      <c r="DO204" s="24" t="n"/>
      <c r="DP204" s="340" t="n"/>
      <c r="DQ204" s="803">
        <f>SUMPRODUCT(--(MOD(COLUMN(BT204:CQ204),4)=MOD(COLUMN(BT204),4)),BT204:CQ204)+SUMPRODUCT(--(MOD(COLUMN(CR204:DO204),4)=MOD(COLUMN(CR204),4)),CR204:DO204)</f>
        <v/>
      </c>
      <c r="DR204" s="803">
        <f>SUMPRODUCT(--(MOD(COLUMN(BT204:CQ204),4)=MOD(COLUMN(BT204),4)),BT204:CQ204)*$I204+SUMPRODUCT(--(MOD(COLUMN(CR204:DO204),4)=MOD(COLUMN(CR204),4)),CR204:DO204)*$I204</f>
        <v/>
      </c>
      <c r="DS204" s="801" t="n"/>
      <c r="DT204" s="819" t="n"/>
      <c r="DU204" s="23" t="n">
        <v>10</v>
      </c>
      <c r="DV204" s="24" t="n"/>
      <c r="DW204" s="25" t="n">
        <v>0</v>
      </c>
      <c r="DX204" s="24" t="n"/>
      <c r="DY204" s="23" t="n">
        <v>10</v>
      </c>
      <c r="DZ204" s="24" t="n"/>
      <c r="EA204" s="25" t="n">
        <v>0</v>
      </c>
      <c r="EB204" s="24" t="n"/>
      <c r="EC204" s="23" t="n">
        <v>10</v>
      </c>
      <c r="ED204" s="24" t="n"/>
      <c r="EE204" s="25" t="n">
        <v>0</v>
      </c>
      <c r="EF204" s="24" t="n"/>
      <c r="EG204" s="23" t="n">
        <v>10</v>
      </c>
      <c r="EH204" s="24" t="n"/>
      <c r="EI204" s="25" t="n">
        <v>0</v>
      </c>
      <c r="EJ204" s="24" t="n"/>
      <c r="EK204" s="23" t="n">
        <v>10</v>
      </c>
      <c r="EL204" s="24" t="n"/>
      <c r="EM204" s="25" t="n">
        <v>0</v>
      </c>
      <c r="EN204" s="24" t="n"/>
      <c r="EO204" s="23" t="n">
        <v>10</v>
      </c>
      <c r="EP204" s="24" t="n"/>
      <c r="EQ204" s="25" t="n">
        <v>0</v>
      </c>
      <c r="ER204" s="24" t="n"/>
      <c r="ES204" s="23" t="n">
        <v>10</v>
      </c>
      <c r="ET204" s="24" t="n"/>
      <c r="EU204" s="25" t="n">
        <v>0</v>
      </c>
      <c r="EV204" s="24" t="n"/>
      <c r="EW204" s="23" t="n">
        <v>10</v>
      </c>
      <c r="EX204" s="24" t="n"/>
      <c r="EY204" s="25" t="n">
        <v>0</v>
      </c>
      <c r="EZ204" s="24" t="n"/>
      <c r="FA204" s="23" t="n">
        <v>10</v>
      </c>
      <c r="FB204" s="24" t="n"/>
      <c r="FC204" s="25" t="n">
        <v>0</v>
      </c>
      <c r="FD204" s="24" t="n"/>
      <c r="FE204" s="23" t="n">
        <v>10</v>
      </c>
      <c r="FF204" s="24" t="n"/>
      <c r="FG204" s="25" t="n">
        <v>0</v>
      </c>
      <c r="FH204" s="24" t="n"/>
      <c r="FI204" s="23" t="n">
        <v>10</v>
      </c>
      <c r="FJ204" s="24" t="n"/>
      <c r="FK204" s="25" t="n">
        <v>0</v>
      </c>
      <c r="FL204" s="24" t="n"/>
      <c r="FM204" s="23" t="n">
        <v>10</v>
      </c>
      <c r="FN204" s="24" t="n"/>
      <c r="FO204" s="25" t="n">
        <v>0</v>
      </c>
      <c r="FP204" s="24" t="n"/>
      <c r="FQ204" s="340" t="n"/>
      <c r="FR204" s="803">
        <f>SUMPRODUCT(--(MOD(COLUMN(DU204:ER204),4)=MOD(COLUMN(DU204),4)),DU204:ER204)+SUMPRODUCT(--(MOD(COLUMN(ES204:FP204),4)=MOD(COLUMN(ES204),4)),ES204:FP204)</f>
        <v/>
      </c>
      <c r="FS204" s="803">
        <f>SUMPRODUCT(--(MOD(COLUMN(DU204:ER204),4)=MOD(COLUMN(DU204),4)),DU204:ER204)*$I204+SUMPRODUCT(--(MOD(COLUMN(ES204:FP204),4)=MOD(COLUMN(ES204),4)),ES204:FP204)*$I204</f>
        <v/>
      </c>
      <c r="FT204" s="361" t="n"/>
    </row>
    <row r="205" outlineLevel="2">
      <c r="A205" s="411" t="inlineStr">
        <is>
          <t>СПЕЦАВТО-ВОСТОК ООО</t>
        </is>
      </c>
      <c r="B205" s="448" t="inlineStr">
        <is>
          <t>Отсрочка 15 дней</t>
        </is>
      </c>
      <c r="C205" s="594" t="inlineStr">
        <is>
          <t>ВБК РУС</t>
        </is>
      </c>
      <c r="D205" s="589" t="inlineStr">
        <is>
          <t>Прасолов, Соловьёв</t>
        </is>
      </c>
      <c r="E205" s="412">
        <f>IF(ISBLANK(G205),"",IF($A$6:$A$330=$A205,COUNTIF($A$6:A205,$A205),""))</f>
        <v/>
      </c>
      <c r="F205" s="10" t="n">
        <v>1</v>
      </c>
      <c r="G205" s="55" t="n">
        <v>4334010030</v>
      </c>
      <c r="H205" s="54" t="inlineStr">
        <is>
          <t>Упругий элемент</t>
        </is>
      </c>
      <c r="I205" s="617">
        <f>47.33/НДС_20</f>
        <v/>
      </c>
      <c r="J205" s="617" t="n"/>
      <c r="K205" s="872" t="n"/>
      <c r="L205" s="617">
        <f>IF(K205="RUB",J205/ЮАНЬ,IF(K205="EUR",J205*ЕВРО/ЮАНЬ,""))</f>
        <v/>
      </c>
      <c r="M205" s="873" t="n"/>
      <c r="N205" s="871">
        <f>IF(BP205&gt;0,1,IF(BN205&gt;0,2,))</f>
        <v/>
      </c>
      <c r="O205" s="23" t="n">
        <v>10</v>
      </c>
      <c r="P205" s="24" t="n"/>
      <c r="Q205" s="25" t="n">
        <v>0</v>
      </c>
      <c r="R205" s="24" t="n"/>
      <c r="S205" s="23" t="n">
        <v>10</v>
      </c>
      <c r="T205" s="24" t="n"/>
      <c r="U205" s="25" t="n">
        <v>26</v>
      </c>
      <c r="V205" s="24" t="n"/>
      <c r="W205" s="23" t="n">
        <v>10</v>
      </c>
      <c r="X205" s="24" t="n"/>
      <c r="Y205" s="25" t="n">
        <v>18</v>
      </c>
      <c r="Z205" s="24" t="n"/>
      <c r="AA205" s="23" t="n">
        <v>10</v>
      </c>
      <c r="AB205" s="24" t="n"/>
      <c r="AC205" s="25" t="n">
        <v>0</v>
      </c>
      <c r="AD205" s="24" t="n"/>
      <c r="AE205" s="23" t="n">
        <v>10</v>
      </c>
      <c r="AF205" s="24" t="n"/>
      <c r="AG205" s="25" t="n">
        <v>2</v>
      </c>
      <c r="AH205" s="24" t="n"/>
      <c r="AI205" s="23" t="n">
        <v>10</v>
      </c>
      <c r="AJ205" s="24" t="n"/>
      <c r="AK205" s="25" t="n">
        <v>0</v>
      </c>
      <c r="AL205" s="24" t="n"/>
      <c r="AM205" s="23" t="n">
        <v>10</v>
      </c>
      <c r="AN205" s="24" t="n">
        <v>10</v>
      </c>
      <c r="AO205" s="25" t="n">
        <v>0</v>
      </c>
      <c r="AP205" s="24" t="n"/>
      <c r="AQ205" s="23" t="n">
        <v>10</v>
      </c>
      <c r="AR205" s="24" t="n">
        <v>10</v>
      </c>
      <c r="AS205" s="25" t="n">
        <v>0</v>
      </c>
      <c r="AT205" s="24" t="n"/>
      <c r="AU205" s="23" t="n">
        <v>10</v>
      </c>
      <c r="AV205" s="24" t="n">
        <v>10</v>
      </c>
      <c r="AW205" s="25" t="n">
        <v>0</v>
      </c>
      <c r="AX205" s="24" t="n"/>
      <c r="AY205" s="23" t="n">
        <v>10</v>
      </c>
      <c r="AZ205" s="24" t="n">
        <v>10</v>
      </c>
      <c r="BA205" s="25" t="n">
        <v>0</v>
      </c>
      <c r="BB205" s="24" t="n"/>
      <c r="BC205" s="23" t="n">
        <v>10</v>
      </c>
      <c r="BD205" s="24" t="n">
        <v>10</v>
      </c>
      <c r="BE205" s="25" t="n">
        <v>0</v>
      </c>
      <c r="BF205" s="24" t="n"/>
      <c r="BG205" s="23" t="n">
        <v>10</v>
      </c>
      <c r="BH205" s="24" t="n">
        <v>10</v>
      </c>
      <c r="BI205" s="25" t="n">
        <v>0</v>
      </c>
      <c r="BJ205" s="24" t="n"/>
      <c r="BK205" s="340" t="n"/>
      <c r="BL205" s="803">
        <f>SUMPRODUCT(--(MOD(COLUMN($O205:$AL205),4)=MOD(COLUMN($O205)+0,4)),$O205:$AL205)
+SUMPRODUCT(--(MOD(COLUMN($AM205:$BJ205),4)=MOD(COLUMN($AM205)+0,4)),$AM205:$BJ205)</f>
        <v/>
      </c>
      <c r="BM205" s="803">
        <f>SUMPRODUCT(--(MOD(COLUMN($O205:$AL205),4)=MOD(COLUMN($O205)+0,4)),$O205:$AL205)*
$I205+SUMPRODUCT(--(MOD(COLUMN($AM205:$BJ205),4)=MOD(COLUMN($AM205)+0,4)),$AM205:$BJ205)*$I205</f>
        <v/>
      </c>
      <c r="BN205" s="805">
        <f>SUMPRODUCT(--(MOD(COLUMN($O205:$AL205),4)=MOD(COLUMN($O205)+1,4)),$O205:$AL205)
+SUMPRODUCT(--(MOD(COLUMN($AM205:$BJ205),4)=MOD(COLUMN($AM205)+1,4)),$AM205:$BJ205)</f>
        <v/>
      </c>
      <c r="BO205" s="806">
        <f>SUMPRODUCT(--(MOD(COLUMN($O205:$AL205),4)=MOD(COLUMN($O205)+1,4)),$O205:$AL205)*
$I205+SUMPRODUCT(--(MOD(COLUMN($AM205:$BJ205),4)=MOD(COLUMN($AM205)+1,4)),$AM205:$BJ205)*$I205</f>
        <v/>
      </c>
      <c r="BP205" s="807">
        <f>SUMPRODUCT(--(MOD(COLUMN($O205:$AL205),4)=MOD(COLUMN($O205)+2,4)),$O205:$AL205)
+SUMPRODUCT(--(MOD(COLUMN($AM205:$BJ205),4)=MOD(COLUMN($AM205)+2,4)),$AM205:$BJ205)</f>
        <v/>
      </c>
      <c r="BQ205" s="808">
        <f>SUMPRODUCT(--(MOD(COLUMN($O205:$AL205),4)=MOD(COLUMN($O205)+2,4)),$O205:$AL205)*
$I205+SUMPRODUCT(--(MOD(COLUMN($AM205:$BJ205),4)=MOD(COLUMN($AM205)+2,4)),$AM205:$BJ205)*$I205</f>
        <v/>
      </c>
      <c r="BR205" s="801" t="n"/>
      <c r="BS205" s="819" t="n"/>
      <c r="BT205" s="23" t="n">
        <v>10</v>
      </c>
      <c r="BU205" s="24" t="n"/>
      <c r="BV205" s="25" t="n">
        <v>0</v>
      </c>
      <c r="BW205" s="24" t="n"/>
      <c r="BX205" s="23" t="n">
        <v>10</v>
      </c>
      <c r="BY205" s="24" t="n"/>
      <c r="BZ205" s="25" t="n">
        <v>0</v>
      </c>
      <c r="CA205" s="24" t="n"/>
      <c r="CB205" s="23" t="n">
        <v>10</v>
      </c>
      <c r="CC205" s="24" t="n"/>
      <c r="CD205" s="25" t="n">
        <v>0</v>
      </c>
      <c r="CE205" s="24" t="n"/>
      <c r="CF205" s="23" t="n">
        <v>10</v>
      </c>
      <c r="CG205" s="24" t="n"/>
      <c r="CH205" s="25" t="n">
        <v>0</v>
      </c>
      <c r="CI205" s="24" t="n"/>
      <c r="CJ205" s="23" t="n">
        <v>10</v>
      </c>
      <c r="CK205" s="24" t="n"/>
      <c r="CL205" s="25" t="n">
        <v>0</v>
      </c>
      <c r="CM205" s="24" t="n"/>
      <c r="CN205" s="23" t="n">
        <v>10</v>
      </c>
      <c r="CO205" s="24" t="n"/>
      <c r="CP205" s="25" t="n">
        <v>0</v>
      </c>
      <c r="CQ205" s="24" t="n"/>
      <c r="CR205" s="23" t="n">
        <v>10</v>
      </c>
      <c r="CS205" s="24" t="n"/>
      <c r="CT205" s="25" t="n">
        <v>0</v>
      </c>
      <c r="CU205" s="24" t="n"/>
      <c r="CV205" s="23" t="n">
        <v>10</v>
      </c>
      <c r="CW205" s="24" t="n"/>
      <c r="CX205" s="25" t="n">
        <v>0</v>
      </c>
      <c r="CY205" s="24" t="n"/>
      <c r="CZ205" s="23" t="n">
        <v>10</v>
      </c>
      <c r="DA205" s="24" t="n"/>
      <c r="DB205" s="25" t="n">
        <v>0</v>
      </c>
      <c r="DC205" s="24" t="n"/>
      <c r="DD205" s="23" t="n">
        <v>10</v>
      </c>
      <c r="DE205" s="24" t="n"/>
      <c r="DF205" s="25" t="n">
        <v>0</v>
      </c>
      <c r="DG205" s="24" t="n"/>
      <c r="DH205" s="23" t="n">
        <v>10</v>
      </c>
      <c r="DI205" s="24" t="n"/>
      <c r="DJ205" s="25" t="n">
        <v>0</v>
      </c>
      <c r="DK205" s="24" t="n"/>
      <c r="DL205" s="23" t="n">
        <v>10</v>
      </c>
      <c r="DM205" s="24" t="n"/>
      <c r="DN205" s="25" t="n">
        <v>0</v>
      </c>
      <c r="DO205" s="24" t="n"/>
      <c r="DP205" s="340" t="n"/>
      <c r="DQ205" s="803">
        <f>SUMPRODUCT(--(MOD(COLUMN(BT205:CQ205),4)=MOD(COLUMN(BT205),4)),BT205:CQ205)+SUMPRODUCT(--(MOD(COLUMN(CR205:DO205),4)=MOD(COLUMN(CR205),4)),CR205:DO205)</f>
        <v/>
      </c>
      <c r="DR205" s="803">
        <f>SUMPRODUCT(--(MOD(COLUMN(BT205:CQ205),4)=MOD(COLUMN(BT205),4)),BT205:CQ205)*$I205+SUMPRODUCT(--(MOD(COLUMN(CR205:DO205),4)=MOD(COLUMN(CR205),4)),CR205:DO205)*$I205</f>
        <v/>
      </c>
      <c r="DS205" s="801" t="n"/>
      <c r="DT205" s="819" t="n"/>
      <c r="DU205" s="23" t="n">
        <v>10</v>
      </c>
      <c r="DV205" s="24" t="n"/>
      <c r="DW205" s="25" t="n">
        <v>0</v>
      </c>
      <c r="DX205" s="24" t="n"/>
      <c r="DY205" s="23" t="n">
        <v>10</v>
      </c>
      <c r="DZ205" s="24" t="n"/>
      <c r="EA205" s="25" t="n">
        <v>0</v>
      </c>
      <c r="EB205" s="24" t="n"/>
      <c r="EC205" s="23" t="n">
        <v>10</v>
      </c>
      <c r="ED205" s="24" t="n"/>
      <c r="EE205" s="25" t="n">
        <v>0</v>
      </c>
      <c r="EF205" s="24" t="n"/>
      <c r="EG205" s="23" t="n">
        <v>10</v>
      </c>
      <c r="EH205" s="24" t="n"/>
      <c r="EI205" s="25" t="n">
        <v>0</v>
      </c>
      <c r="EJ205" s="24" t="n"/>
      <c r="EK205" s="23" t="n">
        <v>10</v>
      </c>
      <c r="EL205" s="24" t="n"/>
      <c r="EM205" s="25" t="n">
        <v>0</v>
      </c>
      <c r="EN205" s="24" t="n"/>
      <c r="EO205" s="23" t="n">
        <v>10</v>
      </c>
      <c r="EP205" s="24" t="n"/>
      <c r="EQ205" s="25" t="n">
        <v>0</v>
      </c>
      <c r="ER205" s="24" t="n"/>
      <c r="ES205" s="23" t="n">
        <v>10</v>
      </c>
      <c r="ET205" s="24" t="n"/>
      <c r="EU205" s="25" t="n">
        <v>0</v>
      </c>
      <c r="EV205" s="24" t="n"/>
      <c r="EW205" s="23" t="n">
        <v>10</v>
      </c>
      <c r="EX205" s="24" t="n"/>
      <c r="EY205" s="25" t="n">
        <v>0</v>
      </c>
      <c r="EZ205" s="24" t="n"/>
      <c r="FA205" s="23" t="n">
        <v>10</v>
      </c>
      <c r="FB205" s="24" t="n"/>
      <c r="FC205" s="25" t="n">
        <v>0</v>
      </c>
      <c r="FD205" s="24" t="n"/>
      <c r="FE205" s="23" t="n">
        <v>10</v>
      </c>
      <c r="FF205" s="24" t="n"/>
      <c r="FG205" s="25" t="n">
        <v>0</v>
      </c>
      <c r="FH205" s="24" t="n"/>
      <c r="FI205" s="23" t="n">
        <v>10</v>
      </c>
      <c r="FJ205" s="24" t="n"/>
      <c r="FK205" s="25" t="n">
        <v>0</v>
      </c>
      <c r="FL205" s="24" t="n"/>
      <c r="FM205" s="23" t="n">
        <v>10</v>
      </c>
      <c r="FN205" s="24" t="n"/>
      <c r="FO205" s="25" t="n">
        <v>0</v>
      </c>
      <c r="FP205" s="24" t="n"/>
      <c r="FQ205" s="340" t="n"/>
      <c r="FR205" s="803">
        <f>SUMPRODUCT(--(MOD(COLUMN(DU205:ER205),4)=MOD(COLUMN(DU205),4)),DU205:ER205)+SUMPRODUCT(--(MOD(COLUMN(ES205:FP205),4)=MOD(COLUMN(ES205),4)),ES205:FP205)</f>
        <v/>
      </c>
      <c r="FS205" s="803">
        <f>SUMPRODUCT(--(MOD(COLUMN(DU205:ER205),4)=MOD(COLUMN(DU205),4)),DU205:ER205)*$I205+SUMPRODUCT(--(MOD(COLUMN(ES205:FP205),4)=MOD(COLUMN(ES205),4)),ES205:FP205)*$I205</f>
        <v/>
      </c>
      <c r="FT205" s="361" t="n"/>
    </row>
    <row r="206" outlineLevel="2">
      <c r="A206" s="411" t="inlineStr">
        <is>
          <t>СПЕЦАВТО-ВОСТОК ООО</t>
        </is>
      </c>
      <c r="B206" s="448" t="inlineStr">
        <is>
          <t>Отсрочка 15 дней</t>
        </is>
      </c>
      <c r="C206" s="594" t="inlineStr">
        <is>
          <t>ВБК РУС</t>
        </is>
      </c>
      <c r="D206" s="589" t="inlineStr">
        <is>
          <t>Прасолов, Соловьёв</t>
        </is>
      </c>
      <c r="E206" s="412">
        <f>IF(ISBLANK(G206),"",IF($A$6:$A$330=$A206,COUNTIF($A$6:A206,$A206),""))</f>
        <v/>
      </c>
      <c r="F206" s="10" t="n">
        <v>1</v>
      </c>
      <c r="G206" s="55" t="n">
        <v>4341001250</v>
      </c>
      <c r="H206" s="54" t="inlineStr">
        <is>
          <t>Клапан перепускной</t>
        </is>
      </c>
      <c r="I206" s="617">
        <f>111.65/НДС_20</f>
        <v/>
      </c>
      <c r="J206" s="617" t="n"/>
      <c r="K206" s="872" t="n"/>
      <c r="L206" s="617">
        <f>IF(K206="RUB",J206/ЮАНЬ,IF(K206="EUR",J206*ЕВРО/ЮАНЬ,""))</f>
        <v/>
      </c>
      <c r="M206" s="873" t="n"/>
      <c r="N206" s="871">
        <f>IF(BP206&gt;0,1,IF(BN206&gt;0,2,))</f>
        <v/>
      </c>
      <c r="O206" s="23" t="n">
        <v>10</v>
      </c>
      <c r="P206" s="24" t="n"/>
      <c r="Q206" s="25" t="n">
        <v>0</v>
      </c>
      <c r="R206" s="24" t="n"/>
      <c r="S206" s="23" t="n">
        <v>10</v>
      </c>
      <c r="T206" s="24" t="n"/>
      <c r="U206" s="25" t="n">
        <v>0</v>
      </c>
      <c r="V206" s="24" t="n"/>
      <c r="W206" s="23" t="n">
        <v>10</v>
      </c>
      <c r="X206" s="24" t="n"/>
      <c r="Y206" s="25" t="n">
        <v>0</v>
      </c>
      <c r="Z206" s="24" t="n"/>
      <c r="AA206" s="23" t="n">
        <v>10</v>
      </c>
      <c r="AB206" s="24" t="n"/>
      <c r="AC206" s="25" t="n">
        <v>0</v>
      </c>
      <c r="AD206" s="24" t="n"/>
      <c r="AE206" s="23" t="n">
        <v>10</v>
      </c>
      <c r="AF206" s="24" t="n"/>
      <c r="AG206" s="25" t="n">
        <v>0</v>
      </c>
      <c r="AH206" s="24" t="n"/>
      <c r="AI206" s="23" t="n">
        <v>10</v>
      </c>
      <c r="AJ206" s="24" t="n"/>
      <c r="AK206" s="25" t="n">
        <v>0</v>
      </c>
      <c r="AL206" s="24" t="n"/>
      <c r="AM206" s="23" t="n">
        <v>10</v>
      </c>
      <c r="AN206" s="24" t="n">
        <v>10</v>
      </c>
      <c r="AO206" s="25" t="n">
        <v>0</v>
      </c>
      <c r="AP206" s="24" t="n"/>
      <c r="AQ206" s="23" t="n">
        <v>10</v>
      </c>
      <c r="AR206" s="24" t="n">
        <v>10</v>
      </c>
      <c r="AS206" s="25" t="n">
        <v>0</v>
      </c>
      <c r="AT206" s="24" t="n"/>
      <c r="AU206" s="23" t="n">
        <v>10</v>
      </c>
      <c r="AV206" s="24" t="n">
        <v>10</v>
      </c>
      <c r="AW206" s="25" t="n">
        <v>0</v>
      </c>
      <c r="AX206" s="24" t="n"/>
      <c r="AY206" s="23" t="n">
        <v>10</v>
      </c>
      <c r="AZ206" s="24" t="n">
        <v>10</v>
      </c>
      <c r="BA206" s="25" t="n">
        <v>0</v>
      </c>
      <c r="BB206" s="24" t="n"/>
      <c r="BC206" s="23" t="n">
        <v>10</v>
      </c>
      <c r="BD206" s="24" t="n">
        <v>10</v>
      </c>
      <c r="BE206" s="25" t="n">
        <v>0</v>
      </c>
      <c r="BF206" s="24" t="n"/>
      <c r="BG206" s="23" t="n">
        <v>10</v>
      </c>
      <c r="BH206" s="24" t="n">
        <v>10</v>
      </c>
      <c r="BI206" s="25" t="n">
        <v>0</v>
      </c>
      <c r="BJ206" s="24" t="n"/>
      <c r="BK206" s="340" t="n"/>
      <c r="BL206" s="803">
        <f>SUMPRODUCT(--(MOD(COLUMN($O206:$AL206),4)=MOD(COLUMN($O206)+0,4)),$O206:$AL206)
+SUMPRODUCT(--(MOD(COLUMN($AM206:$BJ206),4)=MOD(COLUMN($AM206)+0,4)),$AM206:$BJ206)</f>
        <v/>
      </c>
      <c r="BM206" s="803">
        <f>SUMPRODUCT(--(MOD(COLUMN($O206:$AL206),4)=MOD(COLUMN($O206)+0,4)),$O206:$AL206)*
$I206+SUMPRODUCT(--(MOD(COLUMN($AM206:$BJ206),4)=MOD(COLUMN($AM206)+0,4)),$AM206:$BJ206)*$I206</f>
        <v/>
      </c>
      <c r="BN206" s="805">
        <f>SUMPRODUCT(--(MOD(COLUMN($O206:$AL206),4)=MOD(COLUMN($O206)+1,4)),$O206:$AL206)
+SUMPRODUCT(--(MOD(COLUMN($AM206:$BJ206),4)=MOD(COLUMN($AM206)+1,4)),$AM206:$BJ206)</f>
        <v/>
      </c>
      <c r="BO206" s="806">
        <f>SUMPRODUCT(--(MOD(COLUMN($O206:$AL206),4)=MOD(COLUMN($O206)+1,4)),$O206:$AL206)*
$I206+SUMPRODUCT(--(MOD(COLUMN($AM206:$BJ206),4)=MOD(COLUMN($AM206)+1,4)),$AM206:$BJ206)*$I206</f>
        <v/>
      </c>
      <c r="BP206" s="807">
        <f>SUMPRODUCT(--(MOD(COLUMN($O206:$AL206),4)=MOD(COLUMN($O206)+2,4)),$O206:$AL206)
+SUMPRODUCT(--(MOD(COLUMN($AM206:$BJ206),4)=MOD(COLUMN($AM206)+2,4)),$AM206:$BJ206)</f>
        <v/>
      </c>
      <c r="BQ206" s="808">
        <f>SUMPRODUCT(--(MOD(COLUMN($O206:$AL206),4)=MOD(COLUMN($O206)+2,4)),$O206:$AL206)*
$I206+SUMPRODUCT(--(MOD(COLUMN($AM206:$BJ206),4)=MOD(COLUMN($AM206)+2,4)),$AM206:$BJ206)*$I206</f>
        <v/>
      </c>
      <c r="BR206" s="801" t="n"/>
      <c r="BS206" s="819" t="n"/>
      <c r="BT206" s="23" t="n">
        <v>10</v>
      </c>
      <c r="BU206" s="24" t="n"/>
      <c r="BV206" s="25" t="n">
        <v>0</v>
      </c>
      <c r="BW206" s="24" t="n"/>
      <c r="BX206" s="23" t="n">
        <v>10</v>
      </c>
      <c r="BY206" s="24" t="n"/>
      <c r="BZ206" s="25" t="n">
        <v>0</v>
      </c>
      <c r="CA206" s="24" t="n"/>
      <c r="CB206" s="23" t="n">
        <v>10</v>
      </c>
      <c r="CC206" s="24" t="n"/>
      <c r="CD206" s="25" t="n">
        <v>0</v>
      </c>
      <c r="CE206" s="24" t="n"/>
      <c r="CF206" s="23" t="n">
        <v>10</v>
      </c>
      <c r="CG206" s="24" t="n"/>
      <c r="CH206" s="25" t="n">
        <v>0</v>
      </c>
      <c r="CI206" s="24" t="n"/>
      <c r="CJ206" s="23" t="n">
        <v>10</v>
      </c>
      <c r="CK206" s="24" t="n"/>
      <c r="CL206" s="25" t="n">
        <v>0</v>
      </c>
      <c r="CM206" s="24" t="n"/>
      <c r="CN206" s="23" t="n">
        <v>10</v>
      </c>
      <c r="CO206" s="24" t="n"/>
      <c r="CP206" s="25" t="n">
        <v>0</v>
      </c>
      <c r="CQ206" s="24" t="n"/>
      <c r="CR206" s="23" t="n">
        <v>10</v>
      </c>
      <c r="CS206" s="24" t="n"/>
      <c r="CT206" s="25" t="n">
        <v>0</v>
      </c>
      <c r="CU206" s="24" t="n"/>
      <c r="CV206" s="23" t="n">
        <v>10</v>
      </c>
      <c r="CW206" s="24" t="n"/>
      <c r="CX206" s="25" t="n">
        <v>0</v>
      </c>
      <c r="CY206" s="24" t="n"/>
      <c r="CZ206" s="23" t="n">
        <v>10</v>
      </c>
      <c r="DA206" s="24" t="n"/>
      <c r="DB206" s="25" t="n">
        <v>0</v>
      </c>
      <c r="DC206" s="24" t="n"/>
      <c r="DD206" s="23" t="n">
        <v>10</v>
      </c>
      <c r="DE206" s="24" t="n"/>
      <c r="DF206" s="25" t="n">
        <v>0</v>
      </c>
      <c r="DG206" s="24" t="n"/>
      <c r="DH206" s="23" t="n">
        <v>10</v>
      </c>
      <c r="DI206" s="24" t="n"/>
      <c r="DJ206" s="25" t="n">
        <v>0</v>
      </c>
      <c r="DK206" s="24" t="n"/>
      <c r="DL206" s="23" t="n">
        <v>10</v>
      </c>
      <c r="DM206" s="24" t="n"/>
      <c r="DN206" s="25" t="n">
        <v>0</v>
      </c>
      <c r="DO206" s="24" t="n"/>
      <c r="DP206" s="340" t="n"/>
      <c r="DQ206" s="803">
        <f>SUMPRODUCT(--(MOD(COLUMN(BT206:CQ206),4)=MOD(COLUMN(BT206),4)),BT206:CQ206)+SUMPRODUCT(--(MOD(COLUMN(CR206:DO206),4)=MOD(COLUMN(CR206),4)),CR206:DO206)</f>
        <v/>
      </c>
      <c r="DR206" s="803">
        <f>SUMPRODUCT(--(MOD(COLUMN(BT206:CQ206),4)=MOD(COLUMN(BT206),4)),BT206:CQ206)*$I206+SUMPRODUCT(--(MOD(COLUMN(CR206:DO206),4)=MOD(COLUMN(CR206),4)),CR206:DO206)*$I206</f>
        <v/>
      </c>
      <c r="DS206" s="801" t="n"/>
      <c r="DT206" s="819" t="n"/>
      <c r="DU206" s="23" t="n">
        <v>10</v>
      </c>
      <c r="DV206" s="24" t="n"/>
      <c r="DW206" s="25" t="n">
        <v>0</v>
      </c>
      <c r="DX206" s="24" t="n"/>
      <c r="DY206" s="23" t="n">
        <v>10</v>
      </c>
      <c r="DZ206" s="24" t="n"/>
      <c r="EA206" s="25" t="n">
        <v>0</v>
      </c>
      <c r="EB206" s="24" t="n"/>
      <c r="EC206" s="23" t="n">
        <v>10</v>
      </c>
      <c r="ED206" s="24" t="n"/>
      <c r="EE206" s="25" t="n">
        <v>0</v>
      </c>
      <c r="EF206" s="24" t="n"/>
      <c r="EG206" s="23" t="n">
        <v>10</v>
      </c>
      <c r="EH206" s="24" t="n"/>
      <c r="EI206" s="25" t="n">
        <v>0</v>
      </c>
      <c r="EJ206" s="24" t="n"/>
      <c r="EK206" s="23" t="n">
        <v>10</v>
      </c>
      <c r="EL206" s="24" t="n"/>
      <c r="EM206" s="25" t="n">
        <v>0</v>
      </c>
      <c r="EN206" s="24" t="n"/>
      <c r="EO206" s="23" t="n">
        <v>10</v>
      </c>
      <c r="EP206" s="24" t="n"/>
      <c r="EQ206" s="25" t="n">
        <v>0</v>
      </c>
      <c r="ER206" s="24" t="n"/>
      <c r="ES206" s="23" t="n">
        <v>10</v>
      </c>
      <c r="ET206" s="24" t="n"/>
      <c r="EU206" s="25" t="n">
        <v>0</v>
      </c>
      <c r="EV206" s="24" t="n"/>
      <c r="EW206" s="23" t="n">
        <v>10</v>
      </c>
      <c r="EX206" s="24" t="n"/>
      <c r="EY206" s="25" t="n">
        <v>0</v>
      </c>
      <c r="EZ206" s="24" t="n"/>
      <c r="FA206" s="23" t="n">
        <v>10</v>
      </c>
      <c r="FB206" s="24" t="n"/>
      <c r="FC206" s="25" t="n">
        <v>0</v>
      </c>
      <c r="FD206" s="24" t="n"/>
      <c r="FE206" s="23" t="n">
        <v>10</v>
      </c>
      <c r="FF206" s="24" t="n"/>
      <c r="FG206" s="25" t="n">
        <v>0</v>
      </c>
      <c r="FH206" s="24" t="n"/>
      <c r="FI206" s="23" t="n">
        <v>10</v>
      </c>
      <c r="FJ206" s="24" t="n"/>
      <c r="FK206" s="25" t="n">
        <v>0</v>
      </c>
      <c r="FL206" s="24" t="n"/>
      <c r="FM206" s="23" t="n">
        <v>10</v>
      </c>
      <c r="FN206" s="24" t="n"/>
      <c r="FO206" s="25" t="n">
        <v>0</v>
      </c>
      <c r="FP206" s="24" t="n"/>
      <c r="FQ206" s="340" t="n"/>
      <c r="FR206" s="803">
        <f>SUMPRODUCT(--(MOD(COLUMN(DU206:ER206),4)=MOD(COLUMN(DU206),4)),DU206:ER206)+SUMPRODUCT(--(MOD(COLUMN(ES206:FP206),4)=MOD(COLUMN(ES206),4)),ES206:FP206)</f>
        <v/>
      </c>
      <c r="FS206" s="803">
        <f>SUMPRODUCT(--(MOD(COLUMN(DU206:ER206),4)=MOD(COLUMN(DU206),4)),DU206:ER206)*$I206+SUMPRODUCT(--(MOD(COLUMN(ES206:FP206),4)=MOD(COLUMN(ES206),4)),ES206:FP206)*$I206</f>
        <v/>
      </c>
      <c r="FT206" s="361" t="n"/>
    </row>
    <row r="207" outlineLevel="2">
      <c r="A207" s="411" t="inlineStr">
        <is>
          <t>СПЕЦАВТО-ВОСТОК ООО</t>
        </is>
      </c>
      <c r="B207" s="448" t="inlineStr">
        <is>
          <t>Отсрочка 15 дней</t>
        </is>
      </c>
      <c r="C207" s="594" t="inlineStr">
        <is>
          <t>ВБК РУС</t>
        </is>
      </c>
      <c r="D207" s="589" t="inlineStr">
        <is>
          <t>Прасолов, Соловьёв</t>
        </is>
      </c>
      <c r="E207" s="412">
        <f>IF(ISBLANK(G207),"",IF($A$6:$A$330=$A207,COUNTIF($A$6:A207,$A207),""))</f>
        <v/>
      </c>
      <c r="F207" s="10" t="n">
        <v>1</v>
      </c>
      <c r="G207" s="55" t="n">
        <v>4757145000</v>
      </c>
      <c r="H207" s="54" t="inlineStr">
        <is>
          <t>Регулятор тормозных сил</t>
        </is>
      </c>
      <c r="I207" s="617">
        <f>652.86/НДС_20</f>
        <v/>
      </c>
      <c r="J207" s="617" t="n"/>
      <c r="K207" s="872" t="n"/>
      <c r="L207" s="617">
        <f>IF(K207="RUB",J207/ЮАНЬ,IF(K207="EUR",J207*ЕВРО/ЮАНЬ,""))</f>
        <v/>
      </c>
      <c r="M207" s="873" t="n"/>
      <c r="N207" s="871">
        <f>IF(BP207&gt;0,1,IF(BN207&gt;0,2,))</f>
        <v/>
      </c>
      <c r="O207" s="23" t="n">
        <v>10</v>
      </c>
      <c r="P207" s="24" t="n"/>
      <c r="Q207" s="25" t="n">
        <v>0</v>
      </c>
      <c r="R207" s="24" t="n"/>
      <c r="S207" s="23" t="n">
        <v>10</v>
      </c>
      <c r="T207" s="24" t="n"/>
      <c r="U207" s="25" t="n">
        <v>0</v>
      </c>
      <c r="V207" s="24" t="n"/>
      <c r="W207" s="23" t="n">
        <v>10</v>
      </c>
      <c r="X207" s="24" t="n"/>
      <c r="Y207" s="25" t="n">
        <v>0</v>
      </c>
      <c r="Z207" s="24" t="n"/>
      <c r="AA207" s="23" t="n">
        <v>10</v>
      </c>
      <c r="AB207" s="24" t="n"/>
      <c r="AC207" s="25" t="n">
        <v>0</v>
      </c>
      <c r="AD207" s="24" t="n"/>
      <c r="AE207" s="23" t="n">
        <v>10</v>
      </c>
      <c r="AF207" s="24" t="n"/>
      <c r="AG207" s="25" t="n">
        <v>0</v>
      </c>
      <c r="AH207" s="24" t="n"/>
      <c r="AI207" s="23" t="n">
        <v>10</v>
      </c>
      <c r="AJ207" s="24" t="n"/>
      <c r="AK207" s="25" t="n">
        <v>0</v>
      </c>
      <c r="AL207" s="24" t="n"/>
      <c r="AM207" s="23" t="n">
        <v>10</v>
      </c>
      <c r="AN207" s="24" t="n">
        <v>10</v>
      </c>
      <c r="AO207" s="25" t="n">
        <v>0</v>
      </c>
      <c r="AP207" s="24" t="n"/>
      <c r="AQ207" s="23" t="n">
        <v>10</v>
      </c>
      <c r="AR207" s="24" t="n">
        <v>10</v>
      </c>
      <c r="AS207" s="25" t="n">
        <v>0</v>
      </c>
      <c r="AT207" s="24" t="n"/>
      <c r="AU207" s="23" t="n">
        <v>10</v>
      </c>
      <c r="AV207" s="24" t="n">
        <v>10</v>
      </c>
      <c r="AW207" s="25" t="n">
        <v>0</v>
      </c>
      <c r="AX207" s="24" t="n"/>
      <c r="AY207" s="23" t="n">
        <v>10</v>
      </c>
      <c r="AZ207" s="24" t="n">
        <v>10</v>
      </c>
      <c r="BA207" s="25" t="n">
        <v>0</v>
      </c>
      <c r="BB207" s="24" t="n"/>
      <c r="BC207" s="23" t="n">
        <v>10</v>
      </c>
      <c r="BD207" s="24" t="n">
        <v>10</v>
      </c>
      <c r="BE207" s="25" t="n">
        <v>0</v>
      </c>
      <c r="BF207" s="24" t="n"/>
      <c r="BG207" s="23" t="n">
        <v>10</v>
      </c>
      <c r="BH207" s="24" t="n">
        <v>10</v>
      </c>
      <c r="BI207" s="25" t="n">
        <v>0</v>
      </c>
      <c r="BJ207" s="24" t="n"/>
      <c r="BK207" s="340" t="n"/>
      <c r="BL207" s="803">
        <f>SUMPRODUCT(--(MOD(COLUMN($O207:$AL207),4)=MOD(COLUMN($O207)+0,4)),$O207:$AL207)
+SUMPRODUCT(--(MOD(COLUMN($AM207:$BJ207),4)=MOD(COLUMN($AM207)+0,4)),$AM207:$BJ207)</f>
        <v/>
      </c>
      <c r="BM207" s="803">
        <f>SUMPRODUCT(--(MOD(COLUMN($O207:$AL207),4)=MOD(COLUMN($O207)+0,4)),$O207:$AL207)*
$I207+SUMPRODUCT(--(MOD(COLUMN($AM207:$BJ207),4)=MOD(COLUMN($AM207)+0,4)),$AM207:$BJ207)*$I207</f>
        <v/>
      </c>
      <c r="BN207" s="805">
        <f>SUMPRODUCT(--(MOD(COLUMN($O207:$AL207),4)=MOD(COLUMN($O207)+1,4)),$O207:$AL207)
+SUMPRODUCT(--(MOD(COLUMN($AM207:$BJ207),4)=MOD(COLUMN($AM207)+1,4)),$AM207:$BJ207)</f>
        <v/>
      </c>
      <c r="BO207" s="806">
        <f>SUMPRODUCT(--(MOD(COLUMN($O207:$AL207),4)=MOD(COLUMN($O207)+1,4)),$O207:$AL207)*
$I207+SUMPRODUCT(--(MOD(COLUMN($AM207:$BJ207),4)=MOD(COLUMN($AM207)+1,4)),$AM207:$BJ207)*$I207</f>
        <v/>
      </c>
      <c r="BP207" s="807">
        <f>SUMPRODUCT(--(MOD(COLUMN($O207:$AL207),4)=MOD(COLUMN($O207)+2,4)),$O207:$AL207)
+SUMPRODUCT(--(MOD(COLUMN($AM207:$BJ207),4)=MOD(COLUMN($AM207)+2,4)),$AM207:$BJ207)</f>
        <v/>
      </c>
      <c r="BQ207" s="808">
        <f>SUMPRODUCT(--(MOD(COLUMN($O207:$AL207),4)=MOD(COLUMN($O207)+2,4)),$O207:$AL207)*
$I207+SUMPRODUCT(--(MOD(COLUMN($AM207:$BJ207),4)=MOD(COLUMN($AM207)+2,4)),$AM207:$BJ207)*$I207</f>
        <v/>
      </c>
      <c r="BR207" s="801" t="n"/>
      <c r="BS207" s="819" t="n"/>
      <c r="BT207" s="23" t="n">
        <v>10</v>
      </c>
      <c r="BU207" s="24" t="n"/>
      <c r="BV207" s="25" t="n">
        <v>0</v>
      </c>
      <c r="BW207" s="24" t="n"/>
      <c r="BX207" s="23" t="n">
        <v>10</v>
      </c>
      <c r="BY207" s="24" t="n"/>
      <c r="BZ207" s="25" t="n">
        <v>0</v>
      </c>
      <c r="CA207" s="24" t="n"/>
      <c r="CB207" s="23" t="n">
        <v>10</v>
      </c>
      <c r="CC207" s="24" t="n"/>
      <c r="CD207" s="25" t="n">
        <v>0</v>
      </c>
      <c r="CE207" s="24" t="n"/>
      <c r="CF207" s="23" t="n">
        <v>10</v>
      </c>
      <c r="CG207" s="24" t="n"/>
      <c r="CH207" s="25" t="n">
        <v>0</v>
      </c>
      <c r="CI207" s="24" t="n"/>
      <c r="CJ207" s="23" t="n">
        <v>10</v>
      </c>
      <c r="CK207" s="24" t="n"/>
      <c r="CL207" s="25" t="n">
        <v>0</v>
      </c>
      <c r="CM207" s="24" t="n"/>
      <c r="CN207" s="23" t="n">
        <v>10</v>
      </c>
      <c r="CO207" s="24" t="n"/>
      <c r="CP207" s="25" t="n">
        <v>0</v>
      </c>
      <c r="CQ207" s="24" t="n"/>
      <c r="CR207" s="23" t="n">
        <v>10</v>
      </c>
      <c r="CS207" s="24" t="n"/>
      <c r="CT207" s="25" t="n">
        <v>0</v>
      </c>
      <c r="CU207" s="24" t="n"/>
      <c r="CV207" s="23" t="n">
        <v>10</v>
      </c>
      <c r="CW207" s="24" t="n"/>
      <c r="CX207" s="25" t="n">
        <v>0</v>
      </c>
      <c r="CY207" s="24" t="n"/>
      <c r="CZ207" s="23" t="n">
        <v>10</v>
      </c>
      <c r="DA207" s="24" t="n"/>
      <c r="DB207" s="25" t="n">
        <v>0</v>
      </c>
      <c r="DC207" s="24" t="n"/>
      <c r="DD207" s="23" t="n">
        <v>10</v>
      </c>
      <c r="DE207" s="24" t="n"/>
      <c r="DF207" s="25" t="n">
        <v>0</v>
      </c>
      <c r="DG207" s="24" t="n"/>
      <c r="DH207" s="23" t="n">
        <v>10</v>
      </c>
      <c r="DI207" s="24" t="n"/>
      <c r="DJ207" s="25" t="n">
        <v>0</v>
      </c>
      <c r="DK207" s="24" t="n"/>
      <c r="DL207" s="23" t="n">
        <v>10</v>
      </c>
      <c r="DM207" s="24" t="n"/>
      <c r="DN207" s="25" t="n">
        <v>0</v>
      </c>
      <c r="DO207" s="24" t="n"/>
      <c r="DP207" s="340" t="n"/>
      <c r="DQ207" s="803">
        <f>SUMPRODUCT(--(MOD(COLUMN(BT207:CQ207),4)=MOD(COLUMN(BT207),4)),BT207:CQ207)+SUMPRODUCT(--(MOD(COLUMN(CR207:DO207),4)=MOD(COLUMN(CR207),4)),CR207:DO207)</f>
        <v/>
      </c>
      <c r="DR207" s="803">
        <f>SUMPRODUCT(--(MOD(COLUMN(BT207:CQ207),4)=MOD(COLUMN(BT207),4)),BT207:CQ207)*$I207+SUMPRODUCT(--(MOD(COLUMN(CR207:DO207),4)=MOD(COLUMN(CR207),4)),CR207:DO207)*$I207</f>
        <v/>
      </c>
      <c r="DS207" s="801" t="n"/>
      <c r="DT207" s="819" t="n"/>
      <c r="DU207" s="23" t="n">
        <v>10</v>
      </c>
      <c r="DV207" s="24" t="n"/>
      <c r="DW207" s="25" t="n">
        <v>0</v>
      </c>
      <c r="DX207" s="24" t="n"/>
      <c r="DY207" s="23" t="n">
        <v>10</v>
      </c>
      <c r="DZ207" s="24" t="n"/>
      <c r="EA207" s="25" t="n">
        <v>0</v>
      </c>
      <c r="EB207" s="24" t="n"/>
      <c r="EC207" s="23" t="n">
        <v>10</v>
      </c>
      <c r="ED207" s="24" t="n"/>
      <c r="EE207" s="25" t="n">
        <v>0</v>
      </c>
      <c r="EF207" s="24" t="n"/>
      <c r="EG207" s="23" t="n">
        <v>10</v>
      </c>
      <c r="EH207" s="24" t="n"/>
      <c r="EI207" s="25" t="n">
        <v>0</v>
      </c>
      <c r="EJ207" s="24" t="n"/>
      <c r="EK207" s="23" t="n">
        <v>10</v>
      </c>
      <c r="EL207" s="24" t="n"/>
      <c r="EM207" s="25" t="n">
        <v>0</v>
      </c>
      <c r="EN207" s="24" t="n"/>
      <c r="EO207" s="23" t="n">
        <v>10</v>
      </c>
      <c r="EP207" s="24" t="n"/>
      <c r="EQ207" s="25" t="n">
        <v>0</v>
      </c>
      <c r="ER207" s="24" t="n"/>
      <c r="ES207" s="23" t="n">
        <v>10</v>
      </c>
      <c r="ET207" s="24" t="n"/>
      <c r="EU207" s="25" t="n">
        <v>0</v>
      </c>
      <c r="EV207" s="24" t="n"/>
      <c r="EW207" s="23" t="n">
        <v>10</v>
      </c>
      <c r="EX207" s="24" t="n"/>
      <c r="EY207" s="25" t="n">
        <v>0</v>
      </c>
      <c r="EZ207" s="24" t="n"/>
      <c r="FA207" s="23" t="n">
        <v>10</v>
      </c>
      <c r="FB207" s="24" t="n"/>
      <c r="FC207" s="25" t="n">
        <v>0</v>
      </c>
      <c r="FD207" s="24" t="n"/>
      <c r="FE207" s="23" t="n">
        <v>10</v>
      </c>
      <c r="FF207" s="24" t="n"/>
      <c r="FG207" s="25" t="n">
        <v>0</v>
      </c>
      <c r="FH207" s="24" t="n"/>
      <c r="FI207" s="23" t="n">
        <v>10</v>
      </c>
      <c r="FJ207" s="24" t="n"/>
      <c r="FK207" s="25" t="n">
        <v>0</v>
      </c>
      <c r="FL207" s="24" t="n"/>
      <c r="FM207" s="23" t="n">
        <v>10</v>
      </c>
      <c r="FN207" s="24" t="n"/>
      <c r="FO207" s="25" t="n">
        <v>0</v>
      </c>
      <c r="FP207" s="24" t="n"/>
      <c r="FQ207" s="340" t="n"/>
      <c r="FR207" s="803">
        <f>SUMPRODUCT(--(MOD(COLUMN(DU207:ER207),4)=MOD(COLUMN(DU207),4)),DU207:ER207)+SUMPRODUCT(--(MOD(COLUMN(ES207:FP207),4)=MOD(COLUMN(ES207),4)),ES207:FP207)</f>
        <v/>
      </c>
      <c r="FS207" s="803">
        <f>SUMPRODUCT(--(MOD(COLUMN(DU207:ER207),4)=MOD(COLUMN(DU207),4)),DU207:ER207)*$I207+SUMPRODUCT(--(MOD(COLUMN(ES207:FP207),4)=MOD(COLUMN(ES207),4)),ES207:FP207)*$I207</f>
        <v/>
      </c>
      <c r="FT207" s="361" t="n"/>
    </row>
    <row r="208" outlineLevel="2">
      <c r="A208" s="411" t="inlineStr">
        <is>
          <t>СПЕЦАВТО-ВОСТОК ООО</t>
        </is>
      </c>
      <c r="B208" s="448" t="inlineStr">
        <is>
          <t>Отсрочка 15 дней</t>
        </is>
      </c>
      <c r="C208" s="594" t="inlineStr">
        <is>
          <t>ВБК РУС</t>
        </is>
      </c>
      <c r="D208" s="589" t="inlineStr">
        <is>
          <t>Прасолов, Соловьёв</t>
        </is>
      </c>
      <c r="E208" s="412">
        <f>IF(ISBLANK(G208),"",IF($A$6:$A$330=$A208,COUNTIF($A$6:A208,$A208),""))</f>
        <v/>
      </c>
      <c r="F208" s="10" t="n">
        <v>1</v>
      </c>
      <c r="G208" s="55" t="n">
        <v>9630010510</v>
      </c>
      <c r="H208" s="54" t="inlineStr">
        <is>
          <t>Клапан растормаживания сдвоенный</t>
        </is>
      </c>
      <c r="I208" s="617">
        <f>316.18/НДС</f>
        <v/>
      </c>
      <c r="J208" s="617" t="n"/>
      <c r="K208" s="872" t="n"/>
      <c r="L208" s="617">
        <f>IF(K208="RUB",J208/ЮАНЬ,IF(K208="EUR",J208*ЕВРО/ЮАНЬ,""))</f>
        <v/>
      </c>
      <c r="M208" s="873" t="n"/>
      <c r="N208" s="871">
        <f>IF(BP208&gt;0,1,IF(BN208&gt;0,2,))</f>
        <v/>
      </c>
      <c r="O208" s="23" t="n">
        <v>10</v>
      </c>
      <c r="P208" s="24" t="n"/>
      <c r="Q208" s="25" t="n">
        <v>0</v>
      </c>
      <c r="R208" s="24" t="n"/>
      <c r="S208" s="23" t="n">
        <v>10</v>
      </c>
      <c r="T208" s="24" t="n"/>
      <c r="U208" s="25" t="n">
        <v>0</v>
      </c>
      <c r="V208" s="24" t="n"/>
      <c r="W208" s="23" t="n">
        <v>10</v>
      </c>
      <c r="X208" s="24">
        <f>16+20</f>
        <v/>
      </c>
      <c r="Y208" s="25" t="n">
        <v>36</v>
      </c>
      <c r="Z208" s="24" t="n"/>
      <c r="AA208" s="23" t="n">
        <v>10</v>
      </c>
      <c r="AB208" s="24" t="n"/>
      <c r="AC208" s="25" t="n">
        <v>0</v>
      </c>
      <c r="AD208" s="24" t="n"/>
      <c r="AE208" s="23" t="n">
        <v>10</v>
      </c>
      <c r="AF208" s="24" t="n"/>
      <c r="AG208" s="25" t="n">
        <v>0</v>
      </c>
      <c r="AH208" s="24" t="n"/>
      <c r="AI208" s="23" t="n">
        <v>10</v>
      </c>
      <c r="AJ208" s="24" t="n"/>
      <c r="AK208" s="25" t="n">
        <v>0</v>
      </c>
      <c r="AL208" s="24" t="n"/>
      <c r="AM208" s="23" t="n">
        <v>10</v>
      </c>
      <c r="AN208" s="24" t="n">
        <v>10</v>
      </c>
      <c r="AO208" s="25" t="n">
        <v>0</v>
      </c>
      <c r="AP208" s="24" t="n"/>
      <c r="AQ208" s="23" t="n">
        <v>10</v>
      </c>
      <c r="AR208" s="24" t="n">
        <v>10</v>
      </c>
      <c r="AS208" s="25" t="n">
        <v>0</v>
      </c>
      <c r="AT208" s="24" t="n"/>
      <c r="AU208" s="23" t="n">
        <v>10</v>
      </c>
      <c r="AV208" s="24" t="n">
        <v>10</v>
      </c>
      <c r="AW208" s="25" t="n">
        <v>0</v>
      </c>
      <c r="AX208" s="24" t="n"/>
      <c r="AY208" s="23" t="n">
        <v>10</v>
      </c>
      <c r="AZ208" s="24" t="n">
        <v>10</v>
      </c>
      <c r="BA208" s="25" t="n">
        <v>0</v>
      </c>
      <c r="BB208" s="24" t="n"/>
      <c r="BC208" s="23" t="n">
        <v>10</v>
      </c>
      <c r="BD208" s="24" t="n">
        <v>10</v>
      </c>
      <c r="BE208" s="25" t="n">
        <v>0</v>
      </c>
      <c r="BF208" s="24" t="n"/>
      <c r="BG208" s="23" t="n">
        <v>10</v>
      </c>
      <c r="BH208" s="24" t="n">
        <v>10</v>
      </c>
      <c r="BI208" s="25" t="n">
        <v>0</v>
      </c>
      <c r="BJ208" s="24" t="n"/>
      <c r="BK208" s="340" t="n"/>
      <c r="BL208" s="803">
        <f>SUMPRODUCT(--(MOD(COLUMN($O208:$AL208),4)=MOD(COLUMN($O208)+0,4)),$O208:$AL208)
+SUMPRODUCT(--(MOD(COLUMN($AM208:$BJ208),4)=MOD(COLUMN($AM208)+0,4)),$AM208:$BJ208)</f>
        <v/>
      </c>
      <c r="BM208" s="803">
        <f>SUMPRODUCT(--(MOD(COLUMN($O208:$AL208),4)=MOD(COLUMN($O208)+0,4)),$O208:$AL208)*$I208
+SUMPRODUCT(--(MOD(COLUMN($AM208:$BJ208),4)=MOD(COLUMN($AM208)+0,4)),$AM208:$BJ208)*$I208</f>
        <v/>
      </c>
      <c r="BN208" s="805">
        <f>SUMPRODUCT(--(MOD(COLUMN($O208:$AL208),4)=MOD(COLUMN($O208)+1,4)),$O208:$AL208)
+SUMPRODUCT(--(MOD(COLUMN($AM208:$BJ208),4)=MOD(COLUMN($AM208)+1,4)),$AM208:$BJ208)</f>
        <v/>
      </c>
      <c r="BO208" s="806">
        <f>SUMPRODUCT(--(MOD(COLUMN($O208:$AL208),4)=MOD(COLUMN($O208)+1,4)),$O208:$AL208)*$I208
+SUMPRODUCT(--(MOD(COLUMN($AM208:$BJ208),4)=MOD(COLUMN($AM208)+1,4)),$AM208:$BJ208)*$I208</f>
        <v/>
      </c>
      <c r="BP208" s="807">
        <f>SUMPRODUCT(--(MOD(COLUMN($O208:$AL208),4)=MOD(COLUMN($O208)+2,4)),$O208:$AL208)
+SUMPRODUCT(--(MOD(COLUMN($AM208:$BJ208),4)=MOD(COLUMN($AM208)+2,4)),$AM208:$BJ208)</f>
        <v/>
      </c>
      <c r="BQ208" s="808">
        <f>SUMPRODUCT(--(MOD(COLUMN($O208:$AL208),4)=MOD(COLUMN($O208)+2,4)),$O208:$AL208)*$I208
+SUMPRODUCT(--(MOD(COLUMN($AM208:$BJ208),4)=MOD(COLUMN($AM208)+2,4)),$AM208:$BJ208)*$I208</f>
        <v/>
      </c>
      <c r="BR208" s="801" t="n"/>
      <c r="BS208" s="819" t="n"/>
      <c r="BT208" s="23" t="n">
        <v>20</v>
      </c>
      <c r="BU208" s="24" t="n"/>
      <c r="BV208" s="25" t="n">
        <v>0</v>
      </c>
      <c r="BW208" s="24" t="n"/>
      <c r="BX208" s="23" t="n">
        <v>20</v>
      </c>
      <c r="BY208" s="24" t="n"/>
      <c r="BZ208" s="25" t="n">
        <v>0</v>
      </c>
      <c r="CA208" s="24" t="n"/>
      <c r="CB208" s="23" t="n">
        <v>20</v>
      </c>
      <c r="CC208" s="24" t="n"/>
      <c r="CD208" s="25" t="n">
        <v>0</v>
      </c>
      <c r="CE208" s="24" t="n"/>
      <c r="CF208" s="23" t="n">
        <v>20</v>
      </c>
      <c r="CG208" s="24" t="n"/>
      <c r="CH208" s="25" t="n">
        <v>0</v>
      </c>
      <c r="CI208" s="24" t="n"/>
      <c r="CJ208" s="23" t="n">
        <v>20</v>
      </c>
      <c r="CK208" s="24" t="n"/>
      <c r="CL208" s="25" t="n">
        <v>0</v>
      </c>
      <c r="CM208" s="24" t="n"/>
      <c r="CN208" s="23" t="n">
        <v>20</v>
      </c>
      <c r="CO208" s="24" t="n"/>
      <c r="CP208" s="25" t="n">
        <v>0</v>
      </c>
      <c r="CQ208" s="24" t="n"/>
      <c r="CR208" s="23" t="n">
        <v>20</v>
      </c>
      <c r="CS208" s="24" t="n"/>
      <c r="CT208" s="25" t="n">
        <v>0</v>
      </c>
      <c r="CU208" s="24" t="n"/>
      <c r="CV208" s="23" t="n">
        <v>20</v>
      </c>
      <c r="CW208" s="24" t="n"/>
      <c r="CX208" s="25" t="n">
        <v>0</v>
      </c>
      <c r="CY208" s="24" t="n"/>
      <c r="CZ208" s="23" t="n">
        <v>20</v>
      </c>
      <c r="DA208" s="24" t="n"/>
      <c r="DB208" s="25" t="n">
        <v>0</v>
      </c>
      <c r="DC208" s="24" t="n"/>
      <c r="DD208" s="23" t="n">
        <v>20</v>
      </c>
      <c r="DE208" s="24" t="n"/>
      <c r="DF208" s="25" t="n">
        <v>0</v>
      </c>
      <c r="DG208" s="24" t="n"/>
      <c r="DH208" s="23" t="n">
        <v>20</v>
      </c>
      <c r="DI208" s="24" t="n"/>
      <c r="DJ208" s="25" t="n">
        <v>0</v>
      </c>
      <c r="DK208" s="24" t="n"/>
      <c r="DL208" s="23" t="n">
        <v>20</v>
      </c>
      <c r="DM208" s="24" t="n"/>
      <c r="DN208" s="25" t="n">
        <v>0</v>
      </c>
      <c r="DO208" s="24" t="n"/>
      <c r="DP208" s="340" t="n"/>
      <c r="DQ208" s="803">
        <f>SUMPRODUCT(--(MOD(COLUMN(BT208:CQ208),4)=MOD(COLUMN(BT208),4)),BT208:CQ208)+SUMPRODUCT(--(MOD(COLUMN(CR208:DO208),4)=MOD(COLUMN(CR208),4)),CR208:DO208)</f>
        <v/>
      </c>
      <c r="DR208" s="803">
        <f>SUMPRODUCT(--(MOD(COLUMN(BT208:CQ208),4)=MOD(COLUMN(BT208),4)),BT208:CQ208)*$I208+SUMPRODUCT(--(MOD(COLUMN(CR208:DO208),4)=MOD(COLUMN(CR208),4)),CR208:DO208)*$I208</f>
        <v/>
      </c>
      <c r="DS208" s="801" t="n"/>
      <c r="DT208" s="819" t="n"/>
      <c r="DU208" s="23" t="n">
        <v>20</v>
      </c>
      <c r="DV208" s="24" t="n"/>
      <c r="DW208" s="25" t="n">
        <v>0</v>
      </c>
      <c r="DX208" s="24" t="n"/>
      <c r="DY208" s="23" t="n">
        <v>20</v>
      </c>
      <c r="DZ208" s="24" t="n"/>
      <c r="EA208" s="25" t="n">
        <v>0</v>
      </c>
      <c r="EB208" s="24" t="n"/>
      <c r="EC208" s="23" t="n">
        <v>20</v>
      </c>
      <c r="ED208" s="24" t="n"/>
      <c r="EE208" s="25" t="n">
        <v>0</v>
      </c>
      <c r="EF208" s="24" t="n"/>
      <c r="EG208" s="23" t="n">
        <v>20</v>
      </c>
      <c r="EH208" s="24" t="n"/>
      <c r="EI208" s="25" t="n">
        <v>0</v>
      </c>
      <c r="EJ208" s="24" t="n"/>
      <c r="EK208" s="23" t="n">
        <v>20</v>
      </c>
      <c r="EL208" s="24" t="n"/>
      <c r="EM208" s="25" t="n">
        <v>0</v>
      </c>
      <c r="EN208" s="24" t="n"/>
      <c r="EO208" s="23" t="n">
        <v>20</v>
      </c>
      <c r="EP208" s="24" t="n"/>
      <c r="EQ208" s="25" t="n">
        <v>0</v>
      </c>
      <c r="ER208" s="24" t="n"/>
      <c r="ES208" s="23" t="n">
        <v>20</v>
      </c>
      <c r="ET208" s="24" t="n"/>
      <c r="EU208" s="25" t="n">
        <v>0</v>
      </c>
      <c r="EV208" s="24" t="n"/>
      <c r="EW208" s="23" t="n">
        <v>20</v>
      </c>
      <c r="EX208" s="24" t="n"/>
      <c r="EY208" s="25" t="n">
        <v>0</v>
      </c>
      <c r="EZ208" s="24" t="n"/>
      <c r="FA208" s="23" t="n">
        <v>20</v>
      </c>
      <c r="FB208" s="24" t="n"/>
      <c r="FC208" s="25" t="n">
        <v>0</v>
      </c>
      <c r="FD208" s="24" t="n"/>
      <c r="FE208" s="23" t="n">
        <v>20</v>
      </c>
      <c r="FF208" s="24" t="n"/>
      <c r="FG208" s="25" t="n">
        <v>0</v>
      </c>
      <c r="FH208" s="24" t="n"/>
      <c r="FI208" s="23" t="n">
        <v>20</v>
      </c>
      <c r="FJ208" s="24" t="n"/>
      <c r="FK208" s="25" t="n">
        <v>0</v>
      </c>
      <c r="FL208" s="24" t="n"/>
      <c r="FM208" s="23" t="n">
        <v>20</v>
      </c>
      <c r="FN208" s="24" t="n"/>
      <c r="FO208" s="25" t="n">
        <v>0</v>
      </c>
      <c r="FP208" s="24" t="n"/>
      <c r="FQ208" s="340" t="n"/>
      <c r="FR208" s="803">
        <f>SUMPRODUCT(--(MOD(COLUMN(DU208:ER208),4)=MOD(COLUMN(DU208),4)),DU208:ER208)+SUMPRODUCT(--(MOD(COLUMN(ES208:FP208),4)=MOD(COLUMN(ES208),4)),ES208:FP208)</f>
        <v/>
      </c>
      <c r="FS208" s="803">
        <f>SUMPRODUCT(--(MOD(COLUMN(DU208:ER208),4)=MOD(COLUMN(DU208),4)),DU208:ER208)*$I208+SUMPRODUCT(--(MOD(COLUMN(ES208:FP208),4)=MOD(COLUMN(ES208),4)),ES208:FP208)*$I208</f>
        <v/>
      </c>
      <c r="FT208" s="361" t="n"/>
    </row>
    <row r="209" outlineLevel="2">
      <c r="A209" s="411" t="inlineStr">
        <is>
          <t>СПЕЦАВТО-ВОСТОК ООО</t>
        </is>
      </c>
      <c r="B209" s="448" t="inlineStr">
        <is>
          <t>Отсрочка 15 дней</t>
        </is>
      </c>
      <c r="C209" s="594" t="inlineStr">
        <is>
          <t>ВБК РУС</t>
        </is>
      </c>
      <c r="D209" s="589" t="inlineStr">
        <is>
          <t>Прасолов, Соловьёв</t>
        </is>
      </c>
      <c r="E209" s="412">
        <f>IF(ISBLANK(G209),"",IF($A$6:$A$330=$A209,COUNTIF($A$6:A209,$A209),""))</f>
        <v/>
      </c>
      <c r="F209" s="10" t="n">
        <v>1</v>
      </c>
      <c r="G209" s="55" t="n">
        <v>9735000510</v>
      </c>
      <c r="H209" s="54" t="inlineStr">
        <is>
          <t>Клапан быстрого растормаживания</t>
        </is>
      </c>
      <c r="I209" s="617">
        <f>122.61/НДС</f>
        <v/>
      </c>
      <c r="J209" s="617" t="n"/>
      <c r="K209" s="872" t="n"/>
      <c r="L209" s="617">
        <f>IF(K209="RUB",J209/ЮАНЬ,IF(K209="EUR",J209*ЕВРО/ЮАНЬ,""))</f>
        <v/>
      </c>
      <c r="M209" s="873" t="n"/>
      <c r="N209" s="871">
        <f>IF(BP209&gt;0,1,IF(BN209&gt;0,2,))</f>
        <v/>
      </c>
      <c r="O209" s="23" t="n">
        <v>10</v>
      </c>
      <c r="P209" s="24" t="n"/>
      <c r="Q209" s="25" t="n">
        <v>0</v>
      </c>
      <c r="R209" s="24" t="n"/>
      <c r="S209" s="23" t="n">
        <v>10</v>
      </c>
      <c r="T209" s="24" t="n"/>
      <c r="U209" s="25" t="n">
        <v>0</v>
      </c>
      <c r="V209" s="24" t="n"/>
      <c r="W209" s="23" t="n">
        <v>10</v>
      </c>
      <c r="X209" s="24">
        <f>16+20</f>
        <v/>
      </c>
      <c r="Y209" s="25" t="n">
        <v>36</v>
      </c>
      <c r="Z209" s="24" t="n"/>
      <c r="AA209" s="23" t="n">
        <v>10</v>
      </c>
      <c r="AB209" s="24" t="n"/>
      <c r="AC209" s="25" t="n">
        <v>0</v>
      </c>
      <c r="AD209" s="24" t="n"/>
      <c r="AE209" s="23" t="n">
        <v>10</v>
      </c>
      <c r="AF209" s="24" t="n"/>
      <c r="AG209" s="25" t="n">
        <v>0</v>
      </c>
      <c r="AH209" s="24" t="n"/>
      <c r="AI209" s="23" t="n">
        <v>10</v>
      </c>
      <c r="AJ209" s="24" t="n"/>
      <c r="AK209" s="25" t="n">
        <v>0</v>
      </c>
      <c r="AL209" s="24" t="n"/>
      <c r="AM209" s="23" t="n">
        <v>10</v>
      </c>
      <c r="AN209" s="24" t="n">
        <v>10</v>
      </c>
      <c r="AO209" s="25" t="n">
        <v>0</v>
      </c>
      <c r="AP209" s="24" t="n"/>
      <c r="AQ209" s="23" t="n">
        <v>10</v>
      </c>
      <c r="AR209" s="24" t="n">
        <v>10</v>
      </c>
      <c r="AS209" s="25" t="n">
        <v>0</v>
      </c>
      <c r="AT209" s="24" t="n"/>
      <c r="AU209" s="23" t="n">
        <v>10</v>
      </c>
      <c r="AV209" s="24" t="n">
        <v>10</v>
      </c>
      <c r="AW209" s="25" t="n">
        <v>0</v>
      </c>
      <c r="AX209" s="24" t="n"/>
      <c r="AY209" s="23" t="n">
        <v>10</v>
      </c>
      <c r="AZ209" s="24" t="n">
        <v>10</v>
      </c>
      <c r="BA209" s="25" t="n">
        <v>0</v>
      </c>
      <c r="BB209" s="24" t="n"/>
      <c r="BC209" s="23" t="n">
        <v>10</v>
      </c>
      <c r="BD209" s="24" t="n">
        <v>10</v>
      </c>
      <c r="BE209" s="25" t="n">
        <v>0</v>
      </c>
      <c r="BF209" s="24" t="n"/>
      <c r="BG209" s="23" t="n">
        <v>10</v>
      </c>
      <c r="BH209" s="24" t="n">
        <v>10</v>
      </c>
      <c r="BI209" s="25" t="n">
        <v>0</v>
      </c>
      <c r="BJ209" s="24" t="n"/>
      <c r="BK209" s="340" t="n"/>
      <c r="BL209" s="803">
        <f>SUMPRODUCT(--(MOD(COLUMN($O209:$AL209),4)=MOD(COLUMN($O209)+0,4)),$O209:$AL209)
+SUMPRODUCT(--(MOD(COLUMN($AM209:$BJ209),4)=MOD(COLUMN($AM209)+0,4)),$AM209:$BJ209)</f>
        <v/>
      </c>
      <c r="BM209" s="803">
        <f>SUMPRODUCT(--(MOD(COLUMN($O209:$AL209),4)=MOD(COLUMN($O209)+0,4)),$O209:$AL209)*
$I209+SUMPRODUCT(--(MOD(COLUMN($AM209:$BJ209),4)=MOD(COLUMN($AM209)+0,4)),$AM209:$BJ209)*$I209</f>
        <v/>
      </c>
      <c r="BN209" s="805">
        <f>SUMPRODUCT(--(MOD(COLUMN($O209:$AL209),4)=MOD(COLUMN($O209)+1,4)),$O209:$AL209)
+SUMPRODUCT(--(MOD(COLUMN($AM209:$BJ209),4)=MOD(COLUMN($AM209)+1,4)),$AM209:$BJ209)</f>
        <v/>
      </c>
      <c r="BO209" s="806">
        <f>SUMPRODUCT(--(MOD(COLUMN($O209:$AL209),4)=MOD(COLUMN($O209)+1,4)),$O209:$AL209)*
$I209+SUMPRODUCT(--(MOD(COLUMN($AM209:$BJ209),4)=MOD(COLUMN($AM209)+1,4)),$AM209:$BJ209)*$I209</f>
        <v/>
      </c>
      <c r="BP209" s="807">
        <f>SUMPRODUCT(--(MOD(COLUMN($O209:$AL209),4)=MOD(COLUMN($O209)+2,4)),$O209:$AL209)
+SUMPRODUCT(--(MOD(COLUMN($AM209:$BJ209),4)=MOD(COLUMN($AM209)+2,4)),$AM209:$BJ209)</f>
        <v/>
      </c>
      <c r="BQ209" s="808">
        <f>SUMPRODUCT(--(MOD(COLUMN($O209:$AL209),4)=MOD(COLUMN($O209)+2,4)),$O209:$AL209)*
$I209+SUMPRODUCT(--(MOD(COLUMN($AM209:$BJ209),4)=MOD(COLUMN($AM209)+2,4)),$AM209:$BJ209)*$I209</f>
        <v/>
      </c>
      <c r="BR209" s="801" t="n"/>
      <c r="BS209" s="819" t="n"/>
      <c r="BT209" s="23" t="n">
        <v>20</v>
      </c>
      <c r="BU209" s="24" t="n"/>
      <c r="BV209" s="25" t="n">
        <v>0</v>
      </c>
      <c r="BW209" s="24" t="n"/>
      <c r="BX209" s="23" t="n">
        <v>20</v>
      </c>
      <c r="BY209" s="24" t="n"/>
      <c r="BZ209" s="25" t="n">
        <v>0</v>
      </c>
      <c r="CA209" s="24" t="n"/>
      <c r="CB209" s="23" t="n">
        <v>20</v>
      </c>
      <c r="CC209" s="24" t="n"/>
      <c r="CD209" s="25" t="n">
        <v>0</v>
      </c>
      <c r="CE209" s="24" t="n"/>
      <c r="CF209" s="23" t="n">
        <v>20</v>
      </c>
      <c r="CG209" s="24" t="n"/>
      <c r="CH209" s="25" t="n">
        <v>0</v>
      </c>
      <c r="CI209" s="24" t="n"/>
      <c r="CJ209" s="23" t="n">
        <v>20</v>
      </c>
      <c r="CK209" s="24" t="n"/>
      <c r="CL209" s="25" t="n">
        <v>0</v>
      </c>
      <c r="CM209" s="24" t="n"/>
      <c r="CN209" s="23" t="n">
        <v>20</v>
      </c>
      <c r="CO209" s="24" t="n"/>
      <c r="CP209" s="25" t="n">
        <v>0</v>
      </c>
      <c r="CQ209" s="24" t="n"/>
      <c r="CR209" s="23" t="n">
        <v>20</v>
      </c>
      <c r="CS209" s="24" t="n"/>
      <c r="CT209" s="25" t="n">
        <v>0</v>
      </c>
      <c r="CU209" s="24" t="n"/>
      <c r="CV209" s="23" t="n">
        <v>20</v>
      </c>
      <c r="CW209" s="24" t="n"/>
      <c r="CX209" s="25" t="n">
        <v>0</v>
      </c>
      <c r="CY209" s="24" t="n"/>
      <c r="CZ209" s="23" t="n">
        <v>20</v>
      </c>
      <c r="DA209" s="24" t="n"/>
      <c r="DB209" s="25" t="n">
        <v>0</v>
      </c>
      <c r="DC209" s="24" t="n"/>
      <c r="DD209" s="23" t="n">
        <v>20</v>
      </c>
      <c r="DE209" s="24" t="n"/>
      <c r="DF209" s="25" t="n">
        <v>0</v>
      </c>
      <c r="DG209" s="24" t="n"/>
      <c r="DH209" s="23" t="n">
        <v>20</v>
      </c>
      <c r="DI209" s="24" t="n"/>
      <c r="DJ209" s="25" t="n">
        <v>0</v>
      </c>
      <c r="DK209" s="24" t="n"/>
      <c r="DL209" s="23" t="n">
        <v>20</v>
      </c>
      <c r="DM209" s="24" t="n"/>
      <c r="DN209" s="25" t="n">
        <v>0</v>
      </c>
      <c r="DO209" s="24" t="n"/>
      <c r="DP209" s="340" t="n"/>
      <c r="DQ209" s="803">
        <f>SUMPRODUCT(--(MOD(COLUMN(BT209:CQ209),4)=MOD(COLUMN(BT209),4)),BT209:CQ209)+SUMPRODUCT(--(MOD(COLUMN(CR209:DO209),4)=MOD(COLUMN(CR209),4)),CR209:DO209)</f>
        <v/>
      </c>
      <c r="DR209" s="803">
        <f>SUMPRODUCT(--(MOD(COLUMN(BT209:CQ209),4)=MOD(COLUMN(BT209),4)),BT209:CQ209)*$I209+SUMPRODUCT(--(MOD(COLUMN(CR209:DO209),4)=MOD(COLUMN(CR209),4)),CR209:DO209)*$I209</f>
        <v/>
      </c>
      <c r="DS209" s="801" t="n"/>
      <c r="DT209" s="819" t="n"/>
      <c r="DU209" s="23" t="n">
        <v>20</v>
      </c>
      <c r="DV209" s="24" t="n"/>
      <c r="DW209" s="25" t="n">
        <v>0</v>
      </c>
      <c r="DX209" s="24" t="n"/>
      <c r="DY209" s="23" t="n">
        <v>20</v>
      </c>
      <c r="DZ209" s="24" t="n"/>
      <c r="EA209" s="25" t="n">
        <v>0</v>
      </c>
      <c r="EB209" s="24" t="n"/>
      <c r="EC209" s="23" t="n">
        <v>20</v>
      </c>
      <c r="ED209" s="24" t="n"/>
      <c r="EE209" s="25" t="n">
        <v>0</v>
      </c>
      <c r="EF209" s="24" t="n"/>
      <c r="EG209" s="23" t="n">
        <v>20</v>
      </c>
      <c r="EH209" s="24" t="n"/>
      <c r="EI209" s="25" t="n">
        <v>0</v>
      </c>
      <c r="EJ209" s="24" t="n"/>
      <c r="EK209" s="23" t="n">
        <v>20</v>
      </c>
      <c r="EL209" s="24" t="n"/>
      <c r="EM209" s="25" t="n">
        <v>0</v>
      </c>
      <c r="EN209" s="24" t="n"/>
      <c r="EO209" s="23" t="n">
        <v>20</v>
      </c>
      <c r="EP209" s="24" t="n"/>
      <c r="EQ209" s="25" t="n">
        <v>0</v>
      </c>
      <c r="ER209" s="24" t="n"/>
      <c r="ES209" s="23" t="n">
        <v>20</v>
      </c>
      <c r="ET209" s="24" t="n"/>
      <c r="EU209" s="25" t="n">
        <v>0</v>
      </c>
      <c r="EV209" s="24" t="n"/>
      <c r="EW209" s="23" t="n">
        <v>20</v>
      </c>
      <c r="EX209" s="24" t="n"/>
      <c r="EY209" s="25" t="n">
        <v>0</v>
      </c>
      <c r="EZ209" s="24" t="n"/>
      <c r="FA209" s="23" t="n">
        <v>20</v>
      </c>
      <c r="FB209" s="24" t="n"/>
      <c r="FC209" s="25" t="n">
        <v>0</v>
      </c>
      <c r="FD209" s="24" t="n"/>
      <c r="FE209" s="23" t="n">
        <v>20</v>
      </c>
      <c r="FF209" s="24" t="n"/>
      <c r="FG209" s="25" t="n">
        <v>0</v>
      </c>
      <c r="FH209" s="24" t="n"/>
      <c r="FI209" s="23" t="n">
        <v>20</v>
      </c>
      <c r="FJ209" s="24" t="n"/>
      <c r="FK209" s="25" t="n">
        <v>0</v>
      </c>
      <c r="FL209" s="24" t="n"/>
      <c r="FM209" s="23" t="n">
        <v>20</v>
      </c>
      <c r="FN209" s="24" t="n"/>
      <c r="FO209" s="25" t="n">
        <v>0</v>
      </c>
      <c r="FP209" s="24" t="n"/>
      <c r="FQ209" s="340" t="n"/>
      <c r="FR209" s="803">
        <f>SUMPRODUCT(--(MOD(COLUMN(DU209:ER209),4)=MOD(COLUMN(DU209),4)),DU209:ER209)+SUMPRODUCT(--(MOD(COLUMN(ES209:FP209),4)=MOD(COLUMN(ES209),4)),ES209:FP209)</f>
        <v/>
      </c>
      <c r="FS209" s="803">
        <f>SUMPRODUCT(--(MOD(COLUMN(DU209:ER209),4)=MOD(COLUMN(DU209),4)),DU209:ER209)*$I209+SUMPRODUCT(--(MOD(COLUMN(ES209:FP209),4)=MOD(COLUMN(ES209),4)),ES209:FP209)*$I209</f>
        <v/>
      </c>
      <c r="FT209" s="361" t="n"/>
    </row>
    <row r="210" outlineLevel="2">
      <c r="A210" s="411" t="inlineStr">
        <is>
          <t>СПЕЦАВТО-ВОСТОК ООО</t>
        </is>
      </c>
      <c r="B210" s="448" t="inlineStr">
        <is>
          <t>Отсрочка 15 дней</t>
        </is>
      </c>
      <c r="C210" s="594" t="inlineStr">
        <is>
          <t>ВБК РУС</t>
        </is>
      </c>
      <c r="D210" s="589" t="inlineStr">
        <is>
          <t>Прасолов, Соловьёв</t>
        </is>
      </c>
      <c r="E210" s="412">
        <f>IF(ISBLANK(G210),"",IF($A$6:$A$330=$A210,COUNTIF($A$6:A210,$A210),""))</f>
        <v/>
      </c>
      <c r="F210" s="10" t="n">
        <v>1</v>
      </c>
      <c r="G210" s="55" t="n">
        <v>9522010010</v>
      </c>
      <c r="H210" s="54" t="inlineStr">
        <is>
          <t>Головка соединительная (управляющая)</t>
        </is>
      </c>
      <c r="I210" s="617">
        <f>89.64/НДС_20</f>
        <v/>
      </c>
      <c r="J210" s="617" t="n"/>
      <c r="K210" s="872" t="n"/>
      <c r="L210" s="617">
        <f>IF(K210="RUB",J210/ЮАНЬ,IF(K210="EUR",J210*ЕВРО/ЮАНЬ,""))</f>
        <v/>
      </c>
      <c r="M210" s="873" t="n"/>
      <c r="N210" s="871">
        <f>IF(BP210&gt;0,1,IF(BN210&gt;0,2,))</f>
        <v/>
      </c>
      <c r="O210" s="23" t="n"/>
      <c r="P210" s="24" t="n"/>
      <c r="Q210" s="25" t="n">
        <v>0</v>
      </c>
      <c r="R210" s="24" t="n"/>
      <c r="S210" s="23" t="n"/>
      <c r="T210" s="24" t="n"/>
      <c r="U210" s="25" t="n">
        <v>5</v>
      </c>
      <c r="V210" s="24" t="n"/>
      <c r="W210" s="23" t="n"/>
      <c r="X210" s="24" t="n"/>
      <c r="Y210" s="25" t="n">
        <v>16</v>
      </c>
      <c r="Z210" s="24" t="n"/>
      <c r="AA210" s="23" t="n"/>
      <c r="AB210" s="24" t="n"/>
      <c r="AC210" s="25" t="n">
        <v>0</v>
      </c>
      <c r="AD210" s="24" t="n"/>
      <c r="AE210" s="23" t="n"/>
      <c r="AF210" s="24" t="n"/>
      <c r="AG210" s="25" t="n">
        <v>20</v>
      </c>
      <c r="AH210" s="24" t="n"/>
      <c r="AI210" s="23" t="n"/>
      <c r="AJ210" s="24" t="n"/>
      <c r="AK210" s="25" t="n">
        <v>0</v>
      </c>
      <c r="AL210" s="24" t="n"/>
      <c r="AM210" s="23" t="n"/>
      <c r="AN210" s="24" t="n"/>
      <c r="AO210" s="25" t="n">
        <v>0</v>
      </c>
      <c r="AP210" s="24" t="n"/>
      <c r="AQ210" s="23" t="n"/>
      <c r="AR210" s="24" t="n"/>
      <c r="AS210" s="25" t="n">
        <v>0</v>
      </c>
      <c r="AT210" s="24" t="n"/>
      <c r="AU210" s="23" t="n"/>
      <c r="AV210" s="24" t="n"/>
      <c r="AW210" s="25" t="n">
        <v>0</v>
      </c>
      <c r="AX210" s="24" t="n"/>
      <c r="AY210" s="23" t="n"/>
      <c r="AZ210" s="24" t="n"/>
      <c r="BA210" s="25" t="n">
        <v>0</v>
      </c>
      <c r="BB210" s="24" t="n"/>
      <c r="BC210" s="23" t="n"/>
      <c r="BD210" s="24" t="n"/>
      <c r="BE210" s="25" t="n">
        <v>0</v>
      </c>
      <c r="BF210" s="24" t="n"/>
      <c r="BG210" s="23" t="n"/>
      <c r="BH210" s="24" t="n"/>
      <c r="BI210" s="25" t="n">
        <v>0</v>
      </c>
      <c r="BJ210" s="24" t="n"/>
      <c r="BK210" s="340" t="n"/>
      <c r="BL210" s="803">
        <f>SUMPRODUCT(--(MOD(COLUMN($O210:$AL210),4)=MOD(COLUMN($O210)+0,4)),$O210:$AL210)
+SUMPRODUCT(--(MOD(COLUMN($AM210:$BJ210),4)=MOD(COLUMN($AM210)+0,4)),$AM210:$BJ210)</f>
        <v/>
      </c>
      <c r="BM210" s="803">
        <f>SUMPRODUCT(--(MOD(COLUMN($O210:$AL210),4)=MOD(COLUMN($O210)+0,4)),$O210:$AL210)*
$I210+SUMPRODUCT(--(MOD(COLUMN($AM210:$BJ210),4)=MOD(COLUMN($AM210)+0,4)),$AM210:$BJ210)*$I210</f>
        <v/>
      </c>
      <c r="BN210" s="805">
        <f>SUMPRODUCT(--(MOD(COLUMN($O210:$AL210),4)=MOD(COLUMN($O210)+1,4)),$O210:$AL210)
+SUMPRODUCT(--(MOD(COLUMN($AM210:$BJ210),4)=MOD(COLUMN($AM210)+1,4)),$AM210:$BJ210)</f>
        <v/>
      </c>
      <c r="BO210" s="806">
        <f>SUMPRODUCT(--(MOD(COLUMN($O210:$AL210),4)=MOD(COLUMN($O210)+1,4)),$O210:$AL210)*
$I210+SUMPRODUCT(--(MOD(COLUMN($AM210:$BJ210),4)=MOD(COLUMN($AM210)+1,4)),$AM210:$BJ210)*$I210</f>
        <v/>
      </c>
      <c r="BP210" s="807">
        <f>SUMPRODUCT(--(MOD(COLUMN($O210:$AL210),4)=MOD(COLUMN($O210)+2,4)),$O210:$AL210)
+SUMPRODUCT(--(MOD(COLUMN($AM210:$BJ210),4)=MOD(COLUMN($AM210)+2,4)),$AM210:$BJ210)</f>
        <v/>
      </c>
      <c r="BQ210" s="808">
        <f>SUMPRODUCT(--(MOD(COLUMN($O210:$AL210),4)=MOD(COLUMN($O210)+2,4)),$O210:$AL210)*
$I210+SUMPRODUCT(--(MOD(COLUMN($AM210:$BJ210),4)=MOD(COLUMN($AM210)+2,4)),$AM210:$BJ210)*$I210</f>
        <v/>
      </c>
      <c r="BR210" s="801" t="n"/>
      <c r="BS210" s="819" t="n"/>
      <c r="BT210" s="23" t="n"/>
      <c r="BU210" s="24" t="n"/>
      <c r="BV210" s="25" t="n">
        <v>0</v>
      </c>
      <c r="BW210" s="24" t="n"/>
      <c r="BX210" s="23" t="n"/>
      <c r="BY210" s="24" t="n"/>
      <c r="BZ210" s="25" t="n">
        <v>0</v>
      </c>
      <c r="CA210" s="24" t="n"/>
      <c r="CB210" s="23" t="n"/>
      <c r="CC210" s="24" t="n"/>
      <c r="CD210" s="25" t="n">
        <v>0</v>
      </c>
      <c r="CE210" s="24" t="n"/>
      <c r="CF210" s="23" t="n"/>
      <c r="CG210" s="24" t="n"/>
      <c r="CH210" s="25" t="n">
        <v>0</v>
      </c>
      <c r="CI210" s="24" t="n"/>
      <c r="CJ210" s="23" t="n"/>
      <c r="CK210" s="24" t="n"/>
      <c r="CL210" s="25" t="n">
        <v>0</v>
      </c>
      <c r="CM210" s="24" t="n"/>
      <c r="CN210" s="23" t="n"/>
      <c r="CO210" s="24" t="n"/>
      <c r="CP210" s="25" t="n">
        <v>0</v>
      </c>
      <c r="CQ210" s="24" t="n"/>
      <c r="CR210" s="23" t="n"/>
      <c r="CS210" s="24" t="n"/>
      <c r="CT210" s="25" t="n">
        <v>0</v>
      </c>
      <c r="CU210" s="24" t="n"/>
      <c r="CV210" s="23" t="n"/>
      <c r="CW210" s="24" t="n"/>
      <c r="CX210" s="25" t="n">
        <v>0</v>
      </c>
      <c r="CY210" s="24" t="n"/>
      <c r="CZ210" s="23" t="n"/>
      <c r="DA210" s="24" t="n"/>
      <c r="DB210" s="25" t="n">
        <v>0</v>
      </c>
      <c r="DC210" s="24" t="n"/>
      <c r="DD210" s="23" t="n"/>
      <c r="DE210" s="24" t="n"/>
      <c r="DF210" s="25" t="n">
        <v>0</v>
      </c>
      <c r="DG210" s="24" t="n"/>
      <c r="DH210" s="23" t="n"/>
      <c r="DI210" s="24" t="n"/>
      <c r="DJ210" s="25" t="n">
        <v>0</v>
      </c>
      <c r="DK210" s="24" t="n"/>
      <c r="DL210" s="23" t="n"/>
      <c r="DM210" s="24" t="n"/>
      <c r="DN210" s="25" t="n">
        <v>0</v>
      </c>
      <c r="DO210" s="24" t="n"/>
      <c r="DP210" s="340" t="n"/>
      <c r="DQ210" s="803">
        <f>SUMPRODUCT(--(MOD(COLUMN(BT210:CQ210),4)=MOD(COLUMN(BT210),4)),BT210:CQ210)+SUMPRODUCT(--(MOD(COLUMN(CR210:DO210),4)=MOD(COLUMN(CR210),4)),CR210:DO210)</f>
        <v/>
      </c>
      <c r="DR210" s="803">
        <f>SUMPRODUCT(--(MOD(COLUMN(BT210:CQ210),4)=MOD(COLUMN(BT210),4)),BT210:CQ210)*$I210+SUMPRODUCT(--(MOD(COLUMN(CR210:DO210),4)=MOD(COLUMN(CR210),4)),CR210:DO210)*$I210</f>
        <v/>
      </c>
      <c r="DS210" s="801" t="n"/>
      <c r="DT210" s="819" t="n"/>
      <c r="DU210" s="23" t="n"/>
      <c r="DV210" s="24" t="n"/>
      <c r="DW210" s="25" t="n">
        <v>0</v>
      </c>
      <c r="DX210" s="24" t="n"/>
      <c r="DY210" s="23" t="n"/>
      <c r="DZ210" s="24" t="n"/>
      <c r="EA210" s="25" t="n">
        <v>0</v>
      </c>
      <c r="EB210" s="24" t="n"/>
      <c r="EC210" s="23" t="n"/>
      <c r="ED210" s="24" t="n"/>
      <c r="EE210" s="25" t="n">
        <v>0</v>
      </c>
      <c r="EF210" s="24" t="n"/>
      <c r="EG210" s="23" t="n"/>
      <c r="EH210" s="24" t="n"/>
      <c r="EI210" s="25" t="n">
        <v>0</v>
      </c>
      <c r="EJ210" s="24" t="n"/>
      <c r="EK210" s="23" t="n"/>
      <c r="EL210" s="24" t="n"/>
      <c r="EM210" s="25" t="n">
        <v>0</v>
      </c>
      <c r="EN210" s="24" t="n"/>
      <c r="EO210" s="23" t="n"/>
      <c r="EP210" s="24" t="n"/>
      <c r="EQ210" s="25" t="n">
        <v>0</v>
      </c>
      <c r="ER210" s="24" t="n"/>
      <c r="ES210" s="23" t="n"/>
      <c r="ET210" s="24" t="n"/>
      <c r="EU210" s="25" t="n">
        <v>0</v>
      </c>
      <c r="EV210" s="24" t="n"/>
      <c r="EW210" s="23" t="n"/>
      <c r="EX210" s="24" t="n"/>
      <c r="EY210" s="25" t="n">
        <v>0</v>
      </c>
      <c r="EZ210" s="24" t="n"/>
      <c r="FA210" s="23" t="n"/>
      <c r="FB210" s="24" t="n"/>
      <c r="FC210" s="25" t="n">
        <v>0</v>
      </c>
      <c r="FD210" s="24" t="n"/>
      <c r="FE210" s="23" t="n"/>
      <c r="FF210" s="24" t="n"/>
      <c r="FG210" s="25" t="n">
        <v>0</v>
      </c>
      <c r="FH210" s="24" t="n"/>
      <c r="FI210" s="23" t="n"/>
      <c r="FJ210" s="24" t="n"/>
      <c r="FK210" s="25" t="n">
        <v>0</v>
      </c>
      <c r="FL210" s="24" t="n"/>
      <c r="FM210" s="23" t="n"/>
      <c r="FN210" s="24" t="n"/>
      <c r="FO210" s="25" t="n">
        <v>0</v>
      </c>
      <c r="FP210" s="24" t="n"/>
      <c r="FQ210" s="340" t="n"/>
      <c r="FR210" s="803">
        <f>SUMPRODUCT(--(MOD(COLUMN(DU210:ER210),4)=MOD(COLUMN(DU210),4)),DU210:ER210)+SUMPRODUCT(--(MOD(COLUMN(ES210:FP210),4)=MOD(COLUMN(ES210),4)),ES210:FP210)</f>
        <v/>
      </c>
      <c r="FS210" s="803">
        <f>SUMPRODUCT(--(MOD(COLUMN(DU210:ER210),4)=MOD(COLUMN(DU210),4)),DU210:ER210)*$I210+SUMPRODUCT(--(MOD(COLUMN(ES210:FP210),4)=MOD(COLUMN(ES210),4)),ES210:FP210)*$I210</f>
        <v/>
      </c>
      <c r="FT210" s="361" t="n"/>
    </row>
    <row r="211" outlineLevel="2">
      <c r="A211" s="411" t="inlineStr">
        <is>
          <t>СПЕЦАВТО-ВОСТОК ООО</t>
        </is>
      </c>
      <c r="B211" s="448" t="inlineStr">
        <is>
          <t>Отсрочка 15 дней</t>
        </is>
      </c>
      <c r="C211" s="594" t="inlineStr">
        <is>
          <t>ВБК РУС</t>
        </is>
      </c>
      <c r="D211" s="589" t="inlineStr">
        <is>
          <t>Прасолов, Соловьёв</t>
        </is>
      </c>
      <c r="E211" s="412">
        <f>IF(ISBLANK(G211),"",IF($A$6:$A$330=$A211,COUNTIF($A$6:A211,$A211),""))</f>
        <v/>
      </c>
      <c r="F211" s="10" t="n">
        <v>1</v>
      </c>
      <c r="G211" s="55" t="n">
        <v>9522010020</v>
      </c>
      <c r="H211" s="54" t="inlineStr">
        <is>
          <t>Головка соединительная (питающая)</t>
        </is>
      </c>
      <c r="I211" s="617">
        <f>89.64/НДС_20</f>
        <v/>
      </c>
      <c r="J211" s="617" t="n"/>
      <c r="K211" s="872" t="n"/>
      <c r="L211" s="617">
        <f>IF(K211="RUB",J211/ЮАНЬ,IF(K211="EUR",J211*ЕВРО/ЮАНЬ,""))</f>
        <v/>
      </c>
      <c r="M211" s="873" t="n"/>
      <c r="N211" s="871">
        <f>IF(BP211&gt;0,1,IF(BN211&gt;0,2,))</f>
        <v/>
      </c>
      <c r="O211" s="23" t="n"/>
      <c r="P211" s="24" t="n"/>
      <c r="Q211" s="25" t="n">
        <v>0</v>
      </c>
      <c r="R211" s="24" t="n"/>
      <c r="S211" s="23" t="n"/>
      <c r="T211" s="24" t="n"/>
      <c r="U211" s="25" t="n">
        <v>5</v>
      </c>
      <c r="V211" s="24" t="n"/>
      <c r="W211" s="23" t="n"/>
      <c r="X211" s="24" t="n"/>
      <c r="Y211" s="25" t="n">
        <v>16</v>
      </c>
      <c r="Z211" s="24" t="n"/>
      <c r="AA211" s="23" t="n"/>
      <c r="AB211" s="24" t="n"/>
      <c r="AC211" s="25" t="n">
        <v>0</v>
      </c>
      <c r="AD211" s="24" t="n"/>
      <c r="AE211" s="23" t="n"/>
      <c r="AF211" s="24" t="n"/>
      <c r="AG211" s="25" t="n">
        <v>20</v>
      </c>
      <c r="AH211" s="24" t="n"/>
      <c r="AI211" s="23" t="n"/>
      <c r="AJ211" s="24" t="n"/>
      <c r="AK211" s="25" t="n">
        <v>0</v>
      </c>
      <c r="AL211" s="24" t="n"/>
      <c r="AM211" s="23" t="n"/>
      <c r="AN211" s="24" t="n"/>
      <c r="AO211" s="25" t="n">
        <v>0</v>
      </c>
      <c r="AP211" s="24" t="n"/>
      <c r="AQ211" s="23" t="n"/>
      <c r="AR211" s="24" t="n"/>
      <c r="AS211" s="25" t="n">
        <v>0</v>
      </c>
      <c r="AT211" s="24" t="n"/>
      <c r="AU211" s="23" t="n"/>
      <c r="AV211" s="24" t="n"/>
      <c r="AW211" s="25" t="n">
        <v>0</v>
      </c>
      <c r="AX211" s="24" t="n"/>
      <c r="AY211" s="23" t="n"/>
      <c r="AZ211" s="24" t="n"/>
      <c r="BA211" s="25" t="n">
        <v>0</v>
      </c>
      <c r="BB211" s="24" t="n"/>
      <c r="BC211" s="23" t="n"/>
      <c r="BD211" s="24" t="n"/>
      <c r="BE211" s="25" t="n">
        <v>0</v>
      </c>
      <c r="BF211" s="24" t="n"/>
      <c r="BG211" s="23" t="n"/>
      <c r="BH211" s="24" t="n"/>
      <c r="BI211" s="25" t="n">
        <v>0</v>
      </c>
      <c r="BJ211" s="24" t="n"/>
      <c r="BK211" s="340" t="n"/>
      <c r="BL211" s="803">
        <f>SUMPRODUCT(--(MOD(COLUMN($O211:$AL211),4)=MOD(COLUMN($O211)+0,4)),$O211:$AL211)
+SUMPRODUCT(--(MOD(COLUMN($AM211:$BJ211),4)=MOD(COLUMN($AM211)+0,4)),$AM211:$BJ211)</f>
        <v/>
      </c>
      <c r="BM211" s="803">
        <f>SUMPRODUCT(--(MOD(COLUMN($O211:$AL211),4)=MOD(COLUMN($O211)+0,4)),$O211:$AL211)*
$I211+SUMPRODUCT(--(MOD(COLUMN($AM211:$BJ211),4)=MOD(COLUMN($AM211)+0,4)),$AM211:$BJ211)*$I211</f>
        <v/>
      </c>
      <c r="BN211" s="805">
        <f>SUMPRODUCT(--(MOD(COLUMN($O211:$AL211),4)=MOD(COLUMN($O211)+1,4)),$O211:$AL211)
+SUMPRODUCT(--(MOD(COLUMN($AM211:$BJ211),4)=MOD(COLUMN($AM211)+1,4)),$AM211:$BJ211)</f>
        <v/>
      </c>
      <c r="BO211" s="806">
        <f>SUMPRODUCT(--(MOD(COLUMN($O211:$AL211),4)=MOD(COLUMN($O211)+1,4)),$O211:$AL211)*
$I211+SUMPRODUCT(--(MOD(COLUMN($AM211:$BJ211),4)=MOD(COLUMN($AM211)+1,4)),$AM211:$BJ211)*$I211</f>
        <v/>
      </c>
      <c r="BP211" s="807">
        <f>SUMPRODUCT(--(MOD(COLUMN($O211:$AL211),4)=MOD(COLUMN($O211)+2,4)),$O211:$AL211)
+SUMPRODUCT(--(MOD(COLUMN($AM211:$BJ211),4)=MOD(COLUMN($AM211)+2,4)),$AM211:$BJ211)</f>
        <v/>
      </c>
      <c r="BQ211" s="808">
        <f>SUMPRODUCT(--(MOD(COLUMN($O211:$AL211),4)=MOD(COLUMN($O211)+2,4)),$O211:$AL211)*
$I211+SUMPRODUCT(--(MOD(COLUMN($AM211:$BJ211),4)=MOD(COLUMN($AM211)+2,4)),$AM211:$BJ211)*$I211</f>
        <v/>
      </c>
      <c r="BR211" s="801" t="n"/>
      <c r="BS211" s="819" t="n"/>
      <c r="BT211" s="23" t="n"/>
      <c r="BU211" s="24" t="n"/>
      <c r="BV211" s="25" t="n">
        <v>0</v>
      </c>
      <c r="BW211" s="24" t="n"/>
      <c r="BX211" s="23" t="n"/>
      <c r="BY211" s="24" t="n"/>
      <c r="BZ211" s="25" t="n">
        <v>0</v>
      </c>
      <c r="CA211" s="24" t="n"/>
      <c r="CB211" s="23" t="n"/>
      <c r="CC211" s="24" t="n"/>
      <c r="CD211" s="25" t="n">
        <v>0</v>
      </c>
      <c r="CE211" s="24" t="n"/>
      <c r="CF211" s="23" t="n"/>
      <c r="CG211" s="24" t="n"/>
      <c r="CH211" s="25" t="n">
        <v>0</v>
      </c>
      <c r="CI211" s="24" t="n"/>
      <c r="CJ211" s="23" t="n"/>
      <c r="CK211" s="24" t="n"/>
      <c r="CL211" s="25" t="n">
        <v>0</v>
      </c>
      <c r="CM211" s="24" t="n"/>
      <c r="CN211" s="23" t="n"/>
      <c r="CO211" s="24" t="n"/>
      <c r="CP211" s="25" t="n">
        <v>0</v>
      </c>
      <c r="CQ211" s="24" t="n"/>
      <c r="CR211" s="23" t="n"/>
      <c r="CS211" s="24" t="n"/>
      <c r="CT211" s="25" t="n">
        <v>0</v>
      </c>
      <c r="CU211" s="24" t="n"/>
      <c r="CV211" s="23" t="n"/>
      <c r="CW211" s="24" t="n"/>
      <c r="CX211" s="25" t="n">
        <v>0</v>
      </c>
      <c r="CY211" s="24" t="n"/>
      <c r="CZ211" s="23" t="n"/>
      <c r="DA211" s="24" t="n"/>
      <c r="DB211" s="25" t="n">
        <v>0</v>
      </c>
      <c r="DC211" s="24" t="n"/>
      <c r="DD211" s="23" t="n"/>
      <c r="DE211" s="24" t="n"/>
      <c r="DF211" s="25" t="n">
        <v>0</v>
      </c>
      <c r="DG211" s="24" t="n"/>
      <c r="DH211" s="23" t="n"/>
      <c r="DI211" s="24" t="n"/>
      <c r="DJ211" s="25" t="n">
        <v>0</v>
      </c>
      <c r="DK211" s="24" t="n"/>
      <c r="DL211" s="23" t="n"/>
      <c r="DM211" s="24" t="n"/>
      <c r="DN211" s="25" t="n">
        <v>0</v>
      </c>
      <c r="DO211" s="24" t="n"/>
      <c r="DP211" s="340" t="n"/>
      <c r="DQ211" s="803">
        <f>SUMPRODUCT(--(MOD(COLUMN(BT211:CQ211),4)=MOD(COLUMN(BT211),4)),BT211:CQ211)+SUMPRODUCT(--(MOD(COLUMN(CR211:DO211),4)=MOD(COLUMN(CR211),4)),CR211:DO211)</f>
        <v/>
      </c>
      <c r="DR211" s="803">
        <f>SUMPRODUCT(--(MOD(COLUMN(BT211:CQ211),4)=MOD(COLUMN(BT211),4)),BT211:CQ211)*$I211+SUMPRODUCT(--(MOD(COLUMN(CR211:DO211),4)=MOD(COLUMN(CR211),4)),CR211:DO211)*$I211</f>
        <v/>
      </c>
      <c r="DS211" s="801" t="n"/>
      <c r="DT211" s="819" t="n"/>
      <c r="DU211" s="23" t="n"/>
      <c r="DV211" s="24" t="n"/>
      <c r="DW211" s="25" t="n">
        <v>0</v>
      </c>
      <c r="DX211" s="24" t="n"/>
      <c r="DY211" s="23" t="n"/>
      <c r="DZ211" s="24" t="n"/>
      <c r="EA211" s="25" t="n">
        <v>0</v>
      </c>
      <c r="EB211" s="24" t="n"/>
      <c r="EC211" s="23" t="n"/>
      <c r="ED211" s="24" t="n"/>
      <c r="EE211" s="25" t="n">
        <v>0</v>
      </c>
      <c r="EF211" s="24" t="n"/>
      <c r="EG211" s="23" t="n"/>
      <c r="EH211" s="24" t="n"/>
      <c r="EI211" s="25" t="n">
        <v>0</v>
      </c>
      <c r="EJ211" s="24" t="n"/>
      <c r="EK211" s="23" t="n"/>
      <c r="EL211" s="24" t="n"/>
      <c r="EM211" s="25" t="n">
        <v>0</v>
      </c>
      <c r="EN211" s="24" t="n"/>
      <c r="EO211" s="23" t="n"/>
      <c r="EP211" s="24" t="n"/>
      <c r="EQ211" s="25" t="n">
        <v>0</v>
      </c>
      <c r="ER211" s="24" t="n"/>
      <c r="ES211" s="23" t="n"/>
      <c r="ET211" s="24" t="n"/>
      <c r="EU211" s="25" t="n">
        <v>0</v>
      </c>
      <c r="EV211" s="24" t="n"/>
      <c r="EW211" s="23" t="n"/>
      <c r="EX211" s="24" t="n"/>
      <c r="EY211" s="25" t="n">
        <v>0</v>
      </c>
      <c r="EZ211" s="24" t="n"/>
      <c r="FA211" s="23" t="n"/>
      <c r="FB211" s="24" t="n"/>
      <c r="FC211" s="25" t="n">
        <v>0</v>
      </c>
      <c r="FD211" s="24" t="n"/>
      <c r="FE211" s="23" t="n"/>
      <c r="FF211" s="24" t="n"/>
      <c r="FG211" s="25" t="n">
        <v>0</v>
      </c>
      <c r="FH211" s="24" t="n"/>
      <c r="FI211" s="23" t="n"/>
      <c r="FJ211" s="24" t="n"/>
      <c r="FK211" s="25" t="n">
        <v>0</v>
      </c>
      <c r="FL211" s="24" t="n"/>
      <c r="FM211" s="23" t="n"/>
      <c r="FN211" s="24" t="n"/>
      <c r="FO211" s="25" t="n">
        <v>0</v>
      </c>
      <c r="FP211" s="24" t="n"/>
      <c r="FQ211" s="340" t="n"/>
      <c r="FR211" s="803">
        <f>SUMPRODUCT(--(MOD(COLUMN(DU211:ER211),4)=MOD(COLUMN(DU211),4)),DU211:ER211)+SUMPRODUCT(--(MOD(COLUMN(ES211:FP211),4)=MOD(COLUMN(ES211),4)),ES211:FP211)</f>
        <v/>
      </c>
      <c r="FS211" s="803">
        <f>SUMPRODUCT(--(MOD(COLUMN(DU211:ER211),4)=MOD(COLUMN(DU211),4)),DU211:ER211)*$I211+SUMPRODUCT(--(MOD(COLUMN(ES211:FP211),4)=MOD(COLUMN(ES211),4)),ES211:FP211)*$I211</f>
        <v/>
      </c>
      <c r="FT211" s="361" t="n"/>
    </row>
    <row r="212" outlineLevel="2">
      <c r="A212" s="411" t="inlineStr">
        <is>
          <t>СПЕЦАВТО-ВОСТОК ООО</t>
        </is>
      </c>
      <c r="B212" s="448" t="inlineStr">
        <is>
          <t>Отсрочка 15 дней</t>
        </is>
      </c>
      <c r="C212" s="594" t="inlineStr">
        <is>
          <t>ВБК РУС</t>
        </is>
      </c>
      <c r="D212" s="589" t="inlineStr">
        <is>
          <t>Прасолов, Соловьёв</t>
        </is>
      </c>
      <c r="E212" s="412">
        <f>IF(ISBLANK(G212),"",IF($A$6:$A$330=$A212,COUNTIF($A$6:A212,$A212),""))</f>
        <v/>
      </c>
      <c r="F212" s="10" t="n">
        <v>1</v>
      </c>
      <c r="G212" s="55" t="n">
        <v>4527110560</v>
      </c>
      <c r="H212" s="54" t="inlineStr">
        <is>
          <t>Трубка спиральная (красная), М16х1,5</t>
        </is>
      </c>
      <c r="I212" s="617">
        <f>133.2/НДС_20</f>
        <v/>
      </c>
      <c r="J212" s="617" t="n"/>
      <c r="K212" s="872" t="n"/>
      <c r="L212" s="617">
        <f>IF(K212="RUB",J212/ЮАНЬ,IF(K212="EUR",J212*ЕВРО/ЮАНЬ,""))</f>
        <v/>
      </c>
      <c r="M212" s="873" t="n"/>
      <c r="N212" s="871">
        <f>IF(BP212&gt;0,1,IF(BN212&gt;0,2,))</f>
        <v/>
      </c>
      <c r="O212" s="23" t="n"/>
      <c r="P212" s="24" t="n"/>
      <c r="Q212" s="25" t="n"/>
      <c r="R212" s="24" t="n"/>
      <c r="S212" s="23" t="n"/>
      <c r="T212" s="24" t="n"/>
      <c r="U212" s="25" t="n"/>
      <c r="V212" s="24" t="n"/>
      <c r="W212" s="23" t="n"/>
      <c r="X212" s="24" t="n"/>
      <c r="Y212" s="25" t="n"/>
      <c r="Z212" s="24" t="n"/>
      <c r="AA212" s="23" t="n"/>
      <c r="AB212" s="24" t="n"/>
      <c r="AC212" s="25" t="n"/>
      <c r="AD212" s="24" t="n"/>
      <c r="AE212" s="23" t="n"/>
      <c r="AF212" s="24" t="n"/>
      <c r="AG212" s="25" t="n"/>
      <c r="AH212" s="24" t="n"/>
      <c r="AI212" s="23" t="n"/>
      <c r="AJ212" s="24" t="n"/>
      <c r="AK212" s="25" t="n"/>
      <c r="AL212" s="24" t="n"/>
      <c r="AM212" s="23" t="n"/>
      <c r="AN212" s="24" t="n"/>
      <c r="AO212" s="25" t="n"/>
      <c r="AP212" s="24" t="n"/>
      <c r="AQ212" s="23" t="n"/>
      <c r="AR212" s="24" t="n"/>
      <c r="AS212" s="25" t="n"/>
      <c r="AT212" s="24" t="n"/>
      <c r="AU212" s="23" t="n"/>
      <c r="AV212" s="24" t="n"/>
      <c r="AW212" s="25" t="n"/>
      <c r="AX212" s="24" t="n"/>
      <c r="AY212" s="23" t="n"/>
      <c r="AZ212" s="24" t="n"/>
      <c r="BA212" s="25" t="n"/>
      <c r="BB212" s="24" t="n"/>
      <c r="BC212" s="23" t="n"/>
      <c r="BD212" s="24" t="n"/>
      <c r="BE212" s="25" t="n"/>
      <c r="BF212" s="24" t="n"/>
      <c r="BG212" s="23" t="n"/>
      <c r="BH212" s="24" t="n"/>
      <c r="BI212" s="25" t="n"/>
      <c r="BJ212" s="24" t="n"/>
      <c r="BK212" s="340" t="n"/>
      <c r="BL212" s="803">
        <f>SUMPRODUCT(--(MOD(COLUMN($O212:$AL212),4)=MOD(COLUMN($O212)+0,4)),$O212:$AL212)
+SUMPRODUCT(--(MOD(COLUMN($AM212:$BJ212),4)=MOD(COLUMN($AM212)+0,4)),$AM212:$BJ212)</f>
        <v/>
      </c>
      <c r="BM212" s="803">
        <f>SUMPRODUCT(--(MOD(COLUMN($O212:$AL212),4)=MOD(COLUMN($O212)+0,4)),$O212:$AL212)*
$I212+SUMPRODUCT(--(MOD(COLUMN($AM212:$BJ212),4)=MOD(COLUMN($AM212)+0,4)),$AM212:$BJ212)*$I212</f>
        <v/>
      </c>
      <c r="BN212" s="805">
        <f>SUMPRODUCT(--(MOD(COLUMN($O212:$AL212),4)=MOD(COLUMN($O212)+1,4)),$O212:$AL212)
+SUMPRODUCT(--(MOD(COLUMN($AM212:$BJ212),4)=MOD(COLUMN($AM212)+1,4)),$AM212:$BJ212)</f>
        <v/>
      </c>
      <c r="BO212" s="806">
        <f>SUMPRODUCT(--(MOD(COLUMN($O212:$AL212),4)=MOD(COLUMN($O212)+1,4)),$O212:$AL212)*
$I212+SUMPRODUCT(--(MOD(COLUMN($AM212:$BJ212),4)=MOD(COLUMN($AM212)+1,4)),$AM212:$BJ212)*$I212</f>
        <v/>
      </c>
      <c r="BP212" s="807">
        <f>SUMPRODUCT(--(MOD(COLUMN($O212:$AL212),4)=MOD(COLUMN($O212)+2,4)),$O212:$AL212)
+SUMPRODUCT(--(MOD(COLUMN($AM212:$BJ212),4)=MOD(COLUMN($AM212)+2,4)),$AM212:$BJ212)</f>
        <v/>
      </c>
      <c r="BQ212" s="808">
        <f>SUMPRODUCT(--(MOD(COLUMN($O212:$AL212),4)=MOD(COLUMN($O212)+2,4)),$O212:$AL212)*
$I212+SUMPRODUCT(--(MOD(COLUMN($AM212:$BJ212),4)=MOD(COLUMN($AM212)+2,4)),$AM212:$BJ212)*$I212</f>
        <v/>
      </c>
      <c r="BR212" s="801" t="n"/>
      <c r="BS212" s="819" t="n"/>
      <c r="BT212" s="23" t="n"/>
      <c r="BU212" s="24" t="n"/>
      <c r="BV212" s="25" t="n"/>
      <c r="BW212" s="24" t="n"/>
      <c r="BX212" s="23" t="n"/>
      <c r="BY212" s="24" t="n"/>
      <c r="BZ212" s="25" t="n"/>
      <c r="CA212" s="24" t="n"/>
      <c r="CB212" s="23" t="n"/>
      <c r="CC212" s="24" t="n"/>
      <c r="CD212" s="25" t="n"/>
      <c r="CE212" s="24" t="n"/>
      <c r="CF212" s="23" t="n"/>
      <c r="CG212" s="24" t="n"/>
      <c r="CH212" s="25" t="n"/>
      <c r="CI212" s="24" t="n"/>
      <c r="CJ212" s="23" t="n"/>
      <c r="CK212" s="24" t="n"/>
      <c r="CL212" s="25" t="n"/>
      <c r="CM212" s="24" t="n"/>
      <c r="CN212" s="23" t="n"/>
      <c r="CO212" s="24" t="n"/>
      <c r="CP212" s="25" t="n"/>
      <c r="CQ212" s="24" t="n"/>
      <c r="CR212" s="23" t="n"/>
      <c r="CS212" s="24" t="n"/>
      <c r="CT212" s="25" t="n"/>
      <c r="CU212" s="24" t="n"/>
      <c r="CV212" s="23" t="n"/>
      <c r="CW212" s="24" t="n"/>
      <c r="CX212" s="25" t="n"/>
      <c r="CY212" s="24" t="n"/>
      <c r="CZ212" s="23" t="n"/>
      <c r="DA212" s="24" t="n"/>
      <c r="DB212" s="25" t="n"/>
      <c r="DC212" s="24" t="n"/>
      <c r="DD212" s="23" t="n"/>
      <c r="DE212" s="24" t="n"/>
      <c r="DF212" s="25" t="n"/>
      <c r="DG212" s="24" t="n"/>
      <c r="DH212" s="23" t="n"/>
      <c r="DI212" s="24" t="n"/>
      <c r="DJ212" s="25" t="n"/>
      <c r="DK212" s="24" t="n"/>
      <c r="DL212" s="23" t="n"/>
      <c r="DM212" s="24" t="n"/>
      <c r="DN212" s="25" t="n"/>
      <c r="DO212" s="24" t="n"/>
      <c r="DP212" s="340" t="n"/>
      <c r="DQ212" s="803">
        <f>SUMPRODUCT(--(MOD(COLUMN(BT212:CQ212),4)=MOD(COLUMN(BT212),4)),BT212:CQ212)+SUMPRODUCT(--(MOD(COLUMN(CR212:DO212),4)=MOD(COLUMN(CR212),4)),CR212:DO212)</f>
        <v/>
      </c>
      <c r="DR212" s="803">
        <f>SUMPRODUCT(--(MOD(COLUMN(BT212:CQ212),4)=MOD(COLUMN(BT212),4)),BT212:CQ212)*$I212+SUMPRODUCT(--(MOD(COLUMN(CR212:DO212),4)=MOD(COLUMN(CR212),4)),CR212:DO212)*$I212</f>
        <v/>
      </c>
      <c r="DS212" s="801" t="n"/>
      <c r="DT212" s="819" t="n"/>
      <c r="DU212" s="23" t="n"/>
      <c r="DV212" s="24" t="n"/>
      <c r="DW212" s="25" t="n"/>
      <c r="DX212" s="24" t="n"/>
      <c r="DY212" s="23" t="n"/>
      <c r="DZ212" s="24" t="n"/>
      <c r="EA212" s="25" t="n"/>
      <c r="EB212" s="24" t="n"/>
      <c r="EC212" s="23" t="n"/>
      <c r="ED212" s="24" t="n"/>
      <c r="EE212" s="25" t="n"/>
      <c r="EF212" s="24" t="n"/>
      <c r="EG212" s="23" t="n"/>
      <c r="EH212" s="24" t="n"/>
      <c r="EI212" s="25" t="n"/>
      <c r="EJ212" s="24" t="n"/>
      <c r="EK212" s="23" t="n"/>
      <c r="EL212" s="24" t="n"/>
      <c r="EM212" s="25" t="n"/>
      <c r="EN212" s="24" t="n"/>
      <c r="EO212" s="23" t="n"/>
      <c r="EP212" s="24" t="n"/>
      <c r="EQ212" s="25" t="n"/>
      <c r="ER212" s="24" t="n"/>
      <c r="ES212" s="23" t="n"/>
      <c r="ET212" s="24" t="n"/>
      <c r="EU212" s="25" t="n"/>
      <c r="EV212" s="24" t="n"/>
      <c r="EW212" s="23" t="n"/>
      <c r="EX212" s="24" t="n"/>
      <c r="EY212" s="25" t="n"/>
      <c r="EZ212" s="24" t="n"/>
      <c r="FA212" s="23" t="n"/>
      <c r="FB212" s="24" t="n"/>
      <c r="FC212" s="25" t="n"/>
      <c r="FD212" s="24" t="n"/>
      <c r="FE212" s="23" t="n"/>
      <c r="FF212" s="24" t="n"/>
      <c r="FG212" s="25" t="n"/>
      <c r="FH212" s="24" t="n"/>
      <c r="FI212" s="23" t="n"/>
      <c r="FJ212" s="24" t="n"/>
      <c r="FK212" s="25" t="n"/>
      <c r="FL212" s="24" t="n"/>
      <c r="FM212" s="23" t="n"/>
      <c r="FN212" s="24" t="n"/>
      <c r="FO212" s="25" t="n"/>
      <c r="FP212" s="24" t="n"/>
      <c r="FQ212" s="340" t="n"/>
      <c r="FR212" s="803">
        <f>SUMPRODUCT(--(MOD(COLUMN(DU212:ER212),4)=MOD(COLUMN(DU212),4)),DU212:ER212)+SUMPRODUCT(--(MOD(COLUMN(ES212:FP212),4)=MOD(COLUMN(ES212),4)),ES212:FP212)</f>
        <v/>
      </c>
      <c r="FS212" s="803">
        <f>SUMPRODUCT(--(MOD(COLUMN(DU212:ER212),4)=MOD(COLUMN(DU212),4)),DU212:ER212)*$I212+SUMPRODUCT(--(MOD(COLUMN(ES212:FP212),4)=MOD(COLUMN(ES212),4)),ES212:FP212)*$I212</f>
        <v/>
      </c>
      <c r="FT212" s="361" t="n"/>
    </row>
    <row r="213" outlineLevel="2">
      <c r="A213" s="411" t="inlineStr">
        <is>
          <t>СПЕЦАВТО-ВОСТОК ООО</t>
        </is>
      </c>
      <c r="B213" s="448" t="inlineStr">
        <is>
          <t>Отсрочка 15 дней</t>
        </is>
      </c>
      <c r="C213" s="594" t="inlineStr">
        <is>
          <t>ВБК РУС</t>
        </is>
      </c>
      <c r="D213" s="589" t="inlineStr">
        <is>
          <t>Прасолов, Соловьёв</t>
        </is>
      </c>
      <c r="E213" s="412">
        <f>IF(ISBLANK(G213),"",IF($A$6:$A$330=$A213,COUNTIF($A$6:A213,$A213),""))</f>
        <v/>
      </c>
      <c r="F213" s="10" t="n">
        <v>1</v>
      </c>
      <c r="G213" s="55" t="n">
        <v>4527110570</v>
      </c>
      <c r="H213" s="54" t="inlineStr">
        <is>
          <t>Трубка спиральная (желтая), М16х1,5</t>
        </is>
      </c>
      <c r="I213" s="617">
        <f>133.2/НДС_20</f>
        <v/>
      </c>
      <c r="J213" s="617" t="n"/>
      <c r="K213" s="872" t="n"/>
      <c r="L213" s="617">
        <f>IF(K213="RUB",J213/ЮАНЬ,IF(K213="EUR",J213*ЕВРО/ЮАНЬ,""))</f>
        <v/>
      </c>
      <c r="M213" s="873" t="n"/>
      <c r="N213" s="871">
        <f>IF(BP213&gt;0,1,IF(BN213&gt;0,2,))</f>
        <v/>
      </c>
      <c r="O213" s="23" t="n"/>
      <c r="P213" s="24" t="n"/>
      <c r="Q213" s="25" t="n"/>
      <c r="R213" s="24" t="n"/>
      <c r="S213" s="23" t="n"/>
      <c r="T213" s="24" t="n"/>
      <c r="U213" s="25" t="n"/>
      <c r="V213" s="24" t="n"/>
      <c r="W213" s="23" t="n"/>
      <c r="X213" s="24" t="n"/>
      <c r="Y213" s="25" t="n"/>
      <c r="Z213" s="24" t="n"/>
      <c r="AA213" s="23" t="n"/>
      <c r="AB213" s="24" t="n"/>
      <c r="AC213" s="25" t="n"/>
      <c r="AD213" s="24" t="n"/>
      <c r="AE213" s="23" t="n"/>
      <c r="AF213" s="24" t="n"/>
      <c r="AG213" s="25" t="n"/>
      <c r="AH213" s="24" t="n"/>
      <c r="AI213" s="23" t="n"/>
      <c r="AJ213" s="24" t="n"/>
      <c r="AK213" s="25" t="n"/>
      <c r="AL213" s="24" t="n"/>
      <c r="AM213" s="23" t="n"/>
      <c r="AN213" s="24" t="n"/>
      <c r="AO213" s="25" t="n"/>
      <c r="AP213" s="24" t="n"/>
      <c r="AQ213" s="23" t="n"/>
      <c r="AR213" s="24" t="n"/>
      <c r="AS213" s="25" t="n"/>
      <c r="AT213" s="24" t="n"/>
      <c r="AU213" s="23" t="n"/>
      <c r="AV213" s="24" t="n"/>
      <c r="AW213" s="25" t="n"/>
      <c r="AX213" s="24" t="n"/>
      <c r="AY213" s="23" t="n"/>
      <c r="AZ213" s="24" t="n"/>
      <c r="BA213" s="25" t="n"/>
      <c r="BB213" s="24" t="n"/>
      <c r="BC213" s="23" t="n"/>
      <c r="BD213" s="24" t="n"/>
      <c r="BE213" s="25" t="n"/>
      <c r="BF213" s="24" t="n"/>
      <c r="BG213" s="23" t="n"/>
      <c r="BH213" s="24" t="n"/>
      <c r="BI213" s="25" t="n"/>
      <c r="BJ213" s="24" t="n"/>
      <c r="BK213" s="340" t="n"/>
      <c r="BL213" s="803">
        <f>SUMPRODUCT(--(MOD(COLUMN($O213:$AL213),4)=MOD(COLUMN($O213)+0,4)),$O213:$AL213)
+SUMPRODUCT(--(MOD(COLUMN($AM213:$BJ213),4)=MOD(COLUMN($AM213)+0,4)),$AM213:$BJ213)</f>
        <v/>
      </c>
      <c r="BM213" s="803">
        <f>SUMPRODUCT(--(MOD(COLUMN($O213:$AL213),4)=MOD(COLUMN($O213)+0,4)),$O213:$AL213)*
$I213+SUMPRODUCT(--(MOD(COLUMN($AM213:$BJ213),4)=MOD(COLUMN($AM213)+0,4)),$AM213:$BJ213)*$I213</f>
        <v/>
      </c>
      <c r="BN213" s="805">
        <f>SUMPRODUCT(--(MOD(COLUMN($O213:$AL213),4)=MOD(COLUMN($O213)+1,4)),$O213:$AL213)
+SUMPRODUCT(--(MOD(COLUMN($AM213:$BJ213),4)=MOD(COLUMN($AM213)+1,4)),$AM213:$BJ213)</f>
        <v/>
      </c>
      <c r="BO213" s="806">
        <f>SUMPRODUCT(--(MOD(COLUMN($O213:$AL213),4)=MOD(COLUMN($O213)+1,4)),$O213:$AL213)*
$I213+SUMPRODUCT(--(MOD(COLUMN($AM213:$BJ213),4)=MOD(COLUMN($AM213)+1,4)),$AM213:$BJ213)*$I213</f>
        <v/>
      </c>
      <c r="BP213" s="807">
        <f>SUMPRODUCT(--(MOD(COLUMN($O213:$AL213),4)=MOD(COLUMN($O213)+2,4)),$O213:$AL213)
+SUMPRODUCT(--(MOD(COLUMN($AM213:$BJ213),4)=MOD(COLUMN($AM213)+2,4)),$AM213:$BJ213)</f>
        <v/>
      </c>
      <c r="BQ213" s="808">
        <f>SUMPRODUCT(--(MOD(COLUMN($O213:$AL213),4)=MOD(COLUMN($O213)+2,4)),$O213:$AL213)*
$I213+SUMPRODUCT(--(MOD(COLUMN($AM213:$BJ213),4)=MOD(COLUMN($AM213)+2,4)),$AM213:$BJ213)*$I213</f>
        <v/>
      </c>
      <c r="BR213" s="801" t="n"/>
      <c r="BS213" s="819" t="n"/>
      <c r="BT213" s="23" t="n"/>
      <c r="BU213" s="24" t="n"/>
      <c r="BV213" s="25" t="n"/>
      <c r="BW213" s="24" t="n"/>
      <c r="BX213" s="23" t="n"/>
      <c r="BY213" s="24" t="n"/>
      <c r="BZ213" s="25" t="n"/>
      <c r="CA213" s="24" t="n"/>
      <c r="CB213" s="23" t="n"/>
      <c r="CC213" s="24" t="n"/>
      <c r="CD213" s="25" t="n"/>
      <c r="CE213" s="24" t="n"/>
      <c r="CF213" s="23" t="n"/>
      <c r="CG213" s="24" t="n"/>
      <c r="CH213" s="25" t="n"/>
      <c r="CI213" s="24" t="n"/>
      <c r="CJ213" s="23" t="n"/>
      <c r="CK213" s="24" t="n"/>
      <c r="CL213" s="25" t="n"/>
      <c r="CM213" s="24" t="n"/>
      <c r="CN213" s="23" t="n"/>
      <c r="CO213" s="24" t="n"/>
      <c r="CP213" s="25" t="n"/>
      <c r="CQ213" s="24" t="n"/>
      <c r="CR213" s="23" t="n"/>
      <c r="CS213" s="24" t="n"/>
      <c r="CT213" s="25" t="n"/>
      <c r="CU213" s="24" t="n"/>
      <c r="CV213" s="23" t="n"/>
      <c r="CW213" s="24" t="n"/>
      <c r="CX213" s="25" t="n"/>
      <c r="CY213" s="24" t="n"/>
      <c r="CZ213" s="23" t="n"/>
      <c r="DA213" s="24" t="n"/>
      <c r="DB213" s="25" t="n"/>
      <c r="DC213" s="24" t="n"/>
      <c r="DD213" s="23" t="n"/>
      <c r="DE213" s="24" t="n"/>
      <c r="DF213" s="25" t="n"/>
      <c r="DG213" s="24" t="n"/>
      <c r="DH213" s="23" t="n"/>
      <c r="DI213" s="24" t="n"/>
      <c r="DJ213" s="25" t="n"/>
      <c r="DK213" s="24" t="n"/>
      <c r="DL213" s="23" t="n"/>
      <c r="DM213" s="24" t="n"/>
      <c r="DN213" s="25" t="n"/>
      <c r="DO213" s="24" t="n"/>
      <c r="DP213" s="340" t="n"/>
      <c r="DQ213" s="803">
        <f>SUMPRODUCT(--(MOD(COLUMN(BT213:CQ213),4)=MOD(COLUMN(BT213),4)),BT213:CQ213)+SUMPRODUCT(--(MOD(COLUMN(CR213:DO213),4)=MOD(COLUMN(CR213),4)),CR213:DO213)</f>
        <v/>
      </c>
      <c r="DR213" s="803">
        <f>SUMPRODUCT(--(MOD(COLUMN(BT213:CQ213),4)=MOD(COLUMN(BT213),4)),BT213:CQ213)*$I213+SUMPRODUCT(--(MOD(COLUMN(CR213:DO213),4)=MOD(COLUMN(CR213),4)),CR213:DO213)*$I213</f>
        <v/>
      </c>
      <c r="DS213" s="801" t="n"/>
      <c r="DT213" s="819" t="n"/>
      <c r="DU213" s="23" t="n"/>
      <c r="DV213" s="24" t="n"/>
      <c r="DW213" s="25" t="n"/>
      <c r="DX213" s="24" t="n"/>
      <c r="DY213" s="23" t="n"/>
      <c r="DZ213" s="24" t="n"/>
      <c r="EA213" s="25" t="n"/>
      <c r="EB213" s="24" t="n"/>
      <c r="EC213" s="23" t="n"/>
      <c r="ED213" s="24" t="n"/>
      <c r="EE213" s="25" t="n"/>
      <c r="EF213" s="24" t="n"/>
      <c r="EG213" s="23" t="n"/>
      <c r="EH213" s="24" t="n"/>
      <c r="EI213" s="25" t="n"/>
      <c r="EJ213" s="24" t="n"/>
      <c r="EK213" s="23" t="n"/>
      <c r="EL213" s="24" t="n"/>
      <c r="EM213" s="25" t="n"/>
      <c r="EN213" s="24" t="n"/>
      <c r="EO213" s="23" t="n"/>
      <c r="EP213" s="24" t="n"/>
      <c r="EQ213" s="25" t="n"/>
      <c r="ER213" s="24" t="n"/>
      <c r="ES213" s="23" t="n"/>
      <c r="ET213" s="24" t="n"/>
      <c r="EU213" s="25" t="n"/>
      <c r="EV213" s="24" t="n"/>
      <c r="EW213" s="23" t="n"/>
      <c r="EX213" s="24" t="n"/>
      <c r="EY213" s="25" t="n"/>
      <c r="EZ213" s="24" t="n"/>
      <c r="FA213" s="23" t="n"/>
      <c r="FB213" s="24" t="n"/>
      <c r="FC213" s="25" t="n"/>
      <c r="FD213" s="24" t="n"/>
      <c r="FE213" s="23" t="n"/>
      <c r="FF213" s="24" t="n"/>
      <c r="FG213" s="25" t="n"/>
      <c r="FH213" s="24" t="n"/>
      <c r="FI213" s="23" t="n"/>
      <c r="FJ213" s="24" t="n"/>
      <c r="FK213" s="25" t="n"/>
      <c r="FL213" s="24" t="n"/>
      <c r="FM213" s="23" t="n"/>
      <c r="FN213" s="24" t="n"/>
      <c r="FO213" s="25" t="n"/>
      <c r="FP213" s="24" t="n"/>
      <c r="FQ213" s="340" t="n"/>
      <c r="FR213" s="803">
        <f>SUMPRODUCT(--(MOD(COLUMN(DU213:ER213),4)=MOD(COLUMN(DU213),4)),DU213:ER213)+SUMPRODUCT(--(MOD(COLUMN(ES213:FP213),4)=MOD(COLUMN(ES213),4)),ES213:FP213)</f>
        <v/>
      </c>
      <c r="FS213" s="803">
        <f>SUMPRODUCT(--(MOD(COLUMN(DU213:ER213),4)=MOD(COLUMN(DU213),4)),DU213:ER213)*$I213+SUMPRODUCT(--(MOD(COLUMN(ES213:FP213),4)=MOD(COLUMN(ES213),4)),ES213:FP213)*$I213</f>
        <v/>
      </c>
      <c r="FT213" s="361" t="n"/>
    </row>
    <row r="214" outlineLevel="2">
      <c r="A214" s="413" t="inlineStr">
        <is>
          <t>СПЕЦАВТО-ВОСТОК ООО</t>
        </is>
      </c>
      <c r="B214" s="444" t="inlineStr">
        <is>
          <t>Отсрочка 15 дней</t>
        </is>
      </c>
      <c r="C214" s="592" t="inlineStr">
        <is>
          <t>ВБК РУС</t>
        </is>
      </c>
      <c r="D214" s="580" t="inlineStr">
        <is>
          <t>Прасолов, Соловьёв</t>
        </is>
      </c>
      <c r="E214" s="414">
        <f>IF(ISBLANK(G214),"",IF($A$6:$A$330=$A214,COUNTIF($A$6:A214,$A214),""))</f>
        <v/>
      </c>
      <c r="F214" s="284" t="n">
        <v>1</v>
      </c>
      <c r="G214" s="304" t="n">
        <v>4006043270</v>
      </c>
      <c r="H214" s="602" t="inlineStr">
        <is>
          <t>Комплект головок соединительных (4522000110+4522002110, красные, М22х1,5)</t>
        </is>
      </c>
      <c r="I214" s="616">
        <f>118.34/НДС</f>
        <v/>
      </c>
      <c r="J214" s="616" t="n"/>
      <c r="K214" s="870" t="n"/>
      <c r="L214" s="616" t="n"/>
      <c r="M214" s="871" t="n"/>
      <c r="N214" s="871">
        <f>IF(BP214&gt;0,1,IF(BN214&gt;0,2,))</f>
        <v/>
      </c>
      <c r="O214" s="322" t="n"/>
      <c r="P214" s="408" t="n"/>
      <c r="Q214" s="307" t="n"/>
      <c r="R214" s="408" t="n"/>
      <c r="S214" s="322" t="n"/>
      <c r="T214" s="408" t="n"/>
      <c r="U214" s="307" t="n"/>
      <c r="V214" s="408" t="n"/>
      <c r="W214" s="322" t="n"/>
      <c r="X214" s="408" t="n"/>
      <c r="Y214" s="307" t="n"/>
      <c r="Z214" s="408" t="n"/>
      <c r="AA214" s="322" t="n"/>
      <c r="AB214" s="408" t="n"/>
      <c r="AC214" s="307" t="n"/>
      <c r="AD214" s="408" t="n"/>
      <c r="AE214" s="322" t="n"/>
      <c r="AF214" s="408" t="n"/>
      <c r="AG214" s="307" t="n"/>
      <c r="AH214" s="408" t="n"/>
      <c r="AI214" s="322" t="n"/>
      <c r="AJ214" s="408">
        <f>4</f>
        <v/>
      </c>
      <c r="AK214" s="307" t="n">
        <v>0</v>
      </c>
      <c r="AL214" s="408" t="n"/>
      <c r="AM214" s="322" t="n"/>
      <c r="AN214" s="408" t="n"/>
      <c r="AO214" s="307" t="n"/>
      <c r="AP214" s="408" t="n"/>
      <c r="AQ214" s="322" t="n"/>
      <c r="AR214" s="408" t="n"/>
      <c r="AS214" s="307" t="n"/>
      <c r="AT214" s="408" t="n"/>
      <c r="AU214" s="322" t="n"/>
      <c r="AV214" s="408" t="n"/>
      <c r="AW214" s="307" t="n"/>
      <c r="AX214" s="408" t="n"/>
      <c r="AY214" s="322" t="n"/>
      <c r="AZ214" s="408" t="n"/>
      <c r="BA214" s="307" t="n"/>
      <c r="BB214" s="408" t="n"/>
      <c r="BC214" s="322" t="n"/>
      <c r="BD214" s="408" t="n"/>
      <c r="BE214" s="307" t="n"/>
      <c r="BF214" s="408" t="n"/>
      <c r="BG214" s="322" t="n"/>
      <c r="BH214" s="408" t="n"/>
      <c r="BI214" s="307" t="n"/>
      <c r="BJ214" s="408" t="n"/>
      <c r="BK214" s="340" t="n"/>
      <c r="BL214" s="820">
        <f>SUMPRODUCT(--(MOD(COLUMN($O214:$AL214),4)=MOD(COLUMN($O214)+0,4)),$O214:$AL214)
+SUMPRODUCT(--(MOD(COLUMN($AM214:$BJ214),4)=MOD(COLUMN($AM214)+0,4)),$AM214:$BJ214)</f>
        <v/>
      </c>
      <c r="BM214" s="820">
        <f>SUMPRODUCT(--(MOD(COLUMN($O214:$AL214),4)=MOD(COLUMN($O214)+0,4)),$O214:$AL214)*
$I214+SUMPRODUCT(--(MOD(COLUMN($AM214:$BJ214),4)=MOD(COLUMN($AM214)+0,4)),$AM214:$BJ214)*$I214</f>
        <v/>
      </c>
      <c r="BN214" s="822">
        <f>SUMPRODUCT(--(MOD(COLUMN($O214:$AL214),4)=MOD(COLUMN($O214)+1,4)),$O214:$AL214)
+SUMPRODUCT(--(MOD(COLUMN($AM214:$BJ214),4)=MOD(COLUMN($AM214)+1,4)),$AM214:$BJ214)</f>
        <v/>
      </c>
      <c r="BO214" s="823">
        <f>SUMPRODUCT(--(MOD(COLUMN($O214:$AL214),4)=MOD(COLUMN($O214)+1,4)),$O214:$AL214)*
$I214+SUMPRODUCT(--(MOD(COLUMN($AM214:$BJ214),4)=MOD(COLUMN($AM214)+1,4)),$AM214:$BJ214)*$I214</f>
        <v/>
      </c>
      <c r="BP214" s="824">
        <f>SUMPRODUCT(--(MOD(COLUMN($O214:$AL214),4)=MOD(COLUMN($O214)+2,4)),$O214:$AL214)
+SUMPRODUCT(--(MOD(COLUMN($AM214:$BJ214),4)=MOD(COLUMN($AM214)+2,4)),$AM214:$BJ214)</f>
        <v/>
      </c>
      <c r="BQ214" s="825">
        <f>SUMPRODUCT(--(MOD(COLUMN($O214:$AL214),4)=MOD(COLUMN($O214)+2,4)),$O214:$AL214)*
$I214+SUMPRODUCT(--(MOD(COLUMN($AM214:$BJ214),4)=MOD(COLUMN($AM214)+2,4)),$AM214:$BJ214)*$I214</f>
        <v/>
      </c>
      <c r="BR214" s="819" t="n"/>
      <c r="BS214" s="819" t="n"/>
      <c r="BT214" s="322" t="n"/>
      <c r="BU214" s="408" t="n"/>
      <c r="BV214" s="307" t="n"/>
      <c r="BW214" s="408" t="n"/>
      <c r="BX214" s="322" t="n"/>
      <c r="BY214" s="408" t="n"/>
      <c r="BZ214" s="307" t="n"/>
      <c r="CA214" s="408" t="n"/>
      <c r="CB214" s="322" t="n"/>
      <c r="CC214" s="408" t="n"/>
      <c r="CD214" s="307" t="n"/>
      <c r="CE214" s="408" t="n"/>
      <c r="CF214" s="322" t="n"/>
      <c r="CG214" s="408" t="n"/>
      <c r="CH214" s="307" t="n"/>
      <c r="CI214" s="408" t="n"/>
      <c r="CJ214" s="322" t="n"/>
      <c r="CK214" s="408" t="n"/>
      <c r="CL214" s="307" t="n"/>
      <c r="CM214" s="408" t="n"/>
      <c r="CN214" s="322" t="n"/>
      <c r="CO214" s="408" t="n"/>
      <c r="CP214" s="307" t="n"/>
      <c r="CQ214" s="408" t="n"/>
      <c r="CR214" s="322" t="n"/>
      <c r="CS214" s="408" t="n"/>
      <c r="CT214" s="307" t="n"/>
      <c r="CU214" s="408" t="n"/>
      <c r="CV214" s="322" t="n"/>
      <c r="CW214" s="408" t="n"/>
      <c r="CX214" s="307" t="n"/>
      <c r="CY214" s="408" t="n"/>
      <c r="CZ214" s="322" t="n"/>
      <c r="DA214" s="408" t="n"/>
      <c r="DB214" s="307" t="n"/>
      <c r="DC214" s="408" t="n"/>
      <c r="DD214" s="322" t="n"/>
      <c r="DE214" s="408" t="n"/>
      <c r="DF214" s="307" t="n"/>
      <c r="DG214" s="408" t="n"/>
      <c r="DH214" s="322" t="n"/>
      <c r="DI214" s="408" t="n"/>
      <c r="DJ214" s="307" t="n"/>
      <c r="DK214" s="408" t="n"/>
      <c r="DL214" s="322" t="n"/>
      <c r="DM214" s="408" t="n"/>
      <c r="DN214" s="307" t="n"/>
      <c r="DO214" s="408" t="n"/>
      <c r="DP214" s="340" t="n"/>
      <c r="DQ214" s="820" t="n"/>
      <c r="DR214" s="820" t="n"/>
      <c r="DS214" s="819" t="n"/>
      <c r="DT214" s="819" t="n"/>
      <c r="DU214" s="322" t="n"/>
      <c r="DV214" s="408" t="n"/>
      <c r="DW214" s="307" t="n"/>
      <c r="DX214" s="408" t="n"/>
      <c r="DY214" s="322" t="n"/>
      <c r="DZ214" s="408" t="n"/>
      <c r="EA214" s="307" t="n"/>
      <c r="EB214" s="408" t="n"/>
      <c r="EC214" s="322" t="n"/>
      <c r="ED214" s="408" t="n"/>
      <c r="EE214" s="307" t="n"/>
      <c r="EF214" s="408" t="n"/>
      <c r="EG214" s="322" t="n"/>
      <c r="EH214" s="408" t="n"/>
      <c r="EI214" s="307" t="n"/>
      <c r="EJ214" s="408" t="n"/>
      <c r="EK214" s="322" t="n"/>
      <c r="EL214" s="408" t="n"/>
      <c r="EM214" s="307" t="n"/>
      <c r="EN214" s="408" t="n"/>
      <c r="EO214" s="322" t="n"/>
      <c r="EP214" s="408" t="n"/>
      <c r="EQ214" s="307" t="n"/>
      <c r="ER214" s="408" t="n"/>
      <c r="ES214" s="322" t="n"/>
      <c r="ET214" s="408" t="n"/>
      <c r="EU214" s="307" t="n"/>
      <c r="EV214" s="408" t="n"/>
      <c r="EW214" s="322" t="n"/>
      <c r="EX214" s="408" t="n"/>
      <c r="EY214" s="307" t="n"/>
      <c r="EZ214" s="408" t="n"/>
      <c r="FA214" s="322" t="n"/>
      <c r="FB214" s="408" t="n"/>
      <c r="FC214" s="307" t="n"/>
      <c r="FD214" s="408" t="n"/>
      <c r="FE214" s="322" t="n"/>
      <c r="FF214" s="408" t="n"/>
      <c r="FG214" s="307" t="n"/>
      <c r="FH214" s="408" t="n"/>
      <c r="FI214" s="322" t="n"/>
      <c r="FJ214" s="408" t="n"/>
      <c r="FK214" s="307" t="n"/>
      <c r="FL214" s="408" t="n"/>
      <c r="FM214" s="322" t="n"/>
      <c r="FN214" s="408" t="n"/>
      <c r="FO214" s="307" t="n"/>
      <c r="FP214" s="408" t="n"/>
      <c r="FQ214" s="340" t="n"/>
      <c r="FR214" s="820" t="n"/>
      <c r="FS214" s="820" t="n"/>
      <c r="FT214" s="361" t="n"/>
    </row>
    <row r="215" outlineLevel="2">
      <c r="A215" s="413" t="inlineStr">
        <is>
          <t>СПЕЦАВТО-ВОСТОК ООО</t>
        </is>
      </c>
      <c r="B215" s="444" t="inlineStr">
        <is>
          <t>Отсрочка 15 дней</t>
        </is>
      </c>
      <c r="C215" s="592" t="inlineStr">
        <is>
          <t>ВБК РУС</t>
        </is>
      </c>
      <c r="D215" s="580" t="inlineStr">
        <is>
          <t>Прасолов, Соловьёв</t>
        </is>
      </c>
      <c r="E215" s="414">
        <f>IF(ISBLANK(G215),"",IF($A$6:$A$330=$A215,COUNTIF($A$6:A215,$A215),""))</f>
        <v/>
      </c>
      <c r="F215" s="284" t="n">
        <v>1</v>
      </c>
      <c r="G215" s="304" t="n">
        <v>4006043280</v>
      </c>
      <c r="H215" s="602" t="inlineStr">
        <is>
          <t>Комплект головок соединительных (4522000120+4522002120, желтые, М22х1,5)</t>
        </is>
      </c>
      <c r="I215" s="616">
        <f>118.34/НДС</f>
        <v/>
      </c>
      <c r="J215" s="616" t="n"/>
      <c r="K215" s="870" t="n"/>
      <c r="L215" s="616" t="n"/>
      <c r="M215" s="871" t="n"/>
      <c r="N215" s="871">
        <f>IF(BP215&gt;0,1,IF(BN215&gt;0,2,))</f>
        <v/>
      </c>
      <c r="O215" s="322" t="n"/>
      <c r="P215" s="408" t="n"/>
      <c r="Q215" s="307" t="n"/>
      <c r="R215" s="408" t="n"/>
      <c r="S215" s="322" t="n"/>
      <c r="T215" s="408" t="n"/>
      <c r="U215" s="307" t="n"/>
      <c r="V215" s="408" t="n"/>
      <c r="W215" s="322" t="n"/>
      <c r="X215" s="408" t="n"/>
      <c r="Y215" s="307" t="n"/>
      <c r="Z215" s="408" t="n"/>
      <c r="AA215" s="322" t="n"/>
      <c r="AB215" s="408" t="n"/>
      <c r="AC215" s="307" t="n"/>
      <c r="AD215" s="408" t="n"/>
      <c r="AE215" s="322" t="n"/>
      <c r="AF215" s="408" t="n"/>
      <c r="AG215" s="307" t="n"/>
      <c r="AH215" s="408" t="n"/>
      <c r="AI215" s="322" t="n"/>
      <c r="AJ215" s="408">
        <f>4</f>
        <v/>
      </c>
      <c r="AK215" s="307" t="n">
        <v>0</v>
      </c>
      <c r="AL215" s="408" t="n"/>
      <c r="AM215" s="322" t="n"/>
      <c r="AN215" s="408" t="n"/>
      <c r="AO215" s="307" t="n"/>
      <c r="AP215" s="408" t="n"/>
      <c r="AQ215" s="322" t="n"/>
      <c r="AR215" s="408" t="n"/>
      <c r="AS215" s="307" t="n"/>
      <c r="AT215" s="408" t="n"/>
      <c r="AU215" s="322" t="n"/>
      <c r="AV215" s="408" t="n"/>
      <c r="AW215" s="307" t="n"/>
      <c r="AX215" s="408" t="n"/>
      <c r="AY215" s="322" t="n"/>
      <c r="AZ215" s="408" t="n"/>
      <c r="BA215" s="307" t="n"/>
      <c r="BB215" s="408" t="n"/>
      <c r="BC215" s="322" t="n"/>
      <c r="BD215" s="408" t="n"/>
      <c r="BE215" s="307" t="n"/>
      <c r="BF215" s="408" t="n"/>
      <c r="BG215" s="322" t="n"/>
      <c r="BH215" s="408" t="n"/>
      <c r="BI215" s="307" t="n"/>
      <c r="BJ215" s="408" t="n"/>
      <c r="BK215" s="340" t="n"/>
      <c r="BL215" s="820">
        <f>SUMPRODUCT(--(MOD(COLUMN($O215:$AL215),4)=MOD(COLUMN($O215)+0,4)),$O215:$AL215)
+SUMPRODUCT(--(MOD(COLUMN($AM215:$BJ215),4)=MOD(COLUMN($AM215)+0,4)),$AM215:$BJ215)</f>
        <v/>
      </c>
      <c r="BM215" s="820">
        <f>SUMPRODUCT(--(MOD(COLUMN($O215:$AL215),4)=MOD(COLUMN($O215)+0,4)),$O215:$AL215)*
$I215+SUMPRODUCT(--(MOD(COLUMN($AM215:$BJ215),4)=MOD(COLUMN($AM215)+0,4)),$AM215:$BJ215)*$I215</f>
        <v/>
      </c>
      <c r="BN215" s="822">
        <f>SUMPRODUCT(--(MOD(COLUMN($O215:$AL215),4)=MOD(COLUMN($O215)+1,4)),$O215:$AL215)
+SUMPRODUCT(--(MOD(COLUMN($AM215:$BJ215),4)=MOD(COLUMN($AM215)+1,4)),$AM215:$BJ215)</f>
        <v/>
      </c>
      <c r="BO215" s="823">
        <f>SUMPRODUCT(--(MOD(COLUMN($O215:$AL215),4)=MOD(COLUMN($O215)+1,4)),$O215:$AL215)*
$I215+SUMPRODUCT(--(MOD(COLUMN($AM215:$BJ215),4)=MOD(COLUMN($AM215)+1,4)),$AM215:$BJ215)*$I215</f>
        <v/>
      </c>
      <c r="BP215" s="824">
        <f>SUMPRODUCT(--(MOD(COLUMN($O215:$AL215),4)=MOD(COLUMN($O215)+2,4)),$O215:$AL215)
+SUMPRODUCT(--(MOD(COLUMN($AM215:$BJ215),4)=MOD(COLUMN($AM215)+2,4)),$AM215:$BJ215)</f>
        <v/>
      </c>
      <c r="BQ215" s="825">
        <f>SUMPRODUCT(--(MOD(COLUMN($O215:$AL215),4)=MOD(COLUMN($O215)+2,4)),$O215:$AL215)*
$I215+SUMPRODUCT(--(MOD(COLUMN($AM215:$BJ215),4)=MOD(COLUMN($AM215)+2,4)),$AM215:$BJ215)*$I215</f>
        <v/>
      </c>
      <c r="BR215" s="819" t="n"/>
      <c r="BS215" s="819" t="n"/>
      <c r="BT215" s="322" t="n"/>
      <c r="BU215" s="408" t="n"/>
      <c r="BV215" s="307" t="n"/>
      <c r="BW215" s="408" t="n"/>
      <c r="BX215" s="322" t="n"/>
      <c r="BY215" s="408" t="n"/>
      <c r="BZ215" s="307" t="n"/>
      <c r="CA215" s="408" t="n"/>
      <c r="CB215" s="322" t="n"/>
      <c r="CC215" s="408" t="n"/>
      <c r="CD215" s="307" t="n"/>
      <c r="CE215" s="408" t="n"/>
      <c r="CF215" s="322" t="n"/>
      <c r="CG215" s="408" t="n"/>
      <c r="CH215" s="307" t="n"/>
      <c r="CI215" s="408" t="n"/>
      <c r="CJ215" s="322" t="n"/>
      <c r="CK215" s="408" t="n"/>
      <c r="CL215" s="307" t="n"/>
      <c r="CM215" s="408" t="n"/>
      <c r="CN215" s="322" t="n"/>
      <c r="CO215" s="408" t="n"/>
      <c r="CP215" s="307" t="n"/>
      <c r="CQ215" s="408" t="n"/>
      <c r="CR215" s="322" t="n"/>
      <c r="CS215" s="408" t="n"/>
      <c r="CT215" s="307" t="n"/>
      <c r="CU215" s="408" t="n"/>
      <c r="CV215" s="322" t="n"/>
      <c r="CW215" s="408" t="n"/>
      <c r="CX215" s="307" t="n"/>
      <c r="CY215" s="408" t="n"/>
      <c r="CZ215" s="322" t="n"/>
      <c r="DA215" s="408" t="n"/>
      <c r="DB215" s="307" t="n"/>
      <c r="DC215" s="408" t="n"/>
      <c r="DD215" s="322" t="n"/>
      <c r="DE215" s="408" t="n"/>
      <c r="DF215" s="307" t="n"/>
      <c r="DG215" s="408" t="n"/>
      <c r="DH215" s="322" t="n"/>
      <c r="DI215" s="408" t="n"/>
      <c r="DJ215" s="307" t="n"/>
      <c r="DK215" s="408" t="n"/>
      <c r="DL215" s="322" t="n"/>
      <c r="DM215" s="408" t="n"/>
      <c r="DN215" s="307" t="n"/>
      <c r="DO215" s="408" t="n"/>
      <c r="DP215" s="340" t="n"/>
      <c r="DQ215" s="820" t="n"/>
      <c r="DR215" s="820" t="n"/>
      <c r="DS215" s="819" t="n"/>
      <c r="DT215" s="819" t="n"/>
      <c r="DU215" s="322" t="n"/>
      <c r="DV215" s="408" t="n"/>
      <c r="DW215" s="307" t="n"/>
      <c r="DX215" s="408" t="n"/>
      <c r="DY215" s="322" t="n"/>
      <c r="DZ215" s="408" t="n"/>
      <c r="EA215" s="307" t="n"/>
      <c r="EB215" s="408" t="n"/>
      <c r="EC215" s="322" t="n"/>
      <c r="ED215" s="408" t="n"/>
      <c r="EE215" s="307" t="n"/>
      <c r="EF215" s="408" t="n"/>
      <c r="EG215" s="322" t="n"/>
      <c r="EH215" s="408" t="n"/>
      <c r="EI215" s="307" t="n"/>
      <c r="EJ215" s="408" t="n"/>
      <c r="EK215" s="322" t="n"/>
      <c r="EL215" s="408" t="n"/>
      <c r="EM215" s="307" t="n"/>
      <c r="EN215" s="408" t="n"/>
      <c r="EO215" s="322" t="n"/>
      <c r="EP215" s="408" t="n"/>
      <c r="EQ215" s="307" t="n"/>
      <c r="ER215" s="408" t="n"/>
      <c r="ES215" s="322" t="n"/>
      <c r="ET215" s="408" t="n"/>
      <c r="EU215" s="307" t="n"/>
      <c r="EV215" s="408" t="n"/>
      <c r="EW215" s="322" t="n"/>
      <c r="EX215" s="408" t="n"/>
      <c r="EY215" s="307" t="n"/>
      <c r="EZ215" s="408" t="n"/>
      <c r="FA215" s="322" t="n"/>
      <c r="FB215" s="408" t="n"/>
      <c r="FC215" s="307" t="n"/>
      <c r="FD215" s="408" t="n"/>
      <c r="FE215" s="322" t="n"/>
      <c r="FF215" s="408" t="n"/>
      <c r="FG215" s="307" t="n"/>
      <c r="FH215" s="408" t="n"/>
      <c r="FI215" s="322" t="n"/>
      <c r="FJ215" s="408" t="n"/>
      <c r="FK215" s="307" t="n"/>
      <c r="FL215" s="408" t="n"/>
      <c r="FM215" s="322" t="n"/>
      <c r="FN215" s="408" t="n"/>
      <c r="FO215" s="307" t="n"/>
      <c r="FP215" s="408" t="n"/>
      <c r="FQ215" s="340" t="n"/>
      <c r="FR215" s="820" t="n"/>
      <c r="FS215" s="820" t="n"/>
      <c r="FT215" s="361" t="n"/>
    </row>
    <row r="216" outlineLevel="2">
      <c r="A216" s="56" t="inlineStr">
        <is>
          <t>СПЕЦАВТО-ВОСТОК ООО</t>
        </is>
      </c>
      <c r="B216" s="387" t="inlineStr">
        <is>
          <t>Отсрочка 15 дней</t>
        </is>
      </c>
      <c r="C216" s="173" t="inlineStr">
        <is>
          <t>ВБК РУС</t>
        </is>
      </c>
      <c r="D216" s="565" t="inlineStr">
        <is>
          <t>Прасолов, Соловьёв</t>
        </is>
      </c>
      <c r="E216" s="10">
        <f>IF(ISBLANK(G216),"",IF($A$6:$A$330=$A216,COUNTIF($A$6:A216,$A216),""))</f>
        <v/>
      </c>
      <c r="F216" s="10" t="n">
        <v>1</v>
      </c>
      <c r="G216" s="55" t="n">
        <v>4006043290</v>
      </c>
      <c r="H216" s="409" t="inlineStr">
        <is>
          <t>Комплект головок соединительных (9522000210+95220022100, красные, М16х1,5)</t>
        </is>
      </c>
      <c r="I216" s="617">
        <f>116.4/НДС_20</f>
        <v/>
      </c>
      <c r="J216" s="617" t="n"/>
      <c r="K216" s="872" t="n"/>
      <c r="L216" s="617">
        <f>IF(K216="RUB",J216/ЮАНЬ,IF(K216="EUR",J216*ЕВРО/ЮАНЬ,""))</f>
        <v/>
      </c>
      <c r="M216" s="873" t="n"/>
      <c r="N216" s="871">
        <f>IF(BP216&gt;0,1,IF(BN216&gt;0,2,))</f>
        <v/>
      </c>
      <c r="O216" s="23" t="n"/>
      <c r="P216" s="24" t="n"/>
      <c r="Q216" s="25" t="n"/>
      <c r="R216" s="24" t="n"/>
      <c r="S216" s="23" t="n"/>
      <c r="T216" s="24" t="n"/>
      <c r="U216" s="25" t="n"/>
      <c r="V216" s="24" t="n"/>
      <c r="W216" s="23" t="n"/>
      <c r="X216" s="24" t="n"/>
      <c r="Y216" s="25" t="n"/>
      <c r="Z216" s="24" t="n"/>
      <c r="AA216" s="23" t="n"/>
      <c r="AB216" s="24" t="n"/>
      <c r="AC216" s="25" t="n"/>
      <c r="AD216" s="24" t="n"/>
      <c r="AE216" s="23" t="n"/>
      <c r="AF216" s="24" t="n"/>
      <c r="AG216" s="25" t="n"/>
      <c r="AH216" s="24" t="n"/>
      <c r="AI216" s="23" t="n"/>
      <c r="AJ216" s="24" t="n"/>
      <c r="AK216" s="25" t="n"/>
      <c r="AL216" s="24" t="n"/>
      <c r="AM216" s="23" t="n"/>
      <c r="AN216" s="24" t="n"/>
      <c r="AO216" s="25" t="n"/>
      <c r="AP216" s="24" t="n"/>
      <c r="AQ216" s="23" t="n"/>
      <c r="AR216" s="24" t="n"/>
      <c r="AS216" s="25" t="n"/>
      <c r="AT216" s="24" t="n"/>
      <c r="AU216" s="23" t="n"/>
      <c r="AV216" s="24" t="n"/>
      <c r="AW216" s="25" t="n"/>
      <c r="AX216" s="24" t="n"/>
      <c r="AY216" s="23" t="n"/>
      <c r="AZ216" s="24" t="n"/>
      <c r="BA216" s="25" t="n"/>
      <c r="BB216" s="24" t="n"/>
      <c r="BC216" s="23" t="n"/>
      <c r="BD216" s="24" t="n"/>
      <c r="BE216" s="25" t="n"/>
      <c r="BF216" s="24" t="n"/>
      <c r="BG216" s="23" t="n"/>
      <c r="BH216" s="24" t="n"/>
      <c r="BI216" s="25" t="n"/>
      <c r="BJ216" s="24" t="n"/>
      <c r="BK216" s="340" t="n"/>
      <c r="BL216" s="803">
        <f>SUMPRODUCT(--(MOD(COLUMN($O216:$AL216),4)=MOD(COLUMN($O216)+0,4)),$O216:$AL216)
+SUMPRODUCT(--(MOD(COLUMN($AM216:$BJ216),4)=MOD(COLUMN($AM216)+0,4)),$AM216:$BJ216)</f>
        <v/>
      </c>
      <c r="BM216" s="803">
        <f>SUMPRODUCT(--(MOD(COLUMN($O216:$AL216),4)=MOD(COLUMN($O216)+0,4)),$O216:$AL216)*$I216
+SUMPRODUCT(--(MOD(COLUMN($AM216:$BJ216),4)=MOD(COLUMN($AM216)+0,4)),$AM216:$BJ216)*$I216</f>
        <v/>
      </c>
      <c r="BN216" s="805">
        <f>SUMPRODUCT(--(MOD(COLUMN($O216:$AL216),4)=MOD(COLUMN($O216)+1,4)),$O216:$AL216)
+SUMPRODUCT(--(MOD(COLUMN($AM216:$BJ216),4)=MOD(COLUMN($AM216)+1,4)),$AM216:$BJ216)</f>
        <v/>
      </c>
      <c r="BO216" s="806">
        <f>SUMPRODUCT(--(MOD(COLUMN($O216:$AL216),4)=MOD(COLUMN($O216)+1,4)),$O216:$AL216)*$I216
+SUMPRODUCT(--(MOD(COLUMN($AM216:$BJ216),4)=MOD(COLUMN($AM216)+1,4)),$AM216:$BJ216)*$I216</f>
        <v/>
      </c>
      <c r="BP216" s="807">
        <f>SUMPRODUCT(--(MOD(COLUMN($O216:$AL216),4)=MOD(COLUMN($O216)+2,4)),$O216:$AL216)
+SUMPRODUCT(--(MOD(COLUMN($AM216:$BJ216),4)=MOD(COLUMN($AM216)+2,4)),$AM216:$BJ216)</f>
        <v/>
      </c>
      <c r="BQ216" s="808">
        <f>SUMPRODUCT(--(MOD(COLUMN($O216:$AL216),4)=MOD(COLUMN($O216)+2,4)),$O216:$AL216)*$I216
+SUMPRODUCT(--(MOD(COLUMN($AM216:$BJ216),4)=MOD(COLUMN($AM216)+2,4)),$AM216:$BJ216)*$I216</f>
        <v/>
      </c>
      <c r="BR216" s="801" t="n"/>
      <c r="BS216" s="819" t="n"/>
      <c r="BT216" s="23" t="n"/>
      <c r="BU216" s="24" t="n"/>
      <c r="BV216" s="25" t="n"/>
      <c r="BW216" s="24" t="n"/>
      <c r="BX216" s="23" t="n"/>
      <c r="BY216" s="24" t="n"/>
      <c r="BZ216" s="25" t="n"/>
      <c r="CA216" s="24" t="n"/>
      <c r="CB216" s="23" t="n"/>
      <c r="CC216" s="24" t="n"/>
      <c r="CD216" s="25" t="n"/>
      <c r="CE216" s="24" t="n"/>
      <c r="CF216" s="23" t="n"/>
      <c r="CG216" s="24" t="n"/>
      <c r="CH216" s="25" t="n"/>
      <c r="CI216" s="24" t="n"/>
      <c r="CJ216" s="23" t="n"/>
      <c r="CK216" s="24" t="n"/>
      <c r="CL216" s="25" t="n"/>
      <c r="CM216" s="24" t="n"/>
      <c r="CN216" s="23" t="n"/>
      <c r="CO216" s="24" t="n"/>
      <c r="CP216" s="25" t="n"/>
      <c r="CQ216" s="24" t="n"/>
      <c r="CR216" s="23" t="n"/>
      <c r="CS216" s="24" t="n"/>
      <c r="CT216" s="25" t="n"/>
      <c r="CU216" s="24" t="n"/>
      <c r="CV216" s="23" t="n"/>
      <c r="CW216" s="24" t="n"/>
      <c r="CX216" s="25" t="n"/>
      <c r="CY216" s="24" t="n"/>
      <c r="CZ216" s="23" t="n"/>
      <c r="DA216" s="24" t="n"/>
      <c r="DB216" s="25" t="n"/>
      <c r="DC216" s="24" t="n"/>
      <c r="DD216" s="23" t="n"/>
      <c r="DE216" s="24" t="n"/>
      <c r="DF216" s="25" t="n"/>
      <c r="DG216" s="24" t="n"/>
      <c r="DH216" s="23" t="n"/>
      <c r="DI216" s="24" t="n"/>
      <c r="DJ216" s="25" t="n"/>
      <c r="DK216" s="24" t="n"/>
      <c r="DL216" s="23" t="n"/>
      <c r="DM216" s="24" t="n"/>
      <c r="DN216" s="25" t="n"/>
      <c r="DO216" s="24" t="n"/>
      <c r="DP216" s="340" t="n"/>
      <c r="DQ216" s="803">
        <f>SUMPRODUCT(--(MOD(COLUMN(BT216:CQ216),4)=MOD(COLUMN(BT216),4)),BT216:CQ216)+SUMPRODUCT(--(MOD(COLUMN(CR216:DO216),4)=MOD(COLUMN(CR216),4)),CR216:DO216)</f>
        <v/>
      </c>
      <c r="DR216" s="803">
        <f>SUMPRODUCT(--(MOD(COLUMN(BT216:CQ216),4)=MOD(COLUMN(BT216),4)),BT216:CQ216)*$I216+SUMPRODUCT(--(MOD(COLUMN(CR216:DO216),4)=MOD(COLUMN(CR216),4)),CR216:DO216)*$I216</f>
        <v/>
      </c>
      <c r="DS216" s="801" t="n"/>
      <c r="DT216" s="819" t="n"/>
      <c r="DU216" s="23" t="n"/>
      <c r="DV216" s="24" t="n"/>
      <c r="DW216" s="25" t="n"/>
      <c r="DX216" s="24" t="n"/>
      <c r="DY216" s="23" t="n"/>
      <c r="DZ216" s="24" t="n"/>
      <c r="EA216" s="25" t="n"/>
      <c r="EB216" s="24" t="n"/>
      <c r="EC216" s="23" t="n"/>
      <c r="ED216" s="24" t="n"/>
      <c r="EE216" s="25" t="n"/>
      <c r="EF216" s="24" t="n"/>
      <c r="EG216" s="23" t="n"/>
      <c r="EH216" s="24" t="n"/>
      <c r="EI216" s="25" t="n"/>
      <c r="EJ216" s="24" t="n"/>
      <c r="EK216" s="23" t="n"/>
      <c r="EL216" s="24" t="n"/>
      <c r="EM216" s="25" t="n"/>
      <c r="EN216" s="24" t="n"/>
      <c r="EO216" s="23" t="n"/>
      <c r="EP216" s="24" t="n"/>
      <c r="EQ216" s="25" t="n"/>
      <c r="ER216" s="24" t="n"/>
      <c r="ES216" s="23" t="n"/>
      <c r="ET216" s="24" t="n"/>
      <c r="EU216" s="25" t="n"/>
      <c r="EV216" s="24" t="n"/>
      <c r="EW216" s="23" t="n"/>
      <c r="EX216" s="24" t="n"/>
      <c r="EY216" s="25" t="n"/>
      <c r="EZ216" s="24" t="n"/>
      <c r="FA216" s="23" t="n"/>
      <c r="FB216" s="24" t="n"/>
      <c r="FC216" s="25" t="n"/>
      <c r="FD216" s="24" t="n"/>
      <c r="FE216" s="23" t="n"/>
      <c r="FF216" s="24" t="n"/>
      <c r="FG216" s="25" t="n"/>
      <c r="FH216" s="24" t="n"/>
      <c r="FI216" s="23" t="n"/>
      <c r="FJ216" s="24" t="n"/>
      <c r="FK216" s="25" t="n"/>
      <c r="FL216" s="24" t="n"/>
      <c r="FM216" s="23" t="n"/>
      <c r="FN216" s="24" t="n"/>
      <c r="FO216" s="25" t="n"/>
      <c r="FP216" s="24" t="n"/>
      <c r="FQ216" s="340" t="n"/>
      <c r="FR216" s="803">
        <f>SUMPRODUCT(--(MOD(COLUMN(DU216:ER216),4)=MOD(COLUMN(DU216),4)),DU216:ER216)+SUMPRODUCT(--(MOD(COLUMN(ES216:FP216),4)=MOD(COLUMN(ES216),4)),ES216:FP216)</f>
        <v/>
      </c>
      <c r="FS216" s="803">
        <f>SUMPRODUCT(--(MOD(COLUMN(DU216:ER216),4)=MOD(COLUMN(DU216),4)),DU216:ER216)*$I216+SUMPRODUCT(--(MOD(COLUMN(ES216:FP216),4)=MOD(COLUMN(ES216),4)),ES216:FP216)*$I216</f>
        <v/>
      </c>
      <c r="FT216" s="361" t="n"/>
    </row>
    <row r="217" outlineLevel="2">
      <c r="A217" s="56" t="inlineStr">
        <is>
          <t>СПЕЦАВТО-ВОСТОК ООО</t>
        </is>
      </c>
      <c r="B217" s="387" t="inlineStr">
        <is>
          <t>Отсрочка 15 дней</t>
        </is>
      </c>
      <c r="C217" s="173" t="inlineStr">
        <is>
          <t>ВБК РУС</t>
        </is>
      </c>
      <c r="D217" s="565" t="inlineStr">
        <is>
          <t>Прасолов, Соловьёв</t>
        </is>
      </c>
      <c r="E217" s="10">
        <f>IF(ISBLANK(G217),"",IF($A$6:$A$330=$A217,COUNTIF($A$6:A217,$A217),""))</f>
        <v/>
      </c>
      <c r="F217" s="10" t="n">
        <v>1</v>
      </c>
      <c r="G217" s="55" t="n">
        <v>4006043300</v>
      </c>
      <c r="H217" s="409" t="inlineStr">
        <is>
          <t>Комплект головок соединительных (9522000220+95220022200, желтые, М16х1,5)</t>
        </is>
      </c>
      <c r="I217" s="617">
        <f>116.4/НДС_20</f>
        <v/>
      </c>
      <c r="J217" s="617" t="n"/>
      <c r="K217" s="872" t="n"/>
      <c r="L217" s="617">
        <f>IF(K217="RUB",J217/ЮАНЬ,IF(K217="EUR",J217*ЕВРО/ЮАНЬ,""))</f>
        <v/>
      </c>
      <c r="M217" s="873" t="n"/>
      <c r="N217" s="871">
        <f>IF(BP217&gt;0,1,IF(BN217&gt;0,2,))</f>
        <v/>
      </c>
      <c r="O217" s="23" t="n"/>
      <c r="P217" s="24" t="n"/>
      <c r="Q217" s="25" t="n"/>
      <c r="R217" s="24" t="n"/>
      <c r="S217" s="23" t="n"/>
      <c r="T217" s="24" t="n"/>
      <c r="U217" s="25" t="n"/>
      <c r="V217" s="24" t="n"/>
      <c r="W217" s="23" t="n"/>
      <c r="X217" s="24" t="n"/>
      <c r="Y217" s="25" t="n"/>
      <c r="Z217" s="24" t="n"/>
      <c r="AA217" s="23" t="n"/>
      <c r="AB217" s="24" t="n"/>
      <c r="AC217" s="25" t="n"/>
      <c r="AD217" s="24" t="n"/>
      <c r="AE217" s="23" t="n"/>
      <c r="AF217" s="24" t="n"/>
      <c r="AG217" s="25" t="n"/>
      <c r="AH217" s="24" t="n"/>
      <c r="AI217" s="23" t="n"/>
      <c r="AJ217" s="24" t="n"/>
      <c r="AK217" s="25" t="n"/>
      <c r="AL217" s="24" t="n"/>
      <c r="AM217" s="23" t="n"/>
      <c r="AN217" s="24" t="n"/>
      <c r="AO217" s="25" t="n"/>
      <c r="AP217" s="24" t="n"/>
      <c r="AQ217" s="23" t="n"/>
      <c r="AR217" s="24" t="n"/>
      <c r="AS217" s="25" t="n"/>
      <c r="AT217" s="24" t="n"/>
      <c r="AU217" s="23" t="n"/>
      <c r="AV217" s="24" t="n"/>
      <c r="AW217" s="25" t="n"/>
      <c r="AX217" s="24" t="n"/>
      <c r="AY217" s="23" t="n"/>
      <c r="AZ217" s="24" t="n"/>
      <c r="BA217" s="25" t="n"/>
      <c r="BB217" s="24" t="n"/>
      <c r="BC217" s="23" t="n"/>
      <c r="BD217" s="24" t="n"/>
      <c r="BE217" s="25" t="n"/>
      <c r="BF217" s="24" t="n"/>
      <c r="BG217" s="23" t="n"/>
      <c r="BH217" s="24" t="n"/>
      <c r="BI217" s="25" t="n"/>
      <c r="BJ217" s="24" t="n"/>
      <c r="BK217" s="340" t="n"/>
      <c r="BL217" s="803">
        <f>SUMPRODUCT(--(MOD(COLUMN($O217:$AL217),4)=MOD(COLUMN($O217)+0,4)),$O217:$AL217)
+SUMPRODUCT(--(MOD(COLUMN($AM217:$BJ217),4)=MOD(COLUMN($AM217)+0,4)),$AM217:$BJ217)</f>
        <v/>
      </c>
      <c r="BM217" s="803">
        <f>SUMPRODUCT(--(MOD(COLUMN($O217:$AL217),4)=MOD(COLUMN($O217)+0,4)),$O217:$AL217)*
$I217+SUMPRODUCT(--(MOD(COLUMN($AM217:$BJ217),4)=MOD(COLUMN($AM217)+0,4)),$AM217:$BJ217)*$I217</f>
        <v/>
      </c>
      <c r="BN217" s="805">
        <f>SUMPRODUCT(--(MOD(COLUMN($O217:$AL217),4)=MOD(COLUMN($O217)+1,4)),$O217:$AL217)
+SUMPRODUCT(--(MOD(COLUMN($AM217:$BJ217),4)=MOD(COLUMN($AM217)+1,4)),$AM217:$BJ217)</f>
        <v/>
      </c>
      <c r="BO217" s="806">
        <f>SUMPRODUCT(--(MOD(COLUMN($O217:$AL217),4)=MOD(COLUMN($O217)+1,4)),$O217:$AL217)*
$I217+SUMPRODUCT(--(MOD(COLUMN($AM217:$BJ217),4)=MOD(COLUMN($AM217)+1,4)),$AM217:$BJ217)*$I217</f>
        <v/>
      </c>
      <c r="BP217" s="807">
        <f>SUMPRODUCT(--(MOD(COLUMN($O217:$AL217),4)=MOD(COLUMN($O217)+2,4)),$O217:$AL217)
+SUMPRODUCT(--(MOD(COLUMN($AM217:$BJ217),4)=MOD(COLUMN($AM217)+2,4)),$AM217:$BJ217)</f>
        <v/>
      </c>
      <c r="BQ217" s="808">
        <f>SUMPRODUCT(--(MOD(COLUMN($O217:$AL217),4)=MOD(COLUMN($O217)+2,4)),$O217:$AL217)*
$I217+SUMPRODUCT(--(MOD(COLUMN($AM217:$BJ217),4)=MOD(COLUMN($AM217)+2,4)),$AM217:$BJ217)*$I217</f>
        <v/>
      </c>
      <c r="BR217" s="801" t="n"/>
      <c r="BS217" s="819" t="n"/>
      <c r="BT217" s="23" t="n"/>
      <c r="BU217" s="24" t="n"/>
      <c r="BV217" s="25" t="n"/>
      <c r="BW217" s="24" t="n"/>
      <c r="BX217" s="23" t="n"/>
      <c r="BY217" s="24" t="n"/>
      <c r="BZ217" s="25" t="n"/>
      <c r="CA217" s="24" t="n"/>
      <c r="CB217" s="23" t="n"/>
      <c r="CC217" s="24" t="n"/>
      <c r="CD217" s="25" t="n"/>
      <c r="CE217" s="24" t="n"/>
      <c r="CF217" s="23" t="n"/>
      <c r="CG217" s="24" t="n"/>
      <c r="CH217" s="25" t="n"/>
      <c r="CI217" s="24" t="n"/>
      <c r="CJ217" s="23" t="n"/>
      <c r="CK217" s="24" t="n"/>
      <c r="CL217" s="25" t="n"/>
      <c r="CM217" s="24" t="n"/>
      <c r="CN217" s="23" t="n"/>
      <c r="CO217" s="24" t="n"/>
      <c r="CP217" s="25" t="n"/>
      <c r="CQ217" s="24" t="n"/>
      <c r="CR217" s="23" t="n"/>
      <c r="CS217" s="24" t="n"/>
      <c r="CT217" s="25" t="n"/>
      <c r="CU217" s="24" t="n"/>
      <c r="CV217" s="23" t="n"/>
      <c r="CW217" s="24" t="n"/>
      <c r="CX217" s="25" t="n"/>
      <c r="CY217" s="24" t="n"/>
      <c r="CZ217" s="23" t="n"/>
      <c r="DA217" s="24" t="n"/>
      <c r="DB217" s="25" t="n"/>
      <c r="DC217" s="24" t="n"/>
      <c r="DD217" s="23" t="n"/>
      <c r="DE217" s="24" t="n"/>
      <c r="DF217" s="25" t="n"/>
      <c r="DG217" s="24" t="n"/>
      <c r="DH217" s="23" t="n"/>
      <c r="DI217" s="24" t="n"/>
      <c r="DJ217" s="25" t="n"/>
      <c r="DK217" s="24" t="n"/>
      <c r="DL217" s="23" t="n"/>
      <c r="DM217" s="24" t="n"/>
      <c r="DN217" s="25" t="n"/>
      <c r="DO217" s="24" t="n"/>
      <c r="DP217" s="340" t="n"/>
      <c r="DQ217" s="803">
        <f>SUMPRODUCT(--(MOD(COLUMN(BT217:CQ217),4)=MOD(COLUMN(BT217),4)),BT217:CQ217)+SUMPRODUCT(--(MOD(COLUMN(CR217:DO217),4)=MOD(COLUMN(CR217),4)),CR217:DO217)</f>
        <v/>
      </c>
      <c r="DR217" s="803">
        <f>SUMPRODUCT(--(MOD(COLUMN(BT217:CQ217),4)=MOD(COLUMN(BT217),4)),BT217:CQ217)*$I217+SUMPRODUCT(--(MOD(COLUMN(CR217:DO217),4)=MOD(COLUMN(CR217),4)),CR217:DO217)*$I217</f>
        <v/>
      </c>
      <c r="DS217" s="801" t="n"/>
      <c r="DT217" s="819" t="n"/>
      <c r="DU217" s="23" t="n"/>
      <c r="DV217" s="24" t="n"/>
      <c r="DW217" s="25" t="n"/>
      <c r="DX217" s="24" t="n"/>
      <c r="DY217" s="23" t="n"/>
      <c r="DZ217" s="24" t="n"/>
      <c r="EA217" s="25" t="n"/>
      <c r="EB217" s="24" t="n"/>
      <c r="EC217" s="23" t="n"/>
      <c r="ED217" s="24" t="n"/>
      <c r="EE217" s="25" t="n"/>
      <c r="EF217" s="24" t="n"/>
      <c r="EG217" s="23" t="n"/>
      <c r="EH217" s="24" t="n"/>
      <c r="EI217" s="25" t="n"/>
      <c r="EJ217" s="24" t="n"/>
      <c r="EK217" s="23" t="n"/>
      <c r="EL217" s="24" t="n"/>
      <c r="EM217" s="25" t="n"/>
      <c r="EN217" s="24" t="n"/>
      <c r="EO217" s="23" t="n"/>
      <c r="EP217" s="24" t="n"/>
      <c r="EQ217" s="25" t="n"/>
      <c r="ER217" s="24" t="n"/>
      <c r="ES217" s="23" t="n"/>
      <c r="ET217" s="24" t="n"/>
      <c r="EU217" s="25" t="n"/>
      <c r="EV217" s="24" t="n"/>
      <c r="EW217" s="23" t="n"/>
      <c r="EX217" s="24" t="n"/>
      <c r="EY217" s="25" t="n"/>
      <c r="EZ217" s="24" t="n"/>
      <c r="FA217" s="23" t="n"/>
      <c r="FB217" s="24" t="n"/>
      <c r="FC217" s="25" t="n"/>
      <c r="FD217" s="24" t="n"/>
      <c r="FE217" s="23" t="n"/>
      <c r="FF217" s="24" t="n"/>
      <c r="FG217" s="25" t="n"/>
      <c r="FH217" s="24" t="n"/>
      <c r="FI217" s="23" t="n"/>
      <c r="FJ217" s="24" t="n"/>
      <c r="FK217" s="25" t="n"/>
      <c r="FL217" s="24" t="n"/>
      <c r="FM217" s="23" t="n"/>
      <c r="FN217" s="24" t="n"/>
      <c r="FO217" s="25" t="n"/>
      <c r="FP217" s="24" t="n"/>
      <c r="FQ217" s="340" t="n"/>
      <c r="FR217" s="803">
        <f>SUMPRODUCT(--(MOD(COLUMN(DU217:ER217),4)=MOD(COLUMN(DU217),4)),DU217:ER217)+SUMPRODUCT(--(MOD(COLUMN(ES217:FP217),4)=MOD(COLUMN(ES217),4)),ES217:FP217)</f>
        <v/>
      </c>
      <c r="FS217" s="803">
        <f>SUMPRODUCT(--(MOD(COLUMN(DU217:ER217),4)=MOD(COLUMN(DU217),4)),DU217:ER217)*$I217+SUMPRODUCT(--(MOD(COLUMN(ES217:FP217),4)=MOD(COLUMN(ES217),4)),ES217:FP217)*$I217</f>
        <v/>
      </c>
      <c r="FT217" s="361" t="n"/>
    </row>
    <row r="218" outlineLevel="2">
      <c r="A218" s="56" t="inlineStr">
        <is>
          <t>СПЕЦАВТО-ВОСТОК ООО</t>
        </is>
      </c>
      <c r="B218" s="387" t="inlineStr">
        <is>
          <t>Отсрочка 15 дней</t>
        </is>
      </c>
      <c r="C218" s="173" t="inlineStr">
        <is>
          <t>ВБК РУС</t>
        </is>
      </c>
      <c r="D218" s="565" t="inlineStr">
        <is>
          <t>Прасолов, Соловьёв</t>
        </is>
      </c>
      <c r="E218" s="10">
        <f>IF(ISBLANK(G218),"",IF($A$6:$A$330=$A218,COUNTIF($A$6:A218,$A218),""))</f>
        <v/>
      </c>
      <c r="F218" s="10" t="n">
        <v>1</v>
      </c>
      <c r="G218" s="55" t="n">
        <v>4460087000</v>
      </c>
      <c r="H218" s="54" t="inlineStr">
        <is>
          <t>Кабель питания спиральный, 7-пин, ISO 7638</t>
        </is>
      </c>
      <c r="I218" s="617">
        <f>495/НДС_20</f>
        <v/>
      </c>
      <c r="J218" s="617" t="n"/>
      <c r="K218" s="872" t="n"/>
      <c r="L218" s="617">
        <f>IF(K218="RUB",J218/ЮАНЬ,IF(K218="EUR",J218*ЕВРО/ЮАНЬ,""))</f>
        <v/>
      </c>
      <c r="M218" s="873" t="n"/>
      <c r="N218" s="871">
        <f>IF(BP218&gt;0,1,IF(BN218&gt;0,2,))</f>
        <v/>
      </c>
      <c r="O218" s="23" t="n"/>
      <c r="P218" s="24" t="n"/>
      <c r="Q218" s="25" t="n"/>
      <c r="R218" s="24" t="n"/>
      <c r="S218" s="23" t="n"/>
      <c r="T218" s="24" t="n"/>
      <c r="U218" s="25" t="n"/>
      <c r="V218" s="24" t="n"/>
      <c r="W218" s="23" t="n"/>
      <c r="X218" s="24" t="n"/>
      <c r="Y218" s="25" t="n"/>
      <c r="Z218" s="24" t="n"/>
      <c r="AA218" s="23" t="n"/>
      <c r="AB218" s="24" t="n"/>
      <c r="AC218" s="25" t="n"/>
      <c r="AD218" s="24" t="n"/>
      <c r="AE218" s="23" t="n"/>
      <c r="AF218" s="24" t="n"/>
      <c r="AG218" s="25" t="n"/>
      <c r="AH218" s="24" t="n"/>
      <c r="AI218" s="23" t="n"/>
      <c r="AJ218" s="24" t="n"/>
      <c r="AK218" s="25" t="n"/>
      <c r="AL218" s="24" t="n"/>
      <c r="AM218" s="23" t="n"/>
      <c r="AN218" s="24" t="n"/>
      <c r="AO218" s="25" t="n"/>
      <c r="AP218" s="24" t="n"/>
      <c r="AQ218" s="23" t="n"/>
      <c r="AR218" s="24" t="n"/>
      <c r="AS218" s="25" t="n"/>
      <c r="AT218" s="24" t="n"/>
      <c r="AU218" s="23" t="n"/>
      <c r="AV218" s="24" t="n"/>
      <c r="AW218" s="25" t="n"/>
      <c r="AX218" s="24" t="n"/>
      <c r="AY218" s="23" t="n"/>
      <c r="AZ218" s="24" t="n"/>
      <c r="BA218" s="25" t="n"/>
      <c r="BB218" s="24" t="n"/>
      <c r="BC218" s="23" t="n"/>
      <c r="BD218" s="24" t="n"/>
      <c r="BE218" s="25" t="n"/>
      <c r="BF218" s="24" t="n"/>
      <c r="BG218" s="23" t="n"/>
      <c r="BH218" s="24" t="n"/>
      <c r="BI218" s="25" t="n"/>
      <c r="BJ218" s="24" t="n"/>
      <c r="BK218" s="340" t="n"/>
      <c r="BL218" s="803">
        <f>SUMPRODUCT(--(MOD(COLUMN($O218:$AL218),4)=MOD(COLUMN($O218)+0,4)),$O218:$AL218)
+SUMPRODUCT(--(MOD(COLUMN($AM218:$BJ218),4)=MOD(COLUMN($AM218)+0,4)),$AM218:$BJ218)</f>
        <v/>
      </c>
      <c r="BM218" s="803">
        <f>SUMPRODUCT(--(MOD(COLUMN($O218:$AL218),4)=MOD(COLUMN($O218)+0,4)),$O218:$AL218)*
$I218+SUMPRODUCT(--(MOD(COLUMN($AM218:$BJ218),4)=MOD(COLUMN($AM218)+0,4)),$AM218:$BJ218)*$I218</f>
        <v/>
      </c>
      <c r="BN218" s="805">
        <f>SUMPRODUCT(--(MOD(COLUMN($O218:$AL218),4)=MOD(COLUMN($O218)+1,4)),$O218:$AL218)
+SUMPRODUCT(--(MOD(COLUMN($AM218:$BJ218),4)=MOD(COLUMN($AM218)+1,4)),$AM218:$BJ218)</f>
        <v/>
      </c>
      <c r="BO218" s="806">
        <f>SUMPRODUCT(--(MOD(COLUMN($O218:$AL218),4)=MOD(COLUMN($O218)+1,4)),$O218:$AL218)*
$I218+SUMPRODUCT(--(MOD(COLUMN($AM218:$BJ218),4)=MOD(COLUMN($AM218)+1,4)),$AM218:$BJ218)*$I218</f>
        <v/>
      </c>
      <c r="BP218" s="807">
        <f>SUMPRODUCT(--(MOD(COLUMN($O218:$AL218),4)=MOD(COLUMN($O218)+2,4)),$O218:$AL218)
+SUMPRODUCT(--(MOD(COLUMN($AM218:$BJ218),4)=MOD(COLUMN($AM218)+2,4)),$AM218:$BJ218)</f>
        <v/>
      </c>
      <c r="BQ218" s="808">
        <f>SUMPRODUCT(--(MOD(COLUMN($O218:$AL218),4)=MOD(COLUMN($O218)+2,4)),$O218:$AL218)*
$I218+SUMPRODUCT(--(MOD(COLUMN($AM218:$BJ218),4)=MOD(COLUMN($AM218)+2,4)),$AM218:$BJ218)*$I218</f>
        <v/>
      </c>
      <c r="BR218" s="801" t="n"/>
      <c r="BS218" s="819" t="n"/>
      <c r="BT218" s="23" t="n"/>
      <c r="BU218" s="24" t="n"/>
      <c r="BV218" s="25" t="n"/>
      <c r="BW218" s="24" t="n"/>
      <c r="BX218" s="23" t="n"/>
      <c r="BY218" s="24" t="n"/>
      <c r="BZ218" s="25" t="n"/>
      <c r="CA218" s="24" t="n"/>
      <c r="CB218" s="23" t="n"/>
      <c r="CC218" s="24" t="n"/>
      <c r="CD218" s="25" t="n"/>
      <c r="CE218" s="24" t="n"/>
      <c r="CF218" s="23" t="n"/>
      <c r="CG218" s="24" t="n"/>
      <c r="CH218" s="25" t="n"/>
      <c r="CI218" s="24" t="n"/>
      <c r="CJ218" s="23" t="n"/>
      <c r="CK218" s="24" t="n"/>
      <c r="CL218" s="25" t="n"/>
      <c r="CM218" s="24" t="n"/>
      <c r="CN218" s="23" t="n"/>
      <c r="CO218" s="24" t="n"/>
      <c r="CP218" s="25" t="n"/>
      <c r="CQ218" s="24" t="n"/>
      <c r="CR218" s="23" t="n"/>
      <c r="CS218" s="24" t="n"/>
      <c r="CT218" s="25" t="n"/>
      <c r="CU218" s="24" t="n"/>
      <c r="CV218" s="23" t="n"/>
      <c r="CW218" s="24" t="n"/>
      <c r="CX218" s="25" t="n"/>
      <c r="CY218" s="24" t="n"/>
      <c r="CZ218" s="23" t="n"/>
      <c r="DA218" s="24" t="n"/>
      <c r="DB218" s="25" t="n"/>
      <c r="DC218" s="24" t="n"/>
      <c r="DD218" s="23" t="n"/>
      <c r="DE218" s="24" t="n"/>
      <c r="DF218" s="25" t="n"/>
      <c r="DG218" s="24" t="n"/>
      <c r="DH218" s="23" t="n"/>
      <c r="DI218" s="24" t="n"/>
      <c r="DJ218" s="25" t="n"/>
      <c r="DK218" s="24" t="n"/>
      <c r="DL218" s="23" t="n"/>
      <c r="DM218" s="24" t="n"/>
      <c r="DN218" s="25" t="n"/>
      <c r="DO218" s="24" t="n"/>
      <c r="DP218" s="340" t="n"/>
      <c r="DQ218" s="803">
        <f>SUMPRODUCT(--(MOD(COLUMN(BT218:CQ218),4)=MOD(COLUMN(BT218),4)),BT218:CQ218)+SUMPRODUCT(--(MOD(COLUMN(CR218:DO218),4)=MOD(COLUMN(CR218),4)),CR218:DO218)</f>
        <v/>
      </c>
      <c r="DR218" s="803">
        <f>SUMPRODUCT(--(MOD(COLUMN(BT218:CQ218),4)=MOD(COLUMN(BT218),4)),BT218:CQ218)*$I218+SUMPRODUCT(--(MOD(COLUMN(CR218:DO218),4)=MOD(COLUMN(CR218),4)),CR218:DO218)*$I218</f>
        <v/>
      </c>
      <c r="DS218" s="801" t="n"/>
      <c r="DT218" s="819" t="n"/>
      <c r="DU218" s="23" t="n"/>
      <c r="DV218" s="24" t="n"/>
      <c r="DW218" s="25" t="n"/>
      <c r="DX218" s="24" t="n"/>
      <c r="DY218" s="23" t="n"/>
      <c r="DZ218" s="24" t="n"/>
      <c r="EA218" s="25" t="n"/>
      <c r="EB218" s="24" t="n"/>
      <c r="EC218" s="23" t="n"/>
      <c r="ED218" s="24" t="n"/>
      <c r="EE218" s="25" t="n"/>
      <c r="EF218" s="24" t="n"/>
      <c r="EG218" s="23" t="n"/>
      <c r="EH218" s="24" t="n"/>
      <c r="EI218" s="25" t="n"/>
      <c r="EJ218" s="24" t="n"/>
      <c r="EK218" s="23" t="n"/>
      <c r="EL218" s="24" t="n"/>
      <c r="EM218" s="25" t="n"/>
      <c r="EN218" s="24" t="n"/>
      <c r="EO218" s="23" t="n"/>
      <c r="EP218" s="24" t="n"/>
      <c r="EQ218" s="25" t="n"/>
      <c r="ER218" s="24" t="n"/>
      <c r="ES218" s="23" t="n"/>
      <c r="ET218" s="24" t="n"/>
      <c r="EU218" s="25" t="n"/>
      <c r="EV218" s="24" t="n"/>
      <c r="EW218" s="23" t="n"/>
      <c r="EX218" s="24" t="n"/>
      <c r="EY218" s="25" t="n"/>
      <c r="EZ218" s="24" t="n"/>
      <c r="FA218" s="23" t="n"/>
      <c r="FB218" s="24" t="n"/>
      <c r="FC218" s="25" t="n"/>
      <c r="FD218" s="24" t="n"/>
      <c r="FE218" s="23" t="n"/>
      <c r="FF218" s="24" t="n"/>
      <c r="FG218" s="25" t="n"/>
      <c r="FH218" s="24" t="n"/>
      <c r="FI218" s="23" t="n"/>
      <c r="FJ218" s="24" t="n"/>
      <c r="FK218" s="25" t="n"/>
      <c r="FL218" s="24" t="n"/>
      <c r="FM218" s="23" t="n"/>
      <c r="FN218" s="24" t="n"/>
      <c r="FO218" s="25" t="n"/>
      <c r="FP218" s="24" t="n"/>
      <c r="FQ218" s="340" t="n"/>
      <c r="FR218" s="803">
        <f>SUMPRODUCT(--(MOD(COLUMN(DU218:ER218),4)=MOD(COLUMN(DU218),4)),DU218:ER218)+SUMPRODUCT(--(MOD(COLUMN(ES218:FP218),4)=MOD(COLUMN(ES218),4)),ES218:FP218)</f>
        <v/>
      </c>
      <c r="FS218" s="803">
        <f>SUMPRODUCT(--(MOD(COLUMN(DU218:ER218),4)=MOD(COLUMN(DU218),4)),DU218:ER218)*$I218+SUMPRODUCT(--(MOD(COLUMN(ES218:FP218),4)=MOD(COLUMN(ES218),4)),ES218:FP218)*$I218</f>
        <v/>
      </c>
      <c r="FT218" s="361" t="n"/>
    </row>
    <row r="219" outlineLevel="2">
      <c r="A219" s="56" t="inlineStr">
        <is>
          <t>СПЕЦАВТО-ВОСТОК ООО</t>
        </is>
      </c>
      <c r="B219" s="387" t="inlineStr">
        <is>
          <t>Отсрочка 15 дней</t>
        </is>
      </c>
      <c r="C219" s="173" t="inlineStr">
        <is>
          <t>ВБК РУС</t>
        </is>
      </c>
      <c r="D219" s="565" t="inlineStr">
        <is>
          <t>Прасолов, Соловьёв</t>
        </is>
      </c>
      <c r="E219" s="10">
        <f>IF(ISBLANK(G219),"",IF($A$6:$A$330=$A219,COUNTIF($A$6:A219,$A219),""))</f>
        <v/>
      </c>
      <c r="F219" s="10" t="n">
        <v>1</v>
      </c>
      <c r="G219" s="55" t="n">
        <v>9730010100</v>
      </c>
      <c r="H219" s="54" t="inlineStr">
        <is>
          <t>Клапан ускорительный</t>
        </is>
      </c>
      <c r="I219" s="617">
        <f>125.05/НДС</f>
        <v/>
      </c>
      <c r="J219" s="617" t="n"/>
      <c r="K219" s="872" t="n"/>
      <c r="L219" s="617">
        <f>IF(K219="RUB",J219/ЮАНЬ,IF(K219="EUR",J219*ЕВРО/ЮАНЬ,""))</f>
        <v/>
      </c>
      <c r="M219" s="873" t="n"/>
      <c r="N219" s="871">
        <f>IF(BP219&gt;0,1,IF(BN219&gt;0,2,))</f>
        <v/>
      </c>
      <c r="O219" s="23" t="n"/>
      <c r="P219" s="24" t="n"/>
      <c r="Q219" s="25" t="n"/>
      <c r="R219" s="24" t="n"/>
      <c r="S219" s="23" t="n"/>
      <c r="T219" s="24" t="n"/>
      <c r="U219" s="25" t="n"/>
      <c r="V219" s="24" t="n"/>
      <c r="W219" s="23" t="n"/>
      <c r="X219" s="24">
        <f>20</f>
        <v/>
      </c>
      <c r="Y219" s="25" t="n">
        <v>20</v>
      </c>
      <c r="Z219" s="24" t="n"/>
      <c r="AA219" s="23" t="n"/>
      <c r="AB219" s="24" t="n"/>
      <c r="AC219" s="25" t="n"/>
      <c r="AD219" s="24" t="n"/>
      <c r="AE219" s="23" t="n"/>
      <c r="AF219" s="24" t="n"/>
      <c r="AG219" s="25" t="n"/>
      <c r="AH219" s="24" t="n"/>
      <c r="AI219" s="23" t="n"/>
      <c r="AJ219" s="24" t="n"/>
      <c r="AK219" s="25" t="n"/>
      <c r="AL219" s="24" t="n"/>
      <c r="AM219" s="23" t="n"/>
      <c r="AN219" s="24" t="n"/>
      <c r="AO219" s="25" t="n"/>
      <c r="AP219" s="24" t="n"/>
      <c r="AQ219" s="23" t="n"/>
      <c r="AR219" s="24" t="n"/>
      <c r="AS219" s="25" t="n"/>
      <c r="AT219" s="24" t="n"/>
      <c r="AU219" s="23" t="n"/>
      <c r="AV219" s="24" t="n"/>
      <c r="AW219" s="25" t="n"/>
      <c r="AX219" s="24" t="n"/>
      <c r="AY219" s="23" t="n"/>
      <c r="AZ219" s="24" t="n"/>
      <c r="BA219" s="25" t="n"/>
      <c r="BB219" s="24" t="n"/>
      <c r="BC219" s="23" t="n"/>
      <c r="BD219" s="24" t="n"/>
      <c r="BE219" s="25" t="n"/>
      <c r="BF219" s="24" t="n"/>
      <c r="BG219" s="23" t="n"/>
      <c r="BH219" s="24" t="n"/>
      <c r="BI219" s="25" t="n"/>
      <c r="BJ219" s="24" t="n"/>
      <c r="BK219" s="340" t="n"/>
      <c r="BL219" s="803">
        <f>SUMPRODUCT(--(MOD(COLUMN($O219:$AL219),4)=MOD(COLUMN($O219)+0,4)),$O219:$AL219)
+SUMPRODUCT(--(MOD(COLUMN($AM219:$BJ219),4)=MOD(COLUMN($AM219)+0,4)),$AM219:$BJ219)</f>
        <v/>
      </c>
      <c r="BM219" s="803">
        <f>SUMPRODUCT(--(MOD(COLUMN($O219:$AL219),4)=MOD(COLUMN($O219)+0,4)),$O219:$AL219)*
$I219+SUMPRODUCT(--(MOD(COLUMN($AM219:$BJ219),4)=MOD(COLUMN($AM219)+0,4)),$AM219:$BJ219)*$I219</f>
        <v/>
      </c>
      <c r="BN219" s="805">
        <f>SUMPRODUCT(--(MOD(COLUMN($O219:$AL219),4)=MOD(COLUMN($O219)+1,4)),$O219:$AL219)
+SUMPRODUCT(--(MOD(COLUMN($AM219:$BJ219),4)=MOD(COLUMN($AM219)+1,4)),$AM219:$BJ219)</f>
        <v/>
      </c>
      <c r="BO219" s="806">
        <f>SUMPRODUCT(--(MOD(COLUMN($O219:$AL219),4)=MOD(COLUMN($O219)+1,4)),$O219:$AL219)*
$I219+SUMPRODUCT(--(MOD(COLUMN($AM219:$BJ219),4)=MOD(COLUMN($AM219)+1,4)),$AM219:$BJ219)*$I219</f>
        <v/>
      </c>
      <c r="BP219" s="807">
        <f>SUMPRODUCT(--(MOD(COLUMN($O219:$AL219),4)=MOD(COLUMN($O219)+2,4)),$O219:$AL219)
+SUMPRODUCT(--(MOD(COLUMN($AM219:$BJ219),4)=MOD(COLUMN($AM219)+2,4)),$AM219:$BJ219)</f>
        <v/>
      </c>
      <c r="BQ219" s="808">
        <f>SUMPRODUCT(--(MOD(COLUMN($O219:$AL219),4)=MOD(COLUMN($O219)+2,4)),$O219:$AL219)*
$I219+SUMPRODUCT(--(MOD(COLUMN($AM219:$BJ219),4)=MOD(COLUMN($AM219)+2,4)),$AM219:$BJ219)*$I219</f>
        <v/>
      </c>
      <c r="BR219" s="801" t="n"/>
      <c r="BS219" s="819" t="n"/>
      <c r="BT219" s="23" t="n"/>
      <c r="BU219" s="24" t="n"/>
      <c r="BV219" s="25" t="n"/>
      <c r="BW219" s="24" t="n"/>
      <c r="BX219" s="23" t="n"/>
      <c r="BY219" s="24" t="n"/>
      <c r="BZ219" s="25" t="n"/>
      <c r="CA219" s="24" t="n"/>
      <c r="CB219" s="23" t="n"/>
      <c r="CC219" s="24" t="n"/>
      <c r="CD219" s="25" t="n"/>
      <c r="CE219" s="24" t="n"/>
      <c r="CF219" s="23" t="n"/>
      <c r="CG219" s="24" t="n"/>
      <c r="CH219" s="25" t="n"/>
      <c r="CI219" s="24" t="n"/>
      <c r="CJ219" s="23" t="n"/>
      <c r="CK219" s="24" t="n"/>
      <c r="CL219" s="25" t="n"/>
      <c r="CM219" s="24" t="n"/>
      <c r="CN219" s="23" t="n"/>
      <c r="CO219" s="24" t="n"/>
      <c r="CP219" s="25" t="n"/>
      <c r="CQ219" s="24" t="n"/>
      <c r="CR219" s="23" t="n"/>
      <c r="CS219" s="24" t="n"/>
      <c r="CT219" s="25" t="n"/>
      <c r="CU219" s="24" t="n"/>
      <c r="CV219" s="23" t="n"/>
      <c r="CW219" s="24" t="n"/>
      <c r="CX219" s="25" t="n"/>
      <c r="CY219" s="24" t="n"/>
      <c r="CZ219" s="23" t="n"/>
      <c r="DA219" s="24" t="n"/>
      <c r="DB219" s="25" t="n"/>
      <c r="DC219" s="24" t="n"/>
      <c r="DD219" s="23" t="n"/>
      <c r="DE219" s="24" t="n"/>
      <c r="DF219" s="25" t="n"/>
      <c r="DG219" s="24" t="n"/>
      <c r="DH219" s="23" t="n"/>
      <c r="DI219" s="24" t="n"/>
      <c r="DJ219" s="25" t="n"/>
      <c r="DK219" s="24" t="n"/>
      <c r="DL219" s="23" t="n"/>
      <c r="DM219" s="24" t="n"/>
      <c r="DN219" s="25" t="n"/>
      <c r="DO219" s="24" t="n"/>
      <c r="DP219" s="340" t="n"/>
      <c r="DQ219" s="803">
        <f>SUMPRODUCT(--(MOD(COLUMN(BT219:CQ219),4)=MOD(COLUMN(BT219),4)),BT219:CQ219)+SUMPRODUCT(--(MOD(COLUMN(CR219:DO219),4)=MOD(COLUMN(CR219),4)),CR219:DO219)</f>
        <v/>
      </c>
      <c r="DR219" s="803">
        <f>SUMPRODUCT(--(MOD(COLUMN(BT219:CQ219),4)=MOD(COLUMN(BT219),4)),BT219:CQ219)*$I219+SUMPRODUCT(--(MOD(COLUMN(CR219:DO219),4)=MOD(COLUMN(CR219),4)),CR219:DO219)*$I219</f>
        <v/>
      </c>
      <c r="DS219" s="801" t="n"/>
      <c r="DT219" s="819" t="n"/>
      <c r="DU219" s="23" t="n"/>
      <c r="DV219" s="24" t="n"/>
      <c r="DW219" s="25" t="n"/>
      <c r="DX219" s="24" t="n"/>
      <c r="DY219" s="23" t="n"/>
      <c r="DZ219" s="24" t="n"/>
      <c r="EA219" s="25" t="n"/>
      <c r="EB219" s="24" t="n"/>
      <c r="EC219" s="23" t="n"/>
      <c r="ED219" s="24" t="n"/>
      <c r="EE219" s="25" t="n"/>
      <c r="EF219" s="24" t="n"/>
      <c r="EG219" s="23" t="n"/>
      <c r="EH219" s="24" t="n"/>
      <c r="EI219" s="25" t="n"/>
      <c r="EJ219" s="24" t="n"/>
      <c r="EK219" s="23" t="n"/>
      <c r="EL219" s="24" t="n"/>
      <c r="EM219" s="25" t="n"/>
      <c r="EN219" s="24" t="n"/>
      <c r="EO219" s="23" t="n"/>
      <c r="EP219" s="24" t="n"/>
      <c r="EQ219" s="25" t="n"/>
      <c r="ER219" s="24" t="n"/>
      <c r="ES219" s="23" t="n"/>
      <c r="ET219" s="24" t="n"/>
      <c r="EU219" s="25" t="n"/>
      <c r="EV219" s="24" t="n"/>
      <c r="EW219" s="23" t="n"/>
      <c r="EX219" s="24" t="n"/>
      <c r="EY219" s="25" t="n"/>
      <c r="EZ219" s="24" t="n"/>
      <c r="FA219" s="23" t="n"/>
      <c r="FB219" s="24" t="n"/>
      <c r="FC219" s="25" t="n"/>
      <c r="FD219" s="24" t="n"/>
      <c r="FE219" s="23" t="n"/>
      <c r="FF219" s="24" t="n"/>
      <c r="FG219" s="25" t="n"/>
      <c r="FH219" s="24" t="n"/>
      <c r="FI219" s="23" t="n"/>
      <c r="FJ219" s="24" t="n"/>
      <c r="FK219" s="25" t="n"/>
      <c r="FL219" s="24" t="n"/>
      <c r="FM219" s="23" t="n"/>
      <c r="FN219" s="24" t="n"/>
      <c r="FO219" s="25" t="n"/>
      <c r="FP219" s="24" t="n"/>
      <c r="FQ219" s="340" t="n"/>
      <c r="FR219" s="803">
        <f>SUMPRODUCT(--(MOD(COLUMN(DU219:ER219),4)=MOD(COLUMN(DU219),4)),DU219:ER219)+SUMPRODUCT(--(MOD(COLUMN(ES219:FP219),4)=MOD(COLUMN(ES219),4)),ES219:FP219)</f>
        <v/>
      </c>
      <c r="FS219" s="803">
        <f>SUMPRODUCT(--(MOD(COLUMN(DU219:ER219),4)=MOD(COLUMN(DU219),4)),DU219:ER219)*$I219+SUMPRODUCT(--(MOD(COLUMN(ES219:FP219),4)=MOD(COLUMN(ES219),4)),ES219:FP219)*$I219</f>
        <v/>
      </c>
      <c r="FT219" s="361" t="n"/>
    </row>
    <row r="220" outlineLevel="2">
      <c r="A220" s="375" t="inlineStr">
        <is>
          <t>СПЕЦАВТО-ВОСТОК ООО</t>
        </is>
      </c>
      <c r="B220" s="389" t="inlineStr">
        <is>
          <t>Отсрочка 15 дней</t>
        </is>
      </c>
      <c r="C220" s="311" t="inlineStr">
        <is>
          <t>ВБК РУС</t>
        </is>
      </c>
      <c r="D220" s="575" t="inlineStr">
        <is>
          <t>Прасолов, Соловьёв</t>
        </is>
      </c>
      <c r="E220" s="284">
        <f>IF(ISBLANK(G220),"",IF($A$6:$A$330=$A220,COUNTIF($A$6:A220,$A220),""))</f>
        <v/>
      </c>
      <c r="F220" s="284" t="n">
        <v>1</v>
      </c>
      <c r="G220" s="304" t="n">
        <v>4494430600</v>
      </c>
      <c r="H220" s="602" t="inlineStr">
        <is>
          <t>Кабель клапана управления подъемом оси, 6 м</t>
        </is>
      </c>
      <c r="I220" s="617">
        <f>204.2/НДС</f>
        <v/>
      </c>
      <c r="J220" s="616" t="n"/>
      <c r="K220" s="870" t="n"/>
      <c r="L220" s="616" t="n"/>
      <c r="M220" s="871" t="n"/>
      <c r="N220" s="871">
        <f>IF(BP220&gt;0,1,IF(BN220&gt;0,2,))</f>
        <v/>
      </c>
      <c r="O220" s="322" t="n"/>
      <c r="P220" s="408" t="n"/>
      <c r="Q220" s="307" t="n"/>
      <c r="R220" s="408" t="n"/>
      <c r="S220" s="322" t="n"/>
      <c r="T220" s="408" t="n"/>
      <c r="U220" s="307" t="n"/>
      <c r="V220" s="408" t="n"/>
      <c r="W220" s="322" t="n"/>
      <c r="X220" s="408" t="n"/>
      <c r="Y220" s="307" t="n">
        <v>10</v>
      </c>
      <c r="Z220" s="408" t="n"/>
      <c r="AA220" s="322" t="n"/>
      <c r="AB220" s="408">
        <f>25+10</f>
        <v/>
      </c>
      <c r="AC220" s="307" t="n">
        <v>35</v>
      </c>
      <c r="AD220" s="408" t="n"/>
      <c r="AE220" s="322" t="n"/>
      <c r="AF220" s="408" t="n"/>
      <c r="AG220" s="307" t="n"/>
      <c r="AH220" s="408" t="n"/>
      <c r="AI220" s="322" t="n"/>
      <c r="AJ220" s="408" t="n"/>
      <c r="AK220" s="307" t="n"/>
      <c r="AL220" s="408" t="n"/>
      <c r="AM220" s="322" t="n"/>
      <c r="AN220" s="408" t="n"/>
      <c r="AO220" s="307" t="n"/>
      <c r="AP220" s="408" t="n"/>
      <c r="AQ220" s="322" t="n"/>
      <c r="AR220" s="408" t="n"/>
      <c r="AS220" s="307" t="n"/>
      <c r="AT220" s="408" t="n"/>
      <c r="AU220" s="322" t="n"/>
      <c r="AV220" s="408" t="n"/>
      <c r="AW220" s="307" t="n"/>
      <c r="AX220" s="408" t="n"/>
      <c r="AY220" s="322" t="n"/>
      <c r="AZ220" s="408" t="n"/>
      <c r="BA220" s="307" t="n"/>
      <c r="BB220" s="408" t="n"/>
      <c r="BC220" s="322" t="n"/>
      <c r="BD220" s="408" t="n"/>
      <c r="BE220" s="307" t="n"/>
      <c r="BF220" s="408" t="n"/>
      <c r="BG220" s="322" t="n"/>
      <c r="BH220" s="408" t="n"/>
      <c r="BI220" s="307" t="n"/>
      <c r="BJ220" s="408" t="n"/>
      <c r="BK220" s="340" t="n"/>
      <c r="BL220" s="820">
        <f>SUMPRODUCT(--(MOD(COLUMN($O220:$AL220),4)=MOD(COLUMN($O220)+0,4)),$O220:$AL220)
+SUMPRODUCT(--(MOD(COLUMN($AM220:$BJ220),4)=MOD(COLUMN($AM220)+0,4)),$AM220:$BJ220)</f>
        <v/>
      </c>
      <c r="BM220" s="820">
        <f>SUMPRODUCT(--(MOD(COLUMN($O220:$AL220),4)=MOD(COLUMN($O220)+0,4)),$O220:$AL220)*
$I220+SUMPRODUCT(--(MOD(COLUMN($AM220:$BJ220),4)=MOD(COLUMN($AM220)+0,4)),$AM220:$BJ220)*$I220</f>
        <v/>
      </c>
      <c r="BN220" s="822">
        <f>SUMPRODUCT(--(MOD(COLUMN($O220:$AL220),4)=MOD(COLUMN($O220)+1,4)),$O220:$AL220)
+SUMPRODUCT(--(MOD(COLUMN($AM220:$BJ220),4)=MOD(COLUMN($AM220)+1,4)),$AM220:$BJ220)</f>
        <v/>
      </c>
      <c r="BO220" s="823">
        <f>SUMPRODUCT(--(MOD(COLUMN($O220:$AL220),4)=MOD(COLUMN($O220)+1,4)),$O220:$AL220)*
$I220+SUMPRODUCT(--(MOD(COLUMN($AM220:$BJ220),4)=MOD(COLUMN($AM220)+1,4)),$AM220:$BJ220)*$I220</f>
        <v/>
      </c>
      <c r="BP220" s="824">
        <f>SUMPRODUCT(--(MOD(COLUMN($O220:$AL220),4)=MOD(COLUMN($O220)+2,4)),$O220:$AL220)
+SUMPRODUCT(--(MOD(COLUMN($AM220:$BJ220),4)=MOD(COLUMN($AM220)+2,4)),$AM220:$BJ220)</f>
        <v/>
      </c>
      <c r="BQ220" s="825">
        <f>SUMPRODUCT(--(MOD(COLUMN($O220:$AL220),4)=MOD(COLUMN($O220)+2,4)),$O220:$AL220)*
$I220+SUMPRODUCT(--(MOD(COLUMN($AM220:$BJ220),4)=MOD(COLUMN($AM220)+2,4)),$AM220:$BJ220)*$I220</f>
        <v/>
      </c>
      <c r="BR220" s="819" t="n"/>
      <c r="BS220" s="819" t="n"/>
      <c r="BT220" s="322" t="n"/>
      <c r="BU220" s="408" t="n"/>
      <c r="BV220" s="307" t="n">
        <v>0</v>
      </c>
      <c r="BW220" s="408" t="n"/>
      <c r="BX220" s="322" t="n"/>
      <c r="BY220" s="408" t="n"/>
      <c r="BZ220" s="307" t="n">
        <v>0</v>
      </c>
      <c r="CA220" s="408" t="n"/>
      <c r="CB220" s="322" t="n"/>
      <c r="CC220" s="408" t="n"/>
      <c r="CD220" s="307" t="n">
        <v>0</v>
      </c>
      <c r="CE220" s="408" t="n"/>
      <c r="CF220" s="322" t="n"/>
      <c r="CG220" s="408" t="n"/>
      <c r="CH220" s="307" t="n">
        <v>0</v>
      </c>
      <c r="CI220" s="408" t="n"/>
      <c r="CJ220" s="322" t="n"/>
      <c r="CK220" s="408" t="n"/>
      <c r="CL220" s="307" t="n">
        <v>0</v>
      </c>
      <c r="CM220" s="408" t="n"/>
      <c r="CN220" s="322" t="n"/>
      <c r="CO220" s="408" t="n"/>
      <c r="CP220" s="307" t="n">
        <v>0</v>
      </c>
      <c r="CQ220" s="408" t="n"/>
      <c r="CR220" s="322" t="n"/>
      <c r="CS220" s="408" t="n"/>
      <c r="CT220" s="307" t="n">
        <v>0</v>
      </c>
      <c r="CU220" s="408" t="n"/>
      <c r="CV220" s="322" t="n"/>
      <c r="CW220" s="408" t="n"/>
      <c r="CX220" s="307" t="n">
        <v>0</v>
      </c>
      <c r="CY220" s="408" t="n"/>
      <c r="CZ220" s="322" t="n"/>
      <c r="DA220" s="408" t="n"/>
      <c r="DB220" s="307" t="n">
        <v>0</v>
      </c>
      <c r="DC220" s="408" t="n"/>
      <c r="DD220" s="322" t="n"/>
      <c r="DE220" s="408" t="n"/>
      <c r="DF220" s="307" t="n">
        <v>0</v>
      </c>
      <c r="DG220" s="408" t="n"/>
      <c r="DH220" s="322" t="n"/>
      <c r="DI220" s="408" t="n"/>
      <c r="DJ220" s="307" t="n">
        <v>0</v>
      </c>
      <c r="DK220" s="408" t="n"/>
      <c r="DL220" s="322" t="n"/>
      <c r="DM220" s="408" t="n"/>
      <c r="DN220" s="307" t="n">
        <v>0</v>
      </c>
      <c r="DO220" s="408" t="n"/>
      <c r="DP220" s="340" t="n"/>
      <c r="DQ220" s="820" t="n"/>
      <c r="DR220" s="820" t="n"/>
      <c r="DS220" s="819" t="n"/>
      <c r="DT220" s="819" t="n"/>
      <c r="DU220" s="322" t="n"/>
      <c r="DV220" s="408" t="n"/>
      <c r="DW220" s="307" t="n">
        <v>0</v>
      </c>
      <c r="DX220" s="408" t="n"/>
      <c r="DY220" s="322" t="n"/>
      <c r="DZ220" s="408" t="n"/>
      <c r="EA220" s="307" t="n">
        <v>0</v>
      </c>
      <c r="EB220" s="408" t="n"/>
      <c r="EC220" s="322" t="n"/>
      <c r="ED220" s="408" t="n"/>
      <c r="EE220" s="307" t="n">
        <v>0</v>
      </c>
      <c r="EF220" s="408" t="n"/>
      <c r="EG220" s="322" t="n"/>
      <c r="EH220" s="408" t="n"/>
      <c r="EI220" s="307" t="n">
        <v>0</v>
      </c>
      <c r="EJ220" s="408" t="n"/>
      <c r="EK220" s="322" t="n"/>
      <c r="EL220" s="408" t="n"/>
      <c r="EM220" s="307" t="n">
        <v>0</v>
      </c>
      <c r="EN220" s="408" t="n"/>
      <c r="EO220" s="322" t="n"/>
      <c r="EP220" s="408" t="n"/>
      <c r="EQ220" s="307" t="n">
        <v>0</v>
      </c>
      <c r="ER220" s="408" t="n"/>
      <c r="ES220" s="322" t="n"/>
      <c r="ET220" s="408" t="n"/>
      <c r="EU220" s="307" t="n">
        <v>0</v>
      </c>
      <c r="EV220" s="408" t="n"/>
      <c r="EW220" s="322" t="n"/>
      <c r="EX220" s="408" t="n"/>
      <c r="EY220" s="307" t="n">
        <v>0</v>
      </c>
      <c r="EZ220" s="408" t="n"/>
      <c r="FA220" s="322" t="n"/>
      <c r="FB220" s="408" t="n"/>
      <c r="FC220" s="307" t="n">
        <v>0</v>
      </c>
      <c r="FD220" s="408" t="n"/>
      <c r="FE220" s="322" t="n"/>
      <c r="FF220" s="408" t="n"/>
      <c r="FG220" s="307" t="n">
        <v>0</v>
      </c>
      <c r="FH220" s="408" t="n"/>
      <c r="FI220" s="322" t="n"/>
      <c r="FJ220" s="408" t="n"/>
      <c r="FK220" s="307" t="n">
        <v>0</v>
      </c>
      <c r="FL220" s="408" t="n"/>
      <c r="FM220" s="322" t="n"/>
      <c r="FN220" s="408" t="n"/>
      <c r="FO220" s="307" t="n">
        <v>0</v>
      </c>
      <c r="FP220" s="408" t="n"/>
      <c r="FQ220" s="340" t="n"/>
      <c r="FR220" s="820" t="n"/>
      <c r="FS220" s="820" t="n"/>
      <c r="FT220" s="361" t="n"/>
    </row>
    <row r="221" outlineLevel="2">
      <c r="A221" s="56" t="inlineStr">
        <is>
          <t>СПЕЦАВТО-ВОСТОК ООО</t>
        </is>
      </c>
      <c r="B221" s="387" t="inlineStr">
        <is>
          <t>Отсрочка 15 дней</t>
        </is>
      </c>
      <c r="C221" s="173" t="inlineStr">
        <is>
          <t>ВБК РУС</t>
        </is>
      </c>
      <c r="D221" s="565" t="inlineStr">
        <is>
          <t>Прасолов, Соловьёв</t>
        </is>
      </c>
      <c r="E221" s="10">
        <f>IF(ISBLANK(G221),"",IF($A$6:$A$330=$A221,COUNTIF($A$6:A221,$A221),""))</f>
        <v/>
      </c>
      <c r="F221" s="10" t="n">
        <v>1</v>
      </c>
      <c r="G221" s="55" t="n">
        <v>4497230500</v>
      </c>
      <c r="H221" s="54" t="inlineStr">
        <is>
          <t>Кабель датчика АБС, 5 м</t>
        </is>
      </c>
      <c r="I221" s="617">
        <f>154/НДС</f>
        <v/>
      </c>
      <c r="J221" s="617" t="n"/>
      <c r="K221" s="872" t="n"/>
      <c r="L221" s="617">
        <f>IF(K221="RUB",J221/ЮАНЬ,IF(K221="EUR",J221*ЕВРО/ЮАНЬ,""))</f>
        <v/>
      </c>
      <c r="M221" s="873" t="n"/>
      <c r="N221" s="871">
        <f>IF(BP221&gt;0,1,IF(BN221&gt;0,2,))</f>
        <v/>
      </c>
      <c r="O221" s="23" t="n"/>
      <c r="P221" s="24" t="n"/>
      <c r="Q221" s="25" t="n">
        <v>0</v>
      </c>
      <c r="R221" s="24" t="n"/>
      <c r="S221" s="23" t="n"/>
      <c r="T221" s="24" t="n"/>
      <c r="U221" s="25" t="n">
        <v>52</v>
      </c>
      <c r="V221" s="24" t="n"/>
      <c r="W221" s="23" t="n"/>
      <c r="X221" s="24">
        <f>14</f>
        <v/>
      </c>
      <c r="Y221" s="25" t="n">
        <v>14</v>
      </c>
      <c r="Z221" s="24" t="n"/>
      <c r="AA221" s="23" t="n"/>
      <c r="AB221" s="24" t="n"/>
      <c r="AC221" s="25" t="n">
        <v>0</v>
      </c>
      <c r="AD221" s="24" t="n"/>
      <c r="AE221" s="23" t="n"/>
      <c r="AF221" s="24" t="n"/>
      <c r="AG221" s="25" t="n">
        <v>40</v>
      </c>
      <c r="AH221" s="24" t="n"/>
      <c r="AI221" s="23" t="n"/>
      <c r="AJ221" s="24" t="n"/>
      <c r="AK221" s="25" t="n">
        <v>0</v>
      </c>
      <c r="AL221" s="24" t="n"/>
      <c r="AM221" s="23" t="n"/>
      <c r="AN221" s="24" t="n"/>
      <c r="AO221" s="25" t="n">
        <v>0</v>
      </c>
      <c r="AP221" s="24" t="n"/>
      <c r="AQ221" s="23" t="n"/>
      <c r="AR221" s="24" t="n"/>
      <c r="AS221" s="25" t="n">
        <v>0</v>
      </c>
      <c r="AT221" s="24" t="n"/>
      <c r="AU221" s="23" t="n"/>
      <c r="AV221" s="24" t="n"/>
      <c r="AW221" s="25" t="n">
        <v>0</v>
      </c>
      <c r="AX221" s="24" t="n"/>
      <c r="AY221" s="23" t="n"/>
      <c r="AZ221" s="24" t="n"/>
      <c r="BA221" s="25" t="n">
        <v>0</v>
      </c>
      <c r="BB221" s="24" t="n"/>
      <c r="BC221" s="23" t="n"/>
      <c r="BD221" s="24" t="n"/>
      <c r="BE221" s="25" t="n">
        <v>0</v>
      </c>
      <c r="BF221" s="24" t="n"/>
      <c r="BG221" s="23" t="n"/>
      <c r="BH221" s="24" t="n"/>
      <c r="BI221" s="25" t="n">
        <v>0</v>
      </c>
      <c r="BJ221" s="24" t="n"/>
      <c r="BK221" s="340" t="n"/>
      <c r="BL221" s="803">
        <f>SUMPRODUCT(--(MOD(COLUMN($O221:$AL221),4)=MOD(COLUMN($O221)+0,4)),$O221:$AL221)
+SUMPRODUCT(--(MOD(COLUMN($AM221:$BJ221),4)=MOD(COLUMN($AM221)+0,4)),$AM221:$BJ221)</f>
        <v/>
      </c>
      <c r="BM221" s="803">
        <f>SUMPRODUCT(--(MOD(COLUMN($O221:$AL221),4)=MOD(COLUMN($O221)+0,4)),$O221:$AL221)*
$I221+SUMPRODUCT(--(MOD(COLUMN($AM221:$BJ221),4)=MOD(COLUMN($AM221)+0,4)),$AM221:$BJ221)*$I221</f>
        <v/>
      </c>
      <c r="BN221" s="805">
        <f>SUMPRODUCT(--(MOD(COLUMN($O221:$AL221),4)=MOD(COLUMN($O221)+1,4)),$O221:$AL221)
+SUMPRODUCT(--(MOD(COLUMN($AM221:$BJ221),4)=MOD(COLUMN($AM221)+1,4)),$AM221:$BJ221)</f>
        <v/>
      </c>
      <c r="BO221" s="806">
        <f>SUMPRODUCT(--(MOD(COLUMN($O221:$AL221),4)=MOD(COLUMN($O221)+1,4)),$O221:$AL221)*
$I221+SUMPRODUCT(--(MOD(COLUMN($AM221:$BJ221),4)=MOD(COLUMN($AM221)+1,4)),$AM221:$BJ221)*$I221</f>
        <v/>
      </c>
      <c r="BP221" s="807">
        <f>SUMPRODUCT(--(MOD(COLUMN($O221:$AL221),4)=MOD(COLUMN($O221)+2,4)),$O221:$AL221)
+SUMPRODUCT(--(MOD(COLUMN($AM221:$BJ221),4)=MOD(COLUMN($AM221)+2,4)),$AM221:$BJ221)</f>
        <v/>
      </c>
      <c r="BQ221" s="808">
        <f>SUMPRODUCT(--(MOD(COLUMN($O221:$AL221),4)=MOD(COLUMN($O221)+2,4)),$O221:$AL221)*
$I221+SUMPRODUCT(--(MOD(COLUMN($AM221:$BJ221),4)=MOD(COLUMN($AM221)+2,4)),$AM221:$BJ221)*$I221</f>
        <v/>
      </c>
      <c r="BR221" s="801" t="n"/>
      <c r="BS221" s="819" t="n"/>
      <c r="BT221" s="23" t="n"/>
      <c r="BU221" s="24" t="n"/>
      <c r="BV221" s="25" t="n">
        <v>0</v>
      </c>
      <c r="BW221" s="24" t="n"/>
      <c r="BX221" s="23" t="n"/>
      <c r="BY221" s="24" t="n"/>
      <c r="BZ221" s="25" t="n">
        <v>0</v>
      </c>
      <c r="CA221" s="24" t="n"/>
      <c r="CB221" s="23" t="n"/>
      <c r="CC221" s="24" t="n"/>
      <c r="CD221" s="25" t="n">
        <v>0</v>
      </c>
      <c r="CE221" s="24" t="n"/>
      <c r="CF221" s="23" t="n"/>
      <c r="CG221" s="24" t="n"/>
      <c r="CH221" s="25" t="n">
        <v>0</v>
      </c>
      <c r="CI221" s="24" t="n"/>
      <c r="CJ221" s="23" t="n"/>
      <c r="CK221" s="24" t="n"/>
      <c r="CL221" s="25" t="n">
        <v>0</v>
      </c>
      <c r="CM221" s="24" t="n"/>
      <c r="CN221" s="23" t="n"/>
      <c r="CO221" s="24" t="n"/>
      <c r="CP221" s="25" t="n">
        <v>0</v>
      </c>
      <c r="CQ221" s="24" t="n"/>
      <c r="CR221" s="23" t="n"/>
      <c r="CS221" s="24" t="n"/>
      <c r="CT221" s="25" t="n">
        <v>0</v>
      </c>
      <c r="CU221" s="24" t="n"/>
      <c r="CV221" s="23" t="n"/>
      <c r="CW221" s="24" t="n"/>
      <c r="CX221" s="25" t="n">
        <v>0</v>
      </c>
      <c r="CY221" s="24" t="n"/>
      <c r="CZ221" s="23" t="n"/>
      <c r="DA221" s="24" t="n"/>
      <c r="DB221" s="25" t="n">
        <v>0</v>
      </c>
      <c r="DC221" s="24" t="n"/>
      <c r="DD221" s="23" t="n"/>
      <c r="DE221" s="24" t="n"/>
      <c r="DF221" s="25" t="n">
        <v>0</v>
      </c>
      <c r="DG221" s="24" t="n"/>
      <c r="DH221" s="23" t="n"/>
      <c r="DI221" s="24" t="n"/>
      <c r="DJ221" s="25" t="n">
        <v>0</v>
      </c>
      <c r="DK221" s="24" t="n"/>
      <c r="DL221" s="23" t="n"/>
      <c r="DM221" s="24" t="n"/>
      <c r="DN221" s="25" t="n">
        <v>0</v>
      </c>
      <c r="DO221" s="24" t="n"/>
      <c r="DP221" s="340" t="n"/>
      <c r="DQ221" s="803">
        <f>SUMPRODUCT(--(MOD(COLUMN(BT221:CQ221),4)=MOD(COLUMN(BT221),4)),BT221:CQ221)+SUMPRODUCT(--(MOD(COLUMN(CR221:DO221),4)=MOD(COLUMN(CR221),4)),CR221:DO221)</f>
        <v/>
      </c>
      <c r="DR221" s="803">
        <f>SUMPRODUCT(--(MOD(COLUMN(BT221:CQ221),4)=MOD(COLUMN(BT221),4)),BT221:CQ221)*$I221+SUMPRODUCT(--(MOD(COLUMN(CR221:DO221),4)=MOD(COLUMN(CR221),4)),CR221:DO221)*$I221</f>
        <v/>
      </c>
      <c r="DS221" s="801" t="n"/>
      <c r="DT221" s="819" t="n"/>
      <c r="DU221" s="23" t="n"/>
      <c r="DV221" s="24" t="n"/>
      <c r="DW221" s="25" t="n">
        <v>0</v>
      </c>
      <c r="DX221" s="24" t="n"/>
      <c r="DY221" s="23" t="n"/>
      <c r="DZ221" s="24" t="n"/>
      <c r="EA221" s="25" t="n">
        <v>0</v>
      </c>
      <c r="EB221" s="24" t="n"/>
      <c r="EC221" s="23" t="n"/>
      <c r="ED221" s="24" t="n"/>
      <c r="EE221" s="25" t="n">
        <v>0</v>
      </c>
      <c r="EF221" s="24" t="n"/>
      <c r="EG221" s="23" t="n"/>
      <c r="EH221" s="24" t="n"/>
      <c r="EI221" s="25" t="n">
        <v>0</v>
      </c>
      <c r="EJ221" s="24" t="n"/>
      <c r="EK221" s="23" t="n"/>
      <c r="EL221" s="24" t="n"/>
      <c r="EM221" s="25" t="n">
        <v>0</v>
      </c>
      <c r="EN221" s="24" t="n"/>
      <c r="EO221" s="23" t="n"/>
      <c r="EP221" s="24" t="n"/>
      <c r="EQ221" s="25" t="n">
        <v>0</v>
      </c>
      <c r="ER221" s="24" t="n"/>
      <c r="ES221" s="23" t="n"/>
      <c r="ET221" s="24" t="n"/>
      <c r="EU221" s="25" t="n">
        <v>0</v>
      </c>
      <c r="EV221" s="24" t="n"/>
      <c r="EW221" s="23" t="n"/>
      <c r="EX221" s="24" t="n"/>
      <c r="EY221" s="25" t="n">
        <v>0</v>
      </c>
      <c r="EZ221" s="24" t="n"/>
      <c r="FA221" s="23" t="n"/>
      <c r="FB221" s="24" t="n"/>
      <c r="FC221" s="25" t="n">
        <v>0</v>
      </c>
      <c r="FD221" s="24" t="n"/>
      <c r="FE221" s="23" t="n"/>
      <c r="FF221" s="24" t="n"/>
      <c r="FG221" s="25" t="n">
        <v>0</v>
      </c>
      <c r="FH221" s="24" t="n"/>
      <c r="FI221" s="23" t="n"/>
      <c r="FJ221" s="24" t="n"/>
      <c r="FK221" s="25" t="n">
        <v>0</v>
      </c>
      <c r="FL221" s="24" t="n"/>
      <c r="FM221" s="23" t="n"/>
      <c r="FN221" s="24" t="n"/>
      <c r="FO221" s="25" t="n">
        <v>0</v>
      </c>
      <c r="FP221" s="24" t="n"/>
      <c r="FQ221" s="340" t="n"/>
      <c r="FR221" s="803">
        <f>SUMPRODUCT(--(MOD(COLUMN(DU221:ER221),4)=MOD(COLUMN(DU221),4)),DU221:ER221)+SUMPRODUCT(--(MOD(COLUMN(ES221:FP221),4)=MOD(COLUMN(ES221),4)),ES221:FP221)</f>
        <v/>
      </c>
      <c r="FS221" s="803">
        <f>SUMPRODUCT(--(MOD(COLUMN(DU221:ER221),4)=MOD(COLUMN(DU221),4)),DU221:ER221)*$I221+SUMPRODUCT(--(MOD(COLUMN(ES221:FP221),4)=MOD(COLUMN(ES221),4)),ES221:FP221)*$I221</f>
        <v/>
      </c>
      <c r="FT221" s="361" t="n"/>
    </row>
    <row r="222" outlineLevel="2">
      <c r="A222" s="56" t="inlineStr">
        <is>
          <t>СПЕЦАВТО-ВОСТОК ООО</t>
        </is>
      </c>
      <c r="B222" s="387" t="inlineStr">
        <is>
          <t>Отсрочка 15 дней</t>
        </is>
      </c>
      <c r="C222" s="173" t="inlineStr">
        <is>
          <t>ВБК РУС</t>
        </is>
      </c>
      <c r="D222" s="565" t="inlineStr">
        <is>
          <t>Прасолов, Соловьёв</t>
        </is>
      </c>
      <c r="E222" s="10">
        <f>IF(ISBLANK(G222),"",IF($A$6:$A$330=$A222,COUNTIF($A$6:A222,$A222),""))</f>
        <v/>
      </c>
      <c r="F222" s="10" t="n">
        <v>1</v>
      </c>
      <c r="G222" s="55" t="n">
        <v>4497230800</v>
      </c>
      <c r="H222" s="54" t="inlineStr">
        <is>
          <t>Кабель датчика АБС, 8 м</t>
        </is>
      </c>
      <c r="I222" s="617">
        <f>252/НДС_20</f>
        <v/>
      </c>
      <c r="J222" s="617" t="n"/>
      <c r="K222" s="872" t="n"/>
      <c r="L222" s="617">
        <f>IF(K222="RUB",J222/ЮАНЬ,IF(K222="EUR",J222*ЕВРО/ЮАНЬ,""))</f>
        <v/>
      </c>
      <c r="M222" s="873" t="n"/>
      <c r="N222" s="871">
        <f>IF(BP222&gt;0,1,IF(BN222&gt;0,2,))</f>
        <v/>
      </c>
      <c r="O222" s="23" t="n"/>
      <c r="P222" s="24" t="n"/>
      <c r="Q222" s="25" t="n"/>
      <c r="R222" s="24" t="n"/>
      <c r="S222" s="23" t="n"/>
      <c r="T222" s="24" t="n"/>
      <c r="U222" s="25" t="n"/>
      <c r="V222" s="24" t="n"/>
      <c r="W222" s="23" t="n"/>
      <c r="X222" s="24" t="n"/>
      <c r="Y222" s="25" t="n"/>
      <c r="Z222" s="24" t="n"/>
      <c r="AA222" s="23" t="n"/>
      <c r="AB222" s="24" t="n"/>
      <c r="AC222" s="25" t="n"/>
      <c r="AD222" s="24" t="n"/>
      <c r="AE222" s="23" t="n"/>
      <c r="AF222" s="24" t="n"/>
      <c r="AG222" s="25" t="n"/>
      <c r="AH222" s="24" t="n"/>
      <c r="AI222" s="23" t="n"/>
      <c r="AJ222" s="24" t="n"/>
      <c r="AK222" s="25" t="n"/>
      <c r="AL222" s="24" t="n"/>
      <c r="AM222" s="23" t="n"/>
      <c r="AN222" s="24" t="n"/>
      <c r="AO222" s="25" t="n"/>
      <c r="AP222" s="24" t="n"/>
      <c r="AQ222" s="23" t="n"/>
      <c r="AR222" s="24" t="n"/>
      <c r="AS222" s="25" t="n"/>
      <c r="AT222" s="24" t="n"/>
      <c r="AU222" s="23" t="n"/>
      <c r="AV222" s="24" t="n"/>
      <c r="AW222" s="25" t="n"/>
      <c r="AX222" s="24" t="n"/>
      <c r="AY222" s="23" t="n"/>
      <c r="AZ222" s="24" t="n"/>
      <c r="BA222" s="25" t="n"/>
      <c r="BB222" s="24" t="n"/>
      <c r="BC222" s="23" t="n"/>
      <c r="BD222" s="24" t="n"/>
      <c r="BE222" s="25" t="n"/>
      <c r="BF222" s="24" t="n"/>
      <c r="BG222" s="23" t="n"/>
      <c r="BH222" s="24" t="n"/>
      <c r="BI222" s="25" t="n"/>
      <c r="BJ222" s="24" t="n"/>
      <c r="BK222" s="340" t="n"/>
      <c r="BL222" s="803">
        <f>SUMPRODUCT(--(MOD(COLUMN($O222:$AL222),4)=MOD(COLUMN($O222)+0,4)),$O222:$AL222)
+SUMPRODUCT(--(MOD(COLUMN($AM222:$BJ222),4)=MOD(COLUMN($AM222)+0,4)),$AM222:$BJ222)</f>
        <v/>
      </c>
      <c r="BM222" s="803">
        <f>SUMPRODUCT(--(MOD(COLUMN($O222:$AL222),4)=MOD(COLUMN($O222)+0,4)),$O222:$AL222)*
$I222+SUMPRODUCT(--(MOD(COLUMN($AM222:$BJ222),4)=MOD(COLUMN($AM222)+0,4)),$AM222:$BJ222)*$I222</f>
        <v/>
      </c>
      <c r="BN222" s="805">
        <f>SUMPRODUCT(--(MOD(COLUMN($O222:$AL222),4)=MOD(COLUMN($O222)+1,4)),$O222:$AL222)
+SUMPRODUCT(--(MOD(COLUMN($AM222:$BJ222),4)=MOD(COLUMN($AM222)+1,4)),$AM222:$BJ222)</f>
        <v/>
      </c>
      <c r="BO222" s="806">
        <f>SUMPRODUCT(--(MOD(COLUMN($O222:$AL222),4)=MOD(COLUMN($O222)+1,4)),$O222:$AL222)*
$I222+SUMPRODUCT(--(MOD(COLUMN($AM222:$BJ222),4)=MOD(COLUMN($AM222)+1,4)),$AM222:$BJ222)*$I222</f>
        <v/>
      </c>
      <c r="BP222" s="807">
        <f>SUMPRODUCT(--(MOD(COLUMN($O222:$AL222),4)=MOD(COLUMN($O222)+2,4)),$O222:$AL222)
+SUMPRODUCT(--(MOD(COLUMN($AM222:$BJ222),4)=MOD(COLUMN($AM222)+2,4)),$AM222:$BJ222)</f>
        <v/>
      </c>
      <c r="BQ222" s="808">
        <f>SUMPRODUCT(--(MOD(COLUMN($O222:$AL222),4)=MOD(COLUMN($O222)+2,4)),$O222:$AL222)*
$I222+SUMPRODUCT(--(MOD(COLUMN($AM222:$BJ222),4)=MOD(COLUMN($AM222)+2,4)),$AM222:$BJ222)*$I222</f>
        <v/>
      </c>
      <c r="BR222" s="801" t="n"/>
      <c r="BS222" s="819" t="n"/>
      <c r="BT222" s="23" t="n"/>
      <c r="BU222" s="24" t="n"/>
      <c r="BV222" s="25" t="n"/>
      <c r="BW222" s="24" t="n"/>
      <c r="BX222" s="23" t="n"/>
      <c r="BY222" s="24" t="n"/>
      <c r="BZ222" s="25" t="n"/>
      <c r="CA222" s="24" t="n"/>
      <c r="CB222" s="23" t="n"/>
      <c r="CC222" s="24" t="n"/>
      <c r="CD222" s="25" t="n"/>
      <c r="CE222" s="24" t="n"/>
      <c r="CF222" s="23" t="n"/>
      <c r="CG222" s="24" t="n"/>
      <c r="CH222" s="25" t="n"/>
      <c r="CI222" s="24" t="n"/>
      <c r="CJ222" s="23" t="n"/>
      <c r="CK222" s="24" t="n"/>
      <c r="CL222" s="25" t="n"/>
      <c r="CM222" s="24" t="n"/>
      <c r="CN222" s="23" t="n"/>
      <c r="CO222" s="24" t="n"/>
      <c r="CP222" s="25" t="n"/>
      <c r="CQ222" s="24" t="n"/>
      <c r="CR222" s="23" t="n"/>
      <c r="CS222" s="24" t="n"/>
      <c r="CT222" s="25" t="n"/>
      <c r="CU222" s="24" t="n"/>
      <c r="CV222" s="23" t="n"/>
      <c r="CW222" s="24" t="n"/>
      <c r="CX222" s="25" t="n"/>
      <c r="CY222" s="24" t="n"/>
      <c r="CZ222" s="23" t="n"/>
      <c r="DA222" s="24" t="n"/>
      <c r="DB222" s="25" t="n"/>
      <c r="DC222" s="24" t="n"/>
      <c r="DD222" s="23" t="n"/>
      <c r="DE222" s="24" t="n"/>
      <c r="DF222" s="25" t="n"/>
      <c r="DG222" s="24" t="n"/>
      <c r="DH222" s="23" t="n"/>
      <c r="DI222" s="24" t="n"/>
      <c r="DJ222" s="25" t="n"/>
      <c r="DK222" s="24" t="n"/>
      <c r="DL222" s="23" t="n"/>
      <c r="DM222" s="24" t="n"/>
      <c r="DN222" s="25" t="n"/>
      <c r="DO222" s="24" t="n"/>
      <c r="DP222" s="340" t="n"/>
      <c r="DQ222" s="803">
        <f>SUMPRODUCT(--(MOD(COLUMN(BT222:CQ222),4)=MOD(COLUMN(BT222),4)),BT222:CQ222)+SUMPRODUCT(--(MOD(COLUMN(CR222:DO222),4)=MOD(COLUMN(CR222),4)),CR222:DO222)</f>
        <v/>
      </c>
      <c r="DR222" s="803">
        <f>SUMPRODUCT(--(MOD(COLUMN(BT222:CQ222),4)=MOD(COLUMN(BT222),4)),BT222:CQ222)*$I222+SUMPRODUCT(--(MOD(COLUMN(CR222:DO222),4)=MOD(COLUMN(CR222),4)),CR222:DO222)*$I222</f>
        <v/>
      </c>
      <c r="DS222" s="801" t="n"/>
      <c r="DT222" s="819" t="n"/>
      <c r="DU222" s="23" t="n"/>
      <c r="DV222" s="24" t="n"/>
      <c r="DW222" s="25" t="n"/>
      <c r="DX222" s="24" t="n"/>
      <c r="DY222" s="23" t="n"/>
      <c r="DZ222" s="24" t="n"/>
      <c r="EA222" s="25" t="n"/>
      <c r="EB222" s="24" t="n"/>
      <c r="EC222" s="23" t="n"/>
      <c r="ED222" s="24" t="n"/>
      <c r="EE222" s="25" t="n"/>
      <c r="EF222" s="24" t="n"/>
      <c r="EG222" s="23" t="n"/>
      <c r="EH222" s="24" t="n"/>
      <c r="EI222" s="25" t="n"/>
      <c r="EJ222" s="24" t="n"/>
      <c r="EK222" s="23" t="n"/>
      <c r="EL222" s="24" t="n"/>
      <c r="EM222" s="25" t="n"/>
      <c r="EN222" s="24" t="n"/>
      <c r="EO222" s="23" t="n"/>
      <c r="EP222" s="24" t="n"/>
      <c r="EQ222" s="25" t="n"/>
      <c r="ER222" s="24" t="n"/>
      <c r="ES222" s="23" t="n"/>
      <c r="ET222" s="24" t="n"/>
      <c r="EU222" s="25" t="n"/>
      <c r="EV222" s="24" t="n"/>
      <c r="EW222" s="23" t="n"/>
      <c r="EX222" s="24" t="n"/>
      <c r="EY222" s="25" t="n"/>
      <c r="EZ222" s="24" t="n"/>
      <c r="FA222" s="23" t="n"/>
      <c r="FB222" s="24" t="n"/>
      <c r="FC222" s="25" t="n"/>
      <c r="FD222" s="24" t="n"/>
      <c r="FE222" s="23" t="n"/>
      <c r="FF222" s="24" t="n"/>
      <c r="FG222" s="25" t="n"/>
      <c r="FH222" s="24" t="n"/>
      <c r="FI222" s="23" t="n"/>
      <c r="FJ222" s="24" t="n"/>
      <c r="FK222" s="25" t="n"/>
      <c r="FL222" s="24" t="n"/>
      <c r="FM222" s="23" t="n"/>
      <c r="FN222" s="24" t="n"/>
      <c r="FO222" s="25" t="n"/>
      <c r="FP222" s="24" t="n"/>
      <c r="FQ222" s="340" t="n"/>
      <c r="FR222" s="803">
        <f>SUMPRODUCT(--(MOD(COLUMN(DU222:ER222),4)=MOD(COLUMN(DU222),4)),DU222:ER222)+SUMPRODUCT(--(MOD(COLUMN(ES222:FP222),4)=MOD(COLUMN(ES222),4)),ES222:FP222)</f>
        <v/>
      </c>
      <c r="FS222" s="803">
        <f>SUMPRODUCT(--(MOD(COLUMN(DU222:ER222),4)=MOD(COLUMN(DU222),4)),DU222:ER222)*$I222+SUMPRODUCT(--(MOD(COLUMN(ES222:FP222),4)=MOD(COLUMN(ES222),4)),ES222:FP222)*$I222</f>
        <v/>
      </c>
      <c r="FT222" s="361" t="n"/>
    </row>
    <row r="223" outlineLevel="2">
      <c r="A223" s="56" t="inlineStr">
        <is>
          <t>СПЕЦАВТО-ВОСТОК ООО</t>
        </is>
      </c>
      <c r="B223" s="387" t="inlineStr">
        <is>
          <t>Отсрочка 15 дней</t>
        </is>
      </c>
      <c r="C223" s="173" t="inlineStr">
        <is>
          <t>ВБК РУС</t>
        </is>
      </c>
      <c r="D223" s="565" t="inlineStr">
        <is>
          <t>Прасолов, Соловьёв</t>
        </is>
      </c>
      <c r="E223" s="10">
        <f>IF(ISBLANK(G223),"",IF($A$6:$A$330=$A223,COUNTIF($A$6:A223,$A223),""))</f>
        <v/>
      </c>
      <c r="F223" s="10" t="n">
        <v>1</v>
      </c>
      <c r="G223" s="55" t="n">
        <v>4491731500</v>
      </c>
      <c r="H223" s="54" t="inlineStr">
        <is>
          <t>Кабель питания, 15 м</t>
        </is>
      </c>
      <c r="I223" s="617">
        <f>1176/НДС_20</f>
        <v/>
      </c>
      <c r="J223" s="617" t="n"/>
      <c r="K223" s="872" t="n"/>
      <c r="L223" s="617">
        <f>IF(K223="RUB",J223/ЮАНЬ,IF(K223="EUR",J223*ЕВРО/ЮАНЬ,""))</f>
        <v/>
      </c>
      <c r="M223" s="873" t="n"/>
      <c r="N223" s="871">
        <f>IF(BP223&gt;0,1,IF(BN223&gt;0,2,))</f>
        <v/>
      </c>
      <c r="O223" s="23" t="n"/>
      <c r="P223" s="24" t="n"/>
      <c r="Q223" s="25" t="n">
        <v>0</v>
      </c>
      <c r="R223" s="24" t="n"/>
      <c r="S223" s="23" t="n"/>
      <c r="T223" s="24" t="n"/>
      <c r="U223" s="25" t="n">
        <v>26</v>
      </c>
      <c r="V223" s="24" t="n"/>
      <c r="W223" s="23" t="n"/>
      <c r="X223" s="24" t="n"/>
      <c r="Y223" s="25" t="n">
        <v>34</v>
      </c>
      <c r="Z223" s="24" t="n"/>
      <c r="AA223" s="23" t="n"/>
      <c r="AB223" s="24" t="n"/>
      <c r="AC223" s="25" t="n">
        <v>0</v>
      </c>
      <c r="AD223" s="24" t="n"/>
      <c r="AE223" s="23" t="n"/>
      <c r="AF223" s="24" t="n"/>
      <c r="AG223" s="25" t="n">
        <v>20</v>
      </c>
      <c r="AH223" s="24" t="n"/>
      <c r="AI223" s="23" t="n"/>
      <c r="AJ223" s="24" t="n"/>
      <c r="AK223" s="25" t="n">
        <v>0</v>
      </c>
      <c r="AL223" s="24" t="n"/>
      <c r="AM223" s="23" t="n"/>
      <c r="AN223" s="24" t="n"/>
      <c r="AO223" s="25" t="n">
        <v>0</v>
      </c>
      <c r="AP223" s="24" t="n"/>
      <c r="AQ223" s="23" t="n"/>
      <c r="AR223" s="24" t="n"/>
      <c r="AS223" s="25" t="n">
        <v>0</v>
      </c>
      <c r="AT223" s="24" t="n"/>
      <c r="AU223" s="23" t="n"/>
      <c r="AV223" s="24" t="n"/>
      <c r="AW223" s="25" t="n">
        <v>0</v>
      </c>
      <c r="AX223" s="24" t="n"/>
      <c r="AY223" s="23" t="n"/>
      <c r="AZ223" s="24" t="n"/>
      <c r="BA223" s="25" t="n">
        <v>0</v>
      </c>
      <c r="BB223" s="24" t="n"/>
      <c r="BC223" s="23" t="n"/>
      <c r="BD223" s="24" t="n"/>
      <c r="BE223" s="25" t="n">
        <v>0</v>
      </c>
      <c r="BF223" s="24" t="n"/>
      <c r="BG223" s="23" t="n"/>
      <c r="BH223" s="24" t="n"/>
      <c r="BI223" s="25" t="n">
        <v>0</v>
      </c>
      <c r="BJ223" s="24" t="n"/>
      <c r="BK223" s="340" t="n"/>
      <c r="BL223" s="803">
        <f>SUMPRODUCT(--(MOD(COLUMN($O223:$AL223),4)=MOD(COLUMN($O223)+0,4)),$O223:$AL223)
+SUMPRODUCT(--(MOD(COLUMN($AM223:$BJ223),4)=MOD(COLUMN($AM223)+0,4)),$AM223:$BJ223)</f>
        <v/>
      </c>
      <c r="BM223" s="803">
        <f>SUMPRODUCT(--(MOD(COLUMN($O223:$AL223),4)=MOD(COLUMN($O223)+0,4)),$O223:$AL223)*
$I223+SUMPRODUCT(--(MOD(COLUMN($AM223:$BJ223),4)=MOD(COLUMN($AM223)+0,4)),$AM223:$BJ223)*$I223</f>
        <v/>
      </c>
      <c r="BN223" s="805">
        <f>SUMPRODUCT(--(MOD(COLUMN($O223:$AL223),4)=MOD(COLUMN($O223)+1,4)),$O223:$AL223)
+SUMPRODUCT(--(MOD(COLUMN($AM223:$BJ223),4)=MOD(COLUMN($AM223)+1,4)),$AM223:$BJ223)</f>
        <v/>
      </c>
      <c r="BO223" s="806">
        <f>SUMPRODUCT(--(MOD(COLUMN($O223:$AL223),4)=MOD(COLUMN($O223)+1,4)),$O223:$AL223)*
$I223+SUMPRODUCT(--(MOD(COLUMN($AM223:$BJ223),4)=MOD(COLUMN($AM223)+1,4)),$AM223:$BJ223)*$I223</f>
        <v/>
      </c>
      <c r="BP223" s="807">
        <f>SUMPRODUCT(--(MOD(COLUMN($O223:$AL223),4)=MOD(COLUMN($O223)+2,4)),$O223:$AL223)
+SUMPRODUCT(--(MOD(COLUMN($AM223:$BJ223),4)=MOD(COLUMN($AM223)+2,4)),$AM223:$BJ223)</f>
        <v/>
      </c>
      <c r="BQ223" s="808">
        <f>SUMPRODUCT(--(MOD(COLUMN($O223:$AL223),4)=MOD(COLUMN($O223)+2,4)),$O223:$AL223)*
$I223+SUMPRODUCT(--(MOD(COLUMN($AM223:$BJ223),4)=MOD(COLUMN($AM223)+2,4)),$AM223:$BJ223)*$I223</f>
        <v/>
      </c>
      <c r="BR223" s="801" t="n"/>
      <c r="BS223" s="819" t="n"/>
      <c r="BT223" s="23" t="n"/>
      <c r="BU223" s="24" t="n"/>
      <c r="BV223" s="25" t="n">
        <v>0</v>
      </c>
      <c r="BW223" s="24" t="n"/>
      <c r="BX223" s="23" t="n"/>
      <c r="BY223" s="24" t="n"/>
      <c r="BZ223" s="25" t="n">
        <v>0</v>
      </c>
      <c r="CA223" s="24" t="n"/>
      <c r="CB223" s="23" t="n"/>
      <c r="CC223" s="24" t="n"/>
      <c r="CD223" s="25" t="n">
        <v>0</v>
      </c>
      <c r="CE223" s="24" t="n"/>
      <c r="CF223" s="23" t="n"/>
      <c r="CG223" s="24" t="n"/>
      <c r="CH223" s="25" t="n">
        <v>0</v>
      </c>
      <c r="CI223" s="24" t="n"/>
      <c r="CJ223" s="23" t="n"/>
      <c r="CK223" s="24" t="n"/>
      <c r="CL223" s="25" t="n">
        <v>0</v>
      </c>
      <c r="CM223" s="24" t="n"/>
      <c r="CN223" s="23" t="n"/>
      <c r="CO223" s="24" t="n"/>
      <c r="CP223" s="25" t="n">
        <v>0</v>
      </c>
      <c r="CQ223" s="24" t="n"/>
      <c r="CR223" s="23" t="n"/>
      <c r="CS223" s="24" t="n"/>
      <c r="CT223" s="25" t="n">
        <v>0</v>
      </c>
      <c r="CU223" s="24" t="n"/>
      <c r="CV223" s="23" t="n"/>
      <c r="CW223" s="24" t="n"/>
      <c r="CX223" s="25" t="n">
        <v>0</v>
      </c>
      <c r="CY223" s="24" t="n"/>
      <c r="CZ223" s="23" t="n"/>
      <c r="DA223" s="24" t="n"/>
      <c r="DB223" s="25" t="n">
        <v>0</v>
      </c>
      <c r="DC223" s="24" t="n"/>
      <c r="DD223" s="23" t="n"/>
      <c r="DE223" s="24" t="n"/>
      <c r="DF223" s="25" t="n">
        <v>0</v>
      </c>
      <c r="DG223" s="24" t="n"/>
      <c r="DH223" s="23" t="n"/>
      <c r="DI223" s="24" t="n"/>
      <c r="DJ223" s="25" t="n">
        <v>0</v>
      </c>
      <c r="DK223" s="24" t="n"/>
      <c r="DL223" s="23" t="n"/>
      <c r="DM223" s="24" t="n"/>
      <c r="DN223" s="25" t="n">
        <v>0</v>
      </c>
      <c r="DO223" s="24" t="n"/>
      <c r="DP223" s="340" t="n"/>
      <c r="DQ223" s="803">
        <f>SUMPRODUCT(--(MOD(COLUMN(BT223:CQ223),4)=MOD(COLUMN(BT223),4)),BT223:CQ223)+SUMPRODUCT(--(MOD(COLUMN(CR223:DO223),4)=MOD(COLUMN(CR223),4)),CR223:DO223)</f>
        <v/>
      </c>
      <c r="DR223" s="803">
        <f>SUMPRODUCT(--(MOD(COLUMN(BT223:CQ223),4)=MOD(COLUMN(BT223),4)),BT223:CQ223)*$I223+SUMPRODUCT(--(MOD(COLUMN(CR223:DO223),4)=MOD(COLUMN(CR223),4)),CR223:DO223)*$I223</f>
        <v/>
      </c>
      <c r="DS223" s="801" t="n"/>
      <c r="DT223" s="819" t="n"/>
      <c r="DU223" s="23" t="n"/>
      <c r="DV223" s="24" t="n"/>
      <c r="DW223" s="25" t="n">
        <v>0</v>
      </c>
      <c r="DX223" s="24" t="n"/>
      <c r="DY223" s="23" t="n"/>
      <c r="DZ223" s="24" t="n"/>
      <c r="EA223" s="25" t="n">
        <v>0</v>
      </c>
      <c r="EB223" s="24" t="n"/>
      <c r="EC223" s="23" t="n"/>
      <c r="ED223" s="24" t="n"/>
      <c r="EE223" s="25" t="n">
        <v>0</v>
      </c>
      <c r="EF223" s="24" t="n"/>
      <c r="EG223" s="23" t="n"/>
      <c r="EH223" s="24" t="n"/>
      <c r="EI223" s="25" t="n">
        <v>0</v>
      </c>
      <c r="EJ223" s="24" t="n"/>
      <c r="EK223" s="23" t="n"/>
      <c r="EL223" s="24" t="n"/>
      <c r="EM223" s="25" t="n">
        <v>0</v>
      </c>
      <c r="EN223" s="24" t="n"/>
      <c r="EO223" s="23" t="n"/>
      <c r="EP223" s="24" t="n"/>
      <c r="EQ223" s="25" t="n">
        <v>0</v>
      </c>
      <c r="ER223" s="24" t="n"/>
      <c r="ES223" s="23" t="n"/>
      <c r="ET223" s="24" t="n"/>
      <c r="EU223" s="25" t="n">
        <v>0</v>
      </c>
      <c r="EV223" s="24" t="n"/>
      <c r="EW223" s="23" t="n"/>
      <c r="EX223" s="24" t="n"/>
      <c r="EY223" s="25" t="n">
        <v>0</v>
      </c>
      <c r="EZ223" s="24" t="n"/>
      <c r="FA223" s="23" t="n"/>
      <c r="FB223" s="24" t="n"/>
      <c r="FC223" s="25" t="n">
        <v>0</v>
      </c>
      <c r="FD223" s="24" t="n"/>
      <c r="FE223" s="23" t="n"/>
      <c r="FF223" s="24" t="n"/>
      <c r="FG223" s="25" t="n">
        <v>0</v>
      </c>
      <c r="FH223" s="24" t="n"/>
      <c r="FI223" s="23" t="n"/>
      <c r="FJ223" s="24" t="n"/>
      <c r="FK223" s="25" t="n">
        <v>0</v>
      </c>
      <c r="FL223" s="24" t="n"/>
      <c r="FM223" s="23" t="n"/>
      <c r="FN223" s="24" t="n"/>
      <c r="FO223" s="25" t="n">
        <v>0</v>
      </c>
      <c r="FP223" s="24" t="n"/>
      <c r="FQ223" s="340" t="n"/>
      <c r="FR223" s="803">
        <f>SUMPRODUCT(--(MOD(COLUMN(DU223:ER223),4)=MOD(COLUMN(DU223),4)),DU223:ER223)+SUMPRODUCT(--(MOD(COLUMN(ES223:FP223),4)=MOD(COLUMN(ES223),4)),ES223:FP223)</f>
        <v/>
      </c>
      <c r="FS223" s="803">
        <f>SUMPRODUCT(--(MOD(COLUMN(DU223:ER223),4)=MOD(COLUMN(DU223),4)),DU223:ER223)*$I223+SUMPRODUCT(--(MOD(COLUMN(ES223:FP223),4)=MOD(COLUMN(ES223),4)),ES223:FP223)*$I223</f>
        <v/>
      </c>
      <c r="FT223" s="361" t="n"/>
    </row>
    <row r="224" outlineLevel="2">
      <c r="A224" s="413" t="inlineStr">
        <is>
          <t>СПЕЦАВТО-ВОСТОК ООО</t>
        </is>
      </c>
      <c r="B224" s="444" t="inlineStr">
        <is>
          <t>Отсрочка 15 дней</t>
        </is>
      </c>
      <c r="C224" s="592" t="inlineStr">
        <is>
          <t>ВБК РУС</t>
        </is>
      </c>
      <c r="D224" s="580" t="inlineStr">
        <is>
          <t>Прасолов, Соловьёв</t>
        </is>
      </c>
      <c r="E224" s="414">
        <f>IF(ISBLANK(G224),"",IF($A$6:$A$330=$A224,COUNTIF($A$6:A224,$A224),""))</f>
        <v/>
      </c>
      <c r="F224" s="284" t="n">
        <v>1</v>
      </c>
      <c r="G224" s="304" t="n">
        <v>4750103050</v>
      </c>
      <c r="H224" s="602" t="inlineStr">
        <is>
          <t>Клапан ограничения давления</t>
        </is>
      </c>
      <c r="I224" s="616">
        <f>108/НДС_20</f>
        <v/>
      </c>
      <c r="J224" s="616" t="n"/>
      <c r="K224" s="870" t="n"/>
      <c r="L224" s="616" t="n"/>
      <c r="M224" s="871" t="n"/>
      <c r="N224" s="871">
        <f>IF(BP224&gt;0,1,IF(BN224&gt;0,2,))</f>
        <v/>
      </c>
      <c r="O224" s="322" t="n"/>
      <c r="P224" s="408" t="n"/>
      <c r="Q224" s="307" t="n"/>
      <c r="R224" s="408" t="n"/>
      <c r="S224" s="322" t="n"/>
      <c r="T224" s="408" t="n"/>
      <c r="U224" s="307" t="n"/>
      <c r="V224" s="408" t="n"/>
      <c r="W224" s="322" t="n"/>
      <c r="X224" s="408" t="n"/>
      <c r="Y224" s="307" t="n"/>
      <c r="Z224" s="408" t="n"/>
      <c r="AA224" s="322" t="n"/>
      <c r="AB224" s="408">
        <f>3</f>
        <v/>
      </c>
      <c r="AC224" s="307" t="n">
        <v>3</v>
      </c>
      <c r="AD224" s="408" t="n"/>
      <c r="AE224" s="322" t="n"/>
      <c r="AF224" s="408" t="n"/>
      <c r="AG224" s="307" t="n"/>
      <c r="AH224" s="408" t="n"/>
      <c r="AI224" s="322" t="n"/>
      <c r="AJ224" s="408" t="n"/>
      <c r="AK224" s="307" t="n"/>
      <c r="AL224" s="408" t="n"/>
      <c r="AM224" s="322" t="n"/>
      <c r="AN224" s="408" t="n"/>
      <c r="AO224" s="307" t="n"/>
      <c r="AP224" s="408" t="n"/>
      <c r="AQ224" s="322" t="n"/>
      <c r="AR224" s="408" t="n"/>
      <c r="AS224" s="307" t="n"/>
      <c r="AT224" s="408" t="n"/>
      <c r="AU224" s="322" t="n"/>
      <c r="AV224" s="408" t="n"/>
      <c r="AW224" s="307" t="n"/>
      <c r="AX224" s="408" t="n"/>
      <c r="AY224" s="322" t="n"/>
      <c r="AZ224" s="408" t="n"/>
      <c r="BA224" s="307" t="n"/>
      <c r="BB224" s="408" t="n"/>
      <c r="BC224" s="322" t="n"/>
      <c r="BD224" s="408" t="n"/>
      <c r="BE224" s="307" t="n"/>
      <c r="BF224" s="408" t="n"/>
      <c r="BG224" s="322" t="n"/>
      <c r="BH224" s="408" t="n"/>
      <c r="BI224" s="307" t="n"/>
      <c r="BJ224" s="408" t="n"/>
      <c r="BK224" s="340" t="n"/>
      <c r="BL224" s="820">
        <f>SUMPRODUCT(--(MOD(COLUMN($O224:$AL224),4)=MOD(COLUMN($O224)+0,4)),$O224:$AL224)
+SUMPRODUCT(--(MOD(COLUMN($AM224:$BJ224),4)=MOD(COLUMN($AM224)+0,4)),$AM224:$BJ224)</f>
        <v/>
      </c>
      <c r="BM224" s="820">
        <f>SUMPRODUCT(--(MOD(COLUMN($O224:$AL224),4)=MOD(COLUMN($O224)+0,4)),$O224:$AL224)*
$I224+SUMPRODUCT(--(MOD(COLUMN($AM224:$BJ224),4)=MOD(COLUMN($AM224)+0,4)),$AM224:$BJ224)*$I224</f>
        <v/>
      </c>
      <c r="BN224" s="822">
        <f>SUMPRODUCT(--(MOD(COLUMN($O224:$AL224),4)=MOD(COLUMN($O224)+1,4)),$O224:$AL224)
+SUMPRODUCT(--(MOD(COLUMN($AM224:$BJ224),4)=MOD(COLUMN($AM224)+1,4)),$AM224:$BJ224)</f>
        <v/>
      </c>
      <c r="BO224" s="823">
        <f>SUMPRODUCT(--(MOD(COLUMN($O224:$AL224),4)=MOD(COLUMN($O224)+1,4)),$O224:$AL224)*
$I224+SUMPRODUCT(--(MOD(COLUMN($AM224:$BJ224),4)=MOD(COLUMN($AM224)+1,4)),$AM224:$BJ224)*$I224</f>
        <v/>
      </c>
      <c r="BP224" s="824">
        <f>SUMPRODUCT(--(MOD(COLUMN($O224:$AL224),4)=MOD(COLUMN($O224)+2,4)),$O224:$AL224)
+SUMPRODUCT(--(MOD(COLUMN($AM224:$BJ224),4)=MOD(COLUMN($AM224)+2,4)),$AM224:$BJ224)</f>
        <v/>
      </c>
      <c r="BQ224" s="825">
        <f>SUMPRODUCT(--(MOD(COLUMN($O224:$AL224),4)=MOD(COLUMN($O224)+2,4)),$O224:$AL224)*
$I224+SUMPRODUCT(--(MOD(COLUMN($AM224:$BJ224),4)=MOD(COLUMN($AM224)+2,4)),$AM224:$BJ224)*$I224</f>
        <v/>
      </c>
      <c r="BR224" s="819" t="n"/>
      <c r="BS224" s="819" t="n"/>
      <c r="BT224" s="322" t="n"/>
      <c r="BU224" s="408" t="n"/>
      <c r="BV224" s="307" t="n"/>
      <c r="BW224" s="408" t="n"/>
      <c r="BX224" s="322" t="n"/>
      <c r="BY224" s="408" t="n"/>
      <c r="BZ224" s="307" t="n"/>
      <c r="CA224" s="408" t="n"/>
      <c r="CB224" s="322" t="n"/>
      <c r="CC224" s="408" t="n"/>
      <c r="CD224" s="307" t="n"/>
      <c r="CE224" s="408" t="n"/>
      <c r="CF224" s="322" t="n"/>
      <c r="CG224" s="408" t="n"/>
      <c r="CH224" s="307" t="n"/>
      <c r="CI224" s="408" t="n"/>
      <c r="CJ224" s="322" t="n"/>
      <c r="CK224" s="408" t="n"/>
      <c r="CL224" s="307" t="n"/>
      <c r="CM224" s="408" t="n"/>
      <c r="CN224" s="322" t="n"/>
      <c r="CO224" s="408" t="n"/>
      <c r="CP224" s="307" t="n"/>
      <c r="CQ224" s="408" t="n"/>
      <c r="CR224" s="322" t="n"/>
      <c r="CS224" s="408" t="n"/>
      <c r="CT224" s="307" t="n"/>
      <c r="CU224" s="408" t="n"/>
      <c r="CV224" s="322" t="n"/>
      <c r="CW224" s="408" t="n"/>
      <c r="CX224" s="307" t="n"/>
      <c r="CY224" s="408" t="n"/>
      <c r="CZ224" s="322" t="n"/>
      <c r="DA224" s="408" t="n"/>
      <c r="DB224" s="307" t="n"/>
      <c r="DC224" s="408" t="n"/>
      <c r="DD224" s="322" t="n"/>
      <c r="DE224" s="408" t="n"/>
      <c r="DF224" s="307" t="n"/>
      <c r="DG224" s="408" t="n"/>
      <c r="DH224" s="322" t="n"/>
      <c r="DI224" s="408" t="n"/>
      <c r="DJ224" s="307" t="n"/>
      <c r="DK224" s="408" t="n"/>
      <c r="DL224" s="322" t="n"/>
      <c r="DM224" s="408" t="n"/>
      <c r="DN224" s="307" t="n"/>
      <c r="DO224" s="408" t="n"/>
      <c r="DP224" s="340" t="n"/>
      <c r="DQ224" s="820">
        <f>SUMPRODUCT(--(MOD(COLUMN(BT224:CQ224),4)=MOD(COLUMN(BT224),4)),BT224:CQ224)+SUMPRODUCT(--(MOD(COLUMN(CR224:DO224),4)=MOD(COLUMN(CR224),4)),CR224:DO224)</f>
        <v/>
      </c>
      <c r="DR224" s="820">
        <f>SUMPRODUCT(--(MOD(COLUMN(BT224:CQ224),4)=MOD(COLUMN(BT224),4)),BT224:CQ224)*$I224+SUMPRODUCT(--(MOD(COLUMN(CR224:DO224),4)=MOD(COLUMN(CR224),4)),CR224:DO224)*$I224</f>
        <v/>
      </c>
      <c r="DS224" s="819" t="n"/>
      <c r="DT224" s="819" t="n"/>
      <c r="DU224" s="322" t="n"/>
      <c r="DV224" s="408" t="n"/>
      <c r="DW224" s="307" t="n"/>
      <c r="DX224" s="408" t="n"/>
      <c r="DY224" s="322" t="n"/>
      <c r="DZ224" s="408" t="n"/>
      <c r="EA224" s="307" t="n"/>
      <c r="EB224" s="408" t="n"/>
      <c r="EC224" s="322" t="n"/>
      <c r="ED224" s="408" t="n"/>
      <c r="EE224" s="307" t="n"/>
      <c r="EF224" s="408" t="n"/>
      <c r="EG224" s="322" t="n"/>
      <c r="EH224" s="408" t="n"/>
      <c r="EI224" s="307" t="n"/>
      <c r="EJ224" s="408" t="n"/>
      <c r="EK224" s="322" t="n"/>
      <c r="EL224" s="408" t="n"/>
      <c r="EM224" s="307" t="n"/>
      <c r="EN224" s="408" t="n"/>
      <c r="EO224" s="322" t="n"/>
      <c r="EP224" s="408" t="n"/>
      <c r="EQ224" s="307" t="n"/>
      <c r="ER224" s="408" t="n"/>
      <c r="ES224" s="322" t="n"/>
      <c r="ET224" s="408" t="n"/>
      <c r="EU224" s="307" t="n"/>
      <c r="EV224" s="408" t="n"/>
      <c r="EW224" s="322" t="n"/>
      <c r="EX224" s="408" t="n"/>
      <c r="EY224" s="307" t="n"/>
      <c r="EZ224" s="408" t="n"/>
      <c r="FA224" s="322" t="n"/>
      <c r="FB224" s="408" t="n"/>
      <c r="FC224" s="307" t="n"/>
      <c r="FD224" s="408" t="n"/>
      <c r="FE224" s="322" t="n"/>
      <c r="FF224" s="408" t="n"/>
      <c r="FG224" s="307" t="n"/>
      <c r="FH224" s="408" t="n"/>
      <c r="FI224" s="322" t="n"/>
      <c r="FJ224" s="408" t="n"/>
      <c r="FK224" s="307" t="n"/>
      <c r="FL224" s="408" t="n"/>
      <c r="FM224" s="322" t="n"/>
      <c r="FN224" s="408" t="n"/>
      <c r="FO224" s="307" t="n"/>
      <c r="FP224" s="408" t="n"/>
      <c r="FQ224" s="340" t="n"/>
      <c r="FR224" s="820">
        <f>SUMPRODUCT(--(MOD(COLUMN(DU224:ER224),4)=MOD(COLUMN(DU224),4)),DU224:ER224)+SUMPRODUCT(--(MOD(COLUMN(ES224:FP224),4)=MOD(COLUMN(ES224),4)),ES224:FP224)</f>
        <v/>
      </c>
      <c r="FS224" s="820">
        <f>SUMPRODUCT(--(MOD(COLUMN(DU224:ER224),4)=MOD(COLUMN(DU224),4)),DU224:ER224)*$I224+SUMPRODUCT(--(MOD(COLUMN(ES224:FP224),4)=MOD(COLUMN(ES224),4)),ES224:FP224)*$I224</f>
        <v/>
      </c>
      <c r="FT224" s="361" t="n"/>
    </row>
    <row r="225" outlineLevel="2">
      <c r="A225" s="375" t="inlineStr">
        <is>
          <t>СПЕЦАВТО-ВОСТОК ООО</t>
        </is>
      </c>
      <c r="B225" s="389" t="inlineStr">
        <is>
          <t>Отсрочка 15 дней</t>
        </is>
      </c>
      <c r="C225" s="311" t="inlineStr">
        <is>
          <t>ВБК РУС</t>
        </is>
      </c>
      <c r="D225" s="575" t="inlineStr">
        <is>
          <t>Прасолов, Соловьёв</t>
        </is>
      </c>
      <c r="E225" s="284">
        <f>IF(ISBLANK(G225),"",IF($A$6:$A$330=$A225,COUNTIF($A$6:A225,$A225),""))</f>
        <v/>
      </c>
      <c r="F225" s="284" t="n">
        <v>2</v>
      </c>
      <c r="G225" s="304" t="n">
        <v>9710020400</v>
      </c>
      <c r="H225" s="602" t="inlineStr">
        <is>
          <t>Воздухораспределитель (без кл. растормаживания)</t>
        </is>
      </c>
      <c r="I225" s="616">
        <f>560/НДС</f>
        <v/>
      </c>
      <c r="J225" s="616" t="n"/>
      <c r="K225" s="870" t="n"/>
      <c r="L225" s="616" t="n"/>
      <c r="M225" s="871" t="n"/>
      <c r="N225" s="871">
        <f>IF(BP225&gt;0,1,IF(BN225&gt;0,2,))</f>
        <v/>
      </c>
      <c r="O225" s="322" t="n"/>
      <c r="P225" s="408" t="n"/>
      <c r="Q225" s="307" t="n">
        <v>0</v>
      </c>
      <c r="R225" s="408" t="n"/>
      <c r="S225" s="322" t="n"/>
      <c r="T225" s="408" t="n"/>
      <c r="U225" s="307" t="n">
        <v>5</v>
      </c>
      <c r="V225" s="408" t="n"/>
      <c r="W225" s="322" t="n"/>
      <c r="X225" s="408">
        <f>2</f>
        <v/>
      </c>
      <c r="Y225" s="307" t="n">
        <v>2</v>
      </c>
      <c r="Z225" s="408" t="n"/>
      <c r="AA225" s="322" t="n"/>
      <c r="AB225" s="408" t="n"/>
      <c r="AC225" s="307" t="n">
        <v>0</v>
      </c>
      <c r="AD225" s="408" t="n"/>
      <c r="AE225" s="322" t="n"/>
      <c r="AF225" s="408">
        <f>1</f>
        <v/>
      </c>
      <c r="AG225" s="307" t="n">
        <v>1</v>
      </c>
      <c r="AH225" s="408" t="n"/>
      <c r="AI225" s="322" t="n"/>
      <c r="AJ225" s="408" t="n"/>
      <c r="AK225" s="307" t="n">
        <v>0</v>
      </c>
      <c r="AL225" s="408" t="n"/>
      <c r="AM225" s="322" t="n"/>
      <c r="AN225" s="408" t="n"/>
      <c r="AO225" s="307" t="n">
        <v>0</v>
      </c>
      <c r="AP225" s="408" t="n"/>
      <c r="AQ225" s="322" t="n"/>
      <c r="AR225" s="408" t="n"/>
      <c r="AS225" s="307" t="n">
        <v>0</v>
      </c>
      <c r="AT225" s="408" t="n"/>
      <c r="AU225" s="322" t="n"/>
      <c r="AV225" s="408" t="n"/>
      <c r="AW225" s="307" t="n">
        <v>0</v>
      </c>
      <c r="AX225" s="408" t="n"/>
      <c r="AY225" s="322" t="n"/>
      <c r="AZ225" s="408" t="n"/>
      <c r="BA225" s="307" t="n">
        <v>0</v>
      </c>
      <c r="BB225" s="408" t="n"/>
      <c r="BC225" s="322" t="n"/>
      <c r="BD225" s="408" t="n"/>
      <c r="BE225" s="307" t="n">
        <v>0</v>
      </c>
      <c r="BF225" s="408" t="n"/>
      <c r="BG225" s="322" t="n"/>
      <c r="BH225" s="408" t="n"/>
      <c r="BI225" s="307" t="n">
        <v>0</v>
      </c>
      <c r="BJ225" s="408" t="n"/>
      <c r="BK225" s="340" t="n"/>
      <c r="BL225" s="820">
        <f>SUMPRODUCT(--(MOD(COLUMN($O225:$AL225),4)=MOD(COLUMN($O225)+0,4)),$O225:$AL225)
+SUMPRODUCT(--(MOD(COLUMN($AM225:$BJ225),4)=MOD(COLUMN($AM225)+0,4)),$AM225:$BJ225)</f>
        <v/>
      </c>
      <c r="BM225" s="820">
        <f>SUMPRODUCT(--(MOD(COLUMN($O225:$AL225),4)=MOD(COLUMN($O225)+0,4)),$O225:$AL225)*
$I225+SUMPRODUCT(--(MOD(COLUMN($AM225:$BJ225),4)=MOD(COLUMN($AM225)+0,4)),$AM225:$BJ225)*$I225</f>
        <v/>
      </c>
      <c r="BN225" s="822">
        <f>SUMPRODUCT(--(MOD(COLUMN($O225:$AL225),4)=MOD(COLUMN($O225)+1,4)),$O225:$AL225)
+SUMPRODUCT(--(MOD(COLUMN($AM225:$BJ225),4)=MOD(COLUMN($AM225)+1,4)),$AM225:$BJ225)</f>
        <v/>
      </c>
      <c r="BO225" s="823">
        <f>SUMPRODUCT(--(MOD(COLUMN($O225:$AL225),4)=MOD(COLUMN($O225)+1,4)),$O225:$AL225)*
$I225+SUMPRODUCT(--(MOD(COLUMN($AM225:$BJ225),4)=MOD(COLUMN($AM225)+1,4)),$AM225:$BJ225)*$I225</f>
        <v/>
      </c>
      <c r="BP225" s="824">
        <f>SUMPRODUCT(--(MOD(COLUMN($O225:$AL225),4)=MOD(COLUMN($O225)+2,4)),$O225:$AL225)
+SUMPRODUCT(--(MOD(COLUMN($AM225:$BJ225),4)=MOD(COLUMN($AM225)+2,4)),$AM225:$BJ225)</f>
        <v/>
      </c>
      <c r="BQ225" s="825">
        <f>SUMPRODUCT(--(MOD(COLUMN($O225:$AL225),4)=MOD(COLUMN($O225)+2,4)),$O225:$AL225)*
$I225+SUMPRODUCT(--(MOD(COLUMN($AM225:$BJ225),4)=MOD(COLUMN($AM225)+2,4)),$AM225:$BJ225)*$I225</f>
        <v/>
      </c>
      <c r="BR225" s="819" t="n"/>
      <c r="BS225" s="819" t="n"/>
      <c r="BT225" s="322" t="n"/>
      <c r="BU225" s="408" t="n"/>
      <c r="BV225" s="307" t="n">
        <v>0</v>
      </c>
      <c r="BW225" s="408" t="n"/>
      <c r="BX225" s="322" t="n"/>
      <c r="BY225" s="408" t="n"/>
      <c r="BZ225" s="307" t="n">
        <v>0</v>
      </c>
      <c r="CA225" s="408" t="n"/>
      <c r="CB225" s="322" t="n"/>
      <c r="CC225" s="408" t="n"/>
      <c r="CD225" s="307" t="n">
        <v>0</v>
      </c>
      <c r="CE225" s="408" t="n"/>
      <c r="CF225" s="322" t="n"/>
      <c r="CG225" s="408" t="n"/>
      <c r="CH225" s="307" t="n">
        <v>0</v>
      </c>
      <c r="CI225" s="408" t="n"/>
      <c r="CJ225" s="322" t="n"/>
      <c r="CK225" s="408" t="n"/>
      <c r="CL225" s="307" t="n">
        <v>0</v>
      </c>
      <c r="CM225" s="408" t="n"/>
      <c r="CN225" s="322" t="n"/>
      <c r="CO225" s="408" t="n"/>
      <c r="CP225" s="307" t="n">
        <v>0</v>
      </c>
      <c r="CQ225" s="408" t="n"/>
      <c r="CR225" s="322" t="n"/>
      <c r="CS225" s="408" t="n"/>
      <c r="CT225" s="307" t="n">
        <v>0</v>
      </c>
      <c r="CU225" s="408" t="n"/>
      <c r="CV225" s="322" t="n"/>
      <c r="CW225" s="408" t="n"/>
      <c r="CX225" s="307" t="n">
        <v>0</v>
      </c>
      <c r="CY225" s="408" t="n"/>
      <c r="CZ225" s="322" t="n"/>
      <c r="DA225" s="408" t="n"/>
      <c r="DB225" s="307" t="n">
        <v>0</v>
      </c>
      <c r="DC225" s="408" t="n"/>
      <c r="DD225" s="322" t="n"/>
      <c r="DE225" s="408" t="n"/>
      <c r="DF225" s="307" t="n">
        <v>0</v>
      </c>
      <c r="DG225" s="408" t="n"/>
      <c r="DH225" s="322" t="n"/>
      <c r="DI225" s="408" t="n"/>
      <c r="DJ225" s="307" t="n">
        <v>0</v>
      </c>
      <c r="DK225" s="408" t="n"/>
      <c r="DL225" s="322" t="n"/>
      <c r="DM225" s="408" t="n"/>
      <c r="DN225" s="307" t="n">
        <v>0</v>
      </c>
      <c r="DO225" s="408" t="n"/>
      <c r="DP225" s="340" t="n"/>
      <c r="DQ225" s="820" t="n"/>
      <c r="DR225" s="820" t="n"/>
      <c r="DS225" s="819" t="n"/>
      <c r="DT225" s="819" t="n"/>
      <c r="DU225" s="322" t="n"/>
      <c r="DV225" s="408" t="n"/>
      <c r="DW225" s="307" t="n">
        <v>0</v>
      </c>
      <c r="DX225" s="408" t="n"/>
      <c r="DY225" s="322" t="n"/>
      <c r="DZ225" s="408" t="n"/>
      <c r="EA225" s="307" t="n">
        <v>0</v>
      </c>
      <c r="EB225" s="408" t="n"/>
      <c r="EC225" s="322" t="n"/>
      <c r="ED225" s="408" t="n"/>
      <c r="EE225" s="307" t="n">
        <v>0</v>
      </c>
      <c r="EF225" s="408" t="n"/>
      <c r="EG225" s="322" t="n"/>
      <c r="EH225" s="408" t="n"/>
      <c r="EI225" s="307" t="n">
        <v>0</v>
      </c>
      <c r="EJ225" s="408" t="n"/>
      <c r="EK225" s="322" t="n"/>
      <c r="EL225" s="408" t="n"/>
      <c r="EM225" s="307" t="n">
        <v>0</v>
      </c>
      <c r="EN225" s="408" t="n"/>
      <c r="EO225" s="322" t="n"/>
      <c r="EP225" s="408" t="n"/>
      <c r="EQ225" s="307" t="n">
        <v>0</v>
      </c>
      <c r="ER225" s="408" t="n"/>
      <c r="ES225" s="322" t="n"/>
      <c r="ET225" s="408" t="n"/>
      <c r="EU225" s="307" t="n">
        <v>0</v>
      </c>
      <c r="EV225" s="408" t="n"/>
      <c r="EW225" s="322" t="n"/>
      <c r="EX225" s="408" t="n"/>
      <c r="EY225" s="307" t="n">
        <v>0</v>
      </c>
      <c r="EZ225" s="408" t="n"/>
      <c r="FA225" s="322" t="n"/>
      <c r="FB225" s="408" t="n"/>
      <c r="FC225" s="307" t="n">
        <v>0</v>
      </c>
      <c r="FD225" s="408" t="n"/>
      <c r="FE225" s="322" t="n"/>
      <c r="FF225" s="408" t="n"/>
      <c r="FG225" s="307" t="n">
        <v>0</v>
      </c>
      <c r="FH225" s="408" t="n"/>
      <c r="FI225" s="322" t="n"/>
      <c r="FJ225" s="408" t="n"/>
      <c r="FK225" s="307" t="n">
        <v>0</v>
      </c>
      <c r="FL225" s="408" t="n"/>
      <c r="FM225" s="322" t="n"/>
      <c r="FN225" s="408" t="n"/>
      <c r="FO225" s="307" t="n">
        <v>0</v>
      </c>
      <c r="FP225" s="408" t="n"/>
      <c r="FQ225" s="340" t="n"/>
      <c r="FR225" s="820" t="n"/>
      <c r="FS225" s="820" t="n"/>
      <c r="FT225" s="361" t="n"/>
    </row>
    <row r="226" outlineLevel="2">
      <c r="A226" s="413" t="inlineStr">
        <is>
          <t>СПЕЦАВТО-ВОСТОК ООО</t>
        </is>
      </c>
      <c r="B226" s="444" t="inlineStr">
        <is>
          <t>Отсрочка 15 дней</t>
        </is>
      </c>
      <c r="C226" s="592" t="inlineStr">
        <is>
          <t>ВБК РУС</t>
        </is>
      </c>
      <c r="D226" s="580" t="inlineStr">
        <is>
          <t>Прасолов, Соловьёв</t>
        </is>
      </c>
      <c r="E226" s="414">
        <f>IF(ISBLANK(G226),"",IF($A$6:$A$330=$A226,COUNTIF($A$6:A226,$A226),""))</f>
        <v/>
      </c>
      <c r="F226" s="284" t="n">
        <v>2</v>
      </c>
      <c r="G226" s="304" t="n">
        <v>4493702820</v>
      </c>
      <c r="H226" s="602" t="inlineStr">
        <is>
          <t>Кабель питания ABS, часть 1</t>
        </is>
      </c>
      <c r="I226" s="616">
        <f>228.12/НДС_20</f>
        <v/>
      </c>
      <c r="J226" s="616" t="n"/>
      <c r="K226" s="870" t="n"/>
      <c r="L226" s="616" t="n"/>
      <c r="M226" s="871" t="n"/>
      <c r="N226" s="871">
        <f>IF(BP226&gt;0,1,IF(BN226&gt;0,2,))</f>
        <v/>
      </c>
      <c r="O226" s="322" t="n"/>
      <c r="P226" s="408" t="n"/>
      <c r="Q226" s="307" t="n">
        <v>0</v>
      </c>
      <c r="R226" s="408" t="n"/>
      <c r="S226" s="322" t="n"/>
      <c r="T226" s="408" t="n"/>
      <c r="U226" s="307" t="n">
        <v>0</v>
      </c>
      <c r="V226" s="408" t="n"/>
      <c r="W226" s="322" t="n"/>
      <c r="X226" s="408" t="n"/>
      <c r="Y226" s="307" t="n">
        <v>0</v>
      </c>
      <c r="Z226" s="408" t="n"/>
      <c r="AA226" s="322" t="n"/>
      <c r="AB226" s="408" t="n"/>
      <c r="AC226" s="307" t="n">
        <v>0</v>
      </c>
      <c r="AD226" s="408" t="n"/>
      <c r="AE226" s="322" t="n"/>
      <c r="AF226" s="408" t="n"/>
      <c r="AG226" s="307" t="n">
        <v>0</v>
      </c>
      <c r="AH226" s="408" t="n"/>
      <c r="AI226" s="322" t="n"/>
      <c r="AJ226" s="408" t="n"/>
      <c r="AK226" s="307" t="n">
        <v>0</v>
      </c>
      <c r="AL226" s="408" t="n"/>
      <c r="AM226" s="322" t="n"/>
      <c r="AN226" s="408" t="n"/>
      <c r="AO226" s="307" t="n">
        <v>0</v>
      </c>
      <c r="AP226" s="408" t="n"/>
      <c r="AQ226" s="322" t="n"/>
      <c r="AR226" s="408" t="n"/>
      <c r="AS226" s="307" t="n">
        <v>0</v>
      </c>
      <c r="AT226" s="408" t="n"/>
      <c r="AU226" s="322" t="n"/>
      <c r="AV226" s="408" t="n"/>
      <c r="AW226" s="307" t="n">
        <v>0</v>
      </c>
      <c r="AX226" s="408" t="n"/>
      <c r="AY226" s="322" t="n"/>
      <c r="AZ226" s="408" t="n"/>
      <c r="BA226" s="307" t="n">
        <v>0</v>
      </c>
      <c r="BB226" s="408" t="n"/>
      <c r="BC226" s="322" t="n"/>
      <c r="BD226" s="408" t="n"/>
      <c r="BE226" s="307" t="n">
        <v>0</v>
      </c>
      <c r="BF226" s="408" t="n"/>
      <c r="BG226" s="322" t="n"/>
      <c r="BH226" s="408" t="n"/>
      <c r="BI226" s="307" t="n">
        <v>0</v>
      </c>
      <c r="BJ226" s="408" t="n"/>
      <c r="BK226" s="340" t="n"/>
      <c r="BL226" s="820">
        <f>SUMPRODUCT(--(MOD(COLUMN($O226:$AL226),4)=MOD(COLUMN($O226)+0,4)),$O226:$AL226)
+SUMPRODUCT(--(MOD(COLUMN($AM226:$BJ226),4)=MOD(COLUMN($AM226)+0,4)),$AM226:$BJ226)</f>
        <v/>
      </c>
      <c r="BM226" s="820">
        <f>SUMPRODUCT(--(MOD(COLUMN($O226:$AL226),4)=MOD(COLUMN($O226)+0,4)),$O226:$AL226)*
$I226+SUMPRODUCT(--(MOD(COLUMN($AM226:$BJ226),4)=MOD(COLUMN($AM226)+0,4)),$AM226:$BJ226)*$I226</f>
        <v/>
      </c>
      <c r="BN226" s="822">
        <f>SUMPRODUCT(--(MOD(COLUMN($O226:$AL226),4)=MOD(COLUMN($O226)+1,4)),$O226:$AL226)
+SUMPRODUCT(--(MOD(COLUMN($AM226:$BJ226),4)=MOD(COLUMN($AM226)+1,4)),$AM226:$BJ226)</f>
        <v/>
      </c>
      <c r="BO226" s="823">
        <f>SUMPRODUCT(--(MOD(COLUMN($O226:$AL226),4)=MOD(COLUMN($O226)+1,4)),$O226:$AL226)*
$I226+SUMPRODUCT(--(MOD(COLUMN($AM226:$BJ226),4)=MOD(COLUMN($AM226)+1,4)),$AM226:$BJ226)*$I226</f>
        <v/>
      </c>
      <c r="BP226" s="824">
        <f>SUMPRODUCT(--(MOD(COLUMN($O226:$AL226),4)=MOD(COLUMN($O226)+2,4)),$O226:$AL226)
+SUMPRODUCT(--(MOD(COLUMN($AM226:$BJ226),4)=MOD(COLUMN($AM226)+2,4)),$AM226:$BJ226)</f>
        <v/>
      </c>
      <c r="BQ226" s="825">
        <f>SUMPRODUCT(--(MOD(COLUMN($O226:$AL226),4)=MOD(COLUMN($O226)+2,4)),$O226:$AL226)*
$I226+SUMPRODUCT(--(MOD(COLUMN($AM226:$BJ226),4)=MOD(COLUMN($AM226)+2,4)),$AM226:$BJ226)*$I226</f>
        <v/>
      </c>
      <c r="BR226" s="819" t="n"/>
      <c r="BS226" s="819" t="n"/>
      <c r="BT226" s="322" t="n"/>
      <c r="BU226" s="408" t="n"/>
      <c r="BV226" s="307" t="n">
        <v>0</v>
      </c>
      <c r="BW226" s="408" t="n"/>
      <c r="BX226" s="322" t="n"/>
      <c r="BY226" s="408" t="n"/>
      <c r="BZ226" s="307" t="n">
        <v>0</v>
      </c>
      <c r="CA226" s="408" t="n"/>
      <c r="CB226" s="322" t="n"/>
      <c r="CC226" s="408" t="n"/>
      <c r="CD226" s="307" t="n">
        <v>0</v>
      </c>
      <c r="CE226" s="408" t="n"/>
      <c r="CF226" s="322" t="n"/>
      <c r="CG226" s="408" t="n"/>
      <c r="CH226" s="307" t="n">
        <v>0</v>
      </c>
      <c r="CI226" s="408" t="n"/>
      <c r="CJ226" s="322" t="n"/>
      <c r="CK226" s="408" t="n"/>
      <c r="CL226" s="307" t="n">
        <v>0</v>
      </c>
      <c r="CM226" s="408" t="n"/>
      <c r="CN226" s="322" t="n"/>
      <c r="CO226" s="408" t="n"/>
      <c r="CP226" s="307" t="n">
        <v>0</v>
      </c>
      <c r="CQ226" s="408" t="n"/>
      <c r="CR226" s="322" t="n"/>
      <c r="CS226" s="408" t="n"/>
      <c r="CT226" s="307" t="n">
        <v>0</v>
      </c>
      <c r="CU226" s="408" t="n"/>
      <c r="CV226" s="322" t="n"/>
      <c r="CW226" s="408" t="n"/>
      <c r="CX226" s="307" t="n">
        <v>0</v>
      </c>
      <c r="CY226" s="408" t="n"/>
      <c r="CZ226" s="322" t="n"/>
      <c r="DA226" s="408" t="n"/>
      <c r="DB226" s="307" t="n">
        <v>0</v>
      </c>
      <c r="DC226" s="408" t="n"/>
      <c r="DD226" s="322" t="n"/>
      <c r="DE226" s="408" t="n"/>
      <c r="DF226" s="307" t="n">
        <v>0</v>
      </c>
      <c r="DG226" s="408" t="n"/>
      <c r="DH226" s="322" t="n"/>
      <c r="DI226" s="408" t="n"/>
      <c r="DJ226" s="307" t="n">
        <v>0</v>
      </c>
      <c r="DK226" s="408" t="n"/>
      <c r="DL226" s="322" t="n"/>
      <c r="DM226" s="408" t="n"/>
      <c r="DN226" s="307" t="n">
        <v>0</v>
      </c>
      <c r="DO226" s="408" t="n"/>
      <c r="DP226" s="340" t="n"/>
      <c r="DQ226" s="820">
        <f>SUMPRODUCT(--(MOD(COLUMN(BT226:CQ226),4)=MOD(COLUMN(BT226),4)),BT226:CQ226)+SUMPRODUCT(--(MOD(COLUMN(CR226:DO226),4)=MOD(COLUMN(CR226),4)),CR226:DO226)</f>
        <v/>
      </c>
      <c r="DR226" s="820">
        <f>SUMPRODUCT(--(MOD(COLUMN(BT226:CQ226),4)=MOD(COLUMN(BT226),4)),BT226:CQ226)*$I226+SUMPRODUCT(--(MOD(COLUMN(CR226:DO226),4)=MOD(COLUMN(CR226),4)),CR226:DO226)*$I226</f>
        <v/>
      </c>
      <c r="DS226" s="819" t="n"/>
      <c r="DT226" s="819" t="n"/>
      <c r="DU226" s="322" t="n"/>
      <c r="DV226" s="408" t="n"/>
      <c r="DW226" s="307" t="n">
        <v>0</v>
      </c>
      <c r="DX226" s="408" t="n"/>
      <c r="DY226" s="322" t="n"/>
      <c r="DZ226" s="408" t="n"/>
      <c r="EA226" s="307" t="n">
        <v>0</v>
      </c>
      <c r="EB226" s="408" t="n"/>
      <c r="EC226" s="322" t="n"/>
      <c r="ED226" s="408" t="n"/>
      <c r="EE226" s="307" t="n">
        <v>0</v>
      </c>
      <c r="EF226" s="408" t="n"/>
      <c r="EG226" s="322" t="n"/>
      <c r="EH226" s="408" t="n"/>
      <c r="EI226" s="307" t="n">
        <v>0</v>
      </c>
      <c r="EJ226" s="408" t="n"/>
      <c r="EK226" s="322" t="n"/>
      <c r="EL226" s="408" t="n"/>
      <c r="EM226" s="307" t="n">
        <v>0</v>
      </c>
      <c r="EN226" s="408" t="n"/>
      <c r="EO226" s="322" t="n"/>
      <c r="EP226" s="408" t="n"/>
      <c r="EQ226" s="307" t="n">
        <v>0</v>
      </c>
      <c r="ER226" s="408" t="n"/>
      <c r="ES226" s="322" t="n"/>
      <c r="ET226" s="408" t="n"/>
      <c r="EU226" s="307" t="n">
        <v>0</v>
      </c>
      <c r="EV226" s="408" t="n"/>
      <c r="EW226" s="322" t="n"/>
      <c r="EX226" s="408" t="n"/>
      <c r="EY226" s="307" t="n">
        <v>0</v>
      </c>
      <c r="EZ226" s="408" t="n"/>
      <c r="FA226" s="322" t="n"/>
      <c r="FB226" s="408" t="n"/>
      <c r="FC226" s="307" t="n">
        <v>0</v>
      </c>
      <c r="FD226" s="408" t="n"/>
      <c r="FE226" s="322" t="n"/>
      <c r="FF226" s="408" t="n"/>
      <c r="FG226" s="307" t="n">
        <v>0</v>
      </c>
      <c r="FH226" s="408" t="n"/>
      <c r="FI226" s="322" t="n"/>
      <c r="FJ226" s="408" t="n"/>
      <c r="FK226" s="307" t="n">
        <v>0</v>
      </c>
      <c r="FL226" s="408" t="n"/>
      <c r="FM226" s="322" t="n"/>
      <c r="FN226" s="408" t="n"/>
      <c r="FO226" s="307" t="n">
        <v>0</v>
      </c>
      <c r="FP226" s="408" t="n"/>
      <c r="FQ226" s="340" t="n"/>
      <c r="FR226" s="820">
        <f>SUMPRODUCT(--(MOD(COLUMN(DU226:ER226),4)=MOD(COLUMN(DU226),4)),DU226:ER226)+SUMPRODUCT(--(MOD(COLUMN(ES226:FP226),4)=MOD(COLUMN(ES226),4)),ES226:FP226)</f>
        <v/>
      </c>
      <c r="FS226" s="820">
        <f>SUMPRODUCT(--(MOD(COLUMN(DU226:ER226),4)=MOD(COLUMN(DU226),4)),DU226:ER226)*$I226+SUMPRODUCT(--(MOD(COLUMN(ES226:FP226),4)=MOD(COLUMN(ES226),4)),ES226:FP226)*$I226</f>
        <v/>
      </c>
      <c r="FT226" s="361" t="n"/>
    </row>
    <row r="227" outlineLevel="2">
      <c r="A227" s="413" t="inlineStr">
        <is>
          <t>СПЕЦАВТО-ВОСТОК ООО</t>
        </is>
      </c>
      <c r="B227" s="444" t="inlineStr">
        <is>
          <t>Отсрочка 15 дней</t>
        </is>
      </c>
      <c r="C227" s="592" t="inlineStr">
        <is>
          <t>ВБК РУС</t>
        </is>
      </c>
      <c r="D227" s="580" t="inlineStr">
        <is>
          <t>Прасолов, Соловьёв</t>
        </is>
      </c>
      <c r="E227" s="414">
        <f>IF(ISBLANK(G227),"",IF($A$6:$A$330=$A227,COUNTIF($A$6:A227,$A227),""))</f>
        <v/>
      </c>
      <c r="F227" s="284" t="n">
        <v>2</v>
      </c>
      <c r="G227" s="304" t="n">
        <v>4491301500</v>
      </c>
      <c r="H227" s="602" t="inlineStr">
        <is>
          <t>Кабель питания ABS, часть 2, 15 м</t>
        </is>
      </c>
      <c r="I227" s="616">
        <f>684.36/НДС_20</f>
        <v/>
      </c>
      <c r="J227" s="616" t="n"/>
      <c r="K227" s="870" t="n"/>
      <c r="L227" s="616" t="n"/>
      <c r="M227" s="871" t="n"/>
      <c r="N227" s="871">
        <f>IF(BP227&gt;0,1,IF(BN227&gt;0,2,))</f>
        <v/>
      </c>
      <c r="O227" s="322" t="n"/>
      <c r="P227" s="408" t="n"/>
      <c r="Q227" s="307" t="n">
        <v>0</v>
      </c>
      <c r="R227" s="408" t="n"/>
      <c r="S227" s="322" t="n"/>
      <c r="T227" s="408" t="n"/>
      <c r="U227" s="307" t="n">
        <v>5</v>
      </c>
      <c r="V227" s="408" t="n"/>
      <c r="W227" s="322" t="n"/>
      <c r="X227" s="408" t="n"/>
      <c r="Y227" s="307" t="n">
        <v>16</v>
      </c>
      <c r="Z227" s="408" t="n"/>
      <c r="AA227" s="322" t="n"/>
      <c r="AB227" s="408" t="n"/>
      <c r="AC227" s="307" t="n">
        <v>0</v>
      </c>
      <c r="AD227" s="408" t="n"/>
      <c r="AE227" s="322" t="n"/>
      <c r="AF227" s="408" t="n"/>
      <c r="AG227" s="307" t="n">
        <v>0</v>
      </c>
      <c r="AH227" s="408" t="n"/>
      <c r="AI227" s="322" t="n"/>
      <c r="AJ227" s="408" t="n"/>
      <c r="AK227" s="307" t="n">
        <v>0</v>
      </c>
      <c r="AL227" s="408" t="n"/>
      <c r="AM227" s="322" t="n"/>
      <c r="AN227" s="408" t="n"/>
      <c r="AO227" s="307" t="n">
        <v>0</v>
      </c>
      <c r="AP227" s="408" t="n"/>
      <c r="AQ227" s="322" t="n"/>
      <c r="AR227" s="408" t="n"/>
      <c r="AS227" s="307" t="n">
        <v>0</v>
      </c>
      <c r="AT227" s="408" t="n"/>
      <c r="AU227" s="322" t="n"/>
      <c r="AV227" s="408" t="n"/>
      <c r="AW227" s="307" t="n">
        <v>0</v>
      </c>
      <c r="AX227" s="408" t="n"/>
      <c r="AY227" s="322" t="n"/>
      <c r="AZ227" s="408" t="n"/>
      <c r="BA227" s="307" t="n">
        <v>0</v>
      </c>
      <c r="BB227" s="408" t="n"/>
      <c r="BC227" s="322" t="n"/>
      <c r="BD227" s="408" t="n"/>
      <c r="BE227" s="307" t="n">
        <v>0</v>
      </c>
      <c r="BF227" s="408" t="n"/>
      <c r="BG227" s="322" t="n"/>
      <c r="BH227" s="408" t="n"/>
      <c r="BI227" s="307" t="n">
        <v>0</v>
      </c>
      <c r="BJ227" s="408" t="n"/>
      <c r="BK227" s="340" t="n"/>
      <c r="BL227" s="820">
        <f>SUMPRODUCT(--(MOD(COLUMN($O227:$AL227),4)=MOD(COLUMN($O227)+0,4)),$O227:$AL227)
+SUMPRODUCT(--(MOD(COLUMN($AM227:$BJ227),4)=MOD(COLUMN($AM227)+0,4)),$AM227:$BJ227)</f>
        <v/>
      </c>
      <c r="BM227" s="820">
        <f>SUMPRODUCT(--(MOD(COLUMN($O227:$AL227),4)=MOD(COLUMN($O227)+0,4)),$O227:$AL227)*
$I227+SUMPRODUCT(--(MOD(COLUMN($AM227:$BJ227),4)=MOD(COLUMN($AM227)+0,4)),$AM227:$BJ227)*$I227</f>
        <v/>
      </c>
      <c r="BN227" s="822">
        <f>SUMPRODUCT(--(MOD(COLUMN($O227:$AL227),4)=MOD(COLUMN($O227)+1,4)),$O227:$AL227)
+SUMPRODUCT(--(MOD(COLUMN($AM227:$BJ227),4)=MOD(COLUMN($AM227)+1,4)),$AM227:$BJ227)</f>
        <v/>
      </c>
      <c r="BO227" s="823">
        <f>SUMPRODUCT(--(MOD(COLUMN($O227:$AL227),4)=MOD(COLUMN($O227)+1,4)),$O227:$AL227)*
$I227+SUMPRODUCT(--(MOD(COLUMN($AM227:$BJ227),4)=MOD(COLUMN($AM227)+1,4)),$AM227:$BJ227)*$I227</f>
        <v/>
      </c>
      <c r="BP227" s="824">
        <f>SUMPRODUCT(--(MOD(COLUMN($O227:$AL227),4)=MOD(COLUMN($O227)+2,4)),$O227:$AL227)
+SUMPRODUCT(--(MOD(COLUMN($AM227:$BJ227),4)=MOD(COLUMN($AM227)+2,4)),$AM227:$BJ227)</f>
        <v/>
      </c>
      <c r="BQ227" s="825">
        <f>SUMPRODUCT(--(MOD(COLUMN($O227:$AL227),4)=MOD(COLUMN($O227)+2,4)),$O227:$AL227)*
$I227+SUMPRODUCT(--(MOD(COLUMN($AM227:$BJ227),4)=MOD(COLUMN($AM227)+2,4)),$AM227:$BJ227)*$I227</f>
        <v/>
      </c>
      <c r="BR227" s="819" t="n"/>
      <c r="BS227" s="819" t="n"/>
      <c r="BT227" s="322" t="n"/>
      <c r="BU227" s="408" t="n"/>
      <c r="BV227" s="307" t="n">
        <v>0</v>
      </c>
      <c r="BW227" s="408" t="n"/>
      <c r="BX227" s="322" t="n"/>
      <c r="BY227" s="408" t="n"/>
      <c r="BZ227" s="307" t="n">
        <v>0</v>
      </c>
      <c r="CA227" s="408" t="n"/>
      <c r="CB227" s="322" t="n"/>
      <c r="CC227" s="408" t="n"/>
      <c r="CD227" s="307" t="n">
        <v>0</v>
      </c>
      <c r="CE227" s="408" t="n"/>
      <c r="CF227" s="322" t="n"/>
      <c r="CG227" s="408" t="n"/>
      <c r="CH227" s="307" t="n">
        <v>0</v>
      </c>
      <c r="CI227" s="408" t="n"/>
      <c r="CJ227" s="322" t="n"/>
      <c r="CK227" s="408" t="n"/>
      <c r="CL227" s="307" t="n">
        <v>0</v>
      </c>
      <c r="CM227" s="408" t="n"/>
      <c r="CN227" s="322" t="n"/>
      <c r="CO227" s="408" t="n"/>
      <c r="CP227" s="307" t="n">
        <v>0</v>
      </c>
      <c r="CQ227" s="408" t="n"/>
      <c r="CR227" s="322" t="n"/>
      <c r="CS227" s="408" t="n"/>
      <c r="CT227" s="307" t="n">
        <v>0</v>
      </c>
      <c r="CU227" s="408" t="n"/>
      <c r="CV227" s="322" t="n"/>
      <c r="CW227" s="408" t="n"/>
      <c r="CX227" s="307" t="n">
        <v>0</v>
      </c>
      <c r="CY227" s="408" t="n"/>
      <c r="CZ227" s="322" t="n"/>
      <c r="DA227" s="408" t="n"/>
      <c r="DB227" s="307" t="n">
        <v>0</v>
      </c>
      <c r="DC227" s="408" t="n"/>
      <c r="DD227" s="322" t="n"/>
      <c r="DE227" s="408" t="n"/>
      <c r="DF227" s="307" t="n">
        <v>0</v>
      </c>
      <c r="DG227" s="408" t="n"/>
      <c r="DH227" s="322" t="n"/>
      <c r="DI227" s="408" t="n"/>
      <c r="DJ227" s="307" t="n">
        <v>0</v>
      </c>
      <c r="DK227" s="408" t="n"/>
      <c r="DL227" s="322" t="n"/>
      <c r="DM227" s="408" t="n"/>
      <c r="DN227" s="307" t="n">
        <v>0</v>
      </c>
      <c r="DO227" s="408" t="n"/>
      <c r="DP227" s="340" t="n"/>
      <c r="DQ227" s="820">
        <f>SUMPRODUCT(--(MOD(COLUMN(BT227:CQ227),4)=MOD(COLUMN(BT227),4)),BT227:CQ227)+SUMPRODUCT(--(MOD(COLUMN(CR227:DO227),4)=MOD(COLUMN(CR227),4)),CR227:DO227)</f>
        <v/>
      </c>
      <c r="DR227" s="820">
        <f>SUMPRODUCT(--(MOD(COLUMN(BT227:CQ227),4)=MOD(COLUMN(BT227),4)),BT227:CQ227)*$I227+SUMPRODUCT(--(MOD(COLUMN(CR227:DO227),4)=MOD(COLUMN(CR227),4)),CR227:DO227)*$I227</f>
        <v/>
      </c>
      <c r="DS227" s="819" t="n"/>
      <c r="DT227" s="819" t="n"/>
      <c r="DU227" s="322" t="n"/>
      <c r="DV227" s="408" t="n"/>
      <c r="DW227" s="307" t="n">
        <v>0</v>
      </c>
      <c r="DX227" s="408" t="n"/>
      <c r="DY227" s="322" t="n"/>
      <c r="DZ227" s="408" t="n"/>
      <c r="EA227" s="307" t="n">
        <v>0</v>
      </c>
      <c r="EB227" s="408" t="n"/>
      <c r="EC227" s="322" t="n"/>
      <c r="ED227" s="408" t="n"/>
      <c r="EE227" s="307" t="n">
        <v>0</v>
      </c>
      <c r="EF227" s="408" t="n"/>
      <c r="EG227" s="322" t="n"/>
      <c r="EH227" s="408" t="n"/>
      <c r="EI227" s="307" t="n">
        <v>0</v>
      </c>
      <c r="EJ227" s="408" t="n"/>
      <c r="EK227" s="322" t="n"/>
      <c r="EL227" s="408" t="n"/>
      <c r="EM227" s="307" t="n">
        <v>0</v>
      </c>
      <c r="EN227" s="408" t="n"/>
      <c r="EO227" s="322" t="n"/>
      <c r="EP227" s="408" t="n"/>
      <c r="EQ227" s="307" t="n">
        <v>0</v>
      </c>
      <c r="ER227" s="408" t="n"/>
      <c r="ES227" s="322" t="n"/>
      <c r="ET227" s="408" t="n"/>
      <c r="EU227" s="307" t="n">
        <v>0</v>
      </c>
      <c r="EV227" s="408" t="n"/>
      <c r="EW227" s="322" t="n"/>
      <c r="EX227" s="408" t="n"/>
      <c r="EY227" s="307" t="n">
        <v>0</v>
      </c>
      <c r="EZ227" s="408" t="n"/>
      <c r="FA227" s="322" t="n"/>
      <c r="FB227" s="408" t="n"/>
      <c r="FC227" s="307" t="n">
        <v>0</v>
      </c>
      <c r="FD227" s="408" t="n"/>
      <c r="FE227" s="322" t="n"/>
      <c r="FF227" s="408" t="n"/>
      <c r="FG227" s="307" t="n">
        <v>0</v>
      </c>
      <c r="FH227" s="408" t="n"/>
      <c r="FI227" s="322" t="n"/>
      <c r="FJ227" s="408" t="n"/>
      <c r="FK227" s="307" t="n">
        <v>0</v>
      </c>
      <c r="FL227" s="408" t="n"/>
      <c r="FM227" s="322" t="n"/>
      <c r="FN227" s="408" t="n"/>
      <c r="FO227" s="307" t="n">
        <v>0</v>
      </c>
      <c r="FP227" s="408" t="n"/>
      <c r="FQ227" s="340" t="n"/>
      <c r="FR227" s="820">
        <f>SUMPRODUCT(--(MOD(COLUMN(DU227:ER227),4)=MOD(COLUMN(DU227),4)),DU227:ER227)+SUMPRODUCT(--(MOD(COLUMN(ES227:FP227),4)=MOD(COLUMN(ES227),4)),ES227:FP227)</f>
        <v/>
      </c>
      <c r="FS227" s="820">
        <f>SUMPRODUCT(--(MOD(COLUMN(DU227:ER227),4)=MOD(COLUMN(DU227),4)),DU227:ER227)*$I227+SUMPRODUCT(--(MOD(COLUMN(ES227:FP227),4)=MOD(COLUMN(ES227),4)),ES227:FP227)*$I227</f>
        <v/>
      </c>
      <c r="FT227" s="361" t="n"/>
    </row>
    <row r="228" outlineLevel="2" customFormat="1" s="574">
      <c r="A228" s="565" t="inlineStr">
        <is>
          <t>СПЕЦАВТО-ВОСТОК ООО</t>
        </is>
      </c>
      <c r="B228" s="565" t="inlineStr">
        <is>
          <t>Отсрочка 15 дней</t>
        </is>
      </c>
      <c r="C228" s="173" t="inlineStr">
        <is>
          <t>ВБК РУС</t>
        </is>
      </c>
      <c r="D228" s="565" t="inlineStr">
        <is>
          <t>Прасолов, Соловьёв</t>
        </is>
      </c>
      <c r="E228" s="566">
        <f>IF(ISBLANK(G228),"",IF($A$6:$A$330=$A228,COUNTIF($A$6:A228,$A228),""))</f>
        <v/>
      </c>
      <c r="F228" s="567" t="inlineStr">
        <is>
          <t>S</t>
        </is>
      </c>
      <c r="G228" s="664" t="inlineStr">
        <is>
          <t>4006061140К3</t>
        </is>
      </c>
      <c r="H228" s="665" t="inlineStr">
        <is>
          <t>Комплект "ABS 2S/2M базовый W"</t>
        </is>
      </c>
      <c r="I228" s="618">
        <f>4900/НДС</f>
        <v/>
      </c>
      <c r="J228" s="618" t="n"/>
      <c r="K228" s="874" t="n"/>
      <c r="L228" s="618">
        <f>IF(K228="RUB",J228/ЮАНЬ,IF(K228="EUR",J228*ЕВРО/ЮАНЬ,""))</f>
        <v/>
      </c>
      <c r="M228" s="875" t="n"/>
      <c r="N228" s="813">
        <f>IF(BP228&gt;0,1,IF(BN228&gt;0,2,))</f>
        <v/>
      </c>
      <c r="O228" s="569" t="n">
        <v>10</v>
      </c>
      <c r="P228" s="570" t="n"/>
      <c r="Q228" s="571" t="n">
        <v>0</v>
      </c>
      <c r="R228" s="570" t="n"/>
      <c r="S228" s="569" t="n">
        <v>10</v>
      </c>
      <c r="T228" s="570" t="n"/>
      <c r="U228" s="571" t="n">
        <v>0</v>
      </c>
      <c r="V228" s="570" t="n"/>
      <c r="W228" s="569" t="n">
        <v>10</v>
      </c>
      <c r="X228" s="570" t="n"/>
      <c r="Y228" s="571" t="n">
        <v>0</v>
      </c>
      <c r="Z228" s="570" t="n"/>
      <c r="AA228" s="569" t="n">
        <v>10</v>
      </c>
      <c r="AB228" s="570" t="n"/>
      <c r="AC228" s="571" t="n">
        <v>0</v>
      </c>
      <c r="AD228" s="570" t="n"/>
      <c r="AE228" s="569" t="n">
        <v>10</v>
      </c>
      <c r="AF228" s="570" t="n"/>
      <c r="AG228" s="571" t="n">
        <v>0</v>
      </c>
      <c r="AH228" s="570" t="n"/>
      <c r="AI228" s="569" t="n">
        <v>10</v>
      </c>
      <c r="AJ228" s="570" t="n"/>
      <c r="AK228" s="571" t="n">
        <v>0</v>
      </c>
      <c r="AL228" s="570" t="n"/>
      <c r="AM228" s="569" t="n">
        <v>10</v>
      </c>
      <c r="AN228" s="570" t="n"/>
      <c r="AO228" s="571" t="n">
        <v>0</v>
      </c>
      <c r="AP228" s="570" t="n"/>
      <c r="AQ228" s="569" t="n">
        <v>10</v>
      </c>
      <c r="AR228" s="570" t="n"/>
      <c r="AS228" s="571" t="n">
        <v>0</v>
      </c>
      <c r="AT228" s="570" t="n"/>
      <c r="AU228" s="569" t="n">
        <v>10</v>
      </c>
      <c r="AV228" s="570" t="n"/>
      <c r="AW228" s="571" t="n">
        <v>0</v>
      </c>
      <c r="AX228" s="570" t="n"/>
      <c r="AY228" s="569" t="n">
        <v>10</v>
      </c>
      <c r="AZ228" s="570" t="n">
        <v>10</v>
      </c>
      <c r="BA228" s="571" t="n">
        <v>0</v>
      </c>
      <c r="BB228" s="570" t="n"/>
      <c r="BC228" s="569" t="n">
        <v>10</v>
      </c>
      <c r="BD228" s="570" t="n">
        <v>10</v>
      </c>
      <c r="BE228" s="571" t="n">
        <v>0</v>
      </c>
      <c r="BF228" s="570" t="n"/>
      <c r="BG228" s="569" t="n">
        <v>10</v>
      </c>
      <c r="BH228" s="570" t="n">
        <v>10</v>
      </c>
      <c r="BI228" s="571" t="n">
        <v>0</v>
      </c>
      <c r="BJ228" s="570" t="n"/>
      <c r="BK228" s="572" t="n"/>
      <c r="BL228" s="803">
        <f>SUMPRODUCT(--(MOD(COLUMN($O228:$AL228),4)=MOD(COLUMN($O228)+0,4)),$O228:$AL228)
+SUMPRODUCT(--(MOD(COLUMN($AM228:$BJ228),4)=MOD(COLUMN($AM228)+0,4)),$AM228:$BJ228)</f>
        <v/>
      </c>
      <c r="BM228" s="803">
        <f>SUMPRODUCT(--(MOD(COLUMN($O228:$AL228),4)=MOD(COLUMN($O228)+0,4)),$O228:$AL228)*
$I228+SUMPRODUCT(--(MOD(COLUMN($AM228:$BJ228),4)=MOD(COLUMN($AM228)+0,4)),$AM228:$BJ228)*$I228</f>
        <v/>
      </c>
      <c r="BN228" s="805">
        <f>SUMPRODUCT(--(MOD(COLUMN($O228:$AL228),4)=MOD(COLUMN($O228)+1,4)),$O228:$AL228)
+SUMPRODUCT(--(MOD(COLUMN($AM228:$BJ228),4)=MOD(COLUMN($AM228)+1,4)),$AM228:$BJ228)</f>
        <v/>
      </c>
      <c r="BO228" s="806">
        <f>SUMPRODUCT(--(MOD(COLUMN($O228:$AL228),4)=MOD(COLUMN($O228)+1,4)),$O228:$AL228)*
$I228+SUMPRODUCT(--(MOD(COLUMN($AM228:$BJ228),4)=MOD(COLUMN($AM228)+1,4)),$AM228:$BJ228)*$I228</f>
        <v/>
      </c>
      <c r="BP228" s="807">
        <f>SUMPRODUCT(--(MOD(COLUMN($O228:$AL228),4)=MOD(COLUMN($O228)+2,4)),$O228:$AL228)
+SUMPRODUCT(--(MOD(COLUMN($AM228:$BJ228),4)=MOD(COLUMN($AM228)+2,4)),$AM228:$BJ228)</f>
        <v/>
      </c>
      <c r="BQ228" s="808">
        <f>SUMPRODUCT(--(MOD(COLUMN($O228:$AL228),4)=MOD(COLUMN($O228)+2,4)),$O228:$AL228)*
$I228+SUMPRODUCT(--(MOD(COLUMN($AM228:$BJ228),4)=MOD(COLUMN($AM228)+2,4)),$AM228:$BJ228)*$I228</f>
        <v/>
      </c>
      <c r="BR228" s="801" t="n"/>
      <c r="BS228" s="819" t="n"/>
      <c r="BT228" s="569" t="n">
        <v>10</v>
      </c>
      <c r="BU228" s="570" t="n"/>
      <c r="BV228" s="571" t="n">
        <v>0</v>
      </c>
      <c r="BW228" s="570" t="n"/>
      <c r="BX228" s="569" t="n">
        <v>10</v>
      </c>
      <c r="BY228" s="570" t="n"/>
      <c r="BZ228" s="571" t="n">
        <v>0</v>
      </c>
      <c r="CA228" s="570" t="n"/>
      <c r="CB228" s="569" t="n">
        <v>10</v>
      </c>
      <c r="CC228" s="570" t="n"/>
      <c r="CD228" s="571" t="n">
        <v>0</v>
      </c>
      <c r="CE228" s="570" t="n"/>
      <c r="CF228" s="569" t="n">
        <v>10</v>
      </c>
      <c r="CG228" s="570" t="n"/>
      <c r="CH228" s="571" t="n">
        <v>0</v>
      </c>
      <c r="CI228" s="570" t="n"/>
      <c r="CJ228" s="569" t="n">
        <v>10</v>
      </c>
      <c r="CK228" s="570" t="n"/>
      <c r="CL228" s="571" t="n">
        <v>0</v>
      </c>
      <c r="CM228" s="570" t="n"/>
      <c r="CN228" s="569" t="n">
        <v>10</v>
      </c>
      <c r="CO228" s="570" t="n"/>
      <c r="CP228" s="571" t="n">
        <v>0</v>
      </c>
      <c r="CQ228" s="570" t="n"/>
      <c r="CR228" s="569" t="n">
        <v>10</v>
      </c>
      <c r="CS228" s="570" t="n"/>
      <c r="CT228" s="571" t="n">
        <v>0</v>
      </c>
      <c r="CU228" s="570" t="n"/>
      <c r="CV228" s="569" t="n">
        <v>10</v>
      </c>
      <c r="CW228" s="570" t="n"/>
      <c r="CX228" s="571" t="n">
        <v>0</v>
      </c>
      <c r="CY228" s="570" t="n"/>
      <c r="CZ228" s="569" t="n">
        <v>10</v>
      </c>
      <c r="DA228" s="570" t="n"/>
      <c r="DB228" s="571" t="n">
        <v>0</v>
      </c>
      <c r="DC228" s="570" t="n"/>
      <c r="DD228" s="569" t="n">
        <v>10</v>
      </c>
      <c r="DE228" s="570" t="n"/>
      <c r="DF228" s="571" t="n">
        <v>0</v>
      </c>
      <c r="DG228" s="570" t="n"/>
      <c r="DH228" s="569" t="n">
        <v>10</v>
      </c>
      <c r="DI228" s="570" t="n"/>
      <c r="DJ228" s="571" t="n">
        <v>0</v>
      </c>
      <c r="DK228" s="570" t="n"/>
      <c r="DL228" s="569" t="n">
        <v>10</v>
      </c>
      <c r="DM228" s="570" t="n"/>
      <c r="DN228" s="571" t="n">
        <v>0</v>
      </c>
      <c r="DO228" s="570" t="n"/>
      <c r="DP228" s="572" t="n"/>
      <c r="DQ228" s="803">
        <f>SUMPRODUCT(--(MOD(COLUMN(BT228:CQ228),4)=MOD(COLUMN(BT228),4)),BT228:CQ228)+SUMPRODUCT(--(MOD(COLUMN(CR228:DO228),4)=MOD(COLUMN(CR228),4)),CR228:DO228)</f>
        <v/>
      </c>
      <c r="DR228" s="803">
        <f>SUMPRODUCT(--(MOD(COLUMN(BT228:CQ228),4)=MOD(COLUMN(BT228),4)),BT228:CQ228)*$I228+SUMPRODUCT(--(MOD(COLUMN(CR228:DO228),4)=MOD(COLUMN(CR228),4)),CR228:DO228)*$I228</f>
        <v/>
      </c>
      <c r="DS228" s="801" t="n"/>
      <c r="DT228" s="819" t="n"/>
      <c r="DU228" s="569" t="n">
        <v>10</v>
      </c>
      <c r="DV228" s="570" t="n"/>
      <c r="DW228" s="571" t="n">
        <v>0</v>
      </c>
      <c r="DX228" s="570" t="n"/>
      <c r="DY228" s="569" t="n">
        <v>10</v>
      </c>
      <c r="DZ228" s="570" t="n"/>
      <c r="EA228" s="571" t="n">
        <v>0</v>
      </c>
      <c r="EB228" s="570" t="n"/>
      <c r="EC228" s="569" t="n">
        <v>10</v>
      </c>
      <c r="ED228" s="570" t="n"/>
      <c r="EE228" s="571" t="n">
        <v>0</v>
      </c>
      <c r="EF228" s="570" t="n"/>
      <c r="EG228" s="569" t="n">
        <v>10</v>
      </c>
      <c r="EH228" s="570" t="n"/>
      <c r="EI228" s="571" t="n">
        <v>0</v>
      </c>
      <c r="EJ228" s="570" t="n"/>
      <c r="EK228" s="569" t="n">
        <v>10</v>
      </c>
      <c r="EL228" s="570" t="n"/>
      <c r="EM228" s="571" t="n">
        <v>0</v>
      </c>
      <c r="EN228" s="570" t="n"/>
      <c r="EO228" s="569" t="n">
        <v>10</v>
      </c>
      <c r="EP228" s="570" t="n"/>
      <c r="EQ228" s="571" t="n">
        <v>0</v>
      </c>
      <c r="ER228" s="570" t="n"/>
      <c r="ES228" s="569" t="n">
        <v>10</v>
      </c>
      <c r="ET228" s="570" t="n"/>
      <c r="EU228" s="571" t="n">
        <v>0</v>
      </c>
      <c r="EV228" s="570" t="n"/>
      <c r="EW228" s="569" t="n">
        <v>10</v>
      </c>
      <c r="EX228" s="570" t="n"/>
      <c r="EY228" s="571" t="n">
        <v>0</v>
      </c>
      <c r="EZ228" s="570" t="n"/>
      <c r="FA228" s="569" t="n">
        <v>10</v>
      </c>
      <c r="FB228" s="570" t="n"/>
      <c r="FC228" s="571" t="n">
        <v>0</v>
      </c>
      <c r="FD228" s="570" t="n"/>
      <c r="FE228" s="569" t="n">
        <v>10</v>
      </c>
      <c r="FF228" s="570" t="n"/>
      <c r="FG228" s="571" t="n">
        <v>0</v>
      </c>
      <c r="FH228" s="570" t="n"/>
      <c r="FI228" s="569" t="n">
        <v>10</v>
      </c>
      <c r="FJ228" s="570" t="n"/>
      <c r="FK228" s="571" t="n">
        <v>0</v>
      </c>
      <c r="FL228" s="570" t="n"/>
      <c r="FM228" s="569" t="n">
        <v>10</v>
      </c>
      <c r="FN228" s="570" t="n"/>
      <c r="FO228" s="571" t="n">
        <v>0</v>
      </c>
      <c r="FP228" s="570" t="n"/>
      <c r="FQ228" s="572" t="n"/>
      <c r="FR228" s="803">
        <f>SUMPRODUCT(--(MOD(COLUMN(DU228:ER228),4)=MOD(COLUMN(DU228),4)),DU228:ER228)+SUMPRODUCT(--(MOD(COLUMN(ES228:FP228),4)=MOD(COLUMN(ES228),4)),ES228:FP228)</f>
        <v/>
      </c>
      <c r="FS228" s="803">
        <f>SUMPRODUCT(--(MOD(COLUMN(DU228:ER228),4)=MOD(COLUMN(DU228),4)),DU228:ER228)*$I228+SUMPRODUCT(--(MOD(COLUMN(ES228:FP228),4)=MOD(COLUMN(ES228),4)),ES228:FP228)*$I228</f>
        <v/>
      </c>
      <c r="FT228" s="573" t="n"/>
    </row>
    <row r="229" outlineLevel="2" customFormat="1" s="574">
      <c r="A229" s="580" t="inlineStr">
        <is>
          <t>СПЕЦАВТО-ВОСТОК ООО</t>
        </is>
      </c>
      <c r="B229" s="580" t="inlineStr">
        <is>
          <t>Отсрочка 15 дней</t>
        </is>
      </c>
      <c r="C229" s="592" t="inlineStr">
        <is>
          <t>ВБК РУС</t>
        </is>
      </c>
      <c r="D229" s="580" t="inlineStr">
        <is>
          <t>Прасолов, Соловьёв</t>
        </is>
      </c>
      <c r="E229" s="588">
        <f>IF(ISBLANK(G229),"",IF($A$6:$A$330=$A229,COUNTIF($A$6:A229,$A229),""))</f>
        <v/>
      </c>
      <c r="F229" s="577" t="inlineStr">
        <is>
          <t>S</t>
        </is>
      </c>
      <c r="G229" s="593" t="n">
        <v>4441000120</v>
      </c>
      <c r="H229" s="603" t="inlineStr">
        <is>
          <t>Комплект базовый "ABS W 2S/2M (15 м)"</t>
        </is>
      </c>
      <c r="I229" s="618">
        <f>4900/НДС</f>
        <v/>
      </c>
      <c r="J229" s="619" t="n"/>
      <c r="K229" s="876" t="n"/>
      <c r="L229" s="619" t="n"/>
      <c r="M229" s="813" t="n"/>
      <c r="N229" s="813">
        <f>IF(BP229&gt;0,1,IF(BN229&gt;0,2,))</f>
        <v/>
      </c>
      <c r="O229" s="578" t="n"/>
      <c r="P229" s="498" t="n"/>
      <c r="Q229" s="579" t="n"/>
      <c r="R229" s="498" t="n"/>
      <c r="S229" s="578" t="n"/>
      <c r="T229" s="498">
        <f>5</f>
        <v/>
      </c>
      <c r="U229" s="579" t="n">
        <v>5</v>
      </c>
      <c r="V229" s="498" t="n"/>
      <c r="W229" s="578" t="n"/>
      <c r="X229" s="498">
        <f>16</f>
        <v/>
      </c>
      <c r="Y229" s="579" t="n">
        <v>16</v>
      </c>
      <c r="Z229" s="498" t="n"/>
      <c r="AA229" s="578" t="n"/>
      <c r="AB229" s="498" t="n"/>
      <c r="AC229" s="579" t="n"/>
      <c r="AD229" s="498" t="n"/>
      <c r="AE229" s="578" t="n"/>
      <c r="AF229" s="498" t="n"/>
      <c r="AG229" s="579" t="n"/>
      <c r="AH229" s="498" t="n"/>
      <c r="AI229" s="578" t="n"/>
      <c r="AJ229" s="498" t="n"/>
      <c r="AK229" s="579" t="n"/>
      <c r="AL229" s="498" t="n"/>
      <c r="AM229" s="578" t="n"/>
      <c r="AN229" s="498" t="n"/>
      <c r="AO229" s="579" t="n"/>
      <c r="AP229" s="498" t="n"/>
      <c r="AQ229" s="578" t="n"/>
      <c r="AR229" s="498" t="n"/>
      <c r="AS229" s="579" t="n"/>
      <c r="AT229" s="498" t="n"/>
      <c r="AU229" s="578" t="n"/>
      <c r="AV229" s="498" t="n"/>
      <c r="AW229" s="579" t="n"/>
      <c r="AX229" s="498" t="n"/>
      <c r="AY229" s="578" t="n"/>
      <c r="AZ229" s="498" t="n"/>
      <c r="BA229" s="579" t="n"/>
      <c r="BB229" s="498" t="n"/>
      <c r="BC229" s="578" t="n"/>
      <c r="BD229" s="498" t="n"/>
      <c r="BE229" s="579" t="n"/>
      <c r="BF229" s="498" t="n"/>
      <c r="BG229" s="578" t="n"/>
      <c r="BH229" s="498" t="n"/>
      <c r="BI229" s="579" t="n"/>
      <c r="BJ229" s="498" t="n"/>
      <c r="BK229" s="572" t="n"/>
      <c r="BL229" s="820">
        <f>SUMPRODUCT(--(MOD(COLUMN($O229:$AL229),4)=MOD(COLUMN($O229)+0,4)),$O229:$AL229)
+SUMPRODUCT(--(MOD(COLUMN($AM229:$BJ229),4)=MOD(COLUMN($AM229)+0,4)),$AM229:$BJ229)</f>
        <v/>
      </c>
      <c r="BM229" s="820">
        <f>SUMPRODUCT(--(MOD(COLUMN($O229:$AL229),4)=MOD(COLUMN($O229)+0,4)),$O229:$AL229)*
$I229+SUMPRODUCT(--(MOD(COLUMN($AM229:$BJ229),4)=MOD(COLUMN($AM229)+0,4)),$AM229:$BJ229)*$I229</f>
        <v/>
      </c>
      <c r="BN229" s="822">
        <f>SUMPRODUCT(--(MOD(COLUMN($O229:$AL229),4)=MOD(COLUMN($O229)+1,4)),$O229:$AL229)
+SUMPRODUCT(--(MOD(COLUMN($AM229:$BJ229),4)=MOD(COLUMN($AM229)+1,4)),$AM229:$BJ229)</f>
        <v/>
      </c>
      <c r="BO229" s="823">
        <f>SUMPRODUCT(--(MOD(COLUMN($O229:$AL229),4)=MOD(COLUMN($O229)+1,4)),$O229:$AL229)*
$I229+SUMPRODUCT(--(MOD(COLUMN($AM229:$BJ229),4)=MOD(COLUMN($AM229)+1,4)),$AM229:$BJ229)*$I229</f>
        <v/>
      </c>
      <c r="BP229" s="824">
        <f>SUMPRODUCT(--(MOD(COLUMN($O229:$AL229),4)=MOD(COLUMN($O229)+2,4)),$O229:$AL229)
+SUMPRODUCT(--(MOD(COLUMN($AM229:$BJ229),4)=MOD(COLUMN($AM229)+2,4)),$AM229:$BJ229)</f>
        <v/>
      </c>
      <c r="BQ229" s="825">
        <f>SUMPRODUCT(--(MOD(COLUMN($O229:$AL229),4)=MOD(COLUMN($O229)+2,4)),$O229:$AL229)*
$I229+SUMPRODUCT(--(MOD(COLUMN($AM229:$BJ229),4)=MOD(COLUMN($AM229)+2,4)),$AM229:$BJ229)*$I229</f>
        <v/>
      </c>
      <c r="BR229" s="819" t="n"/>
      <c r="BS229" s="819" t="n"/>
      <c r="BT229" s="578" t="n"/>
      <c r="BU229" s="498" t="n"/>
      <c r="BV229" s="579" t="n"/>
      <c r="BW229" s="498" t="n"/>
      <c r="BX229" s="578" t="n"/>
      <c r="BY229" s="498" t="n"/>
      <c r="BZ229" s="579" t="n"/>
      <c r="CA229" s="498" t="n"/>
      <c r="CB229" s="578" t="n"/>
      <c r="CC229" s="498" t="n"/>
      <c r="CD229" s="579" t="n"/>
      <c r="CE229" s="498" t="n"/>
      <c r="CF229" s="578" t="n"/>
      <c r="CG229" s="498" t="n"/>
      <c r="CH229" s="579" t="n"/>
      <c r="CI229" s="498" t="n"/>
      <c r="CJ229" s="578" t="n"/>
      <c r="CK229" s="498" t="n"/>
      <c r="CL229" s="579" t="n"/>
      <c r="CM229" s="498" t="n"/>
      <c r="CN229" s="578" t="n"/>
      <c r="CO229" s="498" t="n"/>
      <c r="CP229" s="579" t="n"/>
      <c r="CQ229" s="498" t="n"/>
      <c r="CR229" s="578" t="n"/>
      <c r="CS229" s="498" t="n"/>
      <c r="CT229" s="579" t="n"/>
      <c r="CU229" s="498" t="n"/>
      <c r="CV229" s="578" t="n"/>
      <c r="CW229" s="498" t="n"/>
      <c r="CX229" s="579" t="n"/>
      <c r="CY229" s="498" t="n"/>
      <c r="CZ229" s="578" t="n"/>
      <c r="DA229" s="498" t="n"/>
      <c r="DB229" s="579" t="n"/>
      <c r="DC229" s="498" t="n"/>
      <c r="DD229" s="578" t="n"/>
      <c r="DE229" s="498" t="n"/>
      <c r="DF229" s="579" t="n"/>
      <c r="DG229" s="498" t="n"/>
      <c r="DH229" s="578" t="n"/>
      <c r="DI229" s="498" t="n"/>
      <c r="DJ229" s="579" t="n"/>
      <c r="DK229" s="498" t="n"/>
      <c r="DL229" s="578" t="n"/>
      <c r="DM229" s="498" t="n"/>
      <c r="DN229" s="579" t="n"/>
      <c r="DO229" s="498" t="n"/>
      <c r="DP229" s="572" t="n"/>
      <c r="DQ229" s="820" t="n"/>
      <c r="DR229" s="820">
        <f>SUMPRODUCT(--(MOD(COLUMN(BT229:CQ229),4)=MOD(COLUMN(BT229),4)),BT229:CQ229)*$I229+SUMPRODUCT(--(MOD(COLUMN(CR229:DO229),4)=MOD(COLUMN(CR229),4)),CR229:DO229)*$I229</f>
        <v/>
      </c>
      <c r="DS229" s="819" t="n"/>
      <c r="DT229" s="819" t="n"/>
      <c r="DU229" s="578" t="n"/>
      <c r="DV229" s="498" t="n"/>
      <c r="DW229" s="579" t="n"/>
      <c r="DX229" s="498" t="n"/>
      <c r="DY229" s="578" t="n"/>
      <c r="DZ229" s="498" t="n"/>
      <c r="EA229" s="579" t="n"/>
      <c r="EB229" s="498" t="n"/>
      <c r="EC229" s="578" t="n"/>
      <c r="ED229" s="498" t="n"/>
      <c r="EE229" s="579" t="n"/>
      <c r="EF229" s="498" t="n"/>
      <c r="EG229" s="578" t="n"/>
      <c r="EH229" s="498" t="n"/>
      <c r="EI229" s="579" t="n"/>
      <c r="EJ229" s="498" t="n"/>
      <c r="EK229" s="578" t="n"/>
      <c r="EL229" s="498" t="n"/>
      <c r="EM229" s="579" t="n"/>
      <c r="EN229" s="498" t="n"/>
      <c r="EO229" s="578" t="n"/>
      <c r="EP229" s="498" t="n"/>
      <c r="EQ229" s="579" t="n"/>
      <c r="ER229" s="498" t="n"/>
      <c r="ES229" s="578" t="n"/>
      <c r="ET229" s="498" t="n"/>
      <c r="EU229" s="579" t="n"/>
      <c r="EV229" s="498" t="n"/>
      <c r="EW229" s="578" t="n"/>
      <c r="EX229" s="498" t="n"/>
      <c r="EY229" s="579" t="n"/>
      <c r="EZ229" s="498" t="n"/>
      <c r="FA229" s="578" t="n"/>
      <c r="FB229" s="498" t="n"/>
      <c r="FC229" s="579" t="n"/>
      <c r="FD229" s="498" t="n"/>
      <c r="FE229" s="578" t="n"/>
      <c r="FF229" s="498" t="n"/>
      <c r="FG229" s="579" t="n"/>
      <c r="FH229" s="498" t="n"/>
      <c r="FI229" s="578" t="n"/>
      <c r="FJ229" s="498" t="n"/>
      <c r="FK229" s="579" t="n"/>
      <c r="FL229" s="498" t="n"/>
      <c r="FM229" s="578" t="n"/>
      <c r="FN229" s="498" t="n"/>
      <c r="FO229" s="579" t="n"/>
      <c r="FP229" s="498" t="n"/>
      <c r="FQ229" s="572" t="n"/>
      <c r="FR229" s="820" t="n"/>
      <c r="FS229" s="820">
        <f>SUMPRODUCT(--(MOD(COLUMN(DU229:ER229),4)=MOD(COLUMN(DU229),4)),DU229:ER229)*$I229+SUMPRODUCT(--(MOD(COLUMN(ES229:FP229),4)=MOD(COLUMN(ES229),4)),ES229:FP229)*$I229</f>
        <v/>
      </c>
      <c r="FT229" s="573" t="n"/>
    </row>
    <row r="230" outlineLevel="2" customFormat="1" s="574">
      <c r="A230" s="580" t="inlineStr">
        <is>
          <t>СПЕЦАВТО-ВОСТОК ООО</t>
        </is>
      </c>
      <c r="B230" s="580" t="inlineStr">
        <is>
          <t>Отсрочка 15 дней</t>
        </is>
      </c>
      <c r="C230" s="592" t="inlineStr">
        <is>
          <t>ВБК РУС</t>
        </is>
      </c>
      <c r="D230" s="580" t="inlineStr">
        <is>
          <t>Прасолов, Соловьёв</t>
        </is>
      </c>
      <c r="E230" s="588">
        <f>IF(ISBLANK(G230),"",IF($A$6:$A$330=$A230,COUNTIF($A$6:A230,$A230),""))</f>
        <v/>
      </c>
      <c r="F230" s="577" t="inlineStr">
        <is>
          <t>S</t>
        </is>
      </c>
      <c r="G230" s="593" t="n">
        <v>4441000480</v>
      </c>
      <c r="H230" s="603" t="inlineStr">
        <is>
          <t>Комплект базовый "ABS W 2S/2M (15 м)"</t>
        </is>
      </c>
      <c r="I230" s="618">
        <f>4900/НДС</f>
        <v/>
      </c>
      <c r="J230" s="619" t="n"/>
      <c r="K230" s="876" t="n"/>
      <c r="L230" s="619" t="n"/>
      <c r="M230" s="813" t="n"/>
      <c r="N230" s="813">
        <f>IF(BP230&gt;0,1,IF(BN230&gt;0,2,))</f>
        <v/>
      </c>
      <c r="O230" s="578" t="n"/>
      <c r="P230" s="498" t="n"/>
      <c r="Q230" s="579" t="n"/>
      <c r="R230" s="498" t="n"/>
      <c r="S230" s="578" t="n"/>
      <c r="T230" s="498" t="n"/>
      <c r="U230" s="579" t="n"/>
      <c r="V230" s="498" t="n"/>
      <c r="W230" s="578" t="n"/>
      <c r="X230" s="498" t="n"/>
      <c r="Y230" s="579" t="n"/>
      <c r="Z230" s="498" t="n"/>
      <c r="AA230" s="578" t="n"/>
      <c r="AB230" s="498" t="n"/>
      <c r="AC230" s="579" t="n"/>
      <c r="AD230" s="498" t="n"/>
      <c r="AE230" s="578" t="n"/>
      <c r="AF230" s="498" t="n"/>
      <c r="AG230" s="579" t="n"/>
      <c r="AH230" s="498" t="n"/>
      <c r="AI230" s="578" t="n"/>
      <c r="AJ230" s="498" t="n"/>
      <c r="AK230" s="579" t="n"/>
      <c r="AL230" s="498" t="n"/>
      <c r="AM230" s="578" t="n"/>
      <c r="AN230" s="498" t="n"/>
      <c r="AO230" s="579" t="n"/>
      <c r="AP230" s="498" t="n"/>
      <c r="AQ230" s="578" t="n"/>
      <c r="AR230" s="498" t="n"/>
      <c r="AS230" s="579" t="n"/>
      <c r="AT230" s="498" t="n"/>
      <c r="AU230" s="578" t="n"/>
      <c r="AV230" s="498" t="n"/>
      <c r="AW230" s="579" t="n"/>
      <c r="AX230" s="498" t="n"/>
      <c r="AY230" s="578" t="n"/>
      <c r="AZ230" s="498" t="n"/>
      <c r="BA230" s="579" t="n"/>
      <c r="BB230" s="498" t="n"/>
      <c r="BC230" s="578" t="n"/>
      <c r="BD230" s="498" t="n"/>
      <c r="BE230" s="579" t="n"/>
      <c r="BF230" s="498" t="n"/>
      <c r="BG230" s="578" t="n"/>
      <c r="BH230" s="498" t="n"/>
      <c r="BI230" s="579" t="n"/>
      <c r="BJ230" s="498" t="n"/>
      <c r="BK230" s="572" t="n"/>
      <c r="BL230" s="820">
        <f>SUMPRODUCT(--(MOD(COLUMN($O230:$AL230),4)=MOD(COLUMN($O230)+0,4)),$O230:$AL230)
+SUMPRODUCT(--(MOD(COLUMN($AM230:$BJ230),4)=MOD(COLUMN($AM230)+0,4)),$AM230:$BJ230)</f>
        <v/>
      </c>
      <c r="BM230" s="820">
        <f>SUMPRODUCT(--(MOD(COLUMN($O230:$AL230),4)=MOD(COLUMN($O230)+0,4)),$O230:$AL230)*
$I230+SUMPRODUCT(--(MOD(COLUMN($AM230:$BJ230),4)=MOD(COLUMN($AM230)+0,4)),$AM230:$BJ230)*$I230</f>
        <v/>
      </c>
      <c r="BN230" s="822">
        <f>SUMPRODUCT(--(MOD(COLUMN($O230:$AL230),4)=MOD(COLUMN($O230)+1,4)),$O230:$AL230)
+SUMPRODUCT(--(MOD(COLUMN($AM230:$BJ230),4)=MOD(COLUMN($AM230)+1,4)),$AM230:$BJ230)</f>
        <v/>
      </c>
      <c r="BO230" s="823">
        <f>SUMPRODUCT(--(MOD(COLUMN($O230:$AL230),4)=MOD(COLUMN($O230)+1,4)),$O230:$AL230)*
$I230+SUMPRODUCT(--(MOD(COLUMN($AM230:$BJ230),4)=MOD(COLUMN($AM230)+1,4)),$AM230:$BJ230)*$I230</f>
        <v/>
      </c>
      <c r="BP230" s="824">
        <f>SUMPRODUCT(--(MOD(COLUMN($O230:$AL230),4)=MOD(COLUMN($O230)+2,4)),$O230:$AL230)
+SUMPRODUCT(--(MOD(COLUMN($AM230:$BJ230),4)=MOD(COLUMN($AM230)+2,4)),$AM230:$BJ230)</f>
        <v/>
      </c>
      <c r="BQ230" s="825">
        <f>SUMPRODUCT(--(MOD(COLUMN($O230:$AL230),4)=MOD(COLUMN($O230)+2,4)),$O230:$AL230)*
$I230+SUMPRODUCT(--(MOD(COLUMN($AM230:$BJ230),4)=MOD(COLUMN($AM230)+2,4)),$AM230:$BJ230)*$I230</f>
        <v/>
      </c>
      <c r="BR230" s="819" t="n"/>
      <c r="BS230" s="819" t="n"/>
      <c r="BT230" s="578" t="n"/>
      <c r="BU230" s="498" t="n"/>
      <c r="BV230" s="579" t="n"/>
      <c r="BW230" s="498" t="n"/>
      <c r="BX230" s="578" t="n"/>
      <c r="BY230" s="498" t="n"/>
      <c r="BZ230" s="579" t="n"/>
      <c r="CA230" s="498" t="n"/>
      <c r="CB230" s="578" t="n"/>
      <c r="CC230" s="498" t="n"/>
      <c r="CD230" s="579" t="n"/>
      <c r="CE230" s="498" t="n"/>
      <c r="CF230" s="578" t="n"/>
      <c r="CG230" s="498" t="n"/>
      <c r="CH230" s="579" t="n"/>
      <c r="CI230" s="498" t="n"/>
      <c r="CJ230" s="578" t="n"/>
      <c r="CK230" s="498" t="n"/>
      <c r="CL230" s="579" t="n"/>
      <c r="CM230" s="498" t="n"/>
      <c r="CN230" s="578" t="n"/>
      <c r="CO230" s="498" t="n"/>
      <c r="CP230" s="579" t="n"/>
      <c r="CQ230" s="498" t="n"/>
      <c r="CR230" s="578" t="n"/>
      <c r="CS230" s="498" t="n"/>
      <c r="CT230" s="579" t="n"/>
      <c r="CU230" s="498" t="n"/>
      <c r="CV230" s="578" t="n"/>
      <c r="CW230" s="498" t="n"/>
      <c r="CX230" s="579" t="n"/>
      <c r="CY230" s="498" t="n"/>
      <c r="CZ230" s="578" t="n"/>
      <c r="DA230" s="498" t="n"/>
      <c r="DB230" s="579" t="n"/>
      <c r="DC230" s="498" t="n"/>
      <c r="DD230" s="578" t="n"/>
      <c r="DE230" s="498" t="n"/>
      <c r="DF230" s="579" t="n"/>
      <c r="DG230" s="498" t="n"/>
      <c r="DH230" s="578" t="n"/>
      <c r="DI230" s="498" t="n"/>
      <c r="DJ230" s="579" t="n"/>
      <c r="DK230" s="498" t="n"/>
      <c r="DL230" s="578" t="n"/>
      <c r="DM230" s="498" t="n"/>
      <c r="DN230" s="579" t="n"/>
      <c r="DO230" s="498" t="n"/>
      <c r="DP230" s="572" t="n"/>
      <c r="DQ230" s="820" t="n"/>
      <c r="DR230" s="820">
        <f>SUMPRODUCT(--(MOD(COLUMN(BT230:CQ230),4)=MOD(COLUMN(BT230),4)),BT230:CQ230)*$I230+SUMPRODUCT(--(MOD(COLUMN(CR230:DO230),4)=MOD(COLUMN(CR230),4)),CR230:DO230)*$I230</f>
        <v/>
      </c>
      <c r="DS230" s="819" t="n"/>
      <c r="DT230" s="819" t="n"/>
      <c r="DU230" s="578" t="n"/>
      <c r="DV230" s="498" t="n"/>
      <c r="DW230" s="579" t="n"/>
      <c r="DX230" s="498" t="n"/>
      <c r="DY230" s="578" t="n"/>
      <c r="DZ230" s="498" t="n"/>
      <c r="EA230" s="579" t="n"/>
      <c r="EB230" s="498" t="n"/>
      <c r="EC230" s="578" t="n"/>
      <c r="ED230" s="498" t="n"/>
      <c r="EE230" s="579" t="n"/>
      <c r="EF230" s="498" t="n"/>
      <c r="EG230" s="578" t="n"/>
      <c r="EH230" s="498" t="n"/>
      <c r="EI230" s="579" t="n"/>
      <c r="EJ230" s="498" t="n"/>
      <c r="EK230" s="578" t="n"/>
      <c r="EL230" s="498" t="n"/>
      <c r="EM230" s="579" t="n"/>
      <c r="EN230" s="498" t="n"/>
      <c r="EO230" s="578" t="n"/>
      <c r="EP230" s="498" t="n"/>
      <c r="EQ230" s="579" t="n"/>
      <c r="ER230" s="498" t="n"/>
      <c r="ES230" s="578" t="n"/>
      <c r="ET230" s="498" t="n"/>
      <c r="EU230" s="579" t="n"/>
      <c r="EV230" s="498" t="n"/>
      <c r="EW230" s="578" t="n"/>
      <c r="EX230" s="498" t="n"/>
      <c r="EY230" s="579" t="n"/>
      <c r="EZ230" s="498" t="n"/>
      <c r="FA230" s="578" t="n"/>
      <c r="FB230" s="498" t="n"/>
      <c r="FC230" s="579" t="n"/>
      <c r="FD230" s="498" t="n"/>
      <c r="FE230" s="578" t="n"/>
      <c r="FF230" s="498" t="n"/>
      <c r="FG230" s="579" t="n"/>
      <c r="FH230" s="498" t="n"/>
      <c r="FI230" s="578" t="n"/>
      <c r="FJ230" s="498" t="n"/>
      <c r="FK230" s="579" t="n"/>
      <c r="FL230" s="498" t="n"/>
      <c r="FM230" s="578" t="n"/>
      <c r="FN230" s="498" t="n"/>
      <c r="FO230" s="579" t="n"/>
      <c r="FP230" s="498" t="n"/>
      <c r="FQ230" s="572" t="n"/>
      <c r="FR230" s="820" t="n"/>
      <c r="FS230" s="820">
        <f>SUMPRODUCT(--(MOD(COLUMN(DU230:ER230),4)=MOD(COLUMN(DU230),4)),DU230:ER230)*$I230+SUMPRODUCT(--(MOD(COLUMN(ES230:FP230),4)=MOD(COLUMN(ES230),4)),ES230:FP230)*$I230</f>
        <v/>
      </c>
      <c r="FT230" s="573" t="n"/>
    </row>
    <row r="231" outlineLevel="2" customFormat="1" s="574">
      <c r="A231" s="589" t="inlineStr">
        <is>
          <t>СПЕЦАВТО-ВОСТОК ООО</t>
        </is>
      </c>
      <c r="B231" s="589" t="inlineStr">
        <is>
          <t>Отсрочка 15 дней</t>
        </is>
      </c>
      <c r="C231" s="594" t="inlineStr">
        <is>
          <t>ВБК РУС</t>
        </is>
      </c>
      <c r="D231" s="589" t="inlineStr">
        <is>
          <t>Прасолов, Соловьёв</t>
        </is>
      </c>
      <c r="E231" s="584">
        <f>IF(ISBLANK(G231),"",IF($A$6:$A$330=$A231,COUNTIF($A$6:A231,$A231),""))</f>
        <v/>
      </c>
      <c r="F231" s="567" t="inlineStr">
        <is>
          <t>S</t>
        </is>
      </c>
      <c r="G231" s="664" t="inlineStr">
        <is>
          <t>4006061140К1.</t>
        </is>
      </c>
      <c r="H231" s="666" t="inlineStr">
        <is>
          <t>Комплект "ABS 2S/2M базовый W" +3-й модулятор</t>
        </is>
      </c>
      <c r="I231" s="667">
        <f>5380/НДС_20</f>
        <v/>
      </c>
      <c r="J231" s="618" t="n"/>
      <c r="K231" s="874" t="n"/>
      <c r="L231" s="618">
        <f>IF(K231="RUB",J231/ЮАНЬ,IF(K231="EUR",J231*ЕВРО/ЮАНЬ,""))</f>
        <v/>
      </c>
      <c r="M231" s="875" t="n"/>
      <c r="N231" s="813">
        <f>IF(BP231&gt;0,1,IF(BN231&gt;0,2,))</f>
        <v/>
      </c>
      <c r="O231" s="569" t="n">
        <v>5</v>
      </c>
      <c r="P231" s="570" t="n"/>
      <c r="Q231" s="571" t="n">
        <v>0</v>
      </c>
      <c r="R231" s="570" t="n"/>
      <c r="S231" s="569" t="n">
        <v>5</v>
      </c>
      <c r="T231" s="570" t="n"/>
      <c r="U231" s="571" t="n">
        <v>0</v>
      </c>
      <c r="V231" s="570" t="n"/>
      <c r="W231" s="569" t="n">
        <v>5</v>
      </c>
      <c r="X231" s="570" t="n"/>
      <c r="Y231" s="571" t="n">
        <v>0</v>
      </c>
      <c r="Z231" s="570" t="n"/>
      <c r="AA231" s="569" t="n">
        <v>5</v>
      </c>
      <c r="AB231" s="570" t="n"/>
      <c r="AC231" s="571" t="n">
        <v>0</v>
      </c>
      <c r="AD231" s="570" t="n"/>
      <c r="AE231" s="569" t="n">
        <v>5</v>
      </c>
      <c r="AF231" s="570" t="n"/>
      <c r="AG231" s="571" t="n">
        <v>0</v>
      </c>
      <c r="AH231" s="570" t="n"/>
      <c r="AI231" s="569" t="n">
        <v>5</v>
      </c>
      <c r="AJ231" s="570" t="n"/>
      <c r="AK231" s="571" t="n">
        <v>0</v>
      </c>
      <c r="AL231" s="570" t="n"/>
      <c r="AM231" s="569" t="n">
        <v>5</v>
      </c>
      <c r="AN231" s="570" t="n"/>
      <c r="AO231" s="571" t="n">
        <v>0</v>
      </c>
      <c r="AP231" s="570" t="n"/>
      <c r="AQ231" s="569" t="n">
        <v>5</v>
      </c>
      <c r="AR231" s="570" t="n"/>
      <c r="AS231" s="571" t="n">
        <v>0</v>
      </c>
      <c r="AT231" s="570" t="n"/>
      <c r="AU231" s="569" t="n">
        <v>5</v>
      </c>
      <c r="AV231" s="570" t="n"/>
      <c r="AW231" s="571" t="n">
        <v>0</v>
      </c>
      <c r="AX231" s="570" t="n"/>
      <c r="AY231" s="569" t="n">
        <v>5</v>
      </c>
      <c r="AZ231" s="570" t="n">
        <v>5</v>
      </c>
      <c r="BA231" s="571" t="n">
        <v>0</v>
      </c>
      <c r="BB231" s="570" t="n"/>
      <c r="BC231" s="569" t="n">
        <v>5</v>
      </c>
      <c r="BD231" s="570" t="n">
        <v>5</v>
      </c>
      <c r="BE231" s="571" t="n">
        <v>0</v>
      </c>
      <c r="BF231" s="570" t="n"/>
      <c r="BG231" s="569" t="n">
        <v>5</v>
      </c>
      <c r="BH231" s="570" t="n">
        <v>5</v>
      </c>
      <c r="BI231" s="571" t="n">
        <v>0</v>
      </c>
      <c r="BJ231" s="570" t="n"/>
      <c r="BK231" s="572" t="n"/>
      <c r="BL231" s="803">
        <f>SUMPRODUCT(--(MOD(COLUMN($O231:$AL231),4)=MOD(COLUMN($O231)+0,4)),$O231:$AL231)
+SUMPRODUCT(--(MOD(COLUMN($AM231:$BJ231),4)=MOD(COLUMN($AM231)+0,4)),$AM231:$BJ231)</f>
        <v/>
      </c>
      <c r="BM231" s="803">
        <f>SUMPRODUCT(--(MOD(COLUMN($O231:$AL231),4)=MOD(COLUMN($O231)+0,4)),$O231:$AL231)*
$I231+SUMPRODUCT(--(MOD(COLUMN($AM231:$BJ231),4)=MOD(COLUMN($AM231)+0,4)),$AM231:$BJ231)*$I231</f>
        <v/>
      </c>
      <c r="BN231" s="805">
        <f>SUMPRODUCT(--(MOD(COLUMN($O231:$AL231),4)=MOD(COLUMN($O231)+1,4)),$O231:$AL231)
+SUMPRODUCT(--(MOD(COLUMN($AM231:$BJ231),4)=MOD(COLUMN($AM231)+1,4)),$AM231:$BJ231)</f>
        <v/>
      </c>
      <c r="BO231" s="806">
        <f>SUMPRODUCT(--(MOD(COLUMN($O231:$AL231),4)=MOD(COLUMN($O231)+1,4)),$O231:$AL231)*
$I231+SUMPRODUCT(--(MOD(COLUMN($AM231:$BJ231),4)=MOD(COLUMN($AM231)+1,4)),$AM231:$BJ231)*$I231</f>
        <v/>
      </c>
      <c r="BP231" s="807">
        <f>SUMPRODUCT(--(MOD(COLUMN($O231:$AL231),4)=MOD(COLUMN($O231)+2,4)),$O231:$AL231)
+SUMPRODUCT(--(MOD(COLUMN($AM231:$BJ231),4)=MOD(COLUMN($AM231)+2,4)),$AM231:$BJ231)</f>
        <v/>
      </c>
      <c r="BQ231" s="808">
        <f>SUMPRODUCT(--(MOD(COLUMN($O231:$AL231),4)=MOD(COLUMN($O231)+2,4)),$O231:$AL231)*
$I231+SUMPRODUCT(--(MOD(COLUMN($AM231:$BJ231),4)=MOD(COLUMN($AM231)+2,4)),$AM231:$BJ231)*$I231</f>
        <v/>
      </c>
      <c r="BR231" s="801" t="n"/>
      <c r="BS231" s="819" t="n"/>
      <c r="BT231" s="569" t="n">
        <v>10</v>
      </c>
      <c r="BU231" s="570" t="n"/>
      <c r="BV231" s="571" t="n">
        <v>0</v>
      </c>
      <c r="BW231" s="570" t="n"/>
      <c r="BX231" s="569" t="n">
        <v>10</v>
      </c>
      <c r="BY231" s="570" t="n"/>
      <c r="BZ231" s="571" t="n">
        <v>0</v>
      </c>
      <c r="CA231" s="570" t="n"/>
      <c r="CB231" s="569" t="n">
        <v>10</v>
      </c>
      <c r="CC231" s="570" t="n"/>
      <c r="CD231" s="571" t="n">
        <v>0</v>
      </c>
      <c r="CE231" s="570" t="n"/>
      <c r="CF231" s="569" t="n">
        <v>10</v>
      </c>
      <c r="CG231" s="570" t="n"/>
      <c r="CH231" s="571" t="n">
        <v>0</v>
      </c>
      <c r="CI231" s="570" t="n"/>
      <c r="CJ231" s="569" t="n">
        <v>10</v>
      </c>
      <c r="CK231" s="570" t="n"/>
      <c r="CL231" s="571" t="n">
        <v>0</v>
      </c>
      <c r="CM231" s="570" t="n"/>
      <c r="CN231" s="569" t="n">
        <v>10</v>
      </c>
      <c r="CO231" s="570" t="n"/>
      <c r="CP231" s="571" t="n">
        <v>0</v>
      </c>
      <c r="CQ231" s="570" t="n"/>
      <c r="CR231" s="569" t="n">
        <v>10</v>
      </c>
      <c r="CS231" s="570" t="n"/>
      <c r="CT231" s="571" t="n">
        <v>0</v>
      </c>
      <c r="CU231" s="570" t="n"/>
      <c r="CV231" s="569" t="n">
        <v>10</v>
      </c>
      <c r="CW231" s="570" t="n"/>
      <c r="CX231" s="571" t="n">
        <v>0</v>
      </c>
      <c r="CY231" s="570" t="n"/>
      <c r="CZ231" s="569" t="n">
        <v>10</v>
      </c>
      <c r="DA231" s="570" t="n"/>
      <c r="DB231" s="571" t="n">
        <v>0</v>
      </c>
      <c r="DC231" s="570" t="n"/>
      <c r="DD231" s="569" t="n">
        <v>10</v>
      </c>
      <c r="DE231" s="570" t="n"/>
      <c r="DF231" s="571" t="n">
        <v>0</v>
      </c>
      <c r="DG231" s="570" t="n"/>
      <c r="DH231" s="569" t="n">
        <v>10</v>
      </c>
      <c r="DI231" s="570" t="n"/>
      <c r="DJ231" s="571" t="n">
        <v>0</v>
      </c>
      <c r="DK231" s="570" t="n"/>
      <c r="DL231" s="569" t="n">
        <v>10</v>
      </c>
      <c r="DM231" s="570" t="n"/>
      <c r="DN231" s="571" t="n">
        <v>0</v>
      </c>
      <c r="DO231" s="570" t="n"/>
      <c r="DP231" s="572" t="n"/>
      <c r="DQ231" s="803">
        <f>SUMPRODUCT(--(MOD(COLUMN(BT231:CQ231),4)=MOD(COLUMN(BT231),4)),BT231:CQ231)+SUMPRODUCT(--(MOD(COLUMN(CR231:DO231),4)=MOD(COLUMN(CR231),4)),CR231:DO231)</f>
        <v/>
      </c>
      <c r="DR231" s="803">
        <f>SUMPRODUCT(--(MOD(COLUMN(BT231:CQ231),4)=MOD(COLUMN(BT231),4)),BT231:CQ231)*$I231+SUMPRODUCT(--(MOD(COLUMN(CR231:DO231),4)=MOD(COLUMN(CR231),4)),CR231:DO231)*$I231</f>
        <v/>
      </c>
      <c r="DS231" s="801" t="n"/>
      <c r="DT231" s="819" t="n"/>
      <c r="DU231" s="569" t="n">
        <v>10</v>
      </c>
      <c r="DV231" s="570" t="n"/>
      <c r="DW231" s="571" t="n">
        <v>0</v>
      </c>
      <c r="DX231" s="570" t="n"/>
      <c r="DY231" s="569" t="n">
        <v>10</v>
      </c>
      <c r="DZ231" s="570" t="n"/>
      <c r="EA231" s="571" t="n">
        <v>0</v>
      </c>
      <c r="EB231" s="570" t="n"/>
      <c r="EC231" s="569" t="n">
        <v>10</v>
      </c>
      <c r="ED231" s="570" t="n"/>
      <c r="EE231" s="571" t="n">
        <v>0</v>
      </c>
      <c r="EF231" s="570" t="n"/>
      <c r="EG231" s="569" t="n">
        <v>10</v>
      </c>
      <c r="EH231" s="570" t="n"/>
      <c r="EI231" s="571" t="n">
        <v>0</v>
      </c>
      <c r="EJ231" s="570" t="n"/>
      <c r="EK231" s="569" t="n">
        <v>10</v>
      </c>
      <c r="EL231" s="570" t="n"/>
      <c r="EM231" s="571" t="n">
        <v>0</v>
      </c>
      <c r="EN231" s="570" t="n"/>
      <c r="EO231" s="569" t="n">
        <v>10</v>
      </c>
      <c r="EP231" s="570" t="n"/>
      <c r="EQ231" s="571" t="n">
        <v>0</v>
      </c>
      <c r="ER231" s="570" t="n"/>
      <c r="ES231" s="569" t="n">
        <v>10</v>
      </c>
      <c r="ET231" s="570" t="n"/>
      <c r="EU231" s="571" t="n">
        <v>0</v>
      </c>
      <c r="EV231" s="570" t="n"/>
      <c r="EW231" s="569" t="n">
        <v>10</v>
      </c>
      <c r="EX231" s="570" t="n"/>
      <c r="EY231" s="571" t="n">
        <v>0</v>
      </c>
      <c r="EZ231" s="570" t="n"/>
      <c r="FA231" s="569" t="n">
        <v>10</v>
      </c>
      <c r="FB231" s="570" t="n"/>
      <c r="FC231" s="571" t="n">
        <v>0</v>
      </c>
      <c r="FD231" s="570" t="n"/>
      <c r="FE231" s="569" t="n">
        <v>10</v>
      </c>
      <c r="FF231" s="570" t="n"/>
      <c r="FG231" s="571" t="n">
        <v>0</v>
      </c>
      <c r="FH231" s="570" t="n"/>
      <c r="FI231" s="569" t="n">
        <v>10</v>
      </c>
      <c r="FJ231" s="570" t="n"/>
      <c r="FK231" s="571" t="n">
        <v>0</v>
      </c>
      <c r="FL231" s="570" t="n"/>
      <c r="FM231" s="569" t="n">
        <v>10</v>
      </c>
      <c r="FN231" s="570" t="n"/>
      <c r="FO231" s="571" t="n">
        <v>0</v>
      </c>
      <c r="FP231" s="570" t="n"/>
      <c r="FQ231" s="572" t="n"/>
      <c r="FR231" s="803">
        <f>SUMPRODUCT(--(MOD(COLUMN(DU231:ER231),4)=MOD(COLUMN(DU231),4)),DU231:ER231)+SUMPRODUCT(--(MOD(COLUMN(ES231:FP231),4)=MOD(COLUMN(ES231),4)),ES231:FP231)</f>
        <v/>
      </c>
      <c r="FS231" s="803">
        <f>SUMPRODUCT(--(MOD(COLUMN(DU231:ER231),4)=MOD(COLUMN(DU231),4)),DU231:ER231)*$I231+SUMPRODUCT(--(MOD(COLUMN(ES231:FP231),4)=MOD(COLUMN(ES231),4)),ES231:FP231)*$I231</f>
        <v/>
      </c>
      <c r="FT231" s="573" t="n"/>
    </row>
    <row r="232" outlineLevel="2" customFormat="1" s="574">
      <c r="A232" s="580" t="inlineStr">
        <is>
          <t>СПЕЦАВТО-ВОСТОК ООО</t>
        </is>
      </c>
      <c r="B232" s="580" t="inlineStr">
        <is>
          <t>Отсрочка 15 дней</t>
        </is>
      </c>
      <c r="C232" s="592" t="inlineStr">
        <is>
          <t>ВБК РУС</t>
        </is>
      </c>
      <c r="D232" s="580" t="inlineStr">
        <is>
          <t>Прасолов, Соловьёв</t>
        </is>
      </c>
      <c r="E232" s="588">
        <f>IF(ISBLANK(G232),"",IF($A$6:$A$330=$A232,COUNTIF($A$6:A232,$A232),""))</f>
        <v/>
      </c>
      <c r="F232" s="577" t="inlineStr">
        <is>
          <t>S</t>
        </is>
      </c>
      <c r="G232" s="593" t="n">
        <v>4441000160</v>
      </c>
      <c r="H232" s="613" t="inlineStr">
        <is>
          <t>Комплект базовый "ABS W 4S/3M (15 м)"</t>
        </is>
      </c>
      <c r="I232" s="667">
        <f>5380/НДС_20</f>
        <v/>
      </c>
      <c r="J232" s="619" t="n"/>
      <c r="K232" s="876" t="n"/>
      <c r="L232" s="619" t="n"/>
      <c r="M232" s="813" t="n"/>
      <c r="N232" s="813">
        <f>IF(BP232&gt;0,1,IF(BN232&gt;0,2,))</f>
        <v/>
      </c>
      <c r="O232" s="578" t="n"/>
      <c r="P232" s="498" t="n"/>
      <c r="Q232" s="579" t="n"/>
      <c r="R232" s="498" t="n"/>
      <c r="S232" s="578" t="n"/>
      <c r="T232" s="498" t="n"/>
      <c r="U232" s="579" t="n"/>
      <c r="V232" s="498" t="n"/>
      <c r="W232" s="578" t="n"/>
      <c r="X232" s="498" t="n"/>
      <c r="Y232" s="579" t="n"/>
      <c r="Z232" s="498" t="n"/>
      <c r="AA232" s="578" t="n"/>
      <c r="AB232" s="498" t="n"/>
      <c r="AC232" s="579" t="n"/>
      <c r="AD232" s="498" t="n"/>
      <c r="AE232" s="578" t="n"/>
      <c r="AF232" s="498" t="n"/>
      <c r="AG232" s="579" t="n"/>
      <c r="AH232" s="498" t="n"/>
      <c r="AI232" s="578" t="n"/>
      <c r="AJ232" s="498" t="n">
        <v>5</v>
      </c>
      <c r="AK232" s="579" t="n">
        <v>0</v>
      </c>
      <c r="AL232" s="498" t="n"/>
      <c r="AM232" s="578" t="n"/>
      <c r="AN232" s="498" t="n">
        <v>5</v>
      </c>
      <c r="AO232" s="579" t="n">
        <v>0</v>
      </c>
      <c r="AP232" s="498" t="n"/>
      <c r="AQ232" s="578" t="n"/>
      <c r="AR232" s="498" t="n">
        <v>5</v>
      </c>
      <c r="AS232" s="579" t="n">
        <v>0</v>
      </c>
      <c r="AT232" s="498" t="n"/>
      <c r="AU232" s="578" t="n"/>
      <c r="AV232" s="498" t="n">
        <v>5</v>
      </c>
      <c r="AW232" s="579" t="n">
        <v>0</v>
      </c>
      <c r="AX232" s="498" t="n"/>
      <c r="AY232" s="578" t="n"/>
      <c r="AZ232" s="498" t="n"/>
      <c r="BA232" s="579" t="n"/>
      <c r="BB232" s="498" t="n"/>
      <c r="BC232" s="578" t="n"/>
      <c r="BD232" s="498" t="n"/>
      <c r="BE232" s="579" t="n"/>
      <c r="BF232" s="498" t="n"/>
      <c r="BG232" s="578" t="n"/>
      <c r="BH232" s="498" t="n"/>
      <c r="BI232" s="579" t="n"/>
      <c r="BJ232" s="498" t="n"/>
      <c r="BK232" s="572" t="n"/>
      <c r="BL232" s="820">
        <f>SUMPRODUCT(--(MOD(COLUMN($O232:$AL232),4)=MOD(COLUMN($O232)+0,4)),$O232:$AL232)
+SUMPRODUCT(--(MOD(COLUMN($AM232:$BJ232),4)=MOD(COLUMN($AM232)+0,4)),$AM232:$BJ232)</f>
        <v/>
      </c>
      <c r="BM232" s="820">
        <f>SUMPRODUCT(--(MOD(COLUMN($O232:$AL232),4)=MOD(COLUMN($O232)+0,4)),$O232:$AL232)*
$I232+SUMPRODUCT(--(MOD(COLUMN($AM232:$BJ232),4)=MOD(COLUMN($AM232)+0,4)),$AM232:$BJ232)*$I232</f>
        <v/>
      </c>
      <c r="BN232" s="822">
        <f>SUMPRODUCT(--(MOD(COLUMN($O232:$AL232),4)=MOD(COLUMN($O232)+1,4)),$O232:$AL232)
+SUMPRODUCT(--(MOD(COLUMN($AM232:$BJ232),4)=MOD(COLUMN($AM232)+1,4)),$AM232:$BJ232)</f>
        <v/>
      </c>
      <c r="BO232" s="823">
        <f>SUMPRODUCT(--(MOD(COLUMN($O232:$AL232),4)=MOD(COLUMN($O232)+1,4)),$O232:$AL232)*
$I232+SUMPRODUCT(--(MOD(COLUMN($AM232:$BJ232),4)=MOD(COLUMN($AM232)+1,4)),$AM232:$BJ232)*$I232</f>
        <v/>
      </c>
      <c r="BP232" s="824">
        <f>SUMPRODUCT(--(MOD(COLUMN($O232:$AL232),4)=MOD(COLUMN($O232)+2,4)),$O232:$AL232)
+SUMPRODUCT(--(MOD(COLUMN($AM232:$BJ232),4)=MOD(COLUMN($AM232)+2,4)),$AM232:$BJ232)</f>
        <v/>
      </c>
      <c r="BQ232" s="825">
        <f>SUMPRODUCT(--(MOD(COLUMN($O232:$AL232),4)=MOD(COLUMN($O232)+2,4)),$O232:$AL232)*
$I232+SUMPRODUCT(--(MOD(COLUMN($AM232:$BJ232),4)=MOD(COLUMN($AM232)+2,4)),$AM232:$BJ232)*$I232</f>
        <v/>
      </c>
      <c r="BR232" s="819" t="n"/>
      <c r="BS232" s="819" t="n"/>
      <c r="BT232" s="578" t="n"/>
      <c r="BU232" s="498" t="n"/>
      <c r="BV232" s="579" t="n"/>
      <c r="BW232" s="498" t="n"/>
      <c r="BX232" s="578" t="n"/>
      <c r="BY232" s="498" t="n"/>
      <c r="BZ232" s="579" t="n"/>
      <c r="CA232" s="498" t="n"/>
      <c r="CB232" s="578" t="n"/>
      <c r="CC232" s="498" t="n"/>
      <c r="CD232" s="579" t="n"/>
      <c r="CE232" s="498" t="n"/>
      <c r="CF232" s="578" t="n"/>
      <c r="CG232" s="498" t="n"/>
      <c r="CH232" s="579" t="n"/>
      <c r="CI232" s="498" t="n"/>
      <c r="CJ232" s="578" t="n"/>
      <c r="CK232" s="498" t="n"/>
      <c r="CL232" s="579" t="n"/>
      <c r="CM232" s="498" t="n"/>
      <c r="CN232" s="578" t="n"/>
      <c r="CO232" s="498" t="n"/>
      <c r="CP232" s="579" t="n"/>
      <c r="CQ232" s="498" t="n"/>
      <c r="CR232" s="578" t="n"/>
      <c r="CS232" s="498" t="n"/>
      <c r="CT232" s="579" t="n"/>
      <c r="CU232" s="498" t="n"/>
      <c r="CV232" s="578" t="n"/>
      <c r="CW232" s="498" t="n"/>
      <c r="CX232" s="579" t="n"/>
      <c r="CY232" s="498" t="n"/>
      <c r="CZ232" s="578" t="n"/>
      <c r="DA232" s="498" t="n"/>
      <c r="DB232" s="579" t="n"/>
      <c r="DC232" s="498" t="n"/>
      <c r="DD232" s="578" t="n"/>
      <c r="DE232" s="498" t="n"/>
      <c r="DF232" s="579" t="n"/>
      <c r="DG232" s="498" t="n"/>
      <c r="DH232" s="578" t="n"/>
      <c r="DI232" s="498" t="n"/>
      <c r="DJ232" s="579" t="n"/>
      <c r="DK232" s="498" t="n"/>
      <c r="DL232" s="578" t="n"/>
      <c r="DM232" s="498" t="n"/>
      <c r="DN232" s="579" t="n"/>
      <c r="DO232" s="498" t="n"/>
      <c r="DP232" s="572" t="n"/>
      <c r="DQ232" s="820" t="n"/>
      <c r="DR232" s="820">
        <f>SUMPRODUCT(--(MOD(COLUMN(BT232:CQ232),4)=MOD(COLUMN(BT232),4)),BT232:CQ232)*$I232+SUMPRODUCT(--(MOD(COLUMN(CR232:DO232),4)=MOD(COLUMN(CR232),4)),CR232:DO232)*$I232</f>
        <v/>
      </c>
      <c r="DS232" s="819" t="n"/>
      <c r="DT232" s="819" t="n"/>
      <c r="DU232" s="578" t="n"/>
      <c r="DV232" s="498" t="n"/>
      <c r="DW232" s="579" t="n"/>
      <c r="DX232" s="498" t="n"/>
      <c r="DY232" s="578" t="n"/>
      <c r="DZ232" s="498" t="n"/>
      <c r="EA232" s="579" t="n"/>
      <c r="EB232" s="498" t="n"/>
      <c r="EC232" s="578" t="n"/>
      <c r="ED232" s="498" t="n"/>
      <c r="EE232" s="579" t="n"/>
      <c r="EF232" s="498" t="n"/>
      <c r="EG232" s="578" t="n"/>
      <c r="EH232" s="498" t="n"/>
      <c r="EI232" s="579" t="n"/>
      <c r="EJ232" s="498" t="n"/>
      <c r="EK232" s="578" t="n"/>
      <c r="EL232" s="498" t="n"/>
      <c r="EM232" s="579" t="n"/>
      <c r="EN232" s="498" t="n"/>
      <c r="EO232" s="578" t="n"/>
      <c r="EP232" s="498" t="n"/>
      <c r="EQ232" s="579" t="n"/>
      <c r="ER232" s="498" t="n"/>
      <c r="ES232" s="578" t="n"/>
      <c r="ET232" s="498" t="n"/>
      <c r="EU232" s="579" t="n"/>
      <c r="EV232" s="498" t="n"/>
      <c r="EW232" s="578" t="n"/>
      <c r="EX232" s="498" t="n"/>
      <c r="EY232" s="579" t="n"/>
      <c r="EZ232" s="498" t="n"/>
      <c r="FA232" s="578" t="n"/>
      <c r="FB232" s="498" t="n"/>
      <c r="FC232" s="579" t="n"/>
      <c r="FD232" s="498" t="n"/>
      <c r="FE232" s="578" t="n"/>
      <c r="FF232" s="498" t="n"/>
      <c r="FG232" s="579" t="n"/>
      <c r="FH232" s="498" t="n"/>
      <c r="FI232" s="578" t="n"/>
      <c r="FJ232" s="498" t="n"/>
      <c r="FK232" s="579" t="n"/>
      <c r="FL232" s="498" t="n"/>
      <c r="FM232" s="578" t="n"/>
      <c r="FN232" s="498" t="n"/>
      <c r="FO232" s="579" t="n"/>
      <c r="FP232" s="498" t="n"/>
      <c r="FQ232" s="572" t="n"/>
      <c r="FR232" s="820" t="n"/>
      <c r="FS232" s="820">
        <f>SUMPRODUCT(--(MOD(COLUMN(DU232:ER232),4)=MOD(COLUMN(DU232),4)),DU232:ER232)*$I232+SUMPRODUCT(--(MOD(COLUMN(ES232:FP232),4)=MOD(COLUMN(ES232),4)),ES232:FP232)*$I232</f>
        <v/>
      </c>
      <c r="FT232" s="573" t="n"/>
    </row>
    <row r="233" outlineLevel="2" customFormat="1" s="574">
      <c r="A233" s="580" t="inlineStr">
        <is>
          <t>СПЕЦАВТО-ВОСТОК ООО</t>
        </is>
      </c>
      <c r="B233" s="580" t="inlineStr">
        <is>
          <t>Отсрочка 15 дней</t>
        </is>
      </c>
      <c r="C233" s="592" t="inlineStr">
        <is>
          <t>ВБК РУС</t>
        </is>
      </c>
      <c r="D233" s="580" t="inlineStr">
        <is>
          <t>Прасолов, Соловьёв</t>
        </is>
      </c>
      <c r="E233" s="588">
        <f>IF(ISBLANK(G233),"",IF($A$6:$A$330=$A233,COUNTIF($A$6:A233,$A233),""))</f>
        <v/>
      </c>
      <c r="F233" s="577" t="inlineStr">
        <is>
          <t>S</t>
        </is>
      </c>
      <c r="G233" s="593" t="n">
        <v>4441000500</v>
      </c>
      <c r="H233" s="613" t="inlineStr">
        <is>
          <t>Комплект базовый "ABS W 4S/3M (15 м)"</t>
        </is>
      </c>
      <c r="I233" s="667">
        <f>5380/НДС_20</f>
        <v/>
      </c>
      <c r="J233" s="619" t="n"/>
      <c r="K233" s="876" t="n"/>
      <c r="L233" s="619" t="n"/>
      <c r="M233" s="813" t="n"/>
      <c r="N233" s="813">
        <f>IF(BP233&gt;0,1,IF(BN233&gt;0,2,))</f>
        <v/>
      </c>
      <c r="O233" s="578" t="n"/>
      <c r="P233" s="498" t="n"/>
      <c r="Q233" s="579" t="n"/>
      <c r="R233" s="498" t="n"/>
      <c r="S233" s="578" t="n"/>
      <c r="T233" s="498" t="n"/>
      <c r="U233" s="579" t="n"/>
      <c r="V233" s="498" t="n"/>
      <c r="W233" s="578" t="n"/>
      <c r="X233" s="498" t="n"/>
      <c r="Y233" s="579" t="n"/>
      <c r="Z233" s="498" t="n"/>
      <c r="AA233" s="578" t="n"/>
      <c r="AB233" s="498" t="n"/>
      <c r="AC233" s="579" t="n"/>
      <c r="AD233" s="498" t="n"/>
      <c r="AE233" s="578" t="n"/>
      <c r="AF233" s="498" t="n"/>
      <c r="AG233" s="579" t="n"/>
      <c r="AH233" s="498" t="n"/>
      <c r="AI233" s="578" t="n"/>
      <c r="AJ233" s="498" t="n"/>
      <c r="AK233" s="579" t="n"/>
      <c r="AL233" s="498" t="n"/>
      <c r="AM233" s="578" t="n"/>
      <c r="AN233" s="498" t="n"/>
      <c r="AO233" s="579" t="n"/>
      <c r="AP233" s="498" t="n"/>
      <c r="AQ233" s="578" t="n"/>
      <c r="AR233" s="498" t="n"/>
      <c r="AS233" s="579" t="n"/>
      <c r="AT233" s="498" t="n"/>
      <c r="AU233" s="578" t="n"/>
      <c r="AV233" s="498" t="n"/>
      <c r="AW233" s="579" t="n"/>
      <c r="AX233" s="498" t="n"/>
      <c r="AY233" s="578" t="n"/>
      <c r="AZ233" s="498" t="n"/>
      <c r="BA233" s="579" t="n"/>
      <c r="BB233" s="498" t="n"/>
      <c r="BC233" s="578" t="n"/>
      <c r="BD233" s="498" t="n"/>
      <c r="BE233" s="579" t="n"/>
      <c r="BF233" s="498" t="n"/>
      <c r="BG233" s="578" t="n"/>
      <c r="BH233" s="498" t="n"/>
      <c r="BI233" s="579" t="n"/>
      <c r="BJ233" s="498" t="n"/>
      <c r="BK233" s="572" t="n"/>
      <c r="BL233" s="820">
        <f>SUMPRODUCT(--(MOD(COLUMN($O233:$AL233),4)=MOD(COLUMN($O233)+0,4)),$O233:$AL233)
+SUMPRODUCT(--(MOD(COLUMN($AM233:$BJ233),4)=MOD(COLUMN($AM233)+0,4)),$AM233:$BJ233)</f>
        <v/>
      </c>
      <c r="BM233" s="820">
        <f>SUMPRODUCT(--(MOD(COLUMN($O233:$AL233),4)=MOD(COLUMN($O233)+0,4)),$O233:$AL233)*
$I233+SUMPRODUCT(--(MOD(COLUMN($AM233:$BJ233),4)=MOD(COLUMN($AM233)+0,4)),$AM233:$BJ233)*$I233</f>
        <v/>
      </c>
      <c r="BN233" s="822">
        <f>SUMPRODUCT(--(MOD(COLUMN($O233:$AL233),4)=MOD(COLUMN($O233)+1,4)),$O233:$AL233)
+SUMPRODUCT(--(MOD(COLUMN($AM233:$BJ233),4)=MOD(COLUMN($AM233)+1,4)),$AM233:$BJ233)</f>
        <v/>
      </c>
      <c r="BO233" s="823">
        <f>SUMPRODUCT(--(MOD(COLUMN($O233:$AL233),4)=MOD(COLUMN($O233)+1,4)),$O233:$AL233)*
$I233+SUMPRODUCT(--(MOD(COLUMN($AM233:$BJ233),4)=MOD(COLUMN($AM233)+1,4)),$AM233:$BJ233)*$I233</f>
        <v/>
      </c>
      <c r="BP233" s="824">
        <f>SUMPRODUCT(--(MOD(COLUMN($O233:$AL233),4)=MOD(COLUMN($O233)+2,4)),$O233:$AL233)
+SUMPRODUCT(--(MOD(COLUMN($AM233:$BJ233),4)=MOD(COLUMN($AM233)+2,4)),$AM233:$BJ233)</f>
        <v/>
      </c>
      <c r="BQ233" s="825">
        <f>SUMPRODUCT(--(MOD(COLUMN($O233:$AL233),4)=MOD(COLUMN($O233)+2,4)),$O233:$AL233)*
$I233+SUMPRODUCT(--(MOD(COLUMN($AM233:$BJ233),4)=MOD(COLUMN($AM233)+2,4)),$AM233:$BJ233)*$I233</f>
        <v/>
      </c>
      <c r="BR233" s="819" t="n"/>
      <c r="BS233" s="819" t="n"/>
      <c r="BT233" s="578" t="n"/>
      <c r="BU233" s="498" t="n"/>
      <c r="BV233" s="579" t="n"/>
      <c r="BW233" s="498" t="n"/>
      <c r="BX233" s="578" t="n"/>
      <c r="BY233" s="498" t="n"/>
      <c r="BZ233" s="579" t="n"/>
      <c r="CA233" s="498" t="n"/>
      <c r="CB233" s="578" t="n"/>
      <c r="CC233" s="498" t="n"/>
      <c r="CD233" s="579" t="n"/>
      <c r="CE233" s="498" t="n"/>
      <c r="CF233" s="578" t="n"/>
      <c r="CG233" s="498" t="n"/>
      <c r="CH233" s="579" t="n"/>
      <c r="CI233" s="498" t="n"/>
      <c r="CJ233" s="578" t="n"/>
      <c r="CK233" s="498" t="n"/>
      <c r="CL233" s="579" t="n"/>
      <c r="CM233" s="498" t="n"/>
      <c r="CN233" s="578" t="n"/>
      <c r="CO233" s="498" t="n"/>
      <c r="CP233" s="579" t="n"/>
      <c r="CQ233" s="498" t="n"/>
      <c r="CR233" s="578" t="n"/>
      <c r="CS233" s="498" t="n"/>
      <c r="CT233" s="579" t="n"/>
      <c r="CU233" s="498" t="n"/>
      <c r="CV233" s="578" t="n"/>
      <c r="CW233" s="498" t="n"/>
      <c r="CX233" s="579" t="n"/>
      <c r="CY233" s="498" t="n"/>
      <c r="CZ233" s="578" t="n"/>
      <c r="DA233" s="498" t="n"/>
      <c r="DB233" s="579" t="n"/>
      <c r="DC233" s="498" t="n"/>
      <c r="DD233" s="578" t="n"/>
      <c r="DE233" s="498" t="n"/>
      <c r="DF233" s="579" t="n"/>
      <c r="DG233" s="498" t="n"/>
      <c r="DH233" s="578" t="n"/>
      <c r="DI233" s="498" t="n"/>
      <c r="DJ233" s="579" t="n"/>
      <c r="DK233" s="498" t="n"/>
      <c r="DL233" s="578" t="n"/>
      <c r="DM233" s="498" t="n"/>
      <c r="DN233" s="579" t="n"/>
      <c r="DO233" s="498" t="n"/>
      <c r="DP233" s="572" t="n"/>
      <c r="DQ233" s="820" t="n"/>
      <c r="DR233" s="820">
        <f>SUMPRODUCT(--(MOD(COLUMN(BT233:CQ233),4)=MOD(COLUMN(BT233),4)),BT233:CQ233)*$I233+SUMPRODUCT(--(MOD(COLUMN(CR233:DO233),4)=MOD(COLUMN(CR233),4)),CR233:DO233)*$I233</f>
        <v/>
      </c>
      <c r="DS233" s="819" t="n"/>
      <c r="DT233" s="819" t="n"/>
      <c r="DU233" s="578" t="n"/>
      <c r="DV233" s="498" t="n"/>
      <c r="DW233" s="579" t="n"/>
      <c r="DX233" s="498" t="n"/>
      <c r="DY233" s="578" t="n"/>
      <c r="DZ233" s="498" t="n"/>
      <c r="EA233" s="579" t="n"/>
      <c r="EB233" s="498" t="n"/>
      <c r="EC233" s="578" t="n"/>
      <c r="ED233" s="498" t="n"/>
      <c r="EE233" s="579" t="n"/>
      <c r="EF233" s="498" t="n"/>
      <c r="EG233" s="578" t="n"/>
      <c r="EH233" s="498" t="n"/>
      <c r="EI233" s="579" t="n"/>
      <c r="EJ233" s="498" t="n"/>
      <c r="EK233" s="578" t="n"/>
      <c r="EL233" s="498" t="n"/>
      <c r="EM233" s="579" t="n"/>
      <c r="EN233" s="498" t="n"/>
      <c r="EO233" s="578" t="n"/>
      <c r="EP233" s="498" t="n"/>
      <c r="EQ233" s="579" t="n"/>
      <c r="ER233" s="498" t="n"/>
      <c r="ES233" s="578" t="n"/>
      <c r="ET233" s="498" t="n"/>
      <c r="EU233" s="579" t="n"/>
      <c r="EV233" s="498" t="n"/>
      <c r="EW233" s="578" t="n"/>
      <c r="EX233" s="498" t="n"/>
      <c r="EY233" s="579" t="n"/>
      <c r="EZ233" s="498" t="n"/>
      <c r="FA233" s="578" t="n"/>
      <c r="FB233" s="498" t="n"/>
      <c r="FC233" s="579" t="n"/>
      <c r="FD233" s="498" t="n"/>
      <c r="FE233" s="578" t="n"/>
      <c r="FF233" s="498" t="n"/>
      <c r="FG233" s="579" t="n"/>
      <c r="FH233" s="498" t="n"/>
      <c r="FI233" s="578" t="n"/>
      <c r="FJ233" s="498" t="n"/>
      <c r="FK233" s="579" t="n"/>
      <c r="FL233" s="498" t="n"/>
      <c r="FM233" s="578" t="n"/>
      <c r="FN233" s="498" t="n"/>
      <c r="FO233" s="579" t="n"/>
      <c r="FP233" s="498" t="n"/>
      <c r="FQ233" s="572" t="n"/>
      <c r="FR233" s="820" t="n"/>
      <c r="FS233" s="820">
        <f>SUMPRODUCT(--(MOD(COLUMN(DU233:ER233),4)=MOD(COLUMN(DU233),4)),DU233:ER233)*$I233+SUMPRODUCT(--(MOD(COLUMN(ES233:FP233),4)=MOD(COLUMN(ES233),4)),ES233:FP233)*$I233</f>
        <v/>
      </c>
      <c r="FT233" s="573" t="n"/>
    </row>
    <row r="234" outlineLevel="2" customFormat="1" s="574">
      <c r="A234" s="589" t="inlineStr">
        <is>
          <t>СПЕЦАВТО-ВОСТОК ООО</t>
        </is>
      </c>
      <c r="B234" s="589" t="inlineStr">
        <is>
          <t>Отсрочка 15 дней</t>
        </is>
      </c>
      <c r="C234" s="594" t="inlineStr">
        <is>
          <t>ВБК РУС</t>
        </is>
      </c>
      <c r="D234" s="589" t="inlineStr">
        <is>
          <t>Прасолов, Соловьёв</t>
        </is>
      </c>
      <c r="E234" s="584">
        <f>IF(ISBLANK(G234),"",IF($A$6:$A$330=$A234,COUNTIF($A$6:A234,$A234),""))</f>
        <v/>
      </c>
      <c r="F234" s="567" t="inlineStr">
        <is>
          <t>S</t>
        </is>
      </c>
      <c r="G234" s="128" t="n">
        <v>4441000380</v>
      </c>
      <c r="H234" s="611" t="inlineStr">
        <is>
          <t>Комплект базовый "TEBS 2S/2M (15 м)"</t>
        </is>
      </c>
      <c r="I234" s="662">
        <f>8402/НДС</f>
        <v/>
      </c>
      <c r="J234" s="618" t="n"/>
      <c r="K234" s="874" t="n"/>
      <c r="L234" s="618">
        <f>IF(K234="RUB",J234/ЮАНЬ,IF(K234="EUR",J234*ЕВРО/ЮАНЬ,""))</f>
        <v/>
      </c>
      <c r="M234" s="875" t="n"/>
      <c r="N234" s="813">
        <f>IF(BP234&gt;0,1,IF(BN234&gt;0,2,))</f>
        <v/>
      </c>
      <c r="O234" s="569" t="n">
        <v>20</v>
      </c>
      <c r="P234" s="570" t="n"/>
      <c r="Q234" s="571" t="n">
        <v>0</v>
      </c>
      <c r="R234" s="570" t="n"/>
      <c r="S234" s="569" t="n">
        <v>20</v>
      </c>
      <c r="T234" s="570">
        <f>16+5+5</f>
        <v/>
      </c>
      <c r="U234" s="571" t="n">
        <v>26</v>
      </c>
      <c r="V234" s="570" t="n"/>
      <c r="W234" s="569" t="n">
        <v>20</v>
      </c>
      <c r="X234" s="570">
        <f>5+5+8</f>
        <v/>
      </c>
      <c r="Y234" s="571" t="n">
        <v>18</v>
      </c>
      <c r="Z234" s="570" t="n"/>
      <c r="AA234" s="569" t="n">
        <v>20</v>
      </c>
      <c r="AB234" s="570">
        <f>10+8+14+6</f>
        <v/>
      </c>
      <c r="AC234" s="571" t="n">
        <v>38</v>
      </c>
      <c r="AD234" s="570" t="n"/>
      <c r="AE234" s="569" t="n">
        <v>20</v>
      </c>
      <c r="AF234" s="570">
        <f>2</f>
        <v/>
      </c>
      <c r="AG234" s="571" t="n">
        <v>0</v>
      </c>
      <c r="AH234" s="570" t="n"/>
      <c r="AI234" s="569" t="n">
        <v>20</v>
      </c>
      <c r="AJ234" s="570" t="n">
        <v>5</v>
      </c>
      <c r="AK234" s="571" t="n">
        <v>0</v>
      </c>
      <c r="AL234" s="570" t="n"/>
      <c r="AM234" s="569" t="n">
        <v>20</v>
      </c>
      <c r="AN234" s="570" t="n">
        <v>5</v>
      </c>
      <c r="AO234" s="571" t="n">
        <v>0</v>
      </c>
      <c r="AP234" s="570" t="n"/>
      <c r="AQ234" s="569" t="n">
        <v>20</v>
      </c>
      <c r="AR234" s="570" t="n">
        <v>20</v>
      </c>
      <c r="AS234" s="571" t="n">
        <v>0</v>
      </c>
      <c r="AT234" s="570" t="n"/>
      <c r="AU234" s="569" t="n">
        <v>25</v>
      </c>
      <c r="AV234" s="570" t="n">
        <v>25</v>
      </c>
      <c r="AW234" s="571" t="n">
        <v>0</v>
      </c>
      <c r="AX234" s="570" t="n"/>
      <c r="AY234" s="569" t="n">
        <v>25</v>
      </c>
      <c r="AZ234" s="570" t="n">
        <v>25</v>
      </c>
      <c r="BA234" s="571" t="n">
        <v>0</v>
      </c>
      <c r="BB234" s="570" t="n"/>
      <c r="BC234" s="569" t="n">
        <v>25</v>
      </c>
      <c r="BD234" s="570" t="n">
        <v>25</v>
      </c>
      <c r="BE234" s="571" t="n">
        <v>0</v>
      </c>
      <c r="BF234" s="570" t="n"/>
      <c r="BG234" s="569" t="n">
        <v>25</v>
      </c>
      <c r="BH234" s="570" t="n">
        <v>25</v>
      </c>
      <c r="BI234" s="571" t="n">
        <v>0</v>
      </c>
      <c r="BJ234" s="570" t="n"/>
      <c r="BK234" s="572" t="n"/>
      <c r="BL234" s="803">
        <f>SUMPRODUCT(--(MOD(COLUMN($O234:$AL234),4)=MOD(COLUMN($O234)+0,4)),$O234:$AL234)
+SUMPRODUCT(--(MOD(COLUMN($AM234:$BJ234),4)=MOD(COLUMN($AM234)+0,4)),$AM234:$BJ234)</f>
        <v/>
      </c>
      <c r="BM234" s="803">
        <f>SUMPRODUCT(--(MOD(COLUMN($O234:$AL234),4)=MOD(COLUMN($O234)+0,4)),$O234:$AL234)*
$I234+SUMPRODUCT(--(MOD(COLUMN($AM234:$BJ234),4)=MOD(COLUMN($AM234)+0,4)),$AM234:$BJ234)*$I234</f>
        <v/>
      </c>
      <c r="BN234" s="805">
        <f>SUMPRODUCT(--(MOD(COLUMN($O234:$AL234),4)=MOD(COLUMN($O234)+1,4)),$O234:$AL234)
+SUMPRODUCT(--(MOD(COLUMN($AM234:$BJ234),4)=MOD(COLUMN($AM234)+1,4)),$AM234:$BJ234)</f>
        <v/>
      </c>
      <c r="BO234" s="806">
        <f>SUMPRODUCT(--(MOD(COLUMN($O234:$AL234),4)=MOD(COLUMN($O234)+1,4)),$O234:$AL234)*
$I234+SUMPRODUCT(--(MOD(COLUMN($AM234:$BJ234),4)=MOD(COLUMN($AM234)+1,4)),$AM234:$BJ234)*$I234</f>
        <v/>
      </c>
      <c r="BP234" s="807">
        <f>SUMPRODUCT(--(MOD(COLUMN($O234:$AL234),4)=MOD(COLUMN($O234)+2,4)),$O234:$AL234)
+SUMPRODUCT(--(MOD(COLUMN($AM234:$BJ234),4)=MOD(COLUMN($AM234)+2,4)),$AM234:$BJ234)</f>
        <v/>
      </c>
      <c r="BQ234" s="808">
        <f>SUMPRODUCT(--(MOD(COLUMN($O234:$AL234),4)=MOD(COLUMN($O234)+2,4)),$O234:$AL234)*
$I234+SUMPRODUCT(--(MOD(COLUMN($AM234:$BJ234),4)=MOD(COLUMN($AM234)+2,4)),$AM234:$BJ234)*$I234</f>
        <v/>
      </c>
      <c r="BR234" s="801" t="n"/>
      <c r="BS234" s="819" t="n"/>
      <c r="BT234" s="569" t="n">
        <v>10</v>
      </c>
      <c r="BU234" s="570" t="n"/>
      <c r="BV234" s="571" t="n">
        <v>0</v>
      </c>
      <c r="BW234" s="570" t="n"/>
      <c r="BX234" s="569" t="n">
        <v>10</v>
      </c>
      <c r="BY234" s="570" t="n"/>
      <c r="BZ234" s="571" t="n">
        <v>0</v>
      </c>
      <c r="CA234" s="570" t="n"/>
      <c r="CB234" s="569" t="n">
        <v>10</v>
      </c>
      <c r="CC234" s="570" t="n"/>
      <c r="CD234" s="571" t="n">
        <v>0</v>
      </c>
      <c r="CE234" s="570" t="n"/>
      <c r="CF234" s="569" t="n">
        <v>10</v>
      </c>
      <c r="CG234" s="570" t="n"/>
      <c r="CH234" s="571" t="n">
        <v>0</v>
      </c>
      <c r="CI234" s="570" t="n"/>
      <c r="CJ234" s="569" t="n">
        <v>10</v>
      </c>
      <c r="CK234" s="570" t="n"/>
      <c r="CL234" s="571" t="n">
        <v>0</v>
      </c>
      <c r="CM234" s="570" t="n"/>
      <c r="CN234" s="569" t="n">
        <v>10</v>
      </c>
      <c r="CO234" s="570" t="n"/>
      <c r="CP234" s="571" t="n">
        <v>0</v>
      </c>
      <c r="CQ234" s="570" t="n"/>
      <c r="CR234" s="569" t="n">
        <v>10</v>
      </c>
      <c r="CS234" s="570" t="n"/>
      <c r="CT234" s="571" t="n">
        <v>0</v>
      </c>
      <c r="CU234" s="570" t="n"/>
      <c r="CV234" s="569" t="n">
        <v>10</v>
      </c>
      <c r="CW234" s="570" t="n"/>
      <c r="CX234" s="571" t="n">
        <v>0</v>
      </c>
      <c r="CY234" s="570" t="n"/>
      <c r="CZ234" s="569" t="n">
        <v>10</v>
      </c>
      <c r="DA234" s="570" t="n"/>
      <c r="DB234" s="571" t="n">
        <v>0</v>
      </c>
      <c r="DC234" s="570" t="n"/>
      <c r="DD234" s="569" t="n">
        <v>10</v>
      </c>
      <c r="DE234" s="570" t="n"/>
      <c r="DF234" s="571" t="n">
        <v>0</v>
      </c>
      <c r="DG234" s="570" t="n"/>
      <c r="DH234" s="569" t="n">
        <v>10</v>
      </c>
      <c r="DI234" s="570" t="n"/>
      <c r="DJ234" s="571" t="n">
        <v>0</v>
      </c>
      <c r="DK234" s="570" t="n"/>
      <c r="DL234" s="569" t="n">
        <v>10</v>
      </c>
      <c r="DM234" s="570" t="n"/>
      <c r="DN234" s="571" t="n">
        <v>0</v>
      </c>
      <c r="DO234" s="570" t="n"/>
      <c r="DP234" s="572" t="n"/>
      <c r="DQ234" s="803">
        <f>SUMPRODUCT(--(MOD(COLUMN(BT234:CQ234),4)=MOD(COLUMN(BT234),4)),BT234:CQ234)+SUMPRODUCT(--(MOD(COLUMN(CR234:DO234),4)=MOD(COLUMN(CR234),4)),CR234:DO234)</f>
        <v/>
      </c>
      <c r="DR234" s="803">
        <f>SUMPRODUCT(--(MOD(COLUMN(BT234:CQ234),4)=MOD(COLUMN(BT234),4)),BT234:CQ234)*$I234+SUMPRODUCT(--(MOD(COLUMN(CR234:DO234),4)=MOD(COLUMN(CR234),4)),CR234:DO234)*$I234</f>
        <v/>
      </c>
      <c r="DS234" s="801" t="n"/>
      <c r="DT234" s="819" t="n"/>
      <c r="DU234" s="569" t="n">
        <v>15</v>
      </c>
      <c r="DV234" s="570" t="n"/>
      <c r="DW234" s="571" t="n">
        <v>0</v>
      </c>
      <c r="DX234" s="570" t="n"/>
      <c r="DY234" s="569" t="n">
        <v>15</v>
      </c>
      <c r="DZ234" s="570" t="n"/>
      <c r="EA234" s="571" t="n">
        <v>0</v>
      </c>
      <c r="EB234" s="570" t="n"/>
      <c r="EC234" s="569" t="n">
        <v>15</v>
      </c>
      <c r="ED234" s="570" t="n"/>
      <c r="EE234" s="571" t="n">
        <v>0</v>
      </c>
      <c r="EF234" s="570" t="n"/>
      <c r="EG234" s="569" t="n">
        <v>15</v>
      </c>
      <c r="EH234" s="570" t="n"/>
      <c r="EI234" s="571" t="n">
        <v>0</v>
      </c>
      <c r="EJ234" s="570" t="n"/>
      <c r="EK234" s="569" t="n">
        <v>15</v>
      </c>
      <c r="EL234" s="570" t="n"/>
      <c r="EM234" s="571" t="n">
        <v>0</v>
      </c>
      <c r="EN234" s="570" t="n"/>
      <c r="EO234" s="569" t="n">
        <v>15</v>
      </c>
      <c r="EP234" s="570" t="n"/>
      <c r="EQ234" s="571" t="n">
        <v>0</v>
      </c>
      <c r="ER234" s="570" t="n"/>
      <c r="ES234" s="569" t="n">
        <v>15</v>
      </c>
      <c r="ET234" s="570" t="n"/>
      <c r="EU234" s="571" t="n">
        <v>0</v>
      </c>
      <c r="EV234" s="570" t="n"/>
      <c r="EW234" s="569" t="n">
        <v>15</v>
      </c>
      <c r="EX234" s="570" t="n"/>
      <c r="EY234" s="571" t="n">
        <v>0</v>
      </c>
      <c r="EZ234" s="570" t="n"/>
      <c r="FA234" s="569" t="n">
        <v>15</v>
      </c>
      <c r="FB234" s="570" t="n"/>
      <c r="FC234" s="571" t="n">
        <v>0</v>
      </c>
      <c r="FD234" s="570" t="n"/>
      <c r="FE234" s="569" t="n">
        <v>15</v>
      </c>
      <c r="FF234" s="570" t="n"/>
      <c r="FG234" s="571" t="n">
        <v>0</v>
      </c>
      <c r="FH234" s="570" t="n"/>
      <c r="FI234" s="569" t="n">
        <v>15</v>
      </c>
      <c r="FJ234" s="570" t="n"/>
      <c r="FK234" s="571" t="n">
        <v>0</v>
      </c>
      <c r="FL234" s="570" t="n"/>
      <c r="FM234" s="569" t="n">
        <v>15</v>
      </c>
      <c r="FN234" s="570" t="n"/>
      <c r="FO234" s="571" t="n">
        <v>0</v>
      </c>
      <c r="FP234" s="570" t="n"/>
      <c r="FQ234" s="572" t="n"/>
      <c r="FR234" s="803">
        <f>SUMPRODUCT(--(MOD(COLUMN(DU234:ER234),4)=MOD(COLUMN(DU234),4)),DU234:ER234)+SUMPRODUCT(--(MOD(COLUMN(ES234:FP234),4)=MOD(COLUMN(ES234),4)),ES234:FP234)</f>
        <v/>
      </c>
      <c r="FS234" s="803">
        <f>SUMPRODUCT(--(MOD(COLUMN(DU234:ER234),4)=MOD(COLUMN(DU234),4)),DU234:ER234)*$I234+SUMPRODUCT(--(MOD(COLUMN(ES234:FP234),4)=MOD(COLUMN(ES234),4)),ES234:FP234)*$I234</f>
        <v/>
      </c>
      <c r="FT234" s="573" t="n"/>
    </row>
    <row r="235" outlineLevel="2" customFormat="1" s="574">
      <c r="A235" s="575" t="inlineStr">
        <is>
          <t>СПЕЦАВТО-ВОСТОК ООО</t>
        </is>
      </c>
      <c r="B235" s="575" t="inlineStr">
        <is>
          <t>Отсрочка 15 дней</t>
        </is>
      </c>
      <c r="C235" s="311" t="inlineStr">
        <is>
          <t>ВБК РУС</t>
        </is>
      </c>
      <c r="D235" s="575" t="inlineStr">
        <is>
          <t>Прасолов, Соловьёв</t>
        </is>
      </c>
      <c r="E235" s="576">
        <f>IF(ISBLANK(G235),"",IF($A$6:$A$330=$A235,COUNTIF($A$6:A235,$A235),""))</f>
        <v/>
      </c>
      <c r="F235" s="577" t="inlineStr">
        <is>
          <t>S</t>
        </is>
      </c>
      <c r="G235" s="403" t="n">
        <v>4441000400</v>
      </c>
      <c r="H235" s="611" t="inlineStr">
        <is>
          <t>Комплект "TEBS 2S/2M (15 м)" стандарт</t>
        </is>
      </c>
      <c r="I235" s="683">
        <f>7678/НДС</f>
        <v/>
      </c>
      <c r="J235" s="619" t="n"/>
      <c r="K235" s="876" t="n"/>
      <c r="L235" s="619" t="n"/>
      <c r="M235" s="813" t="n"/>
      <c r="N235" s="813">
        <f>IF(BP235&gt;0,1,IF(BN235&gt;0,2,))</f>
        <v/>
      </c>
      <c r="O235" s="578" t="n"/>
      <c r="P235" s="498" t="n"/>
      <c r="Q235" s="579" t="n"/>
      <c r="R235" s="498" t="n"/>
      <c r="S235" s="578" t="n"/>
      <c r="T235" s="498" t="n"/>
      <c r="U235" s="579" t="n"/>
      <c r="V235" s="498" t="n"/>
      <c r="W235" s="578" t="n"/>
      <c r="X235" s="498">
        <f>16</f>
        <v/>
      </c>
      <c r="Y235" s="579" t="n">
        <v>16</v>
      </c>
      <c r="Z235" s="498" t="n"/>
      <c r="AA235" s="578" t="n"/>
      <c r="AB235" s="498" t="n"/>
      <c r="AC235" s="579" t="n"/>
      <c r="AD235" s="498" t="n"/>
      <c r="AE235" s="578" t="n"/>
      <c r="AF235" s="498">
        <f>10+4+4</f>
        <v/>
      </c>
      <c r="AG235" s="579" t="n">
        <v>0</v>
      </c>
      <c r="AH235" s="498" t="n"/>
      <c r="AI235" s="578" t="n"/>
      <c r="AJ235" s="498">
        <f>10+10+N(5)</f>
        <v/>
      </c>
      <c r="AK235" s="579" t="n">
        <v>0</v>
      </c>
      <c r="AL235" s="498" t="n"/>
      <c r="AM235" s="578" t="n"/>
      <c r="AN235" s="498" t="n">
        <v>20</v>
      </c>
      <c r="AO235" s="579" t="n">
        <v>0</v>
      </c>
      <c r="AP235" s="498" t="n"/>
      <c r="AQ235" s="578" t="n"/>
      <c r="AR235" s="498" t="n"/>
      <c r="AS235" s="579" t="n"/>
      <c r="AT235" s="498" t="n"/>
      <c r="AU235" s="578" t="n"/>
      <c r="AV235" s="498" t="n"/>
      <c r="AW235" s="579" t="n"/>
      <c r="AX235" s="498" t="n"/>
      <c r="AY235" s="578" t="n"/>
      <c r="AZ235" s="498" t="n"/>
      <c r="BA235" s="579" t="n"/>
      <c r="BB235" s="498" t="n"/>
      <c r="BC235" s="578" t="n"/>
      <c r="BD235" s="498" t="n"/>
      <c r="BE235" s="579" t="n"/>
      <c r="BF235" s="498" t="n"/>
      <c r="BG235" s="578" t="n"/>
      <c r="BH235" s="498" t="n"/>
      <c r="BI235" s="579" t="n"/>
      <c r="BJ235" s="498" t="n"/>
      <c r="BK235" s="572" t="n"/>
      <c r="BL235" s="820">
        <f>SUMPRODUCT(--(MOD(COLUMN($O235:$AL235),4)=MOD(COLUMN($O235)+0,4)),$O235:$AL235)
+SUMPRODUCT(--(MOD(COLUMN($AM235:$BJ235),4)=MOD(COLUMN($AM235)+0,4)),$AM235:$BJ235)</f>
        <v/>
      </c>
      <c r="BM235" s="820">
        <f>SUMPRODUCT(--(MOD(COLUMN($O235:$AL235),4)=MOD(COLUMN($O235)+0,4)),$O235:$AL235)*
$I235+SUMPRODUCT(--(MOD(COLUMN($AM235:$BJ235),4)=MOD(COLUMN($AM235)+0,4)),$AM235:$BJ235)*$I235</f>
        <v/>
      </c>
      <c r="BN235" s="822">
        <f>SUMPRODUCT(--(MOD(COLUMN($O235:$AL235),4)=MOD(COLUMN($O235)+1,4)),$O235:$AL235)
+SUMPRODUCT(--(MOD(COLUMN($AM235:$BJ235),4)=MOD(COLUMN($AM235)+1,4)),$AM235:$BJ235)</f>
        <v/>
      </c>
      <c r="BO235" s="823">
        <f>SUMPRODUCT(--(MOD(COLUMN($O235:$AL235),4)=MOD(COLUMN($O235)+1,4)),$O235:$AL235)*
$I235+SUMPRODUCT(--(MOD(COLUMN($AM235:$BJ235),4)=MOD(COLUMN($AM235)+1,4)),$AM235:$BJ235)*$I235</f>
        <v/>
      </c>
      <c r="BP235" s="824">
        <f>SUMPRODUCT(--(MOD(COLUMN($O235:$AL235),4)=MOD(COLUMN($O235)+2,4)),$O235:$AL235)
+SUMPRODUCT(--(MOD(COLUMN($AM235:$BJ235),4)=MOD(COLUMN($AM235)+2,4)),$AM235:$BJ235)</f>
        <v/>
      </c>
      <c r="BQ235" s="825">
        <f>SUMPRODUCT(--(MOD(COLUMN($O235:$AL235),4)=MOD(COLUMN($O235)+2,4)),$O235:$AL235)*
$I235+SUMPRODUCT(--(MOD(COLUMN($AM235:$BJ235),4)=MOD(COLUMN($AM235)+2,4)),$AM235:$BJ235)*$I235</f>
        <v/>
      </c>
      <c r="BR235" s="819" t="n"/>
      <c r="BS235" s="819" t="n"/>
      <c r="BT235" s="578" t="n"/>
      <c r="BU235" s="498" t="n"/>
      <c r="BV235" s="579" t="n"/>
      <c r="BW235" s="498" t="n"/>
      <c r="BX235" s="578" t="n"/>
      <c r="BY235" s="498" t="n"/>
      <c r="BZ235" s="579" t="n"/>
      <c r="CA235" s="498" t="n"/>
      <c r="CB235" s="578" t="n"/>
      <c r="CC235" s="498" t="n"/>
      <c r="CD235" s="579" t="n"/>
      <c r="CE235" s="498" t="n"/>
      <c r="CF235" s="578" t="n"/>
      <c r="CG235" s="498" t="n"/>
      <c r="CH235" s="579" t="n"/>
      <c r="CI235" s="498" t="n"/>
      <c r="CJ235" s="578" t="n"/>
      <c r="CK235" s="498" t="n"/>
      <c r="CL235" s="579" t="n"/>
      <c r="CM235" s="498" t="n"/>
      <c r="CN235" s="578" t="n"/>
      <c r="CO235" s="498" t="n"/>
      <c r="CP235" s="579" t="n"/>
      <c r="CQ235" s="498" t="n"/>
      <c r="CR235" s="578" t="n"/>
      <c r="CS235" s="498" t="n"/>
      <c r="CT235" s="579" t="n"/>
      <c r="CU235" s="498" t="n"/>
      <c r="CV235" s="578" t="n"/>
      <c r="CW235" s="498" t="n"/>
      <c r="CX235" s="579" t="n"/>
      <c r="CY235" s="498" t="n"/>
      <c r="CZ235" s="578" t="n"/>
      <c r="DA235" s="498" t="n"/>
      <c r="DB235" s="579" t="n"/>
      <c r="DC235" s="498" t="n"/>
      <c r="DD235" s="578" t="n"/>
      <c r="DE235" s="498" t="n"/>
      <c r="DF235" s="579" t="n"/>
      <c r="DG235" s="498" t="n"/>
      <c r="DH235" s="578" t="n"/>
      <c r="DI235" s="498" t="n"/>
      <c r="DJ235" s="579" t="n"/>
      <c r="DK235" s="498" t="n"/>
      <c r="DL235" s="578" t="n"/>
      <c r="DM235" s="498" t="n"/>
      <c r="DN235" s="579" t="n"/>
      <c r="DO235" s="498" t="n"/>
      <c r="DP235" s="572" t="n"/>
      <c r="DQ235" s="820" t="n"/>
      <c r="DR235" s="820" t="n"/>
      <c r="DS235" s="819" t="n"/>
      <c r="DT235" s="819" t="n"/>
      <c r="DU235" s="578" t="n"/>
      <c r="DV235" s="498" t="n"/>
      <c r="DW235" s="579" t="n"/>
      <c r="DX235" s="498" t="n"/>
      <c r="DY235" s="578" t="n"/>
      <c r="DZ235" s="498" t="n"/>
      <c r="EA235" s="579" t="n"/>
      <c r="EB235" s="498" t="n"/>
      <c r="EC235" s="578" t="n"/>
      <c r="ED235" s="498" t="n"/>
      <c r="EE235" s="579" t="n"/>
      <c r="EF235" s="498" t="n"/>
      <c r="EG235" s="578" t="n"/>
      <c r="EH235" s="498" t="n"/>
      <c r="EI235" s="579" t="n"/>
      <c r="EJ235" s="498" t="n"/>
      <c r="EK235" s="578" t="n"/>
      <c r="EL235" s="498" t="n"/>
      <c r="EM235" s="579" t="n"/>
      <c r="EN235" s="498" t="n"/>
      <c r="EO235" s="578" t="n"/>
      <c r="EP235" s="498" t="n"/>
      <c r="EQ235" s="579" t="n"/>
      <c r="ER235" s="498" t="n"/>
      <c r="ES235" s="578" t="n"/>
      <c r="ET235" s="498" t="n"/>
      <c r="EU235" s="579" t="n"/>
      <c r="EV235" s="498" t="n"/>
      <c r="EW235" s="578" t="n"/>
      <c r="EX235" s="498" t="n"/>
      <c r="EY235" s="579" t="n"/>
      <c r="EZ235" s="498" t="n"/>
      <c r="FA235" s="578" t="n"/>
      <c r="FB235" s="498" t="n"/>
      <c r="FC235" s="579" t="n"/>
      <c r="FD235" s="498" t="n"/>
      <c r="FE235" s="578" t="n"/>
      <c r="FF235" s="498" t="n"/>
      <c r="FG235" s="579" t="n"/>
      <c r="FH235" s="498" t="n"/>
      <c r="FI235" s="578" t="n"/>
      <c r="FJ235" s="498" t="n"/>
      <c r="FK235" s="579" t="n"/>
      <c r="FL235" s="498" t="n"/>
      <c r="FM235" s="578" t="n"/>
      <c r="FN235" s="498" t="n"/>
      <c r="FO235" s="579" t="n"/>
      <c r="FP235" s="498" t="n"/>
      <c r="FQ235" s="572" t="n"/>
      <c r="FR235" s="820" t="n"/>
      <c r="FS235" s="820" t="n"/>
      <c r="FT235" s="573" t="n"/>
    </row>
    <row r="236" outlineLevel="2" customFormat="1" s="574">
      <c r="A236" s="575" t="inlineStr">
        <is>
          <t>СПЕЦАВТО-ВОСТОК ООО</t>
        </is>
      </c>
      <c r="B236" s="575" t="inlineStr">
        <is>
          <t>Отсрочка 15 дней</t>
        </is>
      </c>
      <c r="C236" s="311" t="inlineStr">
        <is>
          <t>ВБК РУС</t>
        </is>
      </c>
      <c r="D236" s="575" t="inlineStr">
        <is>
          <t>Прасолов, Соловьёв</t>
        </is>
      </c>
      <c r="E236" s="576">
        <f>IF(ISBLANK(G236),"",IF($A$6:$A$330=$A236,COUNTIF($A$6:A236,$A236),""))</f>
        <v/>
      </c>
      <c r="F236" s="577" t="inlineStr">
        <is>
          <t>S</t>
        </is>
      </c>
      <c r="G236" s="403" t="n">
        <v>4441000220</v>
      </c>
      <c r="H236" s="611" t="inlineStr">
        <is>
          <t>Комплект расширения "TEBS 3M (6 м)"</t>
        </is>
      </c>
      <c r="I236" s="683">
        <f>2221/НДС</f>
        <v/>
      </c>
      <c r="J236" s="619" t="n"/>
      <c r="K236" s="876" t="n"/>
      <c r="L236" s="619" t="n"/>
      <c r="M236" s="813" t="n"/>
      <c r="N236" s="813">
        <f>IF(BP236&gt;0,1,IF(BN236&gt;0,2,))</f>
        <v/>
      </c>
      <c r="O236" s="578" t="n"/>
      <c r="P236" s="498" t="n"/>
      <c r="Q236" s="579" t="n"/>
      <c r="R236" s="498" t="n"/>
      <c r="S236" s="578" t="n"/>
      <c r="T236" s="498" t="n"/>
      <c r="U236" s="579" t="n"/>
      <c r="V236" s="498" t="n"/>
      <c r="W236" s="578" t="n"/>
      <c r="X236" s="498" t="n"/>
      <c r="Y236" s="579" t="n"/>
      <c r="Z236" s="498" t="n"/>
      <c r="AA236" s="578" t="n"/>
      <c r="AB236" s="498" t="n"/>
      <c r="AC236" s="579" t="n"/>
      <c r="AD236" s="498" t="n"/>
      <c r="AE236" s="578" t="n"/>
      <c r="AF236" s="498" t="n"/>
      <c r="AG236" s="579" t="n"/>
      <c r="AH236" s="498" t="n"/>
      <c r="AI236" s="578" t="n"/>
      <c r="AJ236" s="498" t="n"/>
      <c r="AK236" s="579" t="n"/>
      <c r="AL236" s="498" t="n"/>
      <c r="AM236" s="578" t="n"/>
      <c r="AN236" s="498" t="n"/>
      <c r="AO236" s="579" t="n"/>
      <c r="AP236" s="498" t="n"/>
      <c r="AQ236" s="578" t="n"/>
      <c r="AR236" s="498" t="n"/>
      <c r="AS236" s="579" t="n"/>
      <c r="AT236" s="498" t="n"/>
      <c r="AU236" s="578" t="n"/>
      <c r="AV236" s="498" t="n"/>
      <c r="AW236" s="579" t="n"/>
      <c r="AX236" s="498" t="n"/>
      <c r="AY236" s="578" t="n"/>
      <c r="AZ236" s="498" t="n"/>
      <c r="BA236" s="579" t="n"/>
      <c r="BB236" s="498" t="n"/>
      <c r="BC236" s="578" t="n"/>
      <c r="BD236" s="498" t="n"/>
      <c r="BE236" s="579" t="n"/>
      <c r="BF236" s="498" t="n"/>
      <c r="BG236" s="578" t="n"/>
      <c r="BH236" s="498" t="n"/>
      <c r="BI236" s="579" t="n"/>
      <c r="BJ236" s="498" t="n"/>
      <c r="BK236" s="572" t="n"/>
      <c r="BL236" s="820">
        <f>SUMPRODUCT(--(MOD(COLUMN($O236:$AL236),4)=MOD(COLUMN($O236)+0,4)),$O236:$AL236)
+SUMPRODUCT(--(MOD(COLUMN($AM236:$BJ236),4)=MOD(COLUMN($AM236)+0,4)),$AM236:$BJ236)</f>
        <v/>
      </c>
      <c r="BM236" s="820">
        <f>SUMPRODUCT(--(MOD(COLUMN($O236:$AL236),4)=MOD(COLUMN($O236)+0,4)),$O236:$AL236)*
$I236+SUMPRODUCT(--(MOD(COLUMN($AM236:$BJ236),4)=MOD(COLUMN($AM236)+0,4)),$AM236:$BJ236)*$I236</f>
        <v/>
      </c>
      <c r="BN236" s="822">
        <f>SUMPRODUCT(--(MOD(COLUMN($O236:$AL236),4)=MOD(COLUMN($O236)+1,4)),$O236:$AL236)
+SUMPRODUCT(--(MOD(COLUMN($AM236:$BJ236),4)=MOD(COLUMN($AM236)+1,4)),$AM236:$BJ236)</f>
        <v/>
      </c>
      <c r="BO236" s="823">
        <f>SUMPRODUCT(--(MOD(COLUMN($O236:$AL236),4)=MOD(COLUMN($O236)+1,4)),$O236:$AL236)*
$I236+SUMPRODUCT(--(MOD(COLUMN($AM236:$BJ236),4)=MOD(COLUMN($AM236)+1,4)),$AM236:$BJ236)*$I236</f>
        <v/>
      </c>
      <c r="BP236" s="824">
        <f>SUMPRODUCT(--(MOD(COLUMN($O236:$AL236),4)=MOD(COLUMN($O236)+2,4)),$O236:$AL236)
+SUMPRODUCT(--(MOD(COLUMN($AM236:$BJ236),4)=MOD(COLUMN($AM236)+2,4)),$AM236:$BJ236)</f>
        <v/>
      </c>
      <c r="BQ236" s="825">
        <f>SUMPRODUCT(--(MOD(COLUMN($O236:$AL236),4)=MOD(COLUMN($O236)+2,4)),$O236:$AL236)*
$I236+SUMPRODUCT(--(MOD(COLUMN($AM236:$BJ236),4)=MOD(COLUMN($AM236)+2,4)),$AM236:$BJ236)*$I236</f>
        <v/>
      </c>
      <c r="BR236" s="819" t="n"/>
      <c r="BS236" s="819" t="n"/>
      <c r="BT236" s="578" t="n"/>
      <c r="BU236" s="498" t="n"/>
      <c r="BV236" s="579" t="n"/>
      <c r="BW236" s="498" t="n"/>
      <c r="BX236" s="578" t="n"/>
      <c r="BY236" s="498" t="n"/>
      <c r="BZ236" s="579" t="n"/>
      <c r="CA236" s="498" t="n"/>
      <c r="CB236" s="578" t="n"/>
      <c r="CC236" s="498" t="n"/>
      <c r="CD236" s="579" t="n"/>
      <c r="CE236" s="498" t="n"/>
      <c r="CF236" s="578" t="n"/>
      <c r="CG236" s="498" t="n"/>
      <c r="CH236" s="579" t="n"/>
      <c r="CI236" s="498" t="n"/>
      <c r="CJ236" s="578" t="n"/>
      <c r="CK236" s="498" t="n"/>
      <c r="CL236" s="579" t="n"/>
      <c r="CM236" s="498" t="n"/>
      <c r="CN236" s="578" t="n"/>
      <c r="CO236" s="498" t="n"/>
      <c r="CP236" s="579" t="n"/>
      <c r="CQ236" s="498" t="n"/>
      <c r="CR236" s="578" t="n"/>
      <c r="CS236" s="498" t="n"/>
      <c r="CT236" s="579" t="n"/>
      <c r="CU236" s="498" t="n"/>
      <c r="CV236" s="578" t="n"/>
      <c r="CW236" s="498" t="n"/>
      <c r="CX236" s="579" t="n"/>
      <c r="CY236" s="498" t="n"/>
      <c r="CZ236" s="578" t="n"/>
      <c r="DA236" s="498" t="n"/>
      <c r="DB236" s="579" t="n"/>
      <c r="DC236" s="498" t="n"/>
      <c r="DD236" s="578" t="n"/>
      <c r="DE236" s="498" t="n"/>
      <c r="DF236" s="579" t="n"/>
      <c r="DG236" s="498" t="n"/>
      <c r="DH236" s="578" t="n"/>
      <c r="DI236" s="498" t="n"/>
      <c r="DJ236" s="579" t="n"/>
      <c r="DK236" s="498" t="n"/>
      <c r="DL236" s="578" t="n"/>
      <c r="DM236" s="498" t="n"/>
      <c r="DN236" s="579" t="n"/>
      <c r="DO236" s="498" t="n"/>
      <c r="DP236" s="572" t="n"/>
      <c r="DQ236" s="820" t="n"/>
      <c r="DR236" s="820" t="n"/>
      <c r="DS236" s="819" t="n"/>
      <c r="DT236" s="819" t="n"/>
      <c r="DU236" s="578" t="n"/>
      <c r="DV236" s="498" t="n"/>
      <c r="DW236" s="579" t="n"/>
      <c r="DX236" s="498" t="n"/>
      <c r="DY236" s="578" t="n"/>
      <c r="DZ236" s="498" t="n"/>
      <c r="EA236" s="579" t="n"/>
      <c r="EB236" s="498" t="n"/>
      <c r="EC236" s="578" t="n"/>
      <c r="ED236" s="498" t="n"/>
      <c r="EE236" s="579" t="n"/>
      <c r="EF236" s="498" t="n"/>
      <c r="EG236" s="578" t="n"/>
      <c r="EH236" s="498" t="n"/>
      <c r="EI236" s="579" t="n"/>
      <c r="EJ236" s="498" t="n"/>
      <c r="EK236" s="578" t="n"/>
      <c r="EL236" s="498" t="n"/>
      <c r="EM236" s="579" t="n"/>
      <c r="EN236" s="498" t="n"/>
      <c r="EO236" s="578" t="n"/>
      <c r="EP236" s="498" t="n"/>
      <c r="EQ236" s="579" t="n"/>
      <c r="ER236" s="498" t="n"/>
      <c r="ES236" s="578" t="n"/>
      <c r="ET236" s="498" t="n"/>
      <c r="EU236" s="579" t="n"/>
      <c r="EV236" s="498" t="n"/>
      <c r="EW236" s="578" t="n"/>
      <c r="EX236" s="498" t="n"/>
      <c r="EY236" s="579" t="n"/>
      <c r="EZ236" s="498" t="n"/>
      <c r="FA236" s="578" t="n"/>
      <c r="FB236" s="498" t="n"/>
      <c r="FC236" s="579" t="n"/>
      <c r="FD236" s="498" t="n"/>
      <c r="FE236" s="578" t="n"/>
      <c r="FF236" s="498" t="n"/>
      <c r="FG236" s="579" t="n"/>
      <c r="FH236" s="498" t="n"/>
      <c r="FI236" s="578" t="n"/>
      <c r="FJ236" s="498" t="n"/>
      <c r="FK236" s="579" t="n"/>
      <c r="FL236" s="498" t="n"/>
      <c r="FM236" s="578" t="n"/>
      <c r="FN236" s="498" t="n"/>
      <c r="FO236" s="579" t="n"/>
      <c r="FP236" s="498" t="n"/>
      <c r="FQ236" s="572" t="n"/>
      <c r="FR236" s="820" t="n"/>
      <c r="FS236" s="820" t="n"/>
      <c r="FT236" s="573" t="n"/>
    </row>
    <row r="237" outlineLevel="2" customFormat="1" s="574">
      <c r="A237" s="575" t="inlineStr">
        <is>
          <t>СПЕЦАВТО-ВОСТОК ООО</t>
        </is>
      </c>
      <c r="B237" s="575" t="inlineStr">
        <is>
          <t>Отсрочка 15 дней</t>
        </is>
      </c>
      <c r="C237" s="311" t="inlineStr">
        <is>
          <t>ВБК РУС</t>
        </is>
      </c>
      <c r="D237" s="575" t="inlineStr">
        <is>
          <t>Прасолов, Соловьёв</t>
        </is>
      </c>
      <c r="E237" s="576">
        <f>IF(ISBLANK(G237),"",IF($A$6:$A$330=$A237,COUNTIF($A$6:A237,$A237),""))</f>
        <v/>
      </c>
      <c r="F237" s="577" t="inlineStr">
        <is>
          <t>S</t>
        </is>
      </c>
      <c r="G237" s="403" t="n">
        <v>4441000230</v>
      </c>
      <c r="H237" s="611" t="inlineStr">
        <is>
          <t>Комплект расширения "TEBS 3M (12 м)"</t>
        </is>
      </c>
      <c r="I237" s="683">
        <f>2545/НДС</f>
        <v/>
      </c>
      <c r="J237" s="619" t="n"/>
      <c r="K237" s="876" t="n"/>
      <c r="L237" s="619" t="n"/>
      <c r="M237" s="813" t="n"/>
      <c r="N237" s="813">
        <f>IF(BP237&gt;0,1,IF(BN237&gt;0,2,))</f>
        <v/>
      </c>
      <c r="O237" s="578" t="n"/>
      <c r="P237" s="498" t="n"/>
      <c r="Q237" s="579" t="n"/>
      <c r="R237" s="498" t="n"/>
      <c r="S237" s="578" t="n"/>
      <c r="T237" s="498" t="n"/>
      <c r="U237" s="579" t="n"/>
      <c r="V237" s="498" t="n"/>
      <c r="W237" s="578" t="n"/>
      <c r="X237" s="498" t="n"/>
      <c r="Y237" s="579" t="n"/>
      <c r="Z237" s="498" t="n"/>
      <c r="AA237" s="578" t="n"/>
      <c r="AB237" s="498" t="n"/>
      <c r="AC237" s="579" t="n"/>
      <c r="AD237" s="498" t="n"/>
      <c r="AE237" s="578" t="n"/>
      <c r="AF237" s="498">
        <f>1</f>
        <v/>
      </c>
      <c r="AG237" s="579" t="n">
        <v>0</v>
      </c>
      <c r="AH237" s="498" t="n"/>
      <c r="AI237" s="578" t="n"/>
      <c r="AJ237" s="498" t="n"/>
      <c r="AK237" s="579" t="n"/>
      <c r="AL237" s="498" t="n"/>
      <c r="AM237" s="578" t="n"/>
      <c r="AN237" s="498" t="n"/>
      <c r="AO237" s="579" t="n"/>
      <c r="AP237" s="498" t="n"/>
      <c r="AQ237" s="578" t="n"/>
      <c r="AR237" s="498" t="n"/>
      <c r="AS237" s="579" t="n"/>
      <c r="AT237" s="498" t="n"/>
      <c r="AU237" s="578" t="n"/>
      <c r="AV237" s="498" t="n"/>
      <c r="AW237" s="579" t="n"/>
      <c r="AX237" s="498" t="n"/>
      <c r="AY237" s="578" t="n"/>
      <c r="AZ237" s="498" t="n"/>
      <c r="BA237" s="579" t="n"/>
      <c r="BB237" s="498" t="n"/>
      <c r="BC237" s="578" t="n"/>
      <c r="BD237" s="498" t="n"/>
      <c r="BE237" s="579" t="n"/>
      <c r="BF237" s="498" t="n"/>
      <c r="BG237" s="578" t="n"/>
      <c r="BH237" s="498" t="n"/>
      <c r="BI237" s="579" t="n"/>
      <c r="BJ237" s="498" t="n"/>
      <c r="BK237" s="572" t="n"/>
      <c r="BL237" s="820">
        <f>SUMPRODUCT(--(MOD(COLUMN($O237:$AL237),4)=MOD(COLUMN($O237)+0,4)),$O237:$AL237)
+SUMPRODUCT(--(MOD(COLUMN($AM237:$BJ237),4)=MOD(COLUMN($AM237)+0,4)),$AM237:$BJ237)</f>
        <v/>
      </c>
      <c r="BM237" s="820">
        <f>SUMPRODUCT(--(MOD(COLUMN($O237:$AL237),4)=MOD(COLUMN($O237)+0,4)),$O237:$AL237)*
$I237+SUMPRODUCT(--(MOD(COLUMN($AM237:$BJ237),4)=MOD(COLUMN($AM237)+0,4)),$AM237:$BJ237)*$I237</f>
        <v/>
      </c>
      <c r="BN237" s="822">
        <f>SUMPRODUCT(--(MOD(COLUMN($O237:$AL237),4)=MOD(COLUMN($O237)+1,4)),$O237:$AL237)
+SUMPRODUCT(--(MOD(COLUMN($AM237:$BJ237),4)=MOD(COLUMN($AM237)+1,4)),$AM237:$BJ237)</f>
        <v/>
      </c>
      <c r="BO237" s="823">
        <f>SUMPRODUCT(--(MOD(COLUMN($O237:$AL237),4)=MOD(COLUMN($O237)+1,4)),$O237:$AL237)*
$I237+SUMPRODUCT(--(MOD(COLUMN($AM237:$BJ237),4)=MOD(COLUMN($AM237)+1,4)),$AM237:$BJ237)*$I237</f>
        <v/>
      </c>
      <c r="BP237" s="824">
        <f>SUMPRODUCT(--(MOD(COLUMN($O237:$AL237),4)=MOD(COLUMN($O237)+2,4)),$O237:$AL237)
+SUMPRODUCT(--(MOD(COLUMN($AM237:$BJ237),4)=MOD(COLUMN($AM237)+2,4)),$AM237:$BJ237)</f>
        <v/>
      </c>
      <c r="BQ237" s="825">
        <f>SUMPRODUCT(--(MOD(COLUMN($O237:$AL237),4)=MOD(COLUMN($O237)+2,4)),$O237:$AL237)*
$I237+SUMPRODUCT(--(MOD(COLUMN($AM237:$BJ237),4)=MOD(COLUMN($AM237)+2,4)),$AM237:$BJ237)*$I237</f>
        <v/>
      </c>
      <c r="BR237" s="819" t="n"/>
      <c r="BS237" s="819" t="n"/>
      <c r="BT237" s="578" t="n"/>
      <c r="BU237" s="498" t="n"/>
      <c r="BV237" s="579" t="n"/>
      <c r="BW237" s="498" t="n"/>
      <c r="BX237" s="578" t="n"/>
      <c r="BY237" s="498" t="n"/>
      <c r="BZ237" s="579" t="n"/>
      <c r="CA237" s="498" t="n"/>
      <c r="CB237" s="578" t="n"/>
      <c r="CC237" s="498" t="n"/>
      <c r="CD237" s="579" t="n"/>
      <c r="CE237" s="498" t="n"/>
      <c r="CF237" s="578" t="n"/>
      <c r="CG237" s="498" t="n"/>
      <c r="CH237" s="579" t="n"/>
      <c r="CI237" s="498" t="n"/>
      <c r="CJ237" s="578" t="n"/>
      <c r="CK237" s="498" t="n"/>
      <c r="CL237" s="579" t="n"/>
      <c r="CM237" s="498" t="n"/>
      <c r="CN237" s="578" t="n"/>
      <c r="CO237" s="498" t="n"/>
      <c r="CP237" s="579" t="n"/>
      <c r="CQ237" s="498" t="n"/>
      <c r="CR237" s="578" t="n"/>
      <c r="CS237" s="498" t="n"/>
      <c r="CT237" s="579" t="n"/>
      <c r="CU237" s="498" t="n"/>
      <c r="CV237" s="578" t="n"/>
      <c r="CW237" s="498" t="n"/>
      <c r="CX237" s="579" t="n"/>
      <c r="CY237" s="498" t="n"/>
      <c r="CZ237" s="578" t="n"/>
      <c r="DA237" s="498" t="n"/>
      <c r="DB237" s="579" t="n"/>
      <c r="DC237" s="498" t="n"/>
      <c r="DD237" s="578" t="n"/>
      <c r="DE237" s="498" t="n"/>
      <c r="DF237" s="579" t="n"/>
      <c r="DG237" s="498" t="n"/>
      <c r="DH237" s="578" t="n"/>
      <c r="DI237" s="498" t="n"/>
      <c r="DJ237" s="579" t="n"/>
      <c r="DK237" s="498" t="n"/>
      <c r="DL237" s="578" t="n"/>
      <c r="DM237" s="498" t="n"/>
      <c r="DN237" s="579" t="n"/>
      <c r="DO237" s="498" t="n"/>
      <c r="DP237" s="572" t="n"/>
      <c r="DQ237" s="820" t="n"/>
      <c r="DR237" s="820" t="n"/>
      <c r="DS237" s="819" t="n"/>
      <c r="DT237" s="819" t="n"/>
      <c r="DU237" s="578" t="n"/>
      <c r="DV237" s="498" t="n"/>
      <c r="DW237" s="579" t="n"/>
      <c r="DX237" s="498" t="n"/>
      <c r="DY237" s="578" t="n"/>
      <c r="DZ237" s="498" t="n"/>
      <c r="EA237" s="579" t="n"/>
      <c r="EB237" s="498" t="n"/>
      <c r="EC237" s="578" t="n"/>
      <c r="ED237" s="498" t="n"/>
      <c r="EE237" s="579" t="n"/>
      <c r="EF237" s="498" t="n"/>
      <c r="EG237" s="578" t="n"/>
      <c r="EH237" s="498" t="n"/>
      <c r="EI237" s="579" t="n"/>
      <c r="EJ237" s="498" t="n"/>
      <c r="EK237" s="578" t="n"/>
      <c r="EL237" s="498" t="n"/>
      <c r="EM237" s="579" t="n"/>
      <c r="EN237" s="498" t="n"/>
      <c r="EO237" s="578" t="n"/>
      <c r="EP237" s="498" t="n"/>
      <c r="EQ237" s="579" t="n"/>
      <c r="ER237" s="498" t="n"/>
      <c r="ES237" s="578" t="n"/>
      <c r="ET237" s="498" t="n"/>
      <c r="EU237" s="579" t="n"/>
      <c r="EV237" s="498" t="n"/>
      <c r="EW237" s="578" t="n"/>
      <c r="EX237" s="498" t="n"/>
      <c r="EY237" s="579" t="n"/>
      <c r="EZ237" s="498" t="n"/>
      <c r="FA237" s="578" t="n"/>
      <c r="FB237" s="498" t="n"/>
      <c r="FC237" s="579" t="n"/>
      <c r="FD237" s="498" t="n"/>
      <c r="FE237" s="578" t="n"/>
      <c r="FF237" s="498" t="n"/>
      <c r="FG237" s="579" t="n"/>
      <c r="FH237" s="498" t="n"/>
      <c r="FI237" s="578" t="n"/>
      <c r="FJ237" s="498" t="n"/>
      <c r="FK237" s="579" t="n"/>
      <c r="FL237" s="498" t="n"/>
      <c r="FM237" s="578" t="n"/>
      <c r="FN237" s="498" t="n"/>
      <c r="FO237" s="579" t="n"/>
      <c r="FP237" s="498" t="n"/>
      <c r="FQ237" s="572" t="n"/>
      <c r="FR237" s="820" t="n"/>
      <c r="FS237" s="820" t="n"/>
      <c r="FT237" s="573" t="n"/>
    </row>
    <row r="238" outlineLevel="2" customFormat="1" s="574">
      <c r="A238" s="589" t="inlineStr">
        <is>
          <t>СПЕЦАВТО-ВОСТОК ООО</t>
        </is>
      </c>
      <c r="B238" s="589" t="inlineStr">
        <is>
          <t>Отсрочка 15 дней</t>
        </is>
      </c>
      <c r="C238" s="594" t="inlineStr">
        <is>
          <t>ВБК РУС</t>
        </is>
      </c>
      <c r="D238" s="589" t="inlineStr">
        <is>
          <t>Прасолов, Соловьёв</t>
        </is>
      </c>
      <c r="E238" s="584">
        <f>IF(ISBLANK(G238),"",IF($A$6:$A$330=$A238,COUNTIF($A$6:A238,$A238),""))</f>
        <v/>
      </c>
      <c r="F238" s="567" t="inlineStr">
        <is>
          <t>S</t>
        </is>
      </c>
      <c r="G238" s="128" t="n">
        <v>4441000210</v>
      </c>
      <c r="H238" s="603" t="inlineStr">
        <is>
          <t>Комплект клапана подъёма оси LACV (6 м)</t>
        </is>
      </c>
      <c r="I238" s="618">
        <f>847.9/НДС</f>
        <v/>
      </c>
      <c r="J238" s="618" t="n"/>
      <c r="K238" s="874" t="n"/>
      <c r="L238" s="618">
        <f>IF(K238="RUB",J238/ЮАНЬ,IF(K238="EUR",J238*ЕВРО/ЮАНЬ,""))</f>
        <v/>
      </c>
      <c r="M238" s="875" t="n"/>
      <c r="N238" s="813">
        <f>IF(BP238&gt;0,1,IF(BN238&gt;0,2,))</f>
        <v/>
      </c>
      <c r="O238" s="569" t="n"/>
      <c r="P238" s="570" t="n"/>
      <c r="Q238" s="571" t="n"/>
      <c r="R238" s="570" t="n"/>
      <c r="S238" s="569" t="n"/>
      <c r="T238" s="570" t="n"/>
      <c r="U238" s="571" t="n"/>
      <c r="V238" s="570" t="n"/>
      <c r="W238" s="569" t="n"/>
      <c r="X238" s="570">
        <f>10</f>
        <v/>
      </c>
      <c r="Y238" s="571" t="n">
        <v>10</v>
      </c>
      <c r="Z238" s="570" t="n"/>
      <c r="AA238" s="569" t="n"/>
      <c r="AB238" s="570">
        <f>25+5</f>
        <v/>
      </c>
      <c r="AC238" s="571" t="n">
        <v>30</v>
      </c>
      <c r="AD238" s="570" t="n"/>
      <c r="AE238" s="569" t="n"/>
      <c r="AF238" s="570" t="n"/>
      <c r="AG238" s="571" t="n"/>
      <c r="AH238" s="570" t="n"/>
      <c r="AI238" s="569" t="n"/>
      <c r="AJ238" s="570" t="n"/>
      <c r="AK238" s="571" t="n"/>
      <c r="AL238" s="570" t="n"/>
      <c r="AM238" s="569" t="n"/>
      <c r="AN238" s="570" t="n"/>
      <c r="AO238" s="571" t="n"/>
      <c r="AP238" s="570" t="n"/>
      <c r="AQ238" s="569" t="n"/>
      <c r="AR238" s="570" t="n"/>
      <c r="AS238" s="571" t="n"/>
      <c r="AT238" s="570" t="n"/>
      <c r="AU238" s="569" t="n"/>
      <c r="AV238" s="570" t="n"/>
      <c r="AW238" s="571" t="n"/>
      <c r="AX238" s="570" t="n"/>
      <c r="AY238" s="569" t="n"/>
      <c r="AZ238" s="570" t="n"/>
      <c r="BA238" s="571" t="n"/>
      <c r="BB238" s="570" t="n"/>
      <c r="BC238" s="569" t="n"/>
      <c r="BD238" s="570" t="n"/>
      <c r="BE238" s="571" t="n"/>
      <c r="BF238" s="570" t="n"/>
      <c r="BG238" s="569" t="n"/>
      <c r="BH238" s="570" t="n"/>
      <c r="BI238" s="571" t="n"/>
      <c r="BJ238" s="570" t="n"/>
      <c r="BK238" s="572" t="n"/>
      <c r="BL238" s="803">
        <f>SUMPRODUCT(--(MOD(COLUMN($O238:$AL238),4)=MOD(COLUMN($O238)+0,4)),$O238:$AL238)
+SUMPRODUCT(--(MOD(COLUMN($AM238:$BJ238),4)=MOD(COLUMN($AM238)+0,4)),$AM238:$BJ238)</f>
        <v/>
      </c>
      <c r="BM238" s="803">
        <f>SUMPRODUCT(--(MOD(COLUMN($O238:$AL238),4)=MOD(COLUMN($O238)+0,4)),$O238:$AL238)*
$I238+SUMPRODUCT(--(MOD(COLUMN($AM238:$BJ238),4)=MOD(COLUMN($AM238)+0,4)),$AM238:$BJ238)*$I238</f>
        <v/>
      </c>
      <c r="BN238" s="805">
        <f>SUMPRODUCT(--(MOD(COLUMN($O238:$AL238),4)=MOD(COLUMN($O238)+1,4)),$O238:$AL238)
+SUMPRODUCT(--(MOD(COLUMN($AM238:$BJ238),4)=MOD(COLUMN($AM238)+1,4)),$AM238:$BJ238)</f>
        <v/>
      </c>
      <c r="BO238" s="806">
        <f>SUMPRODUCT(--(MOD(COLUMN($O238:$AL238),4)=MOD(COLUMN($O238)+1,4)),$O238:$AL238)*
$I238+SUMPRODUCT(--(MOD(COLUMN($AM238:$BJ238),4)=MOD(COLUMN($AM238)+1,4)),$AM238:$BJ238)*$I238</f>
        <v/>
      </c>
      <c r="BP238" s="807">
        <f>SUMPRODUCT(--(MOD(COLUMN($O238:$AL238),4)=MOD(COLUMN($O238)+2,4)),$O238:$AL238)
+SUMPRODUCT(--(MOD(COLUMN($AM238:$BJ238),4)=MOD(COLUMN($AM238)+2,4)),$AM238:$BJ238)</f>
        <v/>
      </c>
      <c r="BQ238" s="808">
        <f>SUMPRODUCT(--(MOD(COLUMN($O238:$AL238),4)=MOD(COLUMN($O238)+2,4)),$O238:$AL238)*
$I238+SUMPRODUCT(--(MOD(COLUMN($AM238:$BJ238),4)=MOD(COLUMN($AM238)+2,4)),$AM238:$BJ238)*$I238</f>
        <v/>
      </c>
      <c r="BR238" s="801" t="n"/>
      <c r="BS238" s="819" t="n"/>
      <c r="BT238" s="569" t="n">
        <v>2</v>
      </c>
      <c r="BU238" s="570" t="n"/>
      <c r="BV238" s="571" t="n">
        <v>0</v>
      </c>
      <c r="BW238" s="570" t="n"/>
      <c r="BX238" s="569" t="n">
        <v>2</v>
      </c>
      <c r="BY238" s="570" t="n"/>
      <c r="BZ238" s="571" t="n">
        <v>0</v>
      </c>
      <c r="CA238" s="570" t="n"/>
      <c r="CB238" s="569" t="n">
        <v>2</v>
      </c>
      <c r="CC238" s="570" t="n"/>
      <c r="CD238" s="571" t="n">
        <v>0</v>
      </c>
      <c r="CE238" s="570" t="n"/>
      <c r="CF238" s="569" t="n">
        <v>2</v>
      </c>
      <c r="CG238" s="570" t="n"/>
      <c r="CH238" s="571" t="n">
        <v>0</v>
      </c>
      <c r="CI238" s="570" t="n"/>
      <c r="CJ238" s="569" t="n">
        <v>2</v>
      </c>
      <c r="CK238" s="570" t="n"/>
      <c r="CL238" s="571" t="n">
        <v>0</v>
      </c>
      <c r="CM238" s="570" t="n"/>
      <c r="CN238" s="569" t="n">
        <v>2</v>
      </c>
      <c r="CO238" s="570" t="n"/>
      <c r="CP238" s="571" t="n">
        <v>0</v>
      </c>
      <c r="CQ238" s="570" t="n"/>
      <c r="CR238" s="569" t="n">
        <v>2</v>
      </c>
      <c r="CS238" s="570" t="n"/>
      <c r="CT238" s="571" t="n">
        <v>0</v>
      </c>
      <c r="CU238" s="570" t="n"/>
      <c r="CV238" s="569" t="n">
        <v>2</v>
      </c>
      <c r="CW238" s="570" t="n"/>
      <c r="CX238" s="571" t="n">
        <v>0</v>
      </c>
      <c r="CY238" s="570" t="n"/>
      <c r="CZ238" s="569" t="n">
        <v>2</v>
      </c>
      <c r="DA238" s="570" t="n"/>
      <c r="DB238" s="571" t="n">
        <v>0</v>
      </c>
      <c r="DC238" s="570" t="n"/>
      <c r="DD238" s="569" t="n">
        <v>2</v>
      </c>
      <c r="DE238" s="570" t="n"/>
      <c r="DF238" s="571" t="n">
        <v>0</v>
      </c>
      <c r="DG238" s="570" t="n"/>
      <c r="DH238" s="569" t="n">
        <v>2</v>
      </c>
      <c r="DI238" s="570" t="n"/>
      <c r="DJ238" s="571" t="n">
        <v>0</v>
      </c>
      <c r="DK238" s="570" t="n"/>
      <c r="DL238" s="569" t="n">
        <v>2</v>
      </c>
      <c r="DM238" s="570" t="n"/>
      <c r="DN238" s="571" t="n">
        <v>0</v>
      </c>
      <c r="DO238" s="570" t="n"/>
      <c r="DP238" s="572" t="n"/>
      <c r="DQ238" s="803">
        <f>SUMPRODUCT(--(MOD(COLUMN(BT238:CQ238),4)=MOD(COLUMN(BT238),4)),BT238:CQ238)+SUMPRODUCT(--(MOD(COLUMN(CR238:DO238),4)=MOD(COLUMN(CR238),4)),CR238:DO238)</f>
        <v/>
      </c>
      <c r="DR238" s="803">
        <f>SUMPRODUCT(--(MOD(COLUMN(BT238:CQ238),4)=MOD(COLUMN(BT238),4)),BT238:CQ238)*$I238+SUMPRODUCT(--(MOD(COLUMN(CR238:DO238),4)=MOD(COLUMN(CR238),4)),CR238:DO238)*$I238</f>
        <v/>
      </c>
      <c r="DS238" s="801" t="n"/>
      <c r="DT238" s="819" t="n"/>
      <c r="DU238" s="569" t="n">
        <v>3</v>
      </c>
      <c r="DV238" s="570" t="n"/>
      <c r="DW238" s="571" t="n">
        <v>0</v>
      </c>
      <c r="DX238" s="570" t="n"/>
      <c r="DY238" s="569" t="n">
        <v>3</v>
      </c>
      <c r="DZ238" s="570" t="n"/>
      <c r="EA238" s="571" t="n">
        <v>0</v>
      </c>
      <c r="EB238" s="570" t="n"/>
      <c r="EC238" s="569" t="n">
        <v>3</v>
      </c>
      <c r="ED238" s="570" t="n"/>
      <c r="EE238" s="571" t="n">
        <v>0</v>
      </c>
      <c r="EF238" s="570" t="n"/>
      <c r="EG238" s="569" t="n">
        <v>3</v>
      </c>
      <c r="EH238" s="570" t="n"/>
      <c r="EI238" s="571" t="n">
        <v>0</v>
      </c>
      <c r="EJ238" s="570" t="n"/>
      <c r="EK238" s="569" t="n">
        <v>3</v>
      </c>
      <c r="EL238" s="570" t="n"/>
      <c r="EM238" s="571" t="n">
        <v>0</v>
      </c>
      <c r="EN238" s="570" t="n"/>
      <c r="EO238" s="569" t="n">
        <v>3</v>
      </c>
      <c r="EP238" s="570" t="n"/>
      <c r="EQ238" s="571" t="n">
        <v>0</v>
      </c>
      <c r="ER238" s="570" t="n"/>
      <c r="ES238" s="569" t="n">
        <v>3</v>
      </c>
      <c r="ET238" s="570" t="n"/>
      <c r="EU238" s="571" t="n">
        <v>0</v>
      </c>
      <c r="EV238" s="570" t="n"/>
      <c r="EW238" s="569" t="n">
        <v>3</v>
      </c>
      <c r="EX238" s="570" t="n"/>
      <c r="EY238" s="571" t="n">
        <v>0</v>
      </c>
      <c r="EZ238" s="570" t="n"/>
      <c r="FA238" s="569" t="n">
        <v>3</v>
      </c>
      <c r="FB238" s="570" t="n"/>
      <c r="FC238" s="571" t="n">
        <v>0</v>
      </c>
      <c r="FD238" s="570" t="n"/>
      <c r="FE238" s="569" t="n">
        <v>3</v>
      </c>
      <c r="FF238" s="570" t="n"/>
      <c r="FG238" s="571" t="n">
        <v>0</v>
      </c>
      <c r="FH238" s="570" t="n"/>
      <c r="FI238" s="569" t="n">
        <v>3</v>
      </c>
      <c r="FJ238" s="570" t="n"/>
      <c r="FK238" s="571" t="n">
        <v>0</v>
      </c>
      <c r="FL238" s="570" t="n"/>
      <c r="FM238" s="569" t="n">
        <v>3</v>
      </c>
      <c r="FN238" s="570" t="n"/>
      <c r="FO238" s="571" t="n">
        <v>0</v>
      </c>
      <c r="FP238" s="570" t="n"/>
      <c r="FQ238" s="572" t="n"/>
      <c r="FR238" s="803">
        <f>SUMPRODUCT(--(MOD(COLUMN(DU238:ER238),4)=MOD(COLUMN(DU238),4)),DU238:ER238)+SUMPRODUCT(--(MOD(COLUMN(ES238:FP238),4)=MOD(COLUMN(ES238),4)),ES238:FP238)</f>
        <v/>
      </c>
      <c r="FS238" s="803">
        <f>SUMPRODUCT(--(MOD(COLUMN(DU238:ER238),4)=MOD(COLUMN(DU238),4)),DU238:ER238)*$I238+SUMPRODUCT(--(MOD(COLUMN(ES238:FP238),4)=MOD(COLUMN(ES238),4)),ES238:FP238)*$I238</f>
        <v/>
      </c>
      <c r="FT238" s="573" t="n"/>
    </row>
    <row r="239" outlineLevel="2">
      <c r="A239" s="411" t="inlineStr">
        <is>
          <t>СПЕЦАВТО-ВОСТОК ООО</t>
        </is>
      </c>
      <c r="B239" s="448" t="inlineStr">
        <is>
          <t>Отсрочка 15 дней</t>
        </is>
      </c>
      <c r="C239" s="594" t="inlineStr">
        <is>
          <t>ВБК РУС</t>
        </is>
      </c>
      <c r="D239" s="589" t="inlineStr">
        <is>
          <t>Прасолов, Соловьёв</t>
        </is>
      </c>
      <c r="E239" s="412">
        <f>IF(ISBLANK(G239),"",IF($A$6:$A$330=$A239,COUNTIF($A$6:A239,$A239),""))</f>
        <v/>
      </c>
      <c r="F239" s="669" t="n">
        <v>2</v>
      </c>
      <c r="G239" s="128" t="n">
        <v>4005000880</v>
      </c>
      <c r="H239" s="612" t="inlineStr">
        <is>
          <t>Модулятор ABS</t>
        </is>
      </c>
      <c r="I239" s="618" t="n">
        <v>0</v>
      </c>
      <c r="J239" s="618" t="n"/>
      <c r="K239" s="874" t="n"/>
      <c r="L239" s="618">
        <f>IF(K239="RUB",J239/ЮАНЬ,IF(K239="EUR",J239*ЕВРО/ЮАНЬ,""))</f>
        <v/>
      </c>
      <c r="M239" s="873" t="n"/>
      <c r="N239" s="871">
        <f>IF(BP239&gt;0,1,IF(BN239&gt;0,2,))</f>
        <v/>
      </c>
      <c r="O239" s="23" t="n">
        <v>15</v>
      </c>
      <c r="P239" s="24" t="n"/>
      <c r="Q239" s="25" t="n">
        <v>0</v>
      </c>
      <c r="R239" s="24" t="n"/>
      <c r="S239" s="23" t="n">
        <v>15</v>
      </c>
      <c r="T239" s="24">
        <f>SUMPRODUCT((Комплекты[Пр]=$F239)*(Комплекты[Обозначение]=$G239)*Комплекты[Кол-во]*(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39" s="25" t="n">
        <v>0</v>
      </c>
      <c r="V239" s="24" t="n"/>
      <c r="W239" s="23" t="n">
        <v>15</v>
      </c>
      <c r="X239" s="24">
        <f>SUMPRODUCT((Комплекты[Пр]=$F239)*(Комплекты[Обозначение]=$G239)*Комплекты[Кол-во]*(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39" s="25" t="n">
        <v>0</v>
      </c>
      <c r="Z239" s="24" t="n"/>
      <c r="AA239" s="23" t="n">
        <v>15</v>
      </c>
      <c r="AB239" s="24">
        <f>SUMPRODUCT((Комплекты[Пр]=$F239)*(Комплекты[Обозначение]=$G239)*Комплекты[Кол-во]*(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39" s="25" t="n">
        <v>0</v>
      </c>
      <c r="AD239" s="24" t="n"/>
      <c r="AE239" s="23" t="n">
        <v>15</v>
      </c>
      <c r="AF239" s="24">
        <f>SUMPRODUCT((Комплекты[Пр]=$F239)*(Комплекты[Обозначение]=$G239)*Комплекты[Кол-во]*(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39" s="25" t="n">
        <v>0</v>
      </c>
      <c r="AH239" s="24" t="n"/>
      <c r="AI239" s="23" t="n">
        <v>15</v>
      </c>
      <c r="AJ239" s="24">
        <f>SUMPRODUCT((Комплекты[Пр]=$F239)*(Комплекты[Обозначение]=$G239)*Комплекты[Кол-во]*(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39" s="25" t="n">
        <v>0</v>
      </c>
      <c r="AL239" s="24" t="n"/>
      <c r="AM239" s="23" t="n">
        <v>15</v>
      </c>
      <c r="AN239" s="24">
        <f>SUMPRODUCT((Комплекты[Пр]=$F239)*(Комплекты[Обозначение]=$G239)*Комплекты[Кол-во]*(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39" s="25" t="n">
        <v>0</v>
      </c>
      <c r="AP239" s="24" t="n"/>
      <c r="AQ239" s="23" t="n">
        <v>15</v>
      </c>
      <c r="AR239" s="24">
        <f>SUMPRODUCT((Комплекты[Пр]=$F239)*(Комплекты[Обозначение]=$G239)*Комплекты[Кол-во]*(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39" s="25" t="n">
        <v>0</v>
      </c>
      <c r="AT239" s="24" t="n"/>
      <c r="AU239" s="23" t="n">
        <v>15</v>
      </c>
      <c r="AV239" s="24">
        <f>SUMPRODUCT((Комплекты[Пр]=$F239)*(Комплекты[Обозначение]=$G239)*Комплекты[Кол-во]*(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39" s="25" t="n">
        <v>0</v>
      </c>
      <c r="AX239" s="24" t="n"/>
      <c r="AY239" s="23" t="n">
        <v>15</v>
      </c>
      <c r="AZ239" s="24">
        <f>SUMPRODUCT((Комплекты[Пр]=$F239)*(Комплекты[Обозначение]=$G239)*Комплекты[Кол-во]*(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39" s="25" t="n">
        <v>0</v>
      </c>
      <c r="BB239" s="24" t="n"/>
      <c r="BC239" s="23" t="n">
        <v>15</v>
      </c>
      <c r="BD239" s="24">
        <f>SUMPRODUCT((Комплекты[Пр]=$F239)*(Комплекты[Обозначение]=$G239)*Комплекты[Кол-во]*(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39" s="25" t="n">
        <v>0</v>
      </c>
      <c r="BF239" s="24" t="n"/>
      <c r="BG239" s="23" t="n">
        <v>15</v>
      </c>
      <c r="BH239" s="24">
        <f>SUMPRODUCT((Комплекты[Пр]=$F239)*(Комплекты[Обозначение]=$G239)*Комплекты[Кол-во]*(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39" s="25" t="n">
        <v>0</v>
      </c>
      <c r="BJ239" s="24" t="n"/>
      <c r="BK239" s="340" t="n"/>
      <c r="BL239" s="803">
        <f>SUMPRODUCT(--(MOD(COLUMN($O239:$AL239),4)=MOD(COLUMN($O239)+0,4)),$O239:$AL239)
+SUMPRODUCT(--(MOD(COLUMN($AM239:$BJ239),4)=MOD(COLUMN($AM239)+0,4)),$AM239:$BJ239)</f>
        <v/>
      </c>
      <c r="BM239" s="803">
        <f>SUMPRODUCT(--(MOD(COLUMN($O239:$AL239),4)=MOD(COLUMN($O239)+0,4)),$O239:$AL239)*
$I239+SUMPRODUCT(--(MOD(COLUMN($AM239:$BJ239),4)=MOD(COLUMN($AM239)+0,4)),$AM239:$BJ239)*$I239</f>
        <v/>
      </c>
      <c r="BN239" s="805">
        <f>SUMPRODUCT(--(MOD(COLUMN($O239:$AL239),4)=MOD(COLUMN($O239)+1,4)),$O239:$AL239)
+SUMPRODUCT(--(MOD(COLUMN($AM239:$BJ239),4)=MOD(COLUMN($AM239)+1,4)),$AM239:$BJ239)</f>
        <v/>
      </c>
      <c r="BO239" s="806">
        <f>SUMPRODUCT(--(MOD(COLUMN($O239:$AL239),4)=MOD(COLUMN($O239)+1,4)),$O239:$AL239)*
$I239+SUMPRODUCT(--(MOD(COLUMN($AM239:$BJ239),4)=MOD(COLUMN($AM239)+1,4)),$AM239:$BJ239)*$I239</f>
        <v/>
      </c>
      <c r="BP239" s="807">
        <f>SUMPRODUCT(--(MOD(COLUMN($O239:$AL239),4)=MOD(COLUMN($O239)+2,4)),$O239:$AL239)
+SUMPRODUCT(--(MOD(COLUMN($AM239:$BJ239),4)=MOD(COLUMN($AM239)+2,4)),$AM239:$BJ239)</f>
        <v/>
      </c>
      <c r="BQ239" s="808">
        <f>SUMPRODUCT(--(MOD(COLUMN($O239:$AL239),4)=MOD(COLUMN($O239)+2,4)),$O239:$AL239)*
$I239+SUMPRODUCT(--(MOD(COLUMN($AM239:$BJ239),4)=MOD(COLUMN($AM239)+2,4)),$AM239:$BJ239)*$I239</f>
        <v/>
      </c>
      <c r="BR239" s="801" t="n"/>
      <c r="BS239" s="819" t="n"/>
      <c r="BT239" s="23" t="n">
        <v>20</v>
      </c>
      <c r="BU239" s="24" t="n"/>
      <c r="BV239" s="25" t="n">
        <v>0</v>
      </c>
      <c r="BW239" s="24" t="n"/>
      <c r="BX239" s="23" t="n">
        <v>20</v>
      </c>
      <c r="BY239" s="24" t="n"/>
      <c r="BZ239" s="25" t="n">
        <v>0</v>
      </c>
      <c r="CA239" s="24" t="n"/>
      <c r="CB239" s="23" t="n">
        <v>20</v>
      </c>
      <c r="CC239" s="24" t="n"/>
      <c r="CD239" s="25" t="n">
        <v>0</v>
      </c>
      <c r="CE239" s="24" t="n"/>
      <c r="CF239" s="23" t="n">
        <v>20</v>
      </c>
      <c r="CG239" s="24" t="n"/>
      <c r="CH239" s="25" t="n">
        <v>0</v>
      </c>
      <c r="CI239" s="24" t="n"/>
      <c r="CJ239" s="23" t="n">
        <v>20</v>
      </c>
      <c r="CK239" s="24" t="n"/>
      <c r="CL239" s="25" t="n">
        <v>0</v>
      </c>
      <c r="CM239" s="24" t="n"/>
      <c r="CN239" s="23" t="n">
        <v>20</v>
      </c>
      <c r="CO239" s="24" t="n"/>
      <c r="CP239" s="25" t="n">
        <v>0</v>
      </c>
      <c r="CQ239" s="24" t="n"/>
      <c r="CR239" s="23" t="n">
        <v>20</v>
      </c>
      <c r="CS239" s="24" t="n"/>
      <c r="CT239" s="25" t="n">
        <v>0</v>
      </c>
      <c r="CU239" s="24" t="n"/>
      <c r="CV239" s="23" t="n">
        <v>20</v>
      </c>
      <c r="CW239" s="24" t="n"/>
      <c r="CX239" s="25" t="n">
        <v>0</v>
      </c>
      <c r="CY239" s="24" t="n"/>
      <c r="CZ239" s="23" t="n">
        <v>20</v>
      </c>
      <c r="DA239" s="24" t="n"/>
      <c r="DB239" s="25" t="n">
        <v>0</v>
      </c>
      <c r="DC239" s="24" t="n"/>
      <c r="DD239" s="23" t="n">
        <v>20</v>
      </c>
      <c r="DE239" s="24" t="n"/>
      <c r="DF239" s="25" t="n">
        <v>0</v>
      </c>
      <c r="DG239" s="24" t="n"/>
      <c r="DH239" s="23" t="n">
        <v>20</v>
      </c>
      <c r="DI239" s="24" t="n"/>
      <c r="DJ239" s="25" t="n">
        <v>0</v>
      </c>
      <c r="DK239" s="24" t="n"/>
      <c r="DL239" s="23" t="n">
        <v>20</v>
      </c>
      <c r="DM239" s="24" t="n"/>
      <c r="DN239" s="25" t="n">
        <v>0</v>
      </c>
      <c r="DO239" s="24" t="n"/>
      <c r="DP239" s="340" t="n"/>
      <c r="DQ239" s="803">
        <f>SUMPRODUCT(--(MOD(COLUMN(BT239:CQ239),4)=MOD(COLUMN(BT239),4)),BT239:CQ239)+SUMPRODUCT(--(MOD(COLUMN(CR239:DO239),4)=MOD(COLUMN(CR239),4)),CR239:DO239)</f>
        <v/>
      </c>
      <c r="DR239" s="803">
        <f>SUMPRODUCT(--(MOD(COLUMN(BT239:CQ239),4)=MOD(COLUMN(BT239),4)),BT239:CQ239)*$I239+SUMPRODUCT(--(MOD(COLUMN(CR239:DO239),4)=MOD(COLUMN(CR239),4)),CR239:DO239)*$I239</f>
        <v/>
      </c>
      <c r="DS239" s="801" t="n"/>
      <c r="DT239" s="819" t="n"/>
      <c r="DU239" s="23" t="n">
        <v>20</v>
      </c>
      <c r="DV239" s="24" t="n"/>
      <c r="DW239" s="25" t="n">
        <v>0</v>
      </c>
      <c r="DX239" s="24" t="n"/>
      <c r="DY239" s="23" t="n">
        <v>20</v>
      </c>
      <c r="DZ239" s="24" t="n"/>
      <c r="EA239" s="25" t="n">
        <v>0</v>
      </c>
      <c r="EB239" s="24" t="n"/>
      <c r="EC239" s="23" t="n">
        <v>20</v>
      </c>
      <c r="ED239" s="24" t="n"/>
      <c r="EE239" s="25" t="n">
        <v>0</v>
      </c>
      <c r="EF239" s="24" t="n"/>
      <c r="EG239" s="23" t="n">
        <v>20</v>
      </c>
      <c r="EH239" s="24" t="n"/>
      <c r="EI239" s="25" t="n">
        <v>0</v>
      </c>
      <c r="EJ239" s="24" t="n"/>
      <c r="EK239" s="23" t="n">
        <v>20</v>
      </c>
      <c r="EL239" s="24" t="n"/>
      <c r="EM239" s="25" t="n">
        <v>0</v>
      </c>
      <c r="EN239" s="24" t="n"/>
      <c r="EO239" s="23" t="n">
        <v>20</v>
      </c>
      <c r="EP239" s="24" t="n"/>
      <c r="EQ239" s="25" t="n">
        <v>0</v>
      </c>
      <c r="ER239" s="24" t="n"/>
      <c r="ES239" s="23" t="n">
        <v>20</v>
      </c>
      <c r="ET239" s="24" t="n"/>
      <c r="EU239" s="25" t="n">
        <v>0</v>
      </c>
      <c r="EV239" s="24" t="n"/>
      <c r="EW239" s="23" t="n">
        <v>20</v>
      </c>
      <c r="EX239" s="24" t="n"/>
      <c r="EY239" s="25" t="n">
        <v>0</v>
      </c>
      <c r="EZ239" s="24" t="n"/>
      <c r="FA239" s="23" t="n">
        <v>20</v>
      </c>
      <c r="FB239" s="24" t="n"/>
      <c r="FC239" s="25" t="n">
        <v>0</v>
      </c>
      <c r="FD239" s="24" t="n"/>
      <c r="FE239" s="23" t="n">
        <v>20</v>
      </c>
      <c r="FF239" s="24" t="n"/>
      <c r="FG239" s="25" t="n">
        <v>0</v>
      </c>
      <c r="FH239" s="24" t="n"/>
      <c r="FI239" s="23" t="n">
        <v>20</v>
      </c>
      <c r="FJ239" s="24" t="n"/>
      <c r="FK239" s="25" t="n">
        <v>0</v>
      </c>
      <c r="FL239" s="24" t="n"/>
      <c r="FM239" s="23" t="n">
        <v>20</v>
      </c>
      <c r="FN239" s="24" t="n"/>
      <c r="FO239" s="25" t="n">
        <v>0</v>
      </c>
      <c r="FP239" s="24" t="n"/>
      <c r="FQ239" s="340" t="n"/>
      <c r="FR239" s="803">
        <f>SUMPRODUCT(--(MOD(COLUMN(DU239:ER239),4)=MOD(COLUMN(DU239),4)),DU239:ER239)+SUMPRODUCT(--(MOD(COLUMN(ES239:FP239),4)=MOD(COLUMN(ES239),4)),ES239:FP239)</f>
        <v/>
      </c>
      <c r="FS239" s="803">
        <f>SUMPRODUCT(--(MOD(COLUMN(DU239:ER239),4)=MOD(COLUMN(DU239),4)),DU239:ER239)*$I239+SUMPRODUCT(--(MOD(COLUMN(ES239:FP239),4)=MOD(COLUMN(ES239),4)),ES239:FP239)*$I239</f>
        <v/>
      </c>
      <c r="FT239" s="361" t="n"/>
    </row>
    <row r="240" outlineLevel="2">
      <c r="A240" s="411" t="inlineStr">
        <is>
          <t>СПЕЦАВТО-ВОСТОК ООО</t>
        </is>
      </c>
      <c r="B240" s="448" t="inlineStr">
        <is>
          <t>Отсрочка 15 дней</t>
        </is>
      </c>
      <c r="C240" s="594" t="inlineStr">
        <is>
          <t>ВБК РУС</t>
        </is>
      </c>
      <c r="D240" s="589" t="inlineStr">
        <is>
          <t>Прасолов, Соловьёв</t>
        </is>
      </c>
      <c r="E240" s="412">
        <f>IF(ISBLANK(G240),"",IF($A$6:$A$330=$A240,COUNTIF($A$6:A240,$A240),""))</f>
        <v/>
      </c>
      <c r="F240" s="669" t="n">
        <v>2</v>
      </c>
      <c r="G240" s="128" t="n">
        <v>4493702820</v>
      </c>
      <c r="H240" s="612" t="inlineStr">
        <is>
          <t>Кабель питания ABS, часть 1</t>
        </is>
      </c>
      <c r="I240" s="618" t="n">
        <v>0</v>
      </c>
      <c r="J240" s="618" t="n"/>
      <c r="K240" s="874" t="n"/>
      <c r="L240" s="618">
        <f>IF(K240="RUB",J240/ЮАНЬ,IF(K240="EUR",J240*ЕВРО/ЮАНЬ,""))</f>
        <v/>
      </c>
      <c r="M240" s="873" t="n"/>
      <c r="N240" s="871">
        <f>IF(BP240&gt;0,1,IF(BN240&gt;0,2,))</f>
        <v/>
      </c>
      <c r="O240" s="23" t="n">
        <v>15</v>
      </c>
      <c r="P240" s="24" t="n"/>
      <c r="Q240" s="25" t="n">
        <v>0</v>
      </c>
      <c r="R240" s="24" t="n"/>
      <c r="S240" s="23" t="n">
        <v>15</v>
      </c>
      <c r="T240" s="24">
        <f>SUMPRODUCT((Комплекты[Пр]=$F240)*(Комплекты[Обозначение]=$G240)*Комплекты[Кол-во]*(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40" s="25" t="n">
        <v>0</v>
      </c>
      <c r="V240" s="24" t="n"/>
      <c r="W240" s="23" t="n">
        <v>15</v>
      </c>
      <c r="X240" s="24">
        <f>SUMPRODUCT((Комплекты[Пр]=$F240)*(Комплекты[Обозначение]=$G240)*Комплекты[Кол-во]*(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40" s="25" t="n">
        <v>0</v>
      </c>
      <c r="Z240" s="24" t="n"/>
      <c r="AA240" s="23" t="n">
        <v>15</v>
      </c>
      <c r="AB240" s="24">
        <f>SUMPRODUCT((Комплекты[Пр]=$F240)*(Комплекты[Обозначение]=$G240)*Комплекты[Кол-во]*(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40" s="25" t="n">
        <v>0</v>
      </c>
      <c r="AD240" s="24" t="n"/>
      <c r="AE240" s="23" t="n">
        <v>15</v>
      </c>
      <c r="AF240" s="24">
        <f>SUMPRODUCT((Комплекты[Пр]=$F240)*(Комплекты[Обозначение]=$G240)*Комплекты[Кол-во]*(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40" s="25" t="n">
        <v>0</v>
      </c>
      <c r="AH240" s="24" t="n"/>
      <c r="AI240" s="23" t="n">
        <v>15</v>
      </c>
      <c r="AJ240" s="24">
        <f>SUMPRODUCT((Комплекты[Пр]=$F240)*(Комплекты[Обозначение]=$G240)*Комплекты[Кол-во]*(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40" s="25" t="n">
        <v>0</v>
      </c>
      <c r="AL240" s="24" t="n"/>
      <c r="AM240" s="23" t="n">
        <v>15</v>
      </c>
      <c r="AN240" s="24">
        <f>SUMPRODUCT((Комплекты[Пр]=$F240)*(Комплекты[Обозначение]=$G240)*Комплекты[Кол-во]*(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40" s="25" t="n">
        <v>0</v>
      </c>
      <c r="AP240" s="24" t="n"/>
      <c r="AQ240" s="23" t="n">
        <v>15</v>
      </c>
      <c r="AR240" s="24">
        <f>SUMPRODUCT((Комплекты[Пр]=$F240)*(Комплекты[Обозначение]=$G240)*Комплекты[Кол-во]*(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40" s="25" t="n">
        <v>0</v>
      </c>
      <c r="AT240" s="24" t="n"/>
      <c r="AU240" s="23" t="n">
        <v>15</v>
      </c>
      <c r="AV240" s="24">
        <f>SUMPRODUCT((Комплекты[Пр]=$F240)*(Комплекты[Обозначение]=$G240)*Комплекты[Кол-во]*(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40" s="25" t="n">
        <v>0</v>
      </c>
      <c r="AX240" s="24" t="n"/>
      <c r="AY240" s="23" t="n">
        <v>15</v>
      </c>
      <c r="AZ240" s="24">
        <f>SUMPRODUCT((Комплекты[Пр]=$F240)*(Комплекты[Обозначение]=$G240)*Комплекты[Кол-во]*(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40" s="25" t="n">
        <v>0</v>
      </c>
      <c r="BB240" s="24" t="n"/>
      <c r="BC240" s="23" t="n">
        <v>15</v>
      </c>
      <c r="BD240" s="24">
        <f>SUMPRODUCT((Комплекты[Пр]=$F240)*(Комплекты[Обозначение]=$G240)*Комплекты[Кол-во]*(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40" s="25" t="n">
        <v>0</v>
      </c>
      <c r="BF240" s="24" t="n"/>
      <c r="BG240" s="23" t="n">
        <v>15</v>
      </c>
      <c r="BH240" s="24">
        <f>SUMPRODUCT((Комплекты[Пр]=$F240)*(Комплекты[Обозначение]=$G240)*Комплекты[Кол-во]*(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40" s="25" t="n">
        <v>0</v>
      </c>
      <c r="BJ240" s="24" t="n"/>
      <c r="BK240" s="340" t="n"/>
      <c r="BL240" s="803">
        <f>SUMPRODUCT(--(MOD(COLUMN($O240:$AL240),4)=MOD(COLUMN($O240)+0,4)),$O240:$AL240)
+SUMPRODUCT(--(MOD(COLUMN($AM240:$BJ240),4)=MOD(COLUMN($AM240)+0,4)),$AM240:$BJ240)</f>
        <v/>
      </c>
      <c r="BM240" s="803">
        <f>SUMPRODUCT(--(MOD(COLUMN($O240:$AL240),4)=MOD(COLUMN($O240)+0,4)),$O240:$AL240)*
$I240+SUMPRODUCT(--(MOD(COLUMN($AM240:$BJ240),4)=MOD(COLUMN($AM240)+0,4)),$AM240:$BJ240)*$I240</f>
        <v/>
      </c>
      <c r="BN240" s="805">
        <f>SUMPRODUCT(--(MOD(COLUMN($O240:$AL240),4)=MOD(COLUMN($O240)+1,4)),$O240:$AL240)
+SUMPRODUCT(--(MOD(COLUMN($AM240:$BJ240),4)=MOD(COLUMN($AM240)+1,4)),$AM240:$BJ240)</f>
        <v/>
      </c>
      <c r="BO240" s="806">
        <f>SUMPRODUCT(--(MOD(COLUMN($O240:$AL240),4)=MOD(COLUMN($O240)+1,4)),$O240:$AL240)*
$I240+SUMPRODUCT(--(MOD(COLUMN($AM240:$BJ240),4)=MOD(COLUMN($AM240)+1,4)),$AM240:$BJ240)*$I240</f>
        <v/>
      </c>
      <c r="BP240" s="807">
        <f>SUMPRODUCT(--(MOD(COLUMN($O240:$AL240),4)=MOD(COLUMN($O240)+2,4)),$O240:$AL240)
+SUMPRODUCT(--(MOD(COLUMN($AM240:$BJ240),4)=MOD(COLUMN($AM240)+2,4)),$AM240:$BJ240)</f>
        <v/>
      </c>
      <c r="BQ240" s="808">
        <f>SUMPRODUCT(--(MOD(COLUMN($O240:$AL240),4)=MOD(COLUMN($O240)+2,4)),$O240:$AL240)*
$I240+SUMPRODUCT(--(MOD(COLUMN($AM240:$BJ240),4)=MOD(COLUMN($AM240)+2,4)),$AM240:$BJ240)*$I240</f>
        <v/>
      </c>
      <c r="BR240" s="801" t="n"/>
      <c r="BS240" s="819" t="n"/>
      <c r="BT240" s="23" t="n">
        <v>20</v>
      </c>
      <c r="BU240" s="24" t="n"/>
      <c r="BV240" s="25" t="n">
        <v>0</v>
      </c>
      <c r="BW240" s="24" t="n"/>
      <c r="BX240" s="23" t="n">
        <v>20</v>
      </c>
      <c r="BY240" s="24" t="n"/>
      <c r="BZ240" s="25" t="n">
        <v>0</v>
      </c>
      <c r="CA240" s="24" t="n"/>
      <c r="CB240" s="23" t="n">
        <v>20</v>
      </c>
      <c r="CC240" s="24" t="n"/>
      <c r="CD240" s="25" t="n">
        <v>0</v>
      </c>
      <c r="CE240" s="24" t="n"/>
      <c r="CF240" s="23" t="n">
        <v>20</v>
      </c>
      <c r="CG240" s="24" t="n"/>
      <c r="CH240" s="25" t="n">
        <v>0</v>
      </c>
      <c r="CI240" s="24" t="n"/>
      <c r="CJ240" s="23" t="n">
        <v>20</v>
      </c>
      <c r="CK240" s="24" t="n"/>
      <c r="CL240" s="25" t="n">
        <v>0</v>
      </c>
      <c r="CM240" s="24" t="n"/>
      <c r="CN240" s="23" t="n">
        <v>20</v>
      </c>
      <c r="CO240" s="24" t="n"/>
      <c r="CP240" s="25" t="n">
        <v>0</v>
      </c>
      <c r="CQ240" s="24" t="n"/>
      <c r="CR240" s="23" t="n">
        <v>20</v>
      </c>
      <c r="CS240" s="24" t="n"/>
      <c r="CT240" s="25" t="n">
        <v>0</v>
      </c>
      <c r="CU240" s="24" t="n"/>
      <c r="CV240" s="23" t="n">
        <v>20</v>
      </c>
      <c r="CW240" s="24" t="n"/>
      <c r="CX240" s="25" t="n">
        <v>0</v>
      </c>
      <c r="CY240" s="24" t="n"/>
      <c r="CZ240" s="23" t="n">
        <v>20</v>
      </c>
      <c r="DA240" s="24" t="n"/>
      <c r="DB240" s="25" t="n">
        <v>0</v>
      </c>
      <c r="DC240" s="24" t="n"/>
      <c r="DD240" s="23" t="n">
        <v>20</v>
      </c>
      <c r="DE240" s="24" t="n"/>
      <c r="DF240" s="25" t="n">
        <v>0</v>
      </c>
      <c r="DG240" s="24" t="n"/>
      <c r="DH240" s="23" t="n">
        <v>20</v>
      </c>
      <c r="DI240" s="24" t="n"/>
      <c r="DJ240" s="25" t="n">
        <v>0</v>
      </c>
      <c r="DK240" s="24" t="n"/>
      <c r="DL240" s="23" t="n">
        <v>20</v>
      </c>
      <c r="DM240" s="24" t="n"/>
      <c r="DN240" s="25" t="n">
        <v>0</v>
      </c>
      <c r="DO240" s="24" t="n"/>
      <c r="DP240" s="340" t="n"/>
      <c r="DQ240" s="803">
        <f>SUMPRODUCT(--(MOD(COLUMN(BT240:CQ240),4)=MOD(COLUMN(BT240),4)),BT240:CQ240)+SUMPRODUCT(--(MOD(COLUMN(CR240:DO240),4)=MOD(COLUMN(CR240),4)),CR240:DO240)</f>
        <v/>
      </c>
      <c r="DR240" s="803">
        <f>SUMPRODUCT(--(MOD(COLUMN(BT240:CQ240),4)=MOD(COLUMN(BT240),4)),BT240:CQ240)*$I240+SUMPRODUCT(--(MOD(COLUMN(CR240:DO240),4)=MOD(COLUMN(CR240),4)),CR240:DO240)*$I240</f>
        <v/>
      </c>
      <c r="DS240" s="801" t="n"/>
      <c r="DT240" s="819" t="n"/>
      <c r="DU240" s="23" t="n">
        <v>20</v>
      </c>
      <c r="DV240" s="24" t="n"/>
      <c r="DW240" s="25" t="n">
        <v>0</v>
      </c>
      <c r="DX240" s="24" t="n"/>
      <c r="DY240" s="23" t="n">
        <v>20</v>
      </c>
      <c r="DZ240" s="24" t="n"/>
      <c r="EA240" s="25" t="n">
        <v>0</v>
      </c>
      <c r="EB240" s="24" t="n"/>
      <c r="EC240" s="23" t="n">
        <v>20</v>
      </c>
      <c r="ED240" s="24" t="n"/>
      <c r="EE240" s="25" t="n">
        <v>0</v>
      </c>
      <c r="EF240" s="24" t="n"/>
      <c r="EG240" s="23" t="n">
        <v>20</v>
      </c>
      <c r="EH240" s="24" t="n"/>
      <c r="EI240" s="25" t="n">
        <v>0</v>
      </c>
      <c r="EJ240" s="24" t="n"/>
      <c r="EK240" s="23" t="n">
        <v>20</v>
      </c>
      <c r="EL240" s="24" t="n"/>
      <c r="EM240" s="25" t="n">
        <v>0</v>
      </c>
      <c r="EN240" s="24" t="n"/>
      <c r="EO240" s="23" t="n">
        <v>20</v>
      </c>
      <c r="EP240" s="24" t="n"/>
      <c r="EQ240" s="25" t="n">
        <v>0</v>
      </c>
      <c r="ER240" s="24" t="n"/>
      <c r="ES240" s="23" t="n">
        <v>20</v>
      </c>
      <c r="ET240" s="24" t="n"/>
      <c r="EU240" s="25" t="n">
        <v>0</v>
      </c>
      <c r="EV240" s="24" t="n"/>
      <c r="EW240" s="23" t="n">
        <v>20</v>
      </c>
      <c r="EX240" s="24" t="n"/>
      <c r="EY240" s="25" t="n">
        <v>0</v>
      </c>
      <c r="EZ240" s="24" t="n"/>
      <c r="FA240" s="23" t="n">
        <v>20</v>
      </c>
      <c r="FB240" s="24" t="n"/>
      <c r="FC240" s="25" t="n">
        <v>0</v>
      </c>
      <c r="FD240" s="24" t="n"/>
      <c r="FE240" s="23" t="n">
        <v>20</v>
      </c>
      <c r="FF240" s="24" t="n"/>
      <c r="FG240" s="25" t="n">
        <v>0</v>
      </c>
      <c r="FH240" s="24" t="n"/>
      <c r="FI240" s="23" t="n">
        <v>20</v>
      </c>
      <c r="FJ240" s="24" t="n"/>
      <c r="FK240" s="25" t="n">
        <v>0</v>
      </c>
      <c r="FL240" s="24" t="n"/>
      <c r="FM240" s="23" t="n">
        <v>20</v>
      </c>
      <c r="FN240" s="24" t="n"/>
      <c r="FO240" s="25" t="n">
        <v>0</v>
      </c>
      <c r="FP240" s="24" t="n"/>
      <c r="FQ240" s="340" t="n"/>
      <c r="FR240" s="803">
        <f>SUMPRODUCT(--(MOD(COLUMN(DU240:ER240),4)=MOD(COLUMN(DU240),4)),DU240:ER240)+SUMPRODUCT(--(MOD(COLUMN(ES240:FP240),4)=MOD(COLUMN(ES240),4)),ES240:FP240)</f>
        <v/>
      </c>
      <c r="FS240" s="803">
        <f>SUMPRODUCT(--(MOD(COLUMN(DU240:ER240),4)=MOD(COLUMN(DU240),4)),DU240:ER240)*$I240+SUMPRODUCT(--(MOD(COLUMN(ES240:FP240),4)=MOD(COLUMN(ES240),4)),ES240:FP240)*$I240</f>
        <v/>
      </c>
      <c r="FT240" s="361" t="n"/>
    </row>
    <row r="241" outlineLevel="2">
      <c r="A241" s="413" t="inlineStr">
        <is>
          <t>СПЕЦАВТО-ВОСТОК ООО</t>
        </is>
      </c>
      <c r="B241" s="444" t="inlineStr">
        <is>
          <t>Отсрочка 15 дней</t>
        </is>
      </c>
      <c r="C241" s="592" t="inlineStr">
        <is>
          <t>ВБК РУС</t>
        </is>
      </c>
      <c r="D241" s="580" t="inlineStr">
        <is>
          <t>Прасолов, Соловьёв</t>
        </is>
      </c>
      <c r="E241" s="414">
        <f>IF(ISBLANK(G241),"",IF($A$6:$A$330=$A241,COUNTIF($A$6:A241,$A241),""))</f>
        <v/>
      </c>
      <c r="F241" s="318" t="n">
        <v>2</v>
      </c>
      <c r="G241" s="403" t="n">
        <v>4005000810</v>
      </c>
      <c r="H241" s="613" t="inlineStr">
        <is>
          <t>Модулятор ABS</t>
        </is>
      </c>
      <c r="I241" s="619" t="n">
        <v>0</v>
      </c>
      <c r="J241" s="619" t="n"/>
      <c r="K241" s="876" t="n"/>
      <c r="L241" s="619" t="n"/>
      <c r="M241" s="871" t="n"/>
      <c r="N241" s="871">
        <f>IF(BP241&gt;0,1,IF(BN241&gt;0,2,))</f>
        <v/>
      </c>
      <c r="O241" s="322" t="n"/>
      <c r="P241" s="408" t="n"/>
      <c r="Q241" s="307" t="n"/>
      <c r="R241" s="408" t="n"/>
      <c r="S241" s="322" t="n"/>
      <c r="T241" s="408">
        <f>SUMPRODUCT((Комплекты[Пр]=$F241)*(Комплекты[Обозначение]=$G241)*Комплекты[Кол-во]*(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41" s="307" t="n">
        <v>5</v>
      </c>
      <c r="V241" s="408" t="n"/>
      <c r="W241" s="322" t="n"/>
      <c r="X241" s="408">
        <f>SUMPRODUCT((Комплекты[Пр]=$F241)*(Комплекты[Обозначение]=$G241)*Комплекты[Кол-во]*(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41" s="307" t="n">
        <v>16</v>
      </c>
      <c r="Z241" s="408" t="n"/>
      <c r="AA241" s="322" t="n"/>
      <c r="AB241" s="408">
        <f>SUMPRODUCT((Комплекты[Пр]=$F241)*(Комплекты[Обозначение]=$G241)*Комплекты[Кол-во]*(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41" s="307" t="n"/>
      <c r="AD241" s="408" t="n"/>
      <c r="AE241" s="322" t="n"/>
      <c r="AF241" s="408">
        <f>SUMPRODUCT((Комплекты[Пр]=$F241)*(Комплекты[Обозначение]=$G241)*Комплекты[Кол-во]*(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41" s="307">
        <f>SUMPRODUCT((Комплекты[Пр]=$F241)*(Комплекты[Обозначение]=$G241)*Комплекты[Кол-во]*(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/>
      </c>
      <c r="AH241" s="408" t="n"/>
      <c r="AI241" s="322" t="n"/>
      <c r="AJ241" s="408">
        <f>SUMPRODUCT((Комплекты[Пр]=$F241)*(Комплекты[Обозначение]=$G241)*Комплекты[Кол-во]*(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41" s="307" t="n">
        <v>0</v>
      </c>
      <c r="AL241" s="408" t="n"/>
      <c r="AM241" s="322" t="n"/>
      <c r="AN241" s="408">
        <f>SUMPRODUCT((Комплекты[Пр]=$F241)*(Комплекты[Обозначение]=$G241)*Комплекты[Кол-во]*(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41" s="307" t="n">
        <v>0</v>
      </c>
      <c r="AP241" s="408" t="n"/>
      <c r="AQ241" s="322" t="n"/>
      <c r="AR241" s="408">
        <f>SUMPRODUCT((Комплекты[Пр]=$F241)*(Комплекты[Обозначение]=$G241)*Комплекты[Кол-во]*(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41" s="307" t="n">
        <v>0</v>
      </c>
      <c r="AT241" s="408" t="n"/>
      <c r="AU241" s="322" t="n"/>
      <c r="AV241" s="408">
        <f>SUMPRODUCT((Комплекты[Пр]=$F241)*(Комплекты[Обозначение]=$G241)*Комплекты[Кол-во]*(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41" s="307" t="n">
        <v>0</v>
      </c>
      <c r="AX241" s="408" t="n"/>
      <c r="AY241" s="322" t="n"/>
      <c r="AZ241" s="408">
        <f>SUMPRODUCT((Комплекты[Пр]=$F241)*(Комплекты[Обозначение]=$G241)*Комплекты[Кол-во]*(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41" s="307" t="n"/>
      <c r="BB241" s="408" t="n"/>
      <c r="BC241" s="322" t="n"/>
      <c r="BD241" s="408">
        <f>SUMPRODUCT((Комплекты[Пр]=$F241)*(Комплекты[Обозначение]=$G241)*Комплекты[Кол-во]*(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41" s="307" t="n"/>
      <c r="BF241" s="408" t="n"/>
      <c r="BG241" s="322" t="n"/>
      <c r="BH241" s="408">
        <f>SUMPRODUCT((Комплекты[Пр]=$F241)*(Комплекты[Обозначение]=$G241)*Комплекты[Кол-во]*(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41" s="307" t="n"/>
      <c r="BJ241" s="408" t="n"/>
      <c r="BK241" s="340" t="n"/>
      <c r="BL241" s="820">
        <f>SUMPRODUCT(--(MOD(COLUMN($O241:$AL241),4)=MOD(COLUMN($O241)+0,4)),$O241:$AL241)
+SUMPRODUCT(--(MOD(COLUMN($AM241:$BJ241),4)=MOD(COLUMN($AM241)+0,4)),$AM241:$BJ241)</f>
        <v/>
      </c>
      <c r="BM241" s="820">
        <f>SUMPRODUCT(--(MOD(COLUMN($O241:$AL241),4)=MOD(COLUMN($O241)+0,4)),$O241:$AL241)*
$I241+SUMPRODUCT(--(MOD(COLUMN($AM241:$BJ241),4)=MOD(COLUMN($AM241)+0,4)),$AM241:$BJ241)*$I241</f>
        <v/>
      </c>
      <c r="BN241" s="822">
        <f>SUMPRODUCT(--(MOD(COLUMN($O241:$AL241),4)=MOD(COLUMN($O241)+1,4)),$O241:$AL241)
+SUMPRODUCT(--(MOD(COLUMN($AM241:$BJ241),4)=MOD(COLUMN($AM241)+1,4)),$AM241:$BJ241)</f>
        <v/>
      </c>
      <c r="BO241" s="823">
        <f>SUMPRODUCT(--(MOD(COLUMN($O241:$AL241),4)=MOD(COLUMN($O241)+1,4)),$O241:$AL241)*
$I241+SUMPRODUCT(--(MOD(COLUMN($AM241:$BJ241),4)=MOD(COLUMN($AM241)+1,4)),$AM241:$BJ241)*$I241</f>
        <v/>
      </c>
      <c r="BP241" s="824">
        <f>SUMPRODUCT(--(MOD(COLUMN($O241:$AL241),4)=MOD(COLUMN($O241)+2,4)),$O241:$AL241)
+SUMPRODUCT(--(MOD(COLUMN($AM241:$BJ241),4)=MOD(COLUMN($AM241)+2,4)),$AM241:$BJ241)</f>
        <v/>
      </c>
      <c r="BQ241" s="825">
        <f>SUMPRODUCT(--(MOD(COLUMN($O241:$AL241),4)=MOD(COLUMN($O241)+2,4)),$O241:$AL241)*
$I241+SUMPRODUCT(--(MOD(COLUMN($AM241:$BJ241),4)=MOD(COLUMN($AM241)+2,4)),$AM241:$BJ241)*$I241</f>
        <v/>
      </c>
      <c r="BR241" s="819" t="n"/>
      <c r="BS241" s="819" t="n"/>
      <c r="BT241" s="322" t="n"/>
      <c r="BU241" s="408" t="n"/>
      <c r="BV241" s="307" t="n"/>
      <c r="BW241" s="408" t="n"/>
      <c r="BX241" s="322" t="n"/>
      <c r="BY241" s="408" t="n"/>
      <c r="BZ241" s="307" t="n"/>
      <c r="CA241" s="408" t="n"/>
      <c r="CB241" s="322" t="n"/>
      <c r="CC241" s="408" t="n"/>
      <c r="CD241" s="307" t="n"/>
      <c r="CE241" s="408" t="n"/>
      <c r="CF241" s="322" t="n"/>
      <c r="CG241" s="408" t="n"/>
      <c r="CH241" s="307" t="n"/>
      <c r="CI241" s="408" t="n"/>
      <c r="CJ241" s="322" t="n"/>
      <c r="CK241" s="408" t="n"/>
      <c r="CL241" s="307" t="n"/>
      <c r="CM241" s="408" t="n"/>
      <c r="CN241" s="322" t="n"/>
      <c r="CO241" s="408" t="n"/>
      <c r="CP241" s="307" t="n"/>
      <c r="CQ241" s="408" t="n"/>
      <c r="CR241" s="322" t="n"/>
      <c r="CS241" s="408" t="n"/>
      <c r="CT241" s="307" t="n"/>
      <c r="CU241" s="408" t="n"/>
      <c r="CV241" s="322" t="n"/>
      <c r="CW241" s="408" t="n"/>
      <c r="CX241" s="307" t="n"/>
      <c r="CY241" s="408" t="n"/>
      <c r="CZ241" s="322" t="n"/>
      <c r="DA241" s="408" t="n"/>
      <c r="DB241" s="307" t="n"/>
      <c r="DC241" s="408" t="n"/>
      <c r="DD241" s="322" t="n"/>
      <c r="DE241" s="408" t="n"/>
      <c r="DF241" s="307" t="n"/>
      <c r="DG241" s="408" t="n"/>
      <c r="DH241" s="322" t="n"/>
      <c r="DI241" s="408" t="n"/>
      <c r="DJ241" s="307" t="n"/>
      <c r="DK241" s="408" t="n"/>
      <c r="DL241" s="322" t="n"/>
      <c r="DM241" s="408" t="n"/>
      <c r="DN241" s="307" t="n"/>
      <c r="DO241" s="408" t="n"/>
      <c r="DP241" s="340" t="n"/>
      <c r="DQ241" s="820" t="n"/>
      <c r="DR241" s="820">
        <f>SUMPRODUCT(--(MOD(COLUMN(BT241:CQ241),4)=MOD(COLUMN(BT241),4)),BT241:CQ241)*$I241+SUMPRODUCT(--(MOD(COLUMN(CR241:DO241),4)=MOD(COLUMN(CR241),4)),CR241:DO241)*$I241</f>
        <v/>
      </c>
      <c r="DS241" s="819" t="n"/>
      <c r="DT241" s="819" t="n"/>
      <c r="DU241" s="322" t="n"/>
      <c r="DV241" s="408" t="n"/>
      <c r="DW241" s="307" t="n"/>
      <c r="DX241" s="408" t="n"/>
      <c r="DY241" s="322" t="n"/>
      <c r="DZ241" s="408" t="n"/>
      <c r="EA241" s="307" t="n"/>
      <c r="EB241" s="408" t="n"/>
      <c r="EC241" s="322" t="n"/>
      <c r="ED241" s="408" t="n"/>
      <c r="EE241" s="307" t="n"/>
      <c r="EF241" s="408" t="n"/>
      <c r="EG241" s="322" t="n"/>
      <c r="EH241" s="408" t="n"/>
      <c r="EI241" s="307" t="n"/>
      <c r="EJ241" s="408" t="n"/>
      <c r="EK241" s="322" t="n"/>
      <c r="EL241" s="408" t="n"/>
      <c r="EM241" s="307" t="n"/>
      <c r="EN241" s="408" t="n"/>
      <c r="EO241" s="322" t="n"/>
      <c r="EP241" s="408" t="n"/>
      <c r="EQ241" s="307" t="n"/>
      <c r="ER241" s="408" t="n"/>
      <c r="ES241" s="322" t="n"/>
      <c r="ET241" s="408" t="n"/>
      <c r="EU241" s="307" t="n"/>
      <c r="EV241" s="408" t="n"/>
      <c r="EW241" s="322" t="n"/>
      <c r="EX241" s="408" t="n"/>
      <c r="EY241" s="307" t="n"/>
      <c r="EZ241" s="408" t="n"/>
      <c r="FA241" s="322" t="n"/>
      <c r="FB241" s="408" t="n"/>
      <c r="FC241" s="307" t="n"/>
      <c r="FD241" s="408" t="n"/>
      <c r="FE241" s="322" t="n"/>
      <c r="FF241" s="408" t="n"/>
      <c r="FG241" s="307" t="n"/>
      <c r="FH241" s="408" t="n"/>
      <c r="FI241" s="322" t="n"/>
      <c r="FJ241" s="408" t="n"/>
      <c r="FK241" s="307" t="n"/>
      <c r="FL241" s="408" t="n"/>
      <c r="FM241" s="322" t="n"/>
      <c r="FN241" s="408" t="n"/>
      <c r="FO241" s="307" t="n"/>
      <c r="FP241" s="408" t="n"/>
      <c r="FQ241" s="340" t="n"/>
      <c r="FR241" s="820" t="n"/>
      <c r="FS241" s="820">
        <f>SUMPRODUCT(--(MOD(COLUMN(DU241:ER241),4)=MOD(COLUMN(DU241),4)),DU241:ER241)*$I241+SUMPRODUCT(--(MOD(COLUMN(ES241:FP241),4)=MOD(COLUMN(ES241),4)),ES241:FP241)*$I241</f>
        <v/>
      </c>
      <c r="FT241" s="361" t="n"/>
    </row>
    <row r="242" outlineLevel="2">
      <c r="A242" s="413" t="inlineStr">
        <is>
          <t>СПЕЦАВТО-ВОСТОК ООО</t>
        </is>
      </c>
      <c r="B242" s="444" t="inlineStr">
        <is>
          <t>Отсрочка 15 дней</t>
        </is>
      </c>
      <c r="C242" s="592" t="inlineStr">
        <is>
          <t>ВБК РУС</t>
        </is>
      </c>
      <c r="D242" s="580" t="inlineStr">
        <is>
          <t>Прасолов, Соловьёв</t>
        </is>
      </c>
      <c r="E242" s="414">
        <f>IF(ISBLANK(G242),"",IF($A$6:$A$330=$A242,COUNTIF($A$6:A242,$A242),""))</f>
        <v/>
      </c>
      <c r="F242" s="318" t="n">
        <v>2</v>
      </c>
      <c r="G242" s="403" t="n">
        <v>4493792810</v>
      </c>
      <c r="H242" s="613" t="inlineStr">
        <is>
          <t>Кабель питания ABS, часть 1</t>
        </is>
      </c>
      <c r="I242" s="619" t="n">
        <v>0</v>
      </c>
      <c r="J242" s="619" t="n"/>
      <c r="K242" s="876" t="n"/>
      <c r="L242" s="619" t="n"/>
      <c r="M242" s="871" t="n"/>
      <c r="N242" s="871">
        <f>IF(BP242&gt;0,1,IF(BN242&gt;0,2,))</f>
        <v/>
      </c>
      <c r="O242" s="322" t="n"/>
      <c r="P242" s="408" t="n"/>
      <c r="Q242" s="307" t="n"/>
      <c r="R242" s="408" t="n"/>
      <c r="S242" s="322" t="n"/>
      <c r="T242" s="408">
        <f>SUMPRODUCT((Комплекты[Пр]=$F242)*(Комплекты[Обозначение]=$G242)*Комплекты[Кол-во]*(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42" s="307" t="n">
        <v>5</v>
      </c>
      <c r="V242" s="408" t="n"/>
      <c r="W242" s="322" t="n"/>
      <c r="X242" s="408">
        <f>SUMPRODUCT((Комплекты[Пр]=$F242)*(Комплекты[Обозначение]=$G242)*Комплекты[Кол-во]*(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42" s="307" t="n">
        <v>16</v>
      </c>
      <c r="Z242" s="408" t="n"/>
      <c r="AA242" s="322" t="n"/>
      <c r="AB242" s="408">
        <f>SUMPRODUCT((Комплекты[Пр]=$F242)*(Комплекты[Обозначение]=$G242)*Комплекты[Кол-во]*(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42" s="307" t="n"/>
      <c r="AD242" s="408" t="n"/>
      <c r="AE242" s="322" t="n"/>
      <c r="AF242" s="408">
        <f>SUMPRODUCT((Комплекты[Пр]=$F242)*(Комплекты[Обозначение]=$G242)*Комплекты[Кол-во]*(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42" s="307">
        <f>SUMPRODUCT((Комплекты[Пр]=$F242)*(Комплекты[Обозначение]=$G242)*Комплекты[Кол-во]*(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/>
      </c>
      <c r="AH242" s="408" t="n"/>
      <c r="AI242" s="322" t="n"/>
      <c r="AJ242" s="408">
        <f>SUMPRODUCT((Комплекты[Пр]=$F242)*(Комплекты[Обозначение]=$G242)*Комплекты[Кол-во]*(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42" s="307" t="n">
        <v>0</v>
      </c>
      <c r="AL242" s="408" t="n"/>
      <c r="AM242" s="322" t="n"/>
      <c r="AN242" s="408">
        <f>SUMPRODUCT((Комплекты[Пр]=$F242)*(Комплекты[Обозначение]=$G242)*Комплекты[Кол-во]*(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42" s="307" t="n">
        <v>0</v>
      </c>
      <c r="AP242" s="408" t="n"/>
      <c r="AQ242" s="322" t="n"/>
      <c r="AR242" s="408">
        <f>SUMPRODUCT((Комплекты[Пр]=$F242)*(Комплекты[Обозначение]=$G242)*Комплекты[Кол-во]*(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42" s="307" t="n">
        <v>0</v>
      </c>
      <c r="AT242" s="408" t="n"/>
      <c r="AU242" s="322" t="n"/>
      <c r="AV242" s="408">
        <f>SUMPRODUCT((Комплекты[Пр]=$F242)*(Комплекты[Обозначение]=$G242)*Комплекты[Кол-во]*(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42" s="307" t="n">
        <v>0</v>
      </c>
      <c r="AX242" s="408" t="n"/>
      <c r="AY242" s="322" t="n"/>
      <c r="AZ242" s="408">
        <f>SUMPRODUCT((Комплекты[Пр]=$F242)*(Комплекты[Обозначение]=$G242)*Комплекты[Кол-во]*(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42" s="307" t="n"/>
      <c r="BB242" s="408" t="n"/>
      <c r="BC242" s="322" t="n"/>
      <c r="BD242" s="408">
        <f>SUMPRODUCT((Комплекты[Пр]=$F242)*(Комплекты[Обозначение]=$G242)*Комплекты[Кол-во]*(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42" s="307" t="n"/>
      <c r="BF242" s="408" t="n"/>
      <c r="BG242" s="322" t="n"/>
      <c r="BH242" s="408">
        <f>SUMPRODUCT((Комплекты[Пр]=$F242)*(Комплекты[Обозначение]=$G242)*Комплекты[Кол-во]*(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42" s="307" t="n"/>
      <c r="BJ242" s="408" t="n"/>
      <c r="BK242" s="340" t="n"/>
      <c r="BL242" s="820">
        <f>SUMPRODUCT(--(MOD(COLUMN($O242:$AL242),4)=MOD(COLUMN($O242)+0,4)),$O242:$AL242)
+SUMPRODUCT(--(MOD(COLUMN($AM242:$BJ242),4)=MOD(COLUMN($AM242)+0,4)),$AM242:$BJ242)</f>
        <v/>
      </c>
      <c r="BM242" s="820">
        <f>SUMPRODUCT(--(MOD(COLUMN($O242:$AL242),4)=MOD(COLUMN($O242)+0,4)),$O242:$AL242)*
$I242+SUMPRODUCT(--(MOD(COLUMN($AM242:$BJ242),4)=MOD(COLUMN($AM242)+0,4)),$AM242:$BJ242)*$I242</f>
        <v/>
      </c>
      <c r="BN242" s="822">
        <f>SUMPRODUCT(--(MOD(COLUMN($O242:$AL242),4)=MOD(COLUMN($O242)+1,4)),$O242:$AL242)
+SUMPRODUCT(--(MOD(COLUMN($AM242:$BJ242),4)=MOD(COLUMN($AM242)+1,4)),$AM242:$BJ242)</f>
        <v/>
      </c>
      <c r="BO242" s="823">
        <f>SUMPRODUCT(--(MOD(COLUMN($O242:$AL242),4)=MOD(COLUMN($O242)+1,4)),$O242:$AL242)*
$I242+SUMPRODUCT(--(MOD(COLUMN($AM242:$BJ242),4)=MOD(COLUMN($AM242)+1,4)),$AM242:$BJ242)*$I242</f>
        <v/>
      </c>
      <c r="BP242" s="824">
        <f>SUMPRODUCT(--(MOD(COLUMN($O242:$AL242),4)=MOD(COLUMN($O242)+2,4)),$O242:$AL242)
+SUMPRODUCT(--(MOD(COLUMN($AM242:$BJ242),4)=MOD(COLUMN($AM242)+2,4)),$AM242:$BJ242)</f>
        <v/>
      </c>
      <c r="BQ242" s="825">
        <f>SUMPRODUCT(--(MOD(COLUMN($O242:$AL242),4)=MOD(COLUMN($O242)+2,4)),$O242:$AL242)*
$I242+SUMPRODUCT(--(MOD(COLUMN($AM242:$BJ242),4)=MOD(COLUMN($AM242)+2,4)),$AM242:$BJ242)*$I242</f>
        <v/>
      </c>
      <c r="BR242" s="819" t="n"/>
      <c r="BS242" s="819" t="n"/>
      <c r="BT242" s="322" t="n"/>
      <c r="BU242" s="408" t="n"/>
      <c r="BV242" s="307" t="n"/>
      <c r="BW242" s="408" t="n"/>
      <c r="BX242" s="322" t="n"/>
      <c r="BY242" s="408" t="n"/>
      <c r="BZ242" s="307" t="n"/>
      <c r="CA242" s="408" t="n"/>
      <c r="CB242" s="322" t="n"/>
      <c r="CC242" s="408" t="n"/>
      <c r="CD242" s="307" t="n"/>
      <c r="CE242" s="408" t="n"/>
      <c r="CF242" s="322" t="n"/>
      <c r="CG242" s="408" t="n"/>
      <c r="CH242" s="307" t="n"/>
      <c r="CI242" s="408" t="n"/>
      <c r="CJ242" s="322" t="n"/>
      <c r="CK242" s="408" t="n"/>
      <c r="CL242" s="307" t="n"/>
      <c r="CM242" s="408" t="n"/>
      <c r="CN242" s="322" t="n"/>
      <c r="CO242" s="408" t="n"/>
      <c r="CP242" s="307" t="n"/>
      <c r="CQ242" s="408" t="n"/>
      <c r="CR242" s="322" t="n"/>
      <c r="CS242" s="408" t="n"/>
      <c r="CT242" s="307" t="n"/>
      <c r="CU242" s="408" t="n"/>
      <c r="CV242" s="322" t="n"/>
      <c r="CW242" s="408" t="n"/>
      <c r="CX242" s="307" t="n"/>
      <c r="CY242" s="408" t="n"/>
      <c r="CZ242" s="322" t="n"/>
      <c r="DA242" s="408" t="n"/>
      <c r="DB242" s="307" t="n"/>
      <c r="DC242" s="408" t="n"/>
      <c r="DD242" s="322" t="n"/>
      <c r="DE242" s="408" t="n"/>
      <c r="DF242" s="307" t="n"/>
      <c r="DG242" s="408" t="n"/>
      <c r="DH242" s="322" t="n"/>
      <c r="DI242" s="408" t="n"/>
      <c r="DJ242" s="307" t="n"/>
      <c r="DK242" s="408" t="n"/>
      <c r="DL242" s="322" t="n"/>
      <c r="DM242" s="408" t="n"/>
      <c r="DN242" s="307" t="n"/>
      <c r="DO242" s="408" t="n"/>
      <c r="DP242" s="340" t="n"/>
      <c r="DQ242" s="820" t="n"/>
      <c r="DR242" s="820">
        <f>SUMPRODUCT(--(MOD(COLUMN(BT242:CQ242),4)=MOD(COLUMN(BT242),4)),BT242:CQ242)*$I242+SUMPRODUCT(--(MOD(COLUMN(CR242:DO242),4)=MOD(COLUMN(CR242),4)),CR242:DO242)*$I242</f>
        <v/>
      </c>
      <c r="DS242" s="819" t="n"/>
      <c r="DT242" s="819" t="n"/>
      <c r="DU242" s="322" t="n"/>
      <c r="DV242" s="408" t="n"/>
      <c r="DW242" s="307" t="n"/>
      <c r="DX242" s="408" t="n"/>
      <c r="DY242" s="322" t="n"/>
      <c r="DZ242" s="408" t="n"/>
      <c r="EA242" s="307" t="n"/>
      <c r="EB242" s="408" t="n"/>
      <c r="EC242" s="322" t="n"/>
      <c r="ED242" s="408" t="n"/>
      <c r="EE242" s="307" t="n"/>
      <c r="EF242" s="408" t="n"/>
      <c r="EG242" s="322" t="n"/>
      <c r="EH242" s="408" t="n"/>
      <c r="EI242" s="307" t="n"/>
      <c r="EJ242" s="408" t="n"/>
      <c r="EK242" s="322" t="n"/>
      <c r="EL242" s="408" t="n"/>
      <c r="EM242" s="307" t="n"/>
      <c r="EN242" s="408" t="n"/>
      <c r="EO242" s="322" t="n"/>
      <c r="EP242" s="408" t="n"/>
      <c r="EQ242" s="307" t="n"/>
      <c r="ER242" s="408" t="n"/>
      <c r="ES242" s="322" t="n"/>
      <c r="ET242" s="408" t="n"/>
      <c r="EU242" s="307" t="n"/>
      <c r="EV242" s="408" t="n"/>
      <c r="EW242" s="322" t="n"/>
      <c r="EX242" s="408" t="n"/>
      <c r="EY242" s="307" t="n"/>
      <c r="EZ242" s="408" t="n"/>
      <c r="FA242" s="322" t="n"/>
      <c r="FB242" s="408" t="n"/>
      <c r="FC242" s="307" t="n"/>
      <c r="FD242" s="408" t="n"/>
      <c r="FE242" s="322" t="n"/>
      <c r="FF242" s="408" t="n"/>
      <c r="FG242" s="307" t="n"/>
      <c r="FH242" s="408" t="n"/>
      <c r="FI242" s="322" t="n"/>
      <c r="FJ242" s="408" t="n"/>
      <c r="FK242" s="307" t="n"/>
      <c r="FL242" s="408" t="n"/>
      <c r="FM242" s="322" t="n"/>
      <c r="FN242" s="408" t="n"/>
      <c r="FO242" s="307" t="n"/>
      <c r="FP242" s="408" t="n"/>
      <c r="FQ242" s="340" t="n"/>
      <c r="FR242" s="820" t="n"/>
      <c r="FS242" s="820">
        <f>SUMPRODUCT(--(MOD(COLUMN(DU242:ER242),4)=MOD(COLUMN(DU242),4)),DU242:ER242)*$I242+SUMPRODUCT(--(MOD(COLUMN(ES242:FP242),4)=MOD(COLUMN(ES242),4)),ES242:FP242)*$I242</f>
        <v/>
      </c>
      <c r="FT242" s="361" t="n"/>
    </row>
    <row r="243" outlineLevel="2">
      <c r="A243" s="56" t="inlineStr">
        <is>
          <t>СПЕЦАВТО-ВОСТОК ООО</t>
        </is>
      </c>
      <c r="B243" s="387" t="inlineStr">
        <is>
          <t>Отсрочка 15 дней</t>
        </is>
      </c>
      <c r="C243" s="173" t="inlineStr">
        <is>
          <t>ВБК РУС</t>
        </is>
      </c>
      <c r="D243" s="565" t="inlineStr">
        <is>
          <t>Прасолов, Соловьёв</t>
        </is>
      </c>
      <c r="E243" s="10">
        <f>IF(ISBLANK(G243),"",IF($A$6:$A$330=$A243,COUNTIF($A$6:A243,$A243),""))</f>
        <v/>
      </c>
      <c r="F243" s="669" t="n">
        <v>2</v>
      </c>
      <c r="G243" s="128" t="n">
        <v>4491301500</v>
      </c>
      <c r="H243" s="612" t="inlineStr">
        <is>
          <t>Кабель питания ABS, часть 2, 15 м</t>
        </is>
      </c>
      <c r="I243" s="618" t="n">
        <v>0</v>
      </c>
      <c r="J243" s="618" t="n"/>
      <c r="K243" s="874" t="n"/>
      <c r="L243" s="618">
        <f>IF(K243="RUB",J243/ЮАНЬ,IF(K243="EUR",J243*ЕВРО/ЮАНЬ,""))</f>
        <v/>
      </c>
      <c r="M243" s="873" t="n"/>
      <c r="N243" s="871">
        <f>IF(BP243&gt;0,1,IF(BN243&gt;0,2,))</f>
        <v/>
      </c>
      <c r="O243" s="23" t="n">
        <v>15</v>
      </c>
      <c r="P243" s="24" t="n"/>
      <c r="Q243" s="25" t="n">
        <v>0</v>
      </c>
      <c r="R243" s="24" t="n"/>
      <c r="S243" s="23" t="n">
        <v>15</v>
      </c>
      <c r="T243" s="24">
        <f>SUMPRODUCT((Комплекты[Пр]=$F243)*(Комплекты[Обозначение]=$G243)*Комплекты[Кол-во]*(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43" s="25" t="n">
        <v>5</v>
      </c>
      <c r="V243" s="24" t="n"/>
      <c r="W243" s="23" t="n">
        <v>15</v>
      </c>
      <c r="X243" s="24">
        <f>SUMPRODUCT((Комплекты[Пр]=$F243)*(Комплекты[Обозначение]=$G243)*Комплекты[Кол-во]*(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43" s="25" t="n">
        <v>16</v>
      </c>
      <c r="Z243" s="24" t="n"/>
      <c r="AA243" s="23" t="n">
        <v>15</v>
      </c>
      <c r="AB243" s="24">
        <f>SUMPRODUCT((Комплекты[Пр]=$F243)*(Комплекты[Обозначение]=$G243)*Комплекты[Кол-во]*(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43" s="25" t="n">
        <v>0</v>
      </c>
      <c r="AD243" s="24" t="n"/>
      <c r="AE243" s="23" t="n">
        <v>15</v>
      </c>
      <c r="AF243" s="24">
        <f>SUMPRODUCT((Комплекты[Пр]=$F243)*(Комплекты[Обозначение]=$G243)*Комплекты[Кол-во]*(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43" s="25" t="n">
        <v>0</v>
      </c>
      <c r="AH243" s="24" t="n"/>
      <c r="AI243" s="23" t="n">
        <v>15</v>
      </c>
      <c r="AJ243" s="24">
        <f>SUMPRODUCT((Комплекты[Пр]=$F243)*(Комплекты[Обозначение]=$G243)*Комплекты[Кол-во]*(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43" s="25" t="n">
        <v>0</v>
      </c>
      <c r="AL243" s="24" t="n"/>
      <c r="AM243" s="23" t="n">
        <v>15</v>
      </c>
      <c r="AN243" s="24">
        <f>SUMPRODUCT((Комплекты[Пр]=$F243)*(Комплекты[Обозначение]=$G243)*Комплекты[Кол-во]*(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43" s="25" t="n">
        <v>0</v>
      </c>
      <c r="AP243" s="24" t="n"/>
      <c r="AQ243" s="23" t="n">
        <v>15</v>
      </c>
      <c r="AR243" s="24">
        <f>SUMPRODUCT((Комплекты[Пр]=$F243)*(Комплекты[Обозначение]=$G243)*Комплекты[Кол-во]*(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43" s="25" t="n">
        <v>0</v>
      </c>
      <c r="AT243" s="24" t="n"/>
      <c r="AU243" s="23" t="n">
        <v>15</v>
      </c>
      <c r="AV243" s="24">
        <f>SUMPRODUCT((Комплекты[Пр]=$F243)*(Комплекты[Обозначение]=$G243)*Комплекты[Кол-во]*(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43" s="25" t="n">
        <v>0</v>
      </c>
      <c r="AX243" s="24" t="n"/>
      <c r="AY243" s="23" t="n">
        <v>15</v>
      </c>
      <c r="AZ243" s="24">
        <f>SUMPRODUCT((Комплекты[Пр]=$F243)*(Комплекты[Обозначение]=$G243)*Комплекты[Кол-во]*(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43" s="25" t="n">
        <v>0</v>
      </c>
      <c r="BB243" s="24" t="n"/>
      <c r="BC243" s="23" t="n">
        <v>15</v>
      </c>
      <c r="BD243" s="24">
        <f>SUMPRODUCT((Комплекты[Пр]=$F243)*(Комплекты[Обозначение]=$G243)*Комплекты[Кол-во]*(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43" s="25" t="n">
        <v>0</v>
      </c>
      <c r="BF243" s="24" t="n"/>
      <c r="BG243" s="23" t="n">
        <v>15</v>
      </c>
      <c r="BH243" s="24">
        <f>SUMPRODUCT((Комплекты[Пр]=$F243)*(Комплекты[Обозначение]=$G243)*Комплекты[Кол-во]*(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43" s="25" t="n">
        <v>0</v>
      </c>
      <c r="BJ243" s="24" t="n"/>
      <c r="BK243" s="340" t="n"/>
      <c r="BL243" s="803">
        <f>SUMPRODUCT(--(MOD(COLUMN($O243:$AL243),4)=MOD(COLUMN($O243)+0,4)),$O243:$AL243)
+SUMPRODUCT(--(MOD(COLUMN($AM243:$BJ243),4)=MOD(COLUMN($AM243)+0,4)),$AM243:$BJ243)</f>
        <v/>
      </c>
      <c r="BM243" s="803">
        <f>SUMPRODUCT(--(MOD(COLUMN($O243:$AL243),4)=MOD(COLUMN($O243)+0,4)),$O243:$AL243)*
$I243+SUMPRODUCT(--(MOD(COLUMN($AM243:$BJ243),4)=MOD(COLUMN($AM243)+0,4)),$AM243:$BJ243)*$I243</f>
        <v/>
      </c>
      <c r="BN243" s="805">
        <f>SUMPRODUCT(--(MOD(COLUMN($O243:$AL243),4)=MOD(COLUMN($O243)+1,4)),$O243:$AL243)
+SUMPRODUCT(--(MOD(COLUMN($AM243:$BJ243),4)=MOD(COLUMN($AM243)+1,4)),$AM243:$BJ243)</f>
        <v/>
      </c>
      <c r="BO243" s="806">
        <f>SUMPRODUCT(--(MOD(COLUMN($O243:$AL243),4)=MOD(COLUMN($O243)+1,4)),$O243:$AL243)*
$I243+SUMPRODUCT(--(MOD(COLUMN($AM243:$BJ243),4)=MOD(COLUMN($AM243)+1,4)),$AM243:$BJ243)*$I243</f>
        <v/>
      </c>
      <c r="BP243" s="807">
        <f>SUMPRODUCT(--(MOD(COLUMN($O243:$AL243),4)=MOD(COLUMN($O243)+2,4)),$O243:$AL243)
+SUMPRODUCT(--(MOD(COLUMN($AM243:$BJ243),4)=MOD(COLUMN($AM243)+2,4)),$AM243:$BJ243)</f>
        <v/>
      </c>
      <c r="BQ243" s="808">
        <f>SUMPRODUCT(--(MOD(COLUMN($O243:$AL243),4)=MOD(COLUMN($O243)+2,4)),$O243:$AL243)*
$I243+SUMPRODUCT(--(MOD(COLUMN($AM243:$BJ243),4)=MOD(COLUMN($AM243)+2,4)),$AM243:$BJ243)*$I243</f>
        <v/>
      </c>
      <c r="BR243" s="801" t="n"/>
      <c r="BS243" s="819" t="n"/>
      <c r="BT243" s="23" t="n">
        <v>20</v>
      </c>
      <c r="BU243" s="24" t="n"/>
      <c r="BV243" s="25" t="n">
        <v>0</v>
      </c>
      <c r="BW243" s="24" t="n"/>
      <c r="BX243" s="23" t="n">
        <v>20</v>
      </c>
      <c r="BY243" s="24" t="n"/>
      <c r="BZ243" s="25" t="n">
        <v>0</v>
      </c>
      <c r="CA243" s="24" t="n"/>
      <c r="CB243" s="23" t="n">
        <v>20</v>
      </c>
      <c r="CC243" s="24" t="n"/>
      <c r="CD243" s="25" t="n">
        <v>0</v>
      </c>
      <c r="CE243" s="24" t="n"/>
      <c r="CF243" s="23" t="n">
        <v>20</v>
      </c>
      <c r="CG243" s="24" t="n"/>
      <c r="CH243" s="25" t="n">
        <v>0</v>
      </c>
      <c r="CI243" s="24" t="n"/>
      <c r="CJ243" s="23" t="n">
        <v>20</v>
      </c>
      <c r="CK243" s="24" t="n"/>
      <c r="CL243" s="25" t="n">
        <v>0</v>
      </c>
      <c r="CM243" s="24" t="n"/>
      <c r="CN243" s="23" t="n">
        <v>20</v>
      </c>
      <c r="CO243" s="24" t="n"/>
      <c r="CP243" s="25" t="n">
        <v>0</v>
      </c>
      <c r="CQ243" s="24" t="n"/>
      <c r="CR243" s="23" t="n">
        <v>20</v>
      </c>
      <c r="CS243" s="24" t="n"/>
      <c r="CT243" s="25" t="n">
        <v>0</v>
      </c>
      <c r="CU243" s="24" t="n"/>
      <c r="CV243" s="23" t="n">
        <v>20</v>
      </c>
      <c r="CW243" s="24" t="n"/>
      <c r="CX243" s="25" t="n">
        <v>0</v>
      </c>
      <c r="CY243" s="24" t="n"/>
      <c r="CZ243" s="23" t="n">
        <v>20</v>
      </c>
      <c r="DA243" s="24" t="n"/>
      <c r="DB243" s="25" t="n">
        <v>0</v>
      </c>
      <c r="DC243" s="24" t="n"/>
      <c r="DD243" s="23" t="n">
        <v>20</v>
      </c>
      <c r="DE243" s="24" t="n"/>
      <c r="DF243" s="25" t="n">
        <v>0</v>
      </c>
      <c r="DG243" s="24" t="n"/>
      <c r="DH243" s="23" t="n">
        <v>20</v>
      </c>
      <c r="DI243" s="24" t="n"/>
      <c r="DJ243" s="25" t="n">
        <v>0</v>
      </c>
      <c r="DK243" s="24" t="n"/>
      <c r="DL243" s="23" t="n">
        <v>20</v>
      </c>
      <c r="DM243" s="24" t="n"/>
      <c r="DN243" s="25" t="n">
        <v>0</v>
      </c>
      <c r="DO243" s="24" t="n"/>
      <c r="DP243" s="340" t="n"/>
      <c r="DQ243" s="803">
        <f>SUMPRODUCT(--(MOD(COLUMN(BT243:CQ243),4)=MOD(COLUMN(BT243),4)),BT243:CQ243)+SUMPRODUCT(--(MOD(COLUMN(CR243:DO243),4)=MOD(COLUMN(CR243),4)),CR243:DO243)</f>
        <v/>
      </c>
      <c r="DR243" s="803">
        <f>SUMPRODUCT(--(MOD(COLUMN(BT243:CQ243),4)=MOD(COLUMN(BT243),4)),BT243:CQ243)*$I243+SUMPRODUCT(--(MOD(COLUMN(CR243:DO243),4)=MOD(COLUMN(CR243),4)),CR243:DO243)*$I243</f>
        <v/>
      </c>
      <c r="DS243" s="801" t="n"/>
      <c r="DT243" s="819" t="n"/>
      <c r="DU243" s="23" t="n">
        <v>20</v>
      </c>
      <c r="DV243" s="24" t="n"/>
      <c r="DW243" s="25" t="n">
        <v>0</v>
      </c>
      <c r="DX243" s="24" t="n"/>
      <c r="DY243" s="23" t="n">
        <v>20</v>
      </c>
      <c r="DZ243" s="24" t="n"/>
      <c r="EA243" s="25" t="n">
        <v>0</v>
      </c>
      <c r="EB243" s="24" t="n"/>
      <c r="EC243" s="23" t="n">
        <v>20</v>
      </c>
      <c r="ED243" s="24" t="n"/>
      <c r="EE243" s="25" t="n">
        <v>0</v>
      </c>
      <c r="EF243" s="24" t="n"/>
      <c r="EG243" s="23" t="n">
        <v>20</v>
      </c>
      <c r="EH243" s="24" t="n"/>
      <c r="EI243" s="25" t="n">
        <v>0</v>
      </c>
      <c r="EJ243" s="24" t="n"/>
      <c r="EK243" s="23" t="n">
        <v>20</v>
      </c>
      <c r="EL243" s="24" t="n"/>
      <c r="EM243" s="25" t="n">
        <v>0</v>
      </c>
      <c r="EN243" s="24" t="n"/>
      <c r="EO243" s="23" t="n">
        <v>20</v>
      </c>
      <c r="EP243" s="24" t="n"/>
      <c r="EQ243" s="25" t="n">
        <v>0</v>
      </c>
      <c r="ER243" s="24" t="n"/>
      <c r="ES243" s="23" t="n">
        <v>20</v>
      </c>
      <c r="ET243" s="24" t="n"/>
      <c r="EU243" s="25" t="n">
        <v>0</v>
      </c>
      <c r="EV243" s="24" t="n"/>
      <c r="EW243" s="23" t="n">
        <v>20</v>
      </c>
      <c r="EX243" s="24" t="n"/>
      <c r="EY243" s="25" t="n">
        <v>0</v>
      </c>
      <c r="EZ243" s="24" t="n"/>
      <c r="FA243" s="23" t="n">
        <v>20</v>
      </c>
      <c r="FB243" s="24" t="n"/>
      <c r="FC243" s="25" t="n">
        <v>0</v>
      </c>
      <c r="FD243" s="24" t="n"/>
      <c r="FE243" s="23" t="n">
        <v>20</v>
      </c>
      <c r="FF243" s="24" t="n"/>
      <c r="FG243" s="25" t="n">
        <v>0</v>
      </c>
      <c r="FH243" s="24" t="n"/>
      <c r="FI243" s="23" t="n">
        <v>20</v>
      </c>
      <c r="FJ243" s="24" t="n"/>
      <c r="FK243" s="25" t="n">
        <v>0</v>
      </c>
      <c r="FL243" s="24" t="n"/>
      <c r="FM243" s="23" t="n">
        <v>20</v>
      </c>
      <c r="FN243" s="24" t="n"/>
      <c r="FO243" s="25" t="n">
        <v>0</v>
      </c>
      <c r="FP243" s="24" t="n"/>
      <c r="FQ243" s="340" t="n"/>
      <c r="FR243" s="803">
        <f>SUMPRODUCT(--(MOD(COLUMN(DU243:ER243),4)=MOD(COLUMN(DU243),4)),DU243:ER243)+SUMPRODUCT(--(MOD(COLUMN(ES243:FP243),4)=MOD(COLUMN(ES243),4)),ES243:FP243)</f>
        <v/>
      </c>
      <c r="FS243" s="803">
        <f>SUMPRODUCT(--(MOD(COLUMN(DU243:ER243),4)=MOD(COLUMN(DU243),4)),DU243:ER243)*$I243+SUMPRODUCT(--(MOD(COLUMN(ES243:FP243),4)=MOD(COLUMN(ES243),4)),ES243:FP243)*$I243</f>
        <v/>
      </c>
      <c r="FT243" s="361" t="n"/>
    </row>
    <row r="244" outlineLevel="2">
      <c r="A244" s="56" t="inlineStr">
        <is>
          <t>СПЕЦАВТО-ВОСТОК ООО</t>
        </is>
      </c>
      <c r="B244" s="387" t="inlineStr">
        <is>
          <t>Отсрочка 15 дней</t>
        </is>
      </c>
      <c r="C244" s="173" t="inlineStr">
        <is>
          <t>ВБК РУС</t>
        </is>
      </c>
      <c r="D244" s="565" t="inlineStr">
        <is>
          <t>Прасолов, Соловьёв</t>
        </is>
      </c>
      <c r="E244" s="10">
        <f>IF(ISBLANK(G244),"",IF($A$6:$A$330=$A244,COUNTIF($A$6:A244,$A244),""))</f>
        <v/>
      </c>
      <c r="F244" s="669" t="n">
        <v>2</v>
      </c>
      <c r="G244" s="128" t="n">
        <v>4497490300</v>
      </c>
      <c r="H244" s="612" t="inlineStr">
        <is>
          <t>Кабель-удлинитель датчика ABS, 3 м</t>
        </is>
      </c>
      <c r="I244" s="618" t="n">
        <v>0</v>
      </c>
      <c r="J244" s="618" t="n"/>
      <c r="K244" s="874" t="n"/>
      <c r="L244" s="618">
        <f>IF(K244="RUB",J244/ЮАНЬ,IF(K244="EUR",J244*ЕВРО/ЮАНЬ,""))</f>
        <v/>
      </c>
      <c r="M244" s="873" t="n"/>
      <c r="N244" s="871">
        <f>IF(BP244&gt;0,1,IF(BN244&gt;0,2,))</f>
        <v/>
      </c>
      <c r="O244" s="23" t="n">
        <v>40</v>
      </c>
      <c r="P244" s="24" t="n"/>
      <c r="Q244" s="25" t="n">
        <v>0</v>
      </c>
      <c r="R244" s="24" t="n"/>
      <c r="S244" s="23" t="n">
        <v>40</v>
      </c>
      <c r="T244" s="24">
        <f>SUMPRODUCT((Комплекты[Пр]=$F244)*(Комплекты[Обозначение]=$G244)*Комплекты[Кол-во]*(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44" s="25" t="n">
        <v>10</v>
      </c>
      <c r="V244" s="24" t="n"/>
      <c r="W244" s="23" t="n">
        <v>40</v>
      </c>
      <c r="X244" s="24">
        <f>SUMPRODUCT((Комплекты[Пр]=$F244)*(Комплекты[Обозначение]=$G244)*Комплекты[Кол-во]*(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44" s="25" t="n">
        <v>32</v>
      </c>
      <c r="Z244" s="24" t="n"/>
      <c r="AA244" s="23" t="n">
        <v>40</v>
      </c>
      <c r="AB244" s="24">
        <f>SUMPRODUCT((Комплекты[Пр]=$F244)*(Комплекты[Обозначение]=$G244)*Комплекты[Кол-во]*(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44" s="25" t="n">
        <v>0</v>
      </c>
      <c r="AD244" s="24" t="n"/>
      <c r="AE244" s="23" t="n">
        <v>40</v>
      </c>
      <c r="AF244" s="24">
        <f>SUMPRODUCT((Комплекты[Пр]=$F244)*(Комплекты[Обозначение]=$G244)*Комплекты[Кол-во]*(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44" s="25" t="n">
        <v>0</v>
      </c>
      <c r="AH244" s="24" t="n"/>
      <c r="AI244" s="23" t="n">
        <v>40</v>
      </c>
      <c r="AJ244" s="24">
        <f>SUMPRODUCT((Комплекты[Пр]=$F244)*(Комплекты[Обозначение]=$G244)*Комплекты[Кол-во]*(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44" s="25" t="n">
        <v>0</v>
      </c>
      <c r="AL244" s="24" t="n"/>
      <c r="AM244" s="23" t="n">
        <v>40</v>
      </c>
      <c r="AN244" s="24">
        <f>SUMPRODUCT((Комплекты[Пр]=$F244)*(Комплекты[Обозначение]=$G244)*Комплекты[Кол-во]*(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44" s="25" t="n">
        <v>0</v>
      </c>
      <c r="AP244" s="24" t="n"/>
      <c r="AQ244" s="23" t="n">
        <v>40</v>
      </c>
      <c r="AR244" s="24">
        <f>SUMPRODUCT((Комплекты[Пр]=$F244)*(Комплекты[Обозначение]=$G244)*Комплекты[Кол-во]*(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44" s="25" t="n">
        <v>0</v>
      </c>
      <c r="AT244" s="24" t="n"/>
      <c r="AU244" s="23" t="n">
        <v>40</v>
      </c>
      <c r="AV244" s="24">
        <f>SUMPRODUCT((Комплекты[Пр]=$F244)*(Комплекты[Обозначение]=$G244)*Комплекты[Кол-во]*(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44" s="25" t="n">
        <v>0</v>
      </c>
      <c r="AX244" s="24" t="n"/>
      <c r="AY244" s="23" t="n">
        <v>40</v>
      </c>
      <c r="AZ244" s="24">
        <f>SUMPRODUCT((Комплекты[Пр]=$F244)*(Комплекты[Обозначение]=$G244)*Комплекты[Кол-во]*(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44" s="25" t="n">
        <v>0</v>
      </c>
      <c r="BB244" s="24" t="n"/>
      <c r="BC244" s="23" t="n">
        <v>40</v>
      </c>
      <c r="BD244" s="24">
        <f>SUMPRODUCT((Комплекты[Пр]=$F244)*(Комплекты[Обозначение]=$G244)*Комплекты[Кол-во]*(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44" s="25" t="n">
        <v>0</v>
      </c>
      <c r="BF244" s="24" t="n"/>
      <c r="BG244" s="23" t="n">
        <v>40</v>
      </c>
      <c r="BH244" s="24">
        <f>SUMPRODUCT((Комплекты[Пр]=$F244)*(Комплекты[Обозначение]=$G244)*Комплекты[Кол-во]*(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44" s="25" t="n">
        <v>0</v>
      </c>
      <c r="BJ244" s="24" t="n"/>
      <c r="BK244" s="340" t="n"/>
      <c r="BL244" s="803">
        <f>SUMPRODUCT(--(MOD(COLUMN($O244:$AL244),4)=MOD(COLUMN($O244)+0,4)),$O244:$AL244)
+SUMPRODUCT(--(MOD(COLUMN($AM244:$BJ244),4)=MOD(COLUMN($AM244)+0,4)),$AM244:$BJ244)</f>
        <v/>
      </c>
      <c r="BM244" s="803">
        <f>SUMPRODUCT(--(MOD(COLUMN($O244:$AL244),4)=MOD(COLUMN($O244)+0,4)),$O244:$AL244)*
$I244+SUMPRODUCT(--(MOD(COLUMN($AM244:$BJ244),4)=MOD(COLUMN($AM244)+0,4)),$AM244:$BJ244)*$I244</f>
        <v/>
      </c>
      <c r="BN244" s="805">
        <f>SUMPRODUCT(--(MOD(COLUMN($O244:$AL244),4)=MOD(COLUMN($O244)+1,4)),$O244:$AL244)
+SUMPRODUCT(--(MOD(COLUMN($AM244:$BJ244),4)=MOD(COLUMN($AM244)+1,4)),$AM244:$BJ244)</f>
        <v/>
      </c>
      <c r="BO244" s="806">
        <f>SUMPRODUCT(--(MOD(COLUMN($O244:$AL244),4)=MOD(COLUMN($O244)+1,4)),$O244:$AL244)*
$I244+SUMPRODUCT(--(MOD(COLUMN($AM244:$BJ244),4)=MOD(COLUMN($AM244)+1,4)),$AM244:$BJ244)*$I244</f>
        <v/>
      </c>
      <c r="BP244" s="807">
        <f>SUMPRODUCT(--(MOD(COLUMN($O244:$AL244),4)=MOD(COLUMN($O244)+2,4)),$O244:$AL244)
+SUMPRODUCT(--(MOD(COLUMN($AM244:$BJ244),4)=MOD(COLUMN($AM244)+2,4)),$AM244:$BJ244)</f>
        <v/>
      </c>
      <c r="BQ244" s="808">
        <f>SUMPRODUCT(--(MOD(COLUMN($O244:$AL244),4)=MOD(COLUMN($O244)+2,4)),$O244:$AL244)*
$I244+SUMPRODUCT(--(MOD(COLUMN($AM244:$BJ244),4)=MOD(COLUMN($AM244)+2,4)),$AM244:$BJ244)*$I244</f>
        <v/>
      </c>
      <c r="BR244" s="801" t="n"/>
      <c r="BS244" s="819" t="n"/>
      <c r="BT244" s="23" t="n">
        <v>60</v>
      </c>
      <c r="BU244" s="24" t="n"/>
      <c r="BV244" s="25" t="n">
        <v>0</v>
      </c>
      <c r="BW244" s="24" t="n"/>
      <c r="BX244" s="23" t="n">
        <v>60</v>
      </c>
      <c r="BY244" s="24" t="n"/>
      <c r="BZ244" s="25" t="n">
        <v>0</v>
      </c>
      <c r="CA244" s="24" t="n"/>
      <c r="CB244" s="23" t="n">
        <v>60</v>
      </c>
      <c r="CC244" s="24" t="n"/>
      <c r="CD244" s="25" t="n">
        <v>0</v>
      </c>
      <c r="CE244" s="24" t="n"/>
      <c r="CF244" s="23" t="n">
        <v>60</v>
      </c>
      <c r="CG244" s="24" t="n"/>
      <c r="CH244" s="25" t="n">
        <v>0</v>
      </c>
      <c r="CI244" s="24" t="n"/>
      <c r="CJ244" s="23" t="n">
        <v>60</v>
      </c>
      <c r="CK244" s="24" t="n"/>
      <c r="CL244" s="25" t="n">
        <v>0</v>
      </c>
      <c r="CM244" s="24" t="n"/>
      <c r="CN244" s="23" t="n">
        <v>60</v>
      </c>
      <c r="CO244" s="24" t="n"/>
      <c r="CP244" s="25" t="n">
        <v>0</v>
      </c>
      <c r="CQ244" s="24" t="n"/>
      <c r="CR244" s="23" t="n">
        <v>60</v>
      </c>
      <c r="CS244" s="24" t="n"/>
      <c r="CT244" s="25" t="n">
        <v>0</v>
      </c>
      <c r="CU244" s="24" t="n"/>
      <c r="CV244" s="23" t="n">
        <v>60</v>
      </c>
      <c r="CW244" s="24" t="n"/>
      <c r="CX244" s="25" t="n">
        <v>0</v>
      </c>
      <c r="CY244" s="24" t="n"/>
      <c r="CZ244" s="23" t="n">
        <v>60</v>
      </c>
      <c r="DA244" s="24" t="n"/>
      <c r="DB244" s="25" t="n">
        <v>0</v>
      </c>
      <c r="DC244" s="24" t="n"/>
      <c r="DD244" s="23" t="n">
        <v>60</v>
      </c>
      <c r="DE244" s="24" t="n"/>
      <c r="DF244" s="25" t="n">
        <v>0</v>
      </c>
      <c r="DG244" s="24" t="n"/>
      <c r="DH244" s="23" t="n">
        <v>60</v>
      </c>
      <c r="DI244" s="24" t="n"/>
      <c r="DJ244" s="25" t="n">
        <v>0</v>
      </c>
      <c r="DK244" s="24" t="n"/>
      <c r="DL244" s="23" t="n">
        <v>60</v>
      </c>
      <c r="DM244" s="24" t="n"/>
      <c r="DN244" s="25" t="n">
        <v>0</v>
      </c>
      <c r="DO244" s="24" t="n"/>
      <c r="DP244" s="340" t="n"/>
      <c r="DQ244" s="803">
        <f>SUMPRODUCT(--(MOD(COLUMN(BT244:CQ244),4)=MOD(COLUMN(BT244),4)),BT244:CQ244)+SUMPRODUCT(--(MOD(COLUMN(CR244:DO244),4)=MOD(COLUMN(CR244),4)),CR244:DO244)</f>
        <v/>
      </c>
      <c r="DR244" s="803">
        <f>SUMPRODUCT(--(MOD(COLUMN(BT244:CQ244),4)=MOD(COLUMN(BT244),4)),BT244:CQ244)*$I244+SUMPRODUCT(--(MOD(COLUMN(CR244:DO244),4)=MOD(COLUMN(CR244),4)),CR244:DO244)*$I244</f>
        <v/>
      </c>
      <c r="DS244" s="801" t="n"/>
      <c r="DT244" s="819" t="n"/>
      <c r="DU244" s="23" t="n">
        <v>60</v>
      </c>
      <c r="DV244" s="24" t="n"/>
      <c r="DW244" s="25" t="n">
        <v>0</v>
      </c>
      <c r="DX244" s="24" t="n"/>
      <c r="DY244" s="23" t="n">
        <v>60</v>
      </c>
      <c r="DZ244" s="24" t="n"/>
      <c r="EA244" s="25" t="n">
        <v>0</v>
      </c>
      <c r="EB244" s="24" t="n"/>
      <c r="EC244" s="23" t="n">
        <v>60</v>
      </c>
      <c r="ED244" s="24" t="n"/>
      <c r="EE244" s="25" t="n">
        <v>0</v>
      </c>
      <c r="EF244" s="24" t="n"/>
      <c r="EG244" s="23" t="n">
        <v>60</v>
      </c>
      <c r="EH244" s="24" t="n"/>
      <c r="EI244" s="25" t="n">
        <v>0</v>
      </c>
      <c r="EJ244" s="24" t="n"/>
      <c r="EK244" s="23" t="n">
        <v>60</v>
      </c>
      <c r="EL244" s="24" t="n"/>
      <c r="EM244" s="25" t="n">
        <v>0</v>
      </c>
      <c r="EN244" s="24" t="n"/>
      <c r="EO244" s="23" t="n">
        <v>60</v>
      </c>
      <c r="EP244" s="24" t="n"/>
      <c r="EQ244" s="25" t="n">
        <v>0</v>
      </c>
      <c r="ER244" s="24" t="n"/>
      <c r="ES244" s="23" t="n">
        <v>60</v>
      </c>
      <c r="ET244" s="24" t="n"/>
      <c r="EU244" s="25" t="n">
        <v>0</v>
      </c>
      <c r="EV244" s="24" t="n"/>
      <c r="EW244" s="23" t="n">
        <v>60</v>
      </c>
      <c r="EX244" s="24" t="n"/>
      <c r="EY244" s="25" t="n">
        <v>0</v>
      </c>
      <c r="EZ244" s="24" t="n"/>
      <c r="FA244" s="23" t="n">
        <v>60</v>
      </c>
      <c r="FB244" s="24" t="n"/>
      <c r="FC244" s="25" t="n">
        <v>0</v>
      </c>
      <c r="FD244" s="24" t="n"/>
      <c r="FE244" s="23" t="n">
        <v>60</v>
      </c>
      <c r="FF244" s="24" t="n"/>
      <c r="FG244" s="25" t="n">
        <v>0</v>
      </c>
      <c r="FH244" s="24" t="n"/>
      <c r="FI244" s="23" t="n">
        <v>60</v>
      </c>
      <c r="FJ244" s="24" t="n"/>
      <c r="FK244" s="25" t="n">
        <v>0</v>
      </c>
      <c r="FL244" s="24" t="n"/>
      <c r="FM244" s="23" t="n">
        <v>60</v>
      </c>
      <c r="FN244" s="24" t="n"/>
      <c r="FO244" s="25" t="n">
        <v>0</v>
      </c>
      <c r="FP244" s="24" t="n"/>
      <c r="FQ244" s="340" t="n"/>
      <c r="FR244" s="803">
        <f>SUMPRODUCT(--(MOD(COLUMN(DU244:ER244),4)=MOD(COLUMN(DU244),4)),DU244:ER244)+SUMPRODUCT(--(MOD(COLUMN(ES244:FP244),4)=MOD(COLUMN(ES244),4)),ES244:FP244)</f>
        <v/>
      </c>
      <c r="FS244" s="803">
        <f>SUMPRODUCT(--(MOD(COLUMN(DU244:ER244),4)=MOD(COLUMN(DU244),4)),DU244:ER244)*$I244+SUMPRODUCT(--(MOD(COLUMN(ES244:FP244),4)=MOD(COLUMN(ES244),4)),ES244:FP244)*$I244</f>
        <v/>
      </c>
      <c r="FT244" s="361" t="n"/>
    </row>
    <row r="245" outlineLevel="2">
      <c r="A245" s="56" t="inlineStr">
        <is>
          <t>СПЕЦАВТО-ВОСТОК ООО</t>
        </is>
      </c>
      <c r="B245" s="387" t="inlineStr">
        <is>
          <t>Отсрочка 15 дней</t>
        </is>
      </c>
      <c r="C245" s="173" t="inlineStr">
        <is>
          <t>ВБК РУС</t>
        </is>
      </c>
      <c r="D245" s="565" t="inlineStr">
        <is>
          <t>Прасолов, Соловьёв</t>
        </is>
      </c>
      <c r="E245" s="10">
        <f>IF(ISBLANK(G245),"",IF($A$6:$A$330=$A245,COUNTIF($A$6:A245,$A245),""))</f>
        <v/>
      </c>
      <c r="F245" s="669" t="n">
        <v>2</v>
      </c>
      <c r="G245" s="128" t="n">
        <v>9522010010</v>
      </c>
      <c r="H245" s="612" t="inlineStr">
        <is>
          <t>Головка соединительная (управляющая)</t>
        </is>
      </c>
      <c r="I245" s="618" t="n">
        <v>0</v>
      </c>
      <c r="J245" s="618" t="n"/>
      <c r="K245" s="874" t="n"/>
      <c r="L245" s="618">
        <f>IF(K245="RUB",J245/ЮАНЬ,IF(K245="EUR",J245*ЕВРО/ЮАНЬ,""))</f>
        <v/>
      </c>
      <c r="M245" s="873" t="n"/>
      <c r="N245" s="871">
        <f>IF(BP245&gt;0,1,IF(BN245&gt;0,2,))</f>
        <v/>
      </c>
      <c r="O245" s="23" t="n">
        <v>15</v>
      </c>
      <c r="P245" s="24" t="n"/>
      <c r="Q245" s="25" t="n">
        <v>0</v>
      </c>
      <c r="R245" s="24" t="n"/>
      <c r="S245" s="23" t="n">
        <v>15</v>
      </c>
      <c r="T245" s="24">
        <f>SUMPRODUCT((Комплекты[Пр]=$F245)*(Комплекты[Обозначение]=$G245)*Комплекты[Кол-во]*(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45" s="25" t="n">
        <v>5</v>
      </c>
      <c r="V245" s="24" t="n"/>
      <c r="W245" s="23" t="n">
        <v>15</v>
      </c>
      <c r="X245" s="24">
        <f>SUMPRODUCT((Комплекты[Пр]=$F245)*(Комплекты[Обозначение]=$G245)*Комплекты[Кол-во]*(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45" s="25" t="n">
        <v>16</v>
      </c>
      <c r="Z245" s="24" t="n"/>
      <c r="AA245" s="23" t="n">
        <v>15</v>
      </c>
      <c r="AB245" s="24">
        <f>SUMPRODUCT((Комплекты[Пр]=$F245)*(Комплекты[Обозначение]=$G245)*Комплекты[Кол-во]*(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45" s="25" t="n">
        <v>0</v>
      </c>
      <c r="AD245" s="24" t="n"/>
      <c r="AE245" s="23" t="n">
        <v>15</v>
      </c>
      <c r="AF245" s="24">
        <f>SUMPRODUCT((Комплекты[Пр]=$F245)*(Комплекты[Обозначение]=$G245)*Комплекты[Кол-во]*(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45" s="25" t="n">
        <v>20</v>
      </c>
      <c r="AH245" s="24" t="n"/>
      <c r="AI245" s="23" t="n">
        <v>15</v>
      </c>
      <c r="AJ245" s="24">
        <f>SUMPRODUCT((Комплекты[Пр]=$F245)*(Комплекты[Обозначение]=$G245)*Комплекты[Кол-во]*(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45" s="25" t="n">
        <v>0</v>
      </c>
      <c r="AL245" s="24" t="n"/>
      <c r="AM245" s="23" t="n">
        <v>15</v>
      </c>
      <c r="AN245" s="24">
        <f>SUMPRODUCT((Комплекты[Пр]=$F245)*(Комплекты[Обозначение]=$G245)*Комплекты[Кол-во]*(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45" s="25" t="n">
        <v>0</v>
      </c>
      <c r="AP245" s="24" t="n"/>
      <c r="AQ245" s="23" t="n">
        <v>15</v>
      </c>
      <c r="AR245" s="24">
        <f>SUMPRODUCT((Комплекты[Пр]=$F245)*(Комплекты[Обозначение]=$G245)*Комплекты[Кол-во]*(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45" s="25" t="n">
        <v>0</v>
      </c>
      <c r="AT245" s="24" t="n"/>
      <c r="AU245" s="23" t="n">
        <v>15</v>
      </c>
      <c r="AV245" s="24">
        <f>SUMPRODUCT((Комплекты[Пр]=$F245)*(Комплекты[Обозначение]=$G245)*Комплекты[Кол-во]*(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45" s="25" t="n">
        <v>0</v>
      </c>
      <c r="AX245" s="24" t="n"/>
      <c r="AY245" s="23" t="n">
        <v>15</v>
      </c>
      <c r="AZ245" s="24">
        <f>SUMPRODUCT((Комплекты[Пр]=$F245)*(Комплекты[Обозначение]=$G245)*Комплекты[Кол-во]*(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45" s="25" t="n">
        <v>0</v>
      </c>
      <c r="BB245" s="24" t="n"/>
      <c r="BC245" s="23" t="n">
        <v>15</v>
      </c>
      <c r="BD245" s="24">
        <f>SUMPRODUCT((Комплекты[Пр]=$F245)*(Комплекты[Обозначение]=$G245)*Комплекты[Кол-во]*(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45" s="25" t="n">
        <v>0</v>
      </c>
      <c r="BF245" s="24" t="n"/>
      <c r="BG245" s="23" t="n">
        <v>15</v>
      </c>
      <c r="BH245" s="24">
        <f>SUMPRODUCT((Комплекты[Пр]=$F245)*(Комплекты[Обозначение]=$G245)*Комплекты[Кол-во]*(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45" s="25" t="n">
        <v>0</v>
      </c>
      <c r="BJ245" s="24" t="n"/>
      <c r="BK245" s="340" t="n"/>
      <c r="BL245" s="803">
        <f>SUMPRODUCT(--(MOD(COLUMN($O245:$AL245),4)=MOD(COLUMN($O245)+0,4)),$O245:$AL245)
+SUMPRODUCT(--(MOD(COLUMN($AM245:$BJ245),4)=MOD(COLUMN($AM245)+0,4)),$AM245:$BJ245)</f>
        <v/>
      </c>
      <c r="BM245" s="803">
        <f>SUMPRODUCT(--(MOD(COLUMN($O245:$AL245),4)=MOD(COLUMN($O245)+0,4)),$O245:$AL245)*
$I245+SUMPRODUCT(--(MOD(COLUMN($AM245:$BJ245),4)=MOD(COLUMN($AM245)+0,4)),$AM245:$BJ245)*$I245</f>
        <v/>
      </c>
      <c r="BN245" s="805">
        <f>SUMPRODUCT(--(MOD(COLUMN($O245:$AL245),4)=MOD(COLUMN($O245)+1,4)),$O245:$AL245)
+SUMPRODUCT(--(MOD(COLUMN($AM245:$BJ245),4)=MOD(COLUMN($AM245)+1,4)),$AM245:$BJ245)</f>
        <v/>
      </c>
      <c r="BO245" s="806">
        <f>SUMPRODUCT(--(MOD(COLUMN($O245:$AL245),4)=MOD(COLUMN($O245)+1,4)),$O245:$AL245)*
$I245+SUMPRODUCT(--(MOD(COLUMN($AM245:$BJ245),4)=MOD(COLUMN($AM245)+1,4)),$AM245:$BJ245)*$I245</f>
        <v/>
      </c>
      <c r="BP245" s="807">
        <f>SUMPRODUCT(--(MOD(COLUMN($O245:$AL245),4)=MOD(COLUMN($O245)+2,4)),$O245:$AL245)
+SUMPRODUCT(--(MOD(COLUMN($AM245:$BJ245),4)=MOD(COLUMN($AM245)+2,4)),$AM245:$BJ245)</f>
        <v/>
      </c>
      <c r="BQ245" s="808">
        <f>SUMPRODUCT(--(MOD(COLUMN($O245:$AL245),4)=MOD(COLUMN($O245)+2,4)),$O245:$AL245)*
$I245+SUMPRODUCT(--(MOD(COLUMN($AM245:$BJ245),4)=MOD(COLUMN($AM245)+2,4)),$AM245:$BJ245)*$I245</f>
        <v/>
      </c>
      <c r="BR245" s="801" t="n"/>
      <c r="BS245" s="819" t="n"/>
      <c r="BT245" s="23" t="n">
        <v>20</v>
      </c>
      <c r="BU245" s="24" t="n"/>
      <c r="BV245" s="25" t="n">
        <v>0</v>
      </c>
      <c r="BW245" s="24" t="n"/>
      <c r="BX245" s="23" t="n">
        <v>20</v>
      </c>
      <c r="BY245" s="24" t="n"/>
      <c r="BZ245" s="25" t="n">
        <v>0</v>
      </c>
      <c r="CA245" s="24" t="n"/>
      <c r="CB245" s="23" t="n">
        <v>20</v>
      </c>
      <c r="CC245" s="24" t="n"/>
      <c r="CD245" s="25" t="n">
        <v>0</v>
      </c>
      <c r="CE245" s="24" t="n"/>
      <c r="CF245" s="23" t="n">
        <v>20</v>
      </c>
      <c r="CG245" s="24" t="n"/>
      <c r="CH245" s="25" t="n">
        <v>0</v>
      </c>
      <c r="CI245" s="24" t="n"/>
      <c r="CJ245" s="23" t="n">
        <v>20</v>
      </c>
      <c r="CK245" s="24" t="n"/>
      <c r="CL245" s="25" t="n">
        <v>0</v>
      </c>
      <c r="CM245" s="24" t="n"/>
      <c r="CN245" s="23" t="n">
        <v>20</v>
      </c>
      <c r="CO245" s="24" t="n"/>
      <c r="CP245" s="25" t="n">
        <v>0</v>
      </c>
      <c r="CQ245" s="24" t="n"/>
      <c r="CR245" s="23" t="n">
        <v>20</v>
      </c>
      <c r="CS245" s="24" t="n"/>
      <c r="CT245" s="25" t="n">
        <v>0</v>
      </c>
      <c r="CU245" s="24" t="n"/>
      <c r="CV245" s="23" t="n">
        <v>20</v>
      </c>
      <c r="CW245" s="24" t="n"/>
      <c r="CX245" s="25" t="n">
        <v>0</v>
      </c>
      <c r="CY245" s="24" t="n"/>
      <c r="CZ245" s="23" t="n">
        <v>20</v>
      </c>
      <c r="DA245" s="24" t="n"/>
      <c r="DB245" s="25" t="n">
        <v>0</v>
      </c>
      <c r="DC245" s="24" t="n"/>
      <c r="DD245" s="23" t="n">
        <v>20</v>
      </c>
      <c r="DE245" s="24" t="n"/>
      <c r="DF245" s="25" t="n">
        <v>0</v>
      </c>
      <c r="DG245" s="24" t="n"/>
      <c r="DH245" s="23" t="n">
        <v>20</v>
      </c>
      <c r="DI245" s="24" t="n"/>
      <c r="DJ245" s="25" t="n">
        <v>0</v>
      </c>
      <c r="DK245" s="24" t="n"/>
      <c r="DL245" s="23" t="n">
        <v>20</v>
      </c>
      <c r="DM245" s="24" t="n"/>
      <c r="DN245" s="25" t="n">
        <v>0</v>
      </c>
      <c r="DO245" s="24" t="n"/>
      <c r="DP245" s="340" t="n"/>
      <c r="DQ245" s="803">
        <f>SUMPRODUCT(--(MOD(COLUMN(BT245:CQ245),4)=MOD(COLUMN(BT245),4)),BT245:CQ245)+SUMPRODUCT(--(MOD(COLUMN(CR245:DO245),4)=MOD(COLUMN(CR245),4)),CR245:DO245)</f>
        <v/>
      </c>
      <c r="DR245" s="803">
        <f>SUMPRODUCT(--(MOD(COLUMN(BT245:CQ245),4)=MOD(COLUMN(BT245),4)),BT245:CQ245)*$I245+SUMPRODUCT(--(MOD(COLUMN(CR245:DO245),4)=MOD(COLUMN(CR245),4)),CR245:DO245)*$I245</f>
        <v/>
      </c>
      <c r="DS245" s="801" t="n"/>
      <c r="DT245" s="819" t="n"/>
      <c r="DU245" s="23" t="n">
        <v>20</v>
      </c>
      <c r="DV245" s="24" t="n"/>
      <c r="DW245" s="25" t="n">
        <v>0</v>
      </c>
      <c r="DX245" s="24" t="n"/>
      <c r="DY245" s="23" t="n">
        <v>20</v>
      </c>
      <c r="DZ245" s="24" t="n"/>
      <c r="EA245" s="25" t="n">
        <v>0</v>
      </c>
      <c r="EB245" s="24" t="n"/>
      <c r="EC245" s="23" t="n">
        <v>20</v>
      </c>
      <c r="ED245" s="24" t="n"/>
      <c r="EE245" s="25" t="n">
        <v>0</v>
      </c>
      <c r="EF245" s="24" t="n"/>
      <c r="EG245" s="23" t="n">
        <v>20</v>
      </c>
      <c r="EH245" s="24" t="n"/>
      <c r="EI245" s="25" t="n">
        <v>0</v>
      </c>
      <c r="EJ245" s="24" t="n"/>
      <c r="EK245" s="23" t="n">
        <v>20</v>
      </c>
      <c r="EL245" s="24" t="n"/>
      <c r="EM245" s="25" t="n">
        <v>0</v>
      </c>
      <c r="EN245" s="24" t="n"/>
      <c r="EO245" s="23" t="n">
        <v>20</v>
      </c>
      <c r="EP245" s="24" t="n"/>
      <c r="EQ245" s="25" t="n">
        <v>0</v>
      </c>
      <c r="ER245" s="24" t="n"/>
      <c r="ES245" s="23" t="n">
        <v>20</v>
      </c>
      <c r="ET245" s="24" t="n"/>
      <c r="EU245" s="25" t="n">
        <v>0</v>
      </c>
      <c r="EV245" s="24" t="n"/>
      <c r="EW245" s="23" t="n">
        <v>20</v>
      </c>
      <c r="EX245" s="24" t="n"/>
      <c r="EY245" s="25" t="n">
        <v>0</v>
      </c>
      <c r="EZ245" s="24" t="n"/>
      <c r="FA245" s="23" t="n">
        <v>20</v>
      </c>
      <c r="FB245" s="24" t="n"/>
      <c r="FC245" s="25" t="n">
        <v>0</v>
      </c>
      <c r="FD245" s="24" t="n"/>
      <c r="FE245" s="23" t="n">
        <v>20</v>
      </c>
      <c r="FF245" s="24" t="n"/>
      <c r="FG245" s="25" t="n">
        <v>0</v>
      </c>
      <c r="FH245" s="24" t="n"/>
      <c r="FI245" s="23" t="n">
        <v>20</v>
      </c>
      <c r="FJ245" s="24" t="n"/>
      <c r="FK245" s="25" t="n">
        <v>0</v>
      </c>
      <c r="FL245" s="24" t="n"/>
      <c r="FM245" s="23" t="n">
        <v>20</v>
      </c>
      <c r="FN245" s="24" t="n"/>
      <c r="FO245" s="25" t="n">
        <v>0</v>
      </c>
      <c r="FP245" s="24" t="n"/>
      <c r="FQ245" s="340" t="n"/>
      <c r="FR245" s="803">
        <f>SUMPRODUCT(--(MOD(COLUMN(DU245:ER245),4)=MOD(COLUMN(DU245),4)),DU245:ER245)+SUMPRODUCT(--(MOD(COLUMN(ES245:FP245),4)=MOD(COLUMN(ES245),4)),ES245:FP245)</f>
        <v/>
      </c>
      <c r="FS245" s="803">
        <f>SUMPRODUCT(--(MOD(COLUMN(DU245:ER245),4)=MOD(COLUMN(DU245),4)),DU245:ER245)*$I245+SUMPRODUCT(--(MOD(COLUMN(ES245:FP245),4)=MOD(COLUMN(ES245),4)),ES245:FP245)*$I245</f>
        <v/>
      </c>
      <c r="FT245" s="361" t="n"/>
    </row>
    <row r="246" outlineLevel="2">
      <c r="A246" s="56" t="inlineStr">
        <is>
          <t>СПЕЦАВТО-ВОСТОК ООО</t>
        </is>
      </c>
      <c r="B246" s="387" t="inlineStr">
        <is>
          <t>Отсрочка 15 дней</t>
        </is>
      </c>
      <c r="C246" s="173" t="inlineStr">
        <is>
          <t>ВБК РУС</t>
        </is>
      </c>
      <c r="D246" s="565" t="inlineStr">
        <is>
          <t>Прасолов, Соловьёв</t>
        </is>
      </c>
      <c r="E246" s="10">
        <f>IF(ISBLANK(G246),"",IF($A$6:$A$330=$A246,COUNTIF($A$6:A246,$A246),""))</f>
        <v/>
      </c>
      <c r="F246" s="669" t="n">
        <v>2</v>
      </c>
      <c r="G246" s="128" t="n">
        <v>9522010020</v>
      </c>
      <c r="H246" s="612" t="inlineStr">
        <is>
          <t>Головка соединительная (питающая)</t>
        </is>
      </c>
      <c r="I246" s="618" t="n">
        <v>0</v>
      </c>
      <c r="J246" s="618" t="n"/>
      <c r="K246" s="874" t="n"/>
      <c r="L246" s="618">
        <f>IF(K246="RUB",J246/ЮАНЬ,IF(K246="EUR",J246*ЕВРО/ЮАНЬ,""))</f>
        <v/>
      </c>
      <c r="M246" s="873" t="n"/>
      <c r="N246" s="871">
        <f>IF(BP246&gt;0,1,IF(BN246&gt;0,2,))</f>
        <v/>
      </c>
      <c r="O246" s="23" t="n">
        <v>15</v>
      </c>
      <c r="P246" s="24" t="n"/>
      <c r="Q246" s="25" t="n">
        <v>0</v>
      </c>
      <c r="R246" s="24" t="n"/>
      <c r="S246" s="23" t="n">
        <v>15</v>
      </c>
      <c r="T246" s="24">
        <f>SUMPRODUCT((Комплекты[Пр]=$F246)*(Комплекты[Обозначение]=$G246)*Комплекты[Кол-во]*(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46" s="25" t="n">
        <v>5</v>
      </c>
      <c r="V246" s="24" t="n"/>
      <c r="W246" s="23" t="n">
        <v>15</v>
      </c>
      <c r="X246" s="24">
        <f>SUMPRODUCT((Комплекты[Пр]=$F246)*(Комплекты[Обозначение]=$G246)*Комплекты[Кол-во]*(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46" s="25" t="n">
        <v>16</v>
      </c>
      <c r="Z246" s="24" t="n"/>
      <c r="AA246" s="23" t="n">
        <v>15</v>
      </c>
      <c r="AB246" s="24">
        <f>SUMPRODUCT((Комплекты[Пр]=$F246)*(Комплекты[Обозначение]=$G246)*Комплекты[Кол-во]*(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46" s="25" t="n">
        <v>0</v>
      </c>
      <c r="AD246" s="24" t="n"/>
      <c r="AE246" s="23" t="n">
        <v>15</v>
      </c>
      <c r="AF246" s="24">
        <f>SUMPRODUCT((Комплекты[Пр]=$F246)*(Комплекты[Обозначение]=$G246)*Комплекты[Кол-во]*(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46" s="25" t="n">
        <v>20</v>
      </c>
      <c r="AH246" s="24" t="n"/>
      <c r="AI246" s="23" t="n">
        <v>15</v>
      </c>
      <c r="AJ246" s="24">
        <f>SUMPRODUCT((Комплекты[Пр]=$F246)*(Комплекты[Обозначение]=$G246)*Комплекты[Кол-во]*(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46" s="25" t="n">
        <v>0</v>
      </c>
      <c r="AL246" s="24" t="n"/>
      <c r="AM246" s="23" t="n">
        <v>15</v>
      </c>
      <c r="AN246" s="24">
        <f>SUMPRODUCT((Комплекты[Пр]=$F246)*(Комплекты[Обозначение]=$G246)*Комплекты[Кол-во]*(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46" s="25" t="n">
        <v>0</v>
      </c>
      <c r="AP246" s="24" t="n"/>
      <c r="AQ246" s="23" t="n">
        <v>15</v>
      </c>
      <c r="AR246" s="24">
        <f>SUMPRODUCT((Комплекты[Пр]=$F246)*(Комплекты[Обозначение]=$G246)*Комплекты[Кол-во]*(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46" s="25" t="n">
        <v>0</v>
      </c>
      <c r="AT246" s="24" t="n"/>
      <c r="AU246" s="23" t="n">
        <v>15</v>
      </c>
      <c r="AV246" s="24">
        <f>SUMPRODUCT((Комплекты[Пр]=$F246)*(Комплекты[Обозначение]=$G246)*Комплекты[Кол-во]*(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46" s="25" t="n">
        <v>0</v>
      </c>
      <c r="AX246" s="24" t="n"/>
      <c r="AY246" s="23" t="n">
        <v>15</v>
      </c>
      <c r="AZ246" s="24">
        <f>SUMPRODUCT((Комплекты[Пр]=$F246)*(Комплекты[Обозначение]=$G246)*Комплекты[Кол-во]*(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46" s="25" t="n">
        <v>0</v>
      </c>
      <c r="BB246" s="24" t="n"/>
      <c r="BC246" s="23" t="n">
        <v>15</v>
      </c>
      <c r="BD246" s="24">
        <f>SUMPRODUCT((Комплекты[Пр]=$F246)*(Комплекты[Обозначение]=$G246)*Комплекты[Кол-во]*(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46" s="25" t="n">
        <v>0</v>
      </c>
      <c r="BF246" s="24" t="n"/>
      <c r="BG246" s="23" t="n">
        <v>15</v>
      </c>
      <c r="BH246" s="24">
        <f>SUMPRODUCT((Комплекты[Пр]=$F246)*(Комплекты[Обозначение]=$G246)*Комплекты[Кол-во]*(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46" s="25" t="n">
        <v>0</v>
      </c>
      <c r="BJ246" s="24" t="n"/>
      <c r="BK246" s="340" t="n"/>
      <c r="BL246" s="803">
        <f>SUMPRODUCT(--(MOD(COLUMN($O246:$AL246),4)=MOD(COLUMN($O246)+0,4)),$O246:$AL246)
+SUMPRODUCT(--(MOD(COLUMN($AM246:$BJ246),4)=MOD(COLUMN($AM246)+0,4)),$AM246:$BJ246)</f>
        <v/>
      </c>
      <c r="BM246" s="803">
        <f>SUMPRODUCT(--(MOD(COLUMN($O246:$AL246),4)=MOD(COLUMN($O246)+0,4)),$O246:$AL246)*
$I246+SUMPRODUCT(--(MOD(COLUMN($AM246:$BJ246),4)=MOD(COLUMN($AM246)+0,4)),$AM246:$BJ246)*$I246</f>
        <v/>
      </c>
      <c r="BN246" s="805">
        <f>SUMPRODUCT(--(MOD(COLUMN($O246:$AL246),4)=MOD(COLUMN($O246)+1,4)),$O246:$AL246)
+SUMPRODUCT(--(MOD(COLUMN($AM246:$BJ246),4)=MOD(COLUMN($AM246)+1,4)),$AM246:$BJ246)</f>
        <v/>
      </c>
      <c r="BO246" s="806">
        <f>SUMPRODUCT(--(MOD(COLUMN($O246:$AL246),4)=MOD(COLUMN($O246)+1,4)),$O246:$AL246)*
$I246+SUMPRODUCT(--(MOD(COLUMN($AM246:$BJ246),4)=MOD(COLUMN($AM246)+1,4)),$AM246:$BJ246)*$I246</f>
        <v/>
      </c>
      <c r="BP246" s="807">
        <f>SUMPRODUCT(--(MOD(COLUMN($O246:$AL246),4)=MOD(COLUMN($O246)+2,4)),$O246:$AL246)
+SUMPRODUCT(--(MOD(COLUMN($AM246:$BJ246),4)=MOD(COLUMN($AM246)+2,4)),$AM246:$BJ246)</f>
        <v/>
      </c>
      <c r="BQ246" s="808">
        <f>SUMPRODUCT(--(MOD(COLUMN($O246:$AL246),4)=MOD(COLUMN($O246)+2,4)),$O246:$AL246)*
$I246+SUMPRODUCT(--(MOD(COLUMN($AM246:$BJ246),4)=MOD(COLUMN($AM246)+2,4)),$AM246:$BJ246)*$I246</f>
        <v/>
      </c>
      <c r="BR246" s="801" t="n"/>
      <c r="BS246" s="819" t="n"/>
      <c r="BT246" s="23" t="n">
        <v>20</v>
      </c>
      <c r="BU246" s="24" t="n"/>
      <c r="BV246" s="25" t="n">
        <v>0</v>
      </c>
      <c r="BW246" s="24" t="n"/>
      <c r="BX246" s="23" t="n">
        <v>20</v>
      </c>
      <c r="BY246" s="24" t="n"/>
      <c r="BZ246" s="25" t="n">
        <v>0</v>
      </c>
      <c r="CA246" s="24" t="n"/>
      <c r="CB246" s="23" t="n">
        <v>20</v>
      </c>
      <c r="CC246" s="24" t="n"/>
      <c r="CD246" s="25" t="n">
        <v>0</v>
      </c>
      <c r="CE246" s="24" t="n"/>
      <c r="CF246" s="23" t="n">
        <v>20</v>
      </c>
      <c r="CG246" s="24" t="n"/>
      <c r="CH246" s="25" t="n">
        <v>0</v>
      </c>
      <c r="CI246" s="24" t="n"/>
      <c r="CJ246" s="23" t="n">
        <v>20</v>
      </c>
      <c r="CK246" s="24" t="n"/>
      <c r="CL246" s="25" t="n">
        <v>0</v>
      </c>
      <c r="CM246" s="24" t="n"/>
      <c r="CN246" s="23" t="n">
        <v>20</v>
      </c>
      <c r="CO246" s="24" t="n"/>
      <c r="CP246" s="25" t="n">
        <v>0</v>
      </c>
      <c r="CQ246" s="24" t="n"/>
      <c r="CR246" s="23" t="n">
        <v>20</v>
      </c>
      <c r="CS246" s="24" t="n"/>
      <c r="CT246" s="25" t="n">
        <v>0</v>
      </c>
      <c r="CU246" s="24" t="n"/>
      <c r="CV246" s="23" t="n">
        <v>20</v>
      </c>
      <c r="CW246" s="24" t="n"/>
      <c r="CX246" s="25" t="n">
        <v>0</v>
      </c>
      <c r="CY246" s="24" t="n"/>
      <c r="CZ246" s="23" t="n">
        <v>20</v>
      </c>
      <c r="DA246" s="24" t="n"/>
      <c r="DB246" s="25" t="n">
        <v>0</v>
      </c>
      <c r="DC246" s="24" t="n"/>
      <c r="DD246" s="23" t="n">
        <v>20</v>
      </c>
      <c r="DE246" s="24" t="n"/>
      <c r="DF246" s="25" t="n">
        <v>0</v>
      </c>
      <c r="DG246" s="24" t="n"/>
      <c r="DH246" s="23" t="n">
        <v>20</v>
      </c>
      <c r="DI246" s="24" t="n"/>
      <c r="DJ246" s="25" t="n">
        <v>0</v>
      </c>
      <c r="DK246" s="24" t="n"/>
      <c r="DL246" s="23" t="n">
        <v>20</v>
      </c>
      <c r="DM246" s="24" t="n"/>
      <c r="DN246" s="25" t="n">
        <v>0</v>
      </c>
      <c r="DO246" s="24" t="n"/>
      <c r="DP246" s="340" t="n"/>
      <c r="DQ246" s="803">
        <f>SUMPRODUCT(--(MOD(COLUMN(BT246:CQ246),4)=MOD(COLUMN(BT246),4)),BT246:CQ246)+SUMPRODUCT(--(MOD(COLUMN(CR246:DO246),4)=MOD(COLUMN(CR246),4)),CR246:DO246)</f>
        <v/>
      </c>
      <c r="DR246" s="803">
        <f>SUMPRODUCT(--(MOD(COLUMN(BT246:CQ246),4)=MOD(COLUMN(BT246),4)),BT246:CQ246)*$I246+SUMPRODUCT(--(MOD(COLUMN(CR246:DO246),4)=MOD(COLUMN(CR246),4)),CR246:DO246)*$I246</f>
        <v/>
      </c>
      <c r="DS246" s="801" t="n"/>
      <c r="DT246" s="819" t="n"/>
      <c r="DU246" s="23" t="n">
        <v>20</v>
      </c>
      <c r="DV246" s="24" t="n"/>
      <c r="DW246" s="25" t="n">
        <v>0</v>
      </c>
      <c r="DX246" s="24" t="n"/>
      <c r="DY246" s="23" t="n">
        <v>20</v>
      </c>
      <c r="DZ246" s="24" t="n"/>
      <c r="EA246" s="25" t="n">
        <v>0</v>
      </c>
      <c r="EB246" s="24" t="n"/>
      <c r="EC246" s="23" t="n">
        <v>20</v>
      </c>
      <c r="ED246" s="24" t="n"/>
      <c r="EE246" s="25" t="n">
        <v>0</v>
      </c>
      <c r="EF246" s="24" t="n"/>
      <c r="EG246" s="23" t="n">
        <v>20</v>
      </c>
      <c r="EH246" s="24" t="n"/>
      <c r="EI246" s="25" t="n">
        <v>0</v>
      </c>
      <c r="EJ246" s="24" t="n"/>
      <c r="EK246" s="23" t="n">
        <v>20</v>
      </c>
      <c r="EL246" s="24" t="n"/>
      <c r="EM246" s="25" t="n">
        <v>0</v>
      </c>
      <c r="EN246" s="24" t="n"/>
      <c r="EO246" s="23" t="n">
        <v>20</v>
      </c>
      <c r="EP246" s="24" t="n"/>
      <c r="EQ246" s="25" t="n">
        <v>0</v>
      </c>
      <c r="ER246" s="24" t="n"/>
      <c r="ES246" s="23" t="n">
        <v>20</v>
      </c>
      <c r="ET246" s="24" t="n"/>
      <c r="EU246" s="25" t="n">
        <v>0</v>
      </c>
      <c r="EV246" s="24" t="n"/>
      <c r="EW246" s="23" t="n">
        <v>20</v>
      </c>
      <c r="EX246" s="24" t="n"/>
      <c r="EY246" s="25" t="n">
        <v>0</v>
      </c>
      <c r="EZ246" s="24" t="n"/>
      <c r="FA246" s="23" t="n">
        <v>20</v>
      </c>
      <c r="FB246" s="24" t="n"/>
      <c r="FC246" s="25" t="n">
        <v>0</v>
      </c>
      <c r="FD246" s="24" t="n"/>
      <c r="FE246" s="23" t="n">
        <v>20</v>
      </c>
      <c r="FF246" s="24" t="n"/>
      <c r="FG246" s="25" t="n">
        <v>0</v>
      </c>
      <c r="FH246" s="24" t="n"/>
      <c r="FI246" s="23" t="n">
        <v>20</v>
      </c>
      <c r="FJ246" s="24" t="n"/>
      <c r="FK246" s="25" t="n">
        <v>0</v>
      </c>
      <c r="FL246" s="24" t="n"/>
      <c r="FM246" s="23" t="n">
        <v>20</v>
      </c>
      <c r="FN246" s="24" t="n"/>
      <c r="FO246" s="25" t="n">
        <v>0</v>
      </c>
      <c r="FP246" s="24" t="n"/>
      <c r="FQ246" s="340" t="n"/>
      <c r="FR246" s="803">
        <f>SUMPRODUCT(--(MOD(COLUMN(DU246:ER246),4)=MOD(COLUMN(DU246),4)),DU246:ER246)+SUMPRODUCT(--(MOD(COLUMN(ES246:FP246),4)=MOD(COLUMN(ES246),4)),ES246:FP246)</f>
        <v/>
      </c>
      <c r="FS246" s="803">
        <f>SUMPRODUCT(--(MOD(COLUMN(DU246:ER246),4)=MOD(COLUMN(DU246),4)),DU246:ER246)*$I246+SUMPRODUCT(--(MOD(COLUMN(ES246:FP246),4)=MOD(COLUMN(ES246),4)),ES246:FP246)*$I246</f>
        <v/>
      </c>
      <c r="FT246" s="361" t="n"/>
    </row>
    <row r="247" outlineLevel="2">
      <c r="A247" s="56" t="inlineStr">
        <is>
          <t>СПЕЦАВТО-ВОСТОК ООО</t>
        </is>
      </c>
      <c r="B247" s="387" t="inlineStr">
        <is>
          <t>Отсрочка 15 дней</t>
        </is>
      </c>
      <c r="C247" s="173" t="inlineStr">
        <is>
          <t>ВБК РУС</t>
        </is>
      </c>
      <c r="D247" s="565" t="inlineStr">
        <is>
          <t>Прасолов, Соловьёв</t>
        </is>
      </c>
      <c r="E247" s="10">
        <f>IF(ISBLANK(G247),"",IF($A$6:$A$330=$A247,COUNTIF($A$6:A247,$A247),""))</f>
        <v/>
      </c>
      <c r="F247" s="669" t="n">
        <v>2</v>
      </c>
      <c r="G247" s="128" t="n">
        <v>9710020400</v>
      </c>
      <c r="H247" s="612" t="inlineStr">
        <is>
          <t>Воздухораспределитель (без кл. растормаживания)</t>
        </is>
      </c>
      <c r="I247" s="618" t="n">
        <v>0</v>
      </c>
      <c r="J247" s="618" t="n"/>
      <c r="K247" s="874" t="n"/>
      <c r="L247" s="618">
        <f>IF(K247="RUB",J247/ЮАНЬ,IF(K247="EUR",J247*ЕВРО/ЮАНЬ,""))</f>
        <v/>
      </c>
      <c r="M247" s="873" t="n"/>
      <c r="N247" s="871">
        <f>IF(BP247&gt;0,1,IF(BN247&gt;0,2,))</f>
        <v/>
      </c>
      <c r="O247" s="23" t="n">
        <v>15</v>
      </c>
      <c r="P247" s="24" t="n"/>
      <c r="Q247" s="25" t="n">
        <v>0</v>
      </c>
      <c r="R247" s="24" t="n"/>
      <c r="S247" s="23" t="n">
        <v>15</v>
      </c>
      <c r="T247" s="24">
        <f>SUMPRODUCT((Комплекты[Пр]=$F247)*(Комплекты[Обозначение]=$G247)*Комплекты[Кол-во]*(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47" s="25" t="n">
        <v>5</v>
      </c>
      <c r="V247" s="24" t="n"/>
      <c r="W247" s="23" t="n">
        <v>15</v>
      </c>
      <c r="X247" s="24">
        <f>SUMPRODUCT((Комплекты[Пр]=$F247)*(Комплекты[Обозначение]=$G247)*Комплекты[Кол-во]*(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47" s="25" t="n">
        <v>2</v>
      </c>
      <c r="Z247" s="24" t="n"/>
      <c r="AA247" s="23" t="n">
        <v>15</v>
      </c>
      <c r="AB247" s="24">
        <f>SUMPRODUCT((Комплекты[Пр]=$F247)*(Комплекты[Обозначение]=$G247)*Комплекты[Кол-во]*(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47" s="25" t="n">
        <v>0</v>
      </c>
      <c r="AD247" s="24" t="n"/>
      <c r="AE247" s="23" t="n">
        <v>15</v>
      </c>
      <c r="AF247" s="24">
        <f>SUMPRODUCT((Комплекты[Пр]=$F247)*(Комплекты[Обозначение]=$G247)*Комплекты[Кол-во]*(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47" s="25" t="n">
        <v>1</v>
      </c>
      <c r="AH247" s="24" t="n"/>
      <c r="AI247" s="23" t="n">
        <v>15</v>
      </c>
      <c r="AJ247" s="24">
        <f>SUMPRODUCT((Комплекты[Пр]=$F247)*(Комплекты[Обозначение]=$G247)*Комплекты[Кол-во]*(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47" s="25" t="n">
        <v>0</v>
      </c>
      <c r="AL247" s="24" t="n"/>
      <c r="AM247" s="23" t="n">
        <v>15</v>
      </c>
      <c r="AN247" s="24">
        <f>SUMPRODUCT((Комплекты[Пр]=$F247)*(Комплекты[Обозначение]=$G247)*Комплекты[Кол-во]*(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47" s="25" t="n">
        <v>0</v>
      </c>
      <c r="AP247" s="24" t="n"/>
      <c r="AQ247" s="23" t="n">
        <v>15</v>
      </c>
      <c r="AR247" s="24">
        <f>SUMPRODUCT((Комплекты[Пр]=$F247)*(Комплекты[Обозначение]=$G247)*Комплекты[Кол-во]*(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47" s="25" t="n">
        <v>0</v>
      </c>
      <c r="AT247" s="24" t="n"/>
      <c r="AU247" s="23" t="n">
        <v>15</v>
      </c>
      <c r="AV247" s="24">
        <f>SUMPRODUCT((Комплекты[Пр]=$F247)*(Комплекты[Обозначение]=$G247)*Комплекты[Кол-во]*(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47" s="25" t="n">
        <v>0</v>
      </c>
      <c r="AX247" s="24" t="n"/>
      <c r="AY247" s="23" t="n">
        <v>15</v>
      </c>
      <c r="AZ247" s="24">
        <f>SUMPRODUCT((Комплекты[Пр]=$F247)*(Комплекты[Обозначение]=$G247)*Комплекты[Кол-во]*(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47" s="25" t="n">
        <v>0</v>
      </c>
      <c r="BB247" s="24" t="n"/>
      <c r="BC247" s="23" t="n">
        <v>15</v>
      </c>
      <c r="BD247" s="24">
        <f>SUMPRODUCT((Комплекты[Пр]=$F247)*(Комплекты[Обозначение]=$G247)*Комплекты[Кол-во]*(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47" s="25" t="n">
        <v>0</v>
      </c>
      <c r="BF247" s="24" t="n"/>
      <c r="BG247" s="23" t="n">
        <v>15</v>
      </c>
      <c r="BH247" s="24">
        <f>SUMPRODUCT((Комплекты[Пр]=$F247)*(Комплекты[Обозначение]=$G247)*Комплекты[Кол-во]*(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47" s="25" t="n">
        <v>0</v>
      </c>
      <c r="BJ247" s="24" t="n"/>
      <c r="BK247" s="340" t="n"/>
      <c r="BL247" s="803">
        <f>SUMPRODUCT(--(MOD(COLUMN($O247:$AL247),4)=MOD(COLUMN($O247)+0,4)),$O247:$AL247)
+SUMPRODUCT(--(MOD(COLUMN($AM247:$BJ247),4)=MOD(COLUMN($AM247)+0,4)),$AM247:$BJ247)</f>
        <v/>
      </c>
      <c r="BM247" s="803">
        <f>SUMPRODUCT(--(MOD(COLUMN($O247:$AL247),4)=MOD(COLUMN($O247)+0,4)),$O247:$AL247)*
$I247+SUMPRODUCT(--(MOD(COLUMN($AM247:$BJ247),4)=MOD(COLUMN($AM247)+0,4)),$AM247:$BJ247)*$I247</f>
        <v/>
      </c>
      <c r="BN247" s="805">
        <f>SUMPRODUCT(--(MOD(COLUMN($O247:$AL247),4)=MOD(COLUMN($O247)+1,4)),$O247:$AL247)
+SUMPRODUCT(--(MOD(COLUMN($AM247:$BJ247),4)=MOD(COLUMN($AM247)+1,4)),$AM247:$BJ247)</f>
        <v/>
      </c>
      <c r="BO247" s="806">
        <f>SUMPRODUCT(--(MOD(COLUMN($O247:$AL247),4)=MOD(COLUMN($O247)+1,4)),$O247:$AL247)*
$I247+SUMPRODUCT(--(MOD(COLUMN($AM247:$BJ247),4)=MOD(COLUMN($AM247)+1,4)),$AM247:$BJ247)*$I247</f>
        <v/>
      </c>
      <c r="BP247" s="807">
        <f>SUMPRODUCT(--(MOD(COLUMN($O247:$AL247),4)=MOD(COLUMN($O247)+2,4)),$O247:$AL247)
+SUMPRODUCT(--(MOD(COLUMN($AM247:$BJ247),4)=MOD(COLUMN($AM247)+2,4)),$AM247:$BJ247)</f>
        <v/>
      </c>
      <c r="BQ247" s="808">
        <f>SUMPRODUCT(--(MOD(COLUMN($O247:$AL247),4)=MOD(COLUMN($O247)+2,4)),$O247:$AL247)*
$I247+SUMPRODUCT(--(MOD(COLUMN($AM247:$BJ247),4)=MOD(COLUMN($AM247)+2,4)),$AM247:$BJ247)*$I247</f>
        <v/>
      </c>
      <c r="BR247" s="801" t="n"/>
      <c r="BS247" s="819" t="n"/>
      <c r="BT247" s="23" t="n">
        <v>20</v>
      </c>
      <c r="BU247" s="24" t="n"/>
      <c r="BV247" s="25" t="n">
        <v>0</v>
      </c>
      <c r="BW247" s="24" t="n"/>
      <c r="BX247" s="23" t="n">
        <v>20</v>
      </c>
      <c r="BY247" s="24" t="n"/>
      <c r="BZ247" s="25" t="n">
        <v>0</v>
      </c>
      <c r="CA247" s="24" t="n"/>
      <c r="CB247" s="23" t="n">
        <v>20</v>
      </c>
      <c r="CC247" s="24" t="n"/>
      <c r="CD247" s="25" t="n">
        <v>0</v>
      </c>
      <c r="CE247" s="24" t="n"/>
      <c r="CF247" s="23" t="n">
        <v>20</v>
      </c>
      <c r="CG247" s="24" t="n"/>
      <c r="CH247" s="25" t="n">
        <v>0</v>
      </c>
      <c r="CI247" s="24" t="n"/>
      <c r="CJ247" s="23" t="n">
        <v>20</v>
      </c>
      <c r="CK247" s="24" t="n"/>
      <c r="CL247" s="25" t="n">
        <v>0</v>
      </c>
      <c r="CM247" s="24" t="n"/>
      <c r="CN247" s="23" t="n">
        <v>20</v>
      </c>
      <c r="CO247" s="24" t="n"/>
      <c r="CP247" s="25" t="n">
        <v>0</v>
      </c>
      <c r="CQ247" s="24" t="n"/>
      <c r="CR247" s="23" t="n">
        <v>20</v>
      </c>
      <c r="CS247" s="24" t="n"/>
      <c r="CT247" s="25" t="n">
        <v>0</v>
      </c>
      <c r="CU247" s="24" t="n"/>
      <c r="CV247" s="23" t="n">
        <v>20</v>
      </c>
      <c r="CW247" s="24" t="n"/>
      <c r="CX247" s="25" t="n">
        <v>0</v>
      </c>
      <c r="CY247" s="24" t="n"/>
      <c r="CZ247" s="23" t="n">
        <v>20</v>
      </c>
      <c r="DA247" s="24" t="n"/>
      <c r="DB247" s="25" t="n">
        <v>0</v>
      </c>
      <c r="DC247" s="24" t="n"/>
      <c r="DD247" s="23" t="n">
        <v>20</v>
      </c>
      <c r="DE247" s="24" t="n"/>
      <c r="DF247" s="25" t="n">
        <v>0</v>
      </c>
      <c r="DG247" s="24" t="n"/>
      <c r="DH247" s="23" t="n">
        <v>20</v>
      </c>
      <c r="DI247" s="24" t="n"/>
      <c r="DJ247" s="25" t="n">
        <v>0</v>
      </c>
      <c r="DK247" s="24" t="n"/>
      <c r="DL247" s="23" t="n">
        <v>20</v>
      </c>
      <c r="DM247" s="24" t="n"/>
      <c r="DN247" s="25" t="n">
        <v>0</v>
      </c>
      <c r="DO247" s="24" t="n"/>
      <c r="DP247" s="340" t="n"/>
      <c r="DQ247" s="803">
        <f>SUMPRODUCT(--(MOD(COLUMN(BT247:CQ247),4)=MOD(COLUMN(BT247),4)),BT247:CQ247)+SUMPRODUCT(--(MOD(COLUMN(CR247:DO247),4)=MOD(COLUMN(CR247),4)),CR247:DO247)</f>
        <v/>
      </c>
      <c r="DR247" s="803">
        <f>SUMPRODUCT(--(MOD(COLUMN(BT247:CQ247),4)=MOD(COLUMN(BT247),4)),BT247:CQ247)*$I247+SUMPRODUCT(--(MOD(COLUMN(CR247:DO247),4)=MOD(COLUMN(CR247),4)),CR247:DO247)*$I247</f>
        <v/>
      </c>
      <c r="DS247" s="801" t="n"/>
      <c r="DT247" s="819" t="n"/>
      <c r="DU247" s="23" t="n">
        <v>20</v>
      </c>
      <c r="DV247" s="24" t="n"/>
      <c r="DW247" s="25" t="n">
        <v>0</v>
      </c>
      <c r="DX247" s="24" t="n"/>
      <c r="DY247" s="23" t="n">
        <v>20</v>
      </c>
      <c r="DZ247" s="24" t="n"/>
      <c r="EA247" s="25" t="n">
        <v>0</v>
      </c>
      <c r="EB247" s="24" t="n"/>
      <c r="EC247" s="23" t="n">
        <v>20</v>
      </c>
      <c r="ED247" s="24" t="n"/>
      <c r="EE247" s="25" t="n">
        <v>0</v>
      </c>
      <c r="EF247" s="24" t="n"/>
      <c r="EG247" s="23" t="n">
        <v>20</v>
      </c>
      <c r="EH247" s="24" t="n"/>
      <c r="EI247" s="25" t="n">
        <v>0</v>
      </c>
      <c r="EJ247" s="24" t="n"/>
      <c r="EK247" s="23" t="n">
        <v>20</v>
      </c>
      <c r="EL247" s="24" t="n"/>
      <c r="EM247" s="25" t="n">
        <v>0</v>
      </c>
      <c r="EN247" s="24" t="n"/>
      <c r="EO247" s="23" t="n">
        <v>20</v>
      </c>
      <c r="EP247" s="24" t="n"/>
      <c r="EQ247" s="25" t="n">
        <v>0</v>
      </c>
      <c r="ER247" s="24" t="n"/>
      <c r="ES247" s="23" t="n">
        <v>20</v>
      </c>
      <c r="ET247" s="24" t="n"/>
      <c r="EU247" s="25" t="n">
        <v>0</v>
      </c>
      <c r="EV247" s="24" t="n"/>
      <c r="EW247" s="23" t="n">
        <v>20</v>
      </c>
      <c r="EX247" s="24" t="n"/>
      <c r="EY247" s="25" t="n">
        <v>0</v>
      </c>
      <c r="EZ247" s="24" t="n"/>
      <c r="FA247" s="23" t="n">
        <v>20</v>
      </c>
      <c r="FB247" s="24" t="n"/>
      <c r="FC247" s="25" t="n">
        <v>0</v>
      </c>
      <c r="FD247" s="24" t="n"/>
      <c r="FE247" s="23" t="n">
        <v>20</v>
      </c>
      <c r="FF247" s="24" t="n"/>
      <c r="FG247" s="25" t="n">
        <v>0</v>
      </c>
      <c r="FH247" s="24" t="n"/>
      <c r="FI247" s="23" t="n">
        <v>20</v>
      </c>
      <c r="FJ247" s="24" t="n"/>
      <c r="FK247" s="25" t="n">
        <v>0</v>
      </c>
      <c r="FL247" s="24" t="n"/>
      <c r="FM247" s="23" t="n">
        <v>20</v>
      </c>
      <c r="FN247" s="24" t="n"/>
      <c r="FO247" s="25" t="n">
        <v>0</v>
      </c>
      <c r="FP247" s="24" t="n"/>
      <c r="FQ247" s="340" t="n"/>
      <c r="FR247" s="803">
        <f>SUMPRODUCT(--(MOD(COLUMN(DU247:ER247),4)=MOD(COLUMN(DU247),4)),DU247:ER247)+SUMPRODUCT(--(MOD(COLUMN(ES247:FP247),4)=MOD(COLUMN(ES247),4)),ES247:FP247)</f>
        <v/>
      </c>
      <c r="FS247" s="803">
        <f>SUMPRODUCT(--(MOD(COLUMN(DU247:ER247),4)=MOD(COLUMN(DU247),4)),DU247:ER247)*$I247+SUMPRODUCT(--(MOD(COLUMN(ES247:FP247),4)=MOD(COLUMN(ES247),4)),ES247:FP247)*$I247</f>
        <v/>
      </c>
      <c r="FT247" s="361" t="n"/>
    </row>
    <row r="248" outlineLevel="2">
      <c r="A248" s="56" t="inlineStr">
        <is>
          <t>СПЕЦАВТО-ВОСТОК ООО</t>
        </is>
      </c>
      <c r="B248" s="387" t="inlineStr">
        <is>
          <t>Отсрочка 15 дней</t>
        </is>
      </c>
      <c r="C248" s="173" t="inlineStr">
        <is>
          <t>ВБК РУС</t>
        </is>
      </c>
      <c r="D248" s="565" t="inlineStr">
        <is>
          <t>Прасолов, Соловьёв</t>
        </is>
      </c>
      <c r="E248" s="10">
        <f>IF(ISBLANK(G248),"",IF($A$6:$A$330=$A248,COUNTIF($A$6:A248,$A248),""))</f>
        <v/>
      </c>
      <c r="F248" s="123" t="n">
        <v>1</v>
      </c>
      <c r="G248" s="128" t="n">
        <v>4721950310</v>
      </c>
      <c r="H248" s="612" t="inlineStr">
        <is>
          <t>Ускорительный клапан ABS</t>
        </is>
      </c>
      <c r="I248" s="618" t="n">
        <v>0</v>
      </c>
      <c r="J248" s="618" t="n"/>
      <c r="K248" s="874" t="n"/>
      <c r="L248" s="618">
        <f>IF(K248="RUB",J248/ЮАНЬ,IF(K248="EUR",J248*ЕВРО/ЮАНЬ,""))</f>
        <v/>
      </c>
      <c r="M248" s="873" t="n"/>
      <c r="N248" s="871">
        <f>IF(BP248&gt;0,1,IF(BN248&gt;0,2,))</f>
        <v/>
      </c>
      <c r="O248" s="23" t="n">
        <v>5</v>
      </c>
      <c r="P248" s="24" t="n"/>
      <c r="Q248" s="25" t="n">
        <v>0</v>
      </c>
      <c r="R248" s="24" t="n"/>
      <c r="S248" s="23" t="n">
        <v>5</v>
      </c>
      <c r="T248" s="24">
        <f>SUMPRODUCT((Комплекты[Пр]=$F248)*(Комплекты[Обозначение]=$G248)*Комплекты[Кол-во]*(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48" s="25" t="n">
        <v>0</v>
      </c>
      <c r="V248" s="24" t="n"/>
      <c r="W248" s="23" t="n">
        <v>5</v>
      </c>
      <c r="X248" s="24">
        <f>SUMPRODUCT((Комплекты[Пр]=$F248)*(Комплекты[Обозначение]=$G248)*Комплекты[Кол-во]*(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48" s="25" t="n">
        <v>0</v>
      </c>
      <c r="Z248" s="24" t="n"/>
      <c r="AA248" s="23" t="n">
        <v>5</v>
      </c>
      <c r="AB248" s="24">
        <f>SUMPRODUCT((Комплекты[Пр]=$F248)*(Комплекты[Обозначение]=$G248)*Комплекты[Кол-во]*(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48" s="25" t="n">
        <v>0</v>
      </c>
      <c r="AD248" s="24" t="n"/>
      <c r="AE248" s="23" t="n">
        <v>5</v>
      </c>
      <c r="AF248" s="24">
        <f>SUMPRODUCT((Комплекты[Пр]=$F248)*(Комплекты[Обозначение]=$G248)*Комплекты[Кол-во]*(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48" s="25" t="n">
        <v>0</v>
      </c>
      <c r="AH248" s="24" t="n"/>
      <c r="AI248" s="23" t="n">
        <v>5</v>
      </c>
      <c r="AJ248" s="24">
        <f>SUMPRODUCT((Комплекты[Пр]=$F248)*(Комплекты[Обозначение]=$G248)*Комплекты[Кол-во]*(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48" s="25" t="n">
        <v>0</v>
      </c>
      <c r="AL248" s="24" t="n"/>
      <c r="AM248" s="23" t="n">
        <v>5</v>
      </c>
      <c r="AN248" s="24">
        <f>SUMPRODUCT((Комплекты[Пр]=$F248)*(Комплекты[Обозначение]=$G248)*Комплекты[Кол-во]*(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48" s="25" t="n">
        <v>0</v>
      </c>
      <c r="AP248" s="24" t="n"/>
      <c r="AQ248" s="23" t="n">
        <v>5</v>
      </c>
      <c r="AR248" s="24">
        <f>SUMPRODUCT((Комплекты[Пр]=$F248)*(Комплекты[Обозначение]=$G248)*Комплекты[Кол-во]*(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48" s="25" t="n">
        <v>0</v>
      </c>
      <c r="AT248" s="24" t="n"/>
      <c r="AU248" s="23" t="n">
        <v>5</v>
      </c>
      <c r="AV248" s="24">
        <f>SUMPRODUCT((Комплекты[Пр]=$F248)*(Комплекты[Обозначение]=$G248)*Комплекты[Кол-во]*(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48" s="25" t="n">
        <v>0</v>
      </c>
      <c r="AX248" s="24" t="n"/>
      <c r="AY248" s="23" t="n">
        <v>5</v>
      </c>
      <c r="AZ248" s="24">
        <f>SUMPRODUCT((Комплекты[Пр]=$F248)*(Комплекты[Обозначение]=$G248)*Комплекты[Кол-во]*(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48" s="25" t="n">
        <v>0</v>
      </c>
      <c r="BB248" s="24" t="n"/>
      <c r="BC248" s="23" t="n">
        <v>5</v>
      </c>
      <c r="BD248" s="24">
        <f>SUMPRODUCT((Комплекты[Пр]=$F248)*(Комплекты[Обозначение]=$G248)*Комплекты[Кол-во]*(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48" s="25" t="n">
        <v>0</v>
      </c>
      <c r="BF248" s="24" t="n"/>
      <c r="BG248" s="23" t="n">
        <v>5</v>
      </c>
      <c r="BH248" s="24">
        <f>SUMPRODUCT((Комплекты[Пр]=$F248)*(Комплекты[Обозначение]=$G248)*Комплекты[Кол-во]*(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48" s="25" t="n">
        <v>0</v>
      </c>
      <c r="BJ248" s="24" t="n"/>
      <c r="BK248" s="340" t="n"/>
      <c r="BL248" s="803">
        <f>SUMPRODUCT(--(MOD(COLUMN($O248:$AL248),4)=MOD(COLUMN($O248)+0,4)),$O248:$AL248)
+SUMPRODUCT(--(MOD(COLUMN($AM248:$BJ248),4)=MOD(COLUMN($AM248)+0,4)),$AM248:$BJ248)</f>
        <v/>
      </c>
      <c r="BM248" s="803">
        <f>SUMPRODUCT(--(MOD(COLUMN($O248:$AL248),4)=MOD(COLUMN($O248)+0,4)),$O248:$AL248)*
$I248+SUMPRODUCT(--(MOD(COLUMN($AM248:$BJ248),4)=MOD(COLUMN($AM248)+0,4)),$AM248:$BJ248)*$I248</f>
        <v/>
      </c>
      <c r="BN248" s="805">
        <f>SUMPRODUCT(--(MOD(COLUMN($O248:$AL248),4)=MOD(COLUMN($O248)+1,4)),$O248:$AL248)
+SUMPRODUCT(--(MOD(COLUMN($AM248:$BJ248),4)=MOD(COLUMN($AM248)+1,4)),$AM248:$BJ248)</f>
        <v/>
      </c>
      <c r="BO248" s="806">
        <f>SUMPRODUCT(--(MOD(COLUMN($O248:$AL248),4)=MOD(COLUMN($O248)+1,4)),$O248:$AL248)*
$I248+SUMPRODUCT(--(MOD(COLUMN($AM248:$BJ248),4)=MOD(COLUMN($AM248)+1,4)),$AM248:$BJ248)*$I248</f>
        <v/>
      </c>
      <c r="BP248" s="807">
        <f>SUMPRODUCT(--(MOD(COLUMN($O248:$AL248),4)=MOD(COLUMN($O248)+2,4)),$O248:$AL248)
+SUMPRODUCT(--(MOD(COLUMN($AM248:$BJ248),4)=MOD(COLUMN($AM248)+2,4)),$AM248:$BJ248)</f>
        <v/>
      </c>
      <c r="BQ248" s="808">
        <f>SUMPRODUCT(--(MOD(COLUMN($O248:$AL248),4)=MOD(COLUMN($O248)+2,4)),$O248:$AL248)*
$I248+SUMPRODUCT(--(MOD(COLUMN($AM248:$BJ248),4)=MOD(COLUMN($AM248)+2,4)),$AM248:$BJ248)*$I248</f>
        <v/>
      </c>
      <c r="BR248" s="801" t="n"/>
      <c r="BS248" s="819" t="n"/>
      <c r="BT248" s="23" t="n">
        <v>10</v>
      </c>
      <c r="BU248" s="24" t="n"/>
      <c r="BV248" s="25" t="n">
        <v>0</v>
      </c>
      <c r="BW248" s="24" t="n"/>
      <c r="BX248" s="23" t="n">
        <v>10</v>
      </c>
      <c r="BY248" s="24" t="n"/>
      <c r="BZ248" s="25" t="n">
        <v>0</v>
      </c>
      <c r="CA248" s="24" t="n"/>
      <c r="CB248" s="23" t="n">
        <v>10</v>
      </c>
      <c r="CC248" s="24" t="n"/>
      <c r="CD248" s="25" t="n">
        <v>0</v>
      </c>
      <c r="CE248" s="24" t="n"/>
      <c r="CF248" s="23" t="n">
        <v>10</v>
      </c>
      <c r="CG248" s="24" t="n"/>
      <c r="CH248" s="25" t="n">
        <v>0</v>
      </c>
      <c r="CI248" s="24" t="n"/>
      <c r="CJ248" s="23" t="n">
        <v>10</v>
      </c>
      <c r="CK248" s="24" t="n"/>
      <c r="CL248" s="25" t="n">
        <v>0</v>
      </c>
      <c r="CM248" s="24" t="n"/>
      <c r="CN248" s="23" t="n">
        <v>10</v>
      </c>
      <c r="CO248" s="24" t="n"/>
      <c r="CP248" s="25" t="n">
        <v>0</v>
      </c>
      <c r="CQ248" s="24" t="n"/>
      <c r="CR248" s="23" t="n">
        <v>10</v>
      </c>
      <c r="CS248" s="24" t="n"/>
      <c r="CT248" s="25" t="n">
        <v>0</v>
      </c>
      <c r="CU248" s="24" t="n"/>
      <c r="CV248" s="23" t="n">
        <v>10</v>
      </c>
      <c r="CW248" s="24" t="n"/>
      <c r="CX248" s="25" t="n">
        <v>0</v>
      </c>
      <c r="CY248" s="24" t="n"/>
      <c r="CZ248" s="23" t="n">
        <v>10</v>
      </c>
      <c r="DA248" s="24" t="n"/>
      <c r="DB248" s="25" t="n">
        <v>0</v>
      </c>
      <c r="DC248" s="24" t="n"/>
      <c r="DD248" s="23" t="n">
        <v>10</v>
      </c>
      <c r="DE248" s="24" t="n"/>
      <c r="DF248" s="25" t="n">
        <v>0</v>
      </c>
      <c r="DG248" s="24" t="n"/>
      <c r="DH248" s="23" t="n">
        <v>10</v>
      </c>
      <c r="DI248" s="24" t="n"/>
      <c r="DJ248" s="25" t="n">
        <v>0</v>
      </c>
      <c r="DK248" s="24" t="n"/>
      <c r="DL248" s="23" t="n">
        <v>10</v>
      </c>
      <c r="DM248" s="24" t="n"/>
      <c r="DN248" s="25" t="n">
        <v>0</v>
      </c>
      <c r="DO248" s="24" t="n"/>
      <c r="DP248" s="340" t="n"/>
      <c r="DQ248" s="803">
        <f>SUMPRODUCT(--(MOD(COLUMN(BT248:CQ248),4)=MOD(COLUMN(BT248),4)),BT248:CQ248)+SUMPRODUCT(--(MOD(COLUMN(CR248:DO248),4)=MOD(COLUMN(CR248),4)),CR248:DO248)</f>
        <v/>
      </c>
      <c r="DR248" s="803">
        <f>SUMPRODUCT(--(MOD(COLUMN(BT248:CQ248),4)=MOD(COLUMN(BT248),4)),BT248:CQ248)*$I248+SUMPRODUCT(--(MOD(COLUMN(CR248:DO248),4)=MOD(COLUMN(CR248),4)),CR248:DO248)*$I248</f>
        <v/>
      </c>
      <c r="DS248" s="801" t="n"/>
      <c r="DT248" s="819" t="n"/>
      <c r="DU248" s="23" t="n">
        <v>10</v>
      </c>
      <c r="DV248" s="24" t="n"/>
      <c r="DW248" s="25" t="n">
        <v>0</v>
      </c>
      <c r="DX248" s="24" t="n"/>
      <c r="DY248" s="23" t="n">
        <v>10</v>
      </c>
      <c r="DZ248" s="24" t="n"/>
      <c r="EA248" s="25" t="n">
        <v>0</v>
      </c>
      <c r="EB248" s="24" t="n"/>
      <c r="EC248" s="23" t="n">
        <v>10</v>
      </c>
      <c r="ED248" s="24" t="n"/>
      <c r="EE248" s="25" t="n">
        <v>0</v>
      </c>
      <c r="EF248" s="24" t="n"/>
      <c r="EG248" s="23" t="n">
        <v>10</v>
      </c>
      <c r="EH248" s="24" t="n"/>
      <c r="EI248" s="25" t="n">
        <v>0</v>
      </c>
      <c r="EJ248" s="24" t="n"/>
      <c r="EK248" s="23" t="n">
        <v>10</v>
      </c>
      <c r="EL248" s="24" t="n"/>
      <c r="EM248" s="25" t="n">
        <v>0</v>
      </c>
      <c r="EN248" s="24" t="n"/>
      <c r="EO248" s="23" t="n">
        <v>10</v>
      </c>
      <c r="EP248" s="24" t="n"/>
      <c r="EQ248" s="25" t="n">
        <v>0</v>
      </c>
      <c r="ER248" s="24" t="n"/>
      <c r="ES248" s="23" t="n">
        <v>10</v>
      </c>
      <c r="ET248" s="24" t="n"/>
      <c r="EU248" s="25" t="n">
        <v>0</v>
      </c>
      <c r="EV248" s="24" t="n"/>
      <c r="EW248" s="23" t="n">
        <v>10</v>
      </c>
      <c r="EX248" s="24" t="n"/>
      <c r="EY248" s="25" t="n">
        <v>0</v>
      </c>
      <c r="EZ248" s="24" t="n"/>
      <c r="FA248" s="23" t="n">
        <v>10</v>
      </c>
      <c r="FB248" s="24" t="n"/>
      <c r="FC248" s="25" t="n">
        <v>0</v>
      </c>
      <c r="FD248" s="24" t="n"/>
      <c r="FE248" s="23" t="n">
        <v>10</v>
      </c>
      <c r="FF248" s="24" t="n"/>
      <c r="FG248" s="25" t="n">
        <v>0</v>
      </c>
      <c r="FH248" s="24" t="n"/>
      <c r="FI248" s="23" t="n">
        <v>10</v>
      </c>
      <c r="FJ248" s="24" t="n"/>
      <c r="FK248" s="25" t="n">
        <v>0</v>
      </c>
      <c r="FL248" s="24" t="n"/>
      <c r="FM248" s="23" t="n">
        <v>10</v>
      </c>
      <c r="FN248" s="24" t="n"/>
      <c r="FO248" s="25" t="n">
        <v>0</v>
      </c>
      <c r="FP248" s="24" t="n"/>
      <c r="FQ248" s="340" t="n"/>
      <c r="FR248" s="803">
        <f>SUMPRODUCT(--(MOD(COLUMN(DU248:ER248),4)=MOD(COLUMN(DU248),4)),DU248:ER248)+SUMPRODUCT(--(MOD(COLUMN(ES248:FP248),4)=MOD(COLUMN(ES248),4)),ES248:FP248)</f>
        <v/>
      </c>
      <c r="FS248" s="803">
        <f>SUMPRODUCT(--(MOD(COLUMN(DU248:ER248),4)=MOD(COLUMN(DU248),4)),DU248:ER248)*$I248+SUMPRODUCT(--(MOD(COLUMN(ES248:FP248),4)=MOD(COLUMN(ES248),4)),ES248:FP248)*$I248</f>
        <v/>
      </c>
      <c r="FT248" s="361" t="n"/>
    </row>
    <row r="249" outlineLevel="2">
      <c r="A249" s="56" t="inlineStr">
        <is>
          <t>СПЕЦАВТО-ВОСТОК ООО</t>
        </is>
      </c>
      <c r="B249" s="387" t="inlineStr">
        <is>
          <t>Отсрочка 15 дней</t>
        </is>
      </c>
      <c r="C249" s="173" t="inlineStr">
        <is>
          <t>ВБК РУС</t>
        </is>
      </c>
      <c r="D249" s="565" t="inlineStr">
        <is>
          <t>Прасолов, Соловьёв</t>
        </is>
      </c>
      <c r="E249" s="10">
        <f>IF(ISBLANK(G249),"",IF($A$6:$A$330=$A249,COUNTIF($A$6:A249,$A249),""))</f>
        <v/>
      </c>
      <c r="F249" s="123" t="n">
        <v>1</v>
      </c>
      <c r="G249" s="128" t="n">
        <v>4496161560</v>
      </c>
      <c r="H249" s="612" t="inlineStr">
        <is>
          <t>Кабель ускорительного клапана ABS / диа., 10 м / 3 м</t>
        </is>
      </c>
      <c r="I249" s="618" t="n">
        <v>0</v>
      </c>
      <c r="J249" s="618" t="n"/>
      <c r="K249" s="874" t="n"/>
      <c r="L249" s="618">
        <f>IF(K249="RUB",J249/ЮАНЬ,IF(K249="EUR",J249*ЕВРО/ЮАНЬ,""))</f>
        <v/>
      </c>
      <c r="M249" s="873" t="n"/>
      <c r="N249" s="871">
        <f>IF(BP249&gt;0,1,IF(BN249&gt;0,2,))</f>
        <v/>
      </c>
      <c r="O249" s="23" t="n">
        <v>5</v>
      </c>
      <c r="P249" s="24" t="n"/>
      <c r="Q249" s="25" t="n">
        <v>0</v>
      </c>
      <c r="R249" s="24" t="n"/>
      <c r="S249" s="23" t="n">
        <v>5</v>
      </c>
      <c r="T249" s="24">
        <f>SUMPRODUCT((Комплекты[Пр]=$F249)*(Комплекты[Обозначение]=$G249)*Комплекты[Кол-во]*(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49" s="25" t="n">
        <v>0</v>
      </c>
      <c r="V249" s="24" t="n"/>
      <c r="W249" s="23" t="n">
        <v>5</v>
      </c>
      <c r="X249" s="24">
        <f>SUMPRODUCT((Комплекты[Пр]=$F249)*(Комплекты[Обозначение]=$G249)*Комплекты[Кол-во]*(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49" s="25" t="n">
        <v>0</v>
      </c>
      <c r="Z249" s="24" t="n"/>
      <c r="AA249" s="23" t="n">
        <v>5</v>
      </c>
      <c r="AB249" s="24">
        <f>SUMPRODUCT((Комплекты[Пр]=$F249)*(Комплекты[Обозначение]=$G249)*Комплекты[Кол-во]*(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49" s="25" t="n">
        <v>0</v>
      </c>
      <c r="AD249" s="24" t="n"/>
      <c r="AE249" s="23" t="n">
        <v>5</v>
      </c>
      <c r="AF249" s="24">
        <f>SUMPRODUCT((Комплекты[Пр]=$F249)*(Комплекты[Обозначение]=$G249)*Комплекты[Кол-во]*(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49" s="25" t="n">
        <v>0</v>
      </c>
      <c r="AH249" s="24" t="n"/>
      <c r="AI249" s="23" t="n">
        <v>5</v>
      </c>
      <c r="AJ249" s="24">
        <f>SUMPRODUCT((Комплекты[Пр]=$F249)*(Комплекты[Обозначение]=$G249)*Комплекты[Кол-во]*(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49" s="25" t="n">
        <v>0</v>
      </c>
      <c r="AL249" s="24" t="n"/>
      <c r="AM249" s="23" t="n">
        <v>5</v>
      </c>
      <c r="AN249" s="24">
        <f>SUMPRODUCT((Комплекты[Пр]=$F249)*(Комплекты[Обозначение]=$G249)*Комплекты[Кол-во]*(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49" s="25" t="n">
        <v>0</v>
      </c>
      <c r="AP249" s="24" t="n"/>
      <c r="AQ249" s="23" t="n">
        <v>5</v>
      </c>
      <c r="AR249" s="24">
        <f>SUMPRODUCT((Комплекты[Пр]=$F249)*(Комплекты[Обозначение]=$G249)*Комплекты[Кол-во]*(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49" s="25" t="n">
        <v>0</v>
      </c>
      <c r="AT249" s="24" t="n"/>
      <c r="AU249" s="23" t="n">
        <v>5</v>
      </c>
      <c r="AV249" s="24">
        <f>SUMPRODUCT((Комплекты[Пр]=$F249)*(Комплекты[Обозначение]=$G249)*Комплекты[Кол-во]*(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49" s="25" t="n">
        <v>0</v>
      </c>
      <c r="AX249" s="24" t="n"/>
      <c r="AY249" s="23" t="n">
        <v>5</v>
      </c>
      <c r="AZ249" s="24">
        <f>SUMPRODUCT((Комплекты[Пр]=$F249)*(Комплекты[Обозначение]=$G249)*Комплекты[Кол-во]*(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49" s="25" t="n">
        <v>0</v>
      </c>
      <c r="BB249" s="24" t="n"/>
      <c r="BC249" s="23" t="n">
        <v>5</v>
      </c>
      <c r="BD249" s="24">
        <f>SUMPRODUCT((Комплекты[Пр]=$F249)*(Комплекты[Обозначение]=$G249)*Комплекты[Кол-во]*(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49" s="25" t="n">
        <v>0</v>
      </c>
      <c r="BF249" s="24" t="n"/>
      <c r="BG249" s="23" t="n">
        <v>5</v>
      </c>
      <c r="BH249" s="24">
        <f>SUMPRODUCT((Комплекты[Пр]=$F249)*(Комплекты[Обозначение]=$G249)*Комплекты[Кол-во]*(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49" s="25" t="n">
        <v>0</v>
      </c>
      <c r="BJ249" s="24" t="n"/>
      <c r="BK249" s="340" t="n"/>
      <c r="BL249" s="803">
        <f>SUMPRODUCT(--(MOD(COLUMN($O249:$AL249),4)=MOD(COLUMN($O249)+0,4)),$O249:$AL249)
+SUMPRODUCT(--(MOD(COLUMN($AM249:$BJ249),4)=MOD(COLUMN($AM249)+0,4)),$AM249:$BJ249)</f>
        <v/>
      </c>
      <c r="BM249" s="803">
        <f>SUMPRODUCT(--(MOD(COLUMN($O249:$AL249),4)=MOD(COLUMN($O249)+0,4)),$O249:$AL249)*
$I249+SUMPRODUCT(--(MOD(COLUMN($AM249:$BJ249),4)=MOD(COLUMN($AM249)+0,4)),$AM249:$BJ249)*$I249</f>
        <v/>
      </c>
      <c r="BN249" s="805">
        <f>SUMPRODUCT(--(MOD(COLUMN($O249:$AL249),4)=MOD(COLUMN($O249)+1,4)),$O249:$AL249)
+SUMPRODUCT(--(MOD(COLUMN($AM249:$BJ249),4)=MOD(COLUMN($AM249)+1,4)),$AM249:$BJ249)</f>
        <v/>
      </c>
      <c r="BO249" s="806">
        <f>SUMPRODUCT(--(MOD(COLUMN($O249:$AL249),4)=MOD(COLUMN($O249)+1,4)),$O249:$AL249)*
$I249+SUMPRODUCT(--(MOD(COLUMN($AM249:$BJ249),4)=MOD(COLUMN($AM249)+1,4)),$AM249:$BJ249)*$I249</f>
        <v/>
      </c>
      <c r="BP249" s="807">
        <f>SUMPRODUCT(--(MOD(COLUMN($O249:$AL249),4)=MOD(COLUMN($O249)+2,4)),$O249:$AL249)
+SUMPRODUCT(--(MOD(COLUMN($AM249:$BJ249),4)=MOD(COLUMN($AM249)+2,4)),$AM249:$BJ249)</f>
        <v/>
      </c>
      <c r="BQ249" s="808">
        <f>SUMPRODUCT(--(MOD(COLUMN($O249:$AL249),4)=MOD(COLUMN($O249)+2,4)),$O249:$AL249)*
$I249+SUMPRODUCT(--(MOD(COLUMN($AM249:$BJ249),4)=MOD(COLUMN($AM249)+2,4)),$AM249:$BJ249)*$I249</f>
        <v/>
      </c>
      <c r="BR249" s="801" t="n"/>
      <c r="BS249" s="819" t="n"/>
      <c r="BT249" s="23" t="n">
        <v>10</v>
      </c>
      <c r="BU249" s="24" t="n"/>
      <c r="BV249" s="25" t="n">
        <v>0</v>
      </c>
      <c r="BW249" s="24" t="n"/>
      <c r="BX249" s="23" t="n">
        <v>10</v>
      </c>
      <c r="BY249" s="24" t="n"/>
      <c r="BZ249" s="25" t="n">
        <v>0</v>
      </c>
      <c r="CA249" s="24" t="n"/>
      <c r="CB249" s="23" t="n">
        <v>10</v>
      </c>
      <c r="CC249" s="24" t="n"/>
      <c r="CD249" s="25" t="n">
        <v>0</v>
      </c>
      <c r="CE249" s="24" t="n"/>
      <c r="CF249" s="23" t="n">
        <v>10</v>
      </c>
      <c r="CG249" s="24" t="n"/>
      <c r="CH249" s="25" t="n">
        <v>0</v>
      </c>
      <c r="CI249" s="24" t="n"/>
      <c r="CJ249" s="23" t="n">
        <v>10</v>
      </c>
      <c r="CK249" s="24" t="n"/>
      <c r="CL249" s="25" t="n">
        <v>0</v>
      </c>
      <c r="CM249" s="24" t="n"/>
      <c r="CN249" s="23" t="n">
        <v>10</v>
      </c>
      <c r="CO249" s="24" t="n"/>
      <c r="CP249" s="25" t="n">
        <v>0</v>
      </c>
      <c r="CQ249" s="24" t="n"/>
      <c r="CR249" s="23" t="n">
        <v>10</v>
      </c>
      <c r="CS249" s="24" t="n"/>
      <c r="CT249" s="25" t="n">
        <v>0</v>
      </c>
      <c r="CU249" s="24" t="n"/>
      <c r="CV249" s="23" t="n">
        <v>10</v>
      </c>
      <c r="CW249" s="24" t="n"/>
      <c r="CX249" s="25" t="n">
        <v>0</v>
      </c>
      <c r="CY249" s="24" t="n"/>
      <c r="CZ249" s="23" t="n">
        <v>10</v>
      </c>
      <c r="DA249" s="24" t="n"/>
      <c r="DB249" s="25" t="n">
        <v>0</v>
      </c>
      <c r="DC249" s="24" t="n"/>
      <c r="DD249" s="23" t="n">
        <v>10</v>
      </c>
      <c r="DE249" s="24" t="n"/>
      <c r="DF249" s="25" t="n">
        <v>0</v>
      </c>
      <c r="DG249" s="24" t="n"/>
      <c r="DH249" s="23" t="n">
        <v>10</v>
      </c>
      <c r="DI249" s="24" t="n"/>
      <c r="DJ249" s="25" t="n">
        <v>0</v>
      </c>
      <c r="DK249" s="24" t="n"/>
      <c r="DL249" s="23" t="n">
        <v>10</v>
      </c>
      <c r="DM249" s="24" t="n"/>
      <c r="DN249" s="25" t="n">
        <v>0</v>
      </c>
      <c r="DO249" s="24" t="n"/>
      <c r="DP249" s="340" t="n"/>
      <c r="DQ249" s="803">
        <f>SUMPRODUCT(--(MOD(COLUMN(BT249:CQ249),4)=MOD(COLUMN(BT249),4)),BT249:CQ249)+SUMPRODUCT(--(MOD(COLUMN(CR249:DO249),4)=MOD(COLUMN(CR249),4)),CR249:DO249)</f>
        <v/>
      </c>
      <c r="DR249" s="803">
        <f>SUMPRODUCT(--(MOD(COLUMN(BT249:CQ249),4)=MOD(COLUMN(BT249),4)),BT249:CQ249)*$I249+SUMPRODUCT(--(MOD(COLUMN(CR249:DO249),4)=MOD(COLUMN(CR249),4)),CR249:DO249)*$I249</f>
        <v/>
      </c>
      <c r="DS249" s="801" t="n"/>
      <c r="DT249" s="819" t="n"/>
      <c r="DU249" s="23" t="n">
        <v>10</v>
      </c>
      <c r="DV249" s="24" t="n"/>
      <c r="DW249" s="25" t="n">
        <v>0</v>
      </c>
      <c r="DX249" s="24" t="n"/>
      <c r="DY249" s="23" t="n">
        <v>10</v>
      </c>
      <c r="DZ249" s="24" t="n"/>
      <c r="EA249" s="25" t="n">
        <v>0</v>
      </c>
      <c r="EB249" s="24" t="n"/>
      <c r="EC249" s="23" t="n">
        <v>10</v>
      </c>
      <c r="ED249" s="24" t="n"/>
      <c r="EE249" s="25" t="n">
        <v>0</v>
      </c>
      <c r="EF249" s="24" t="n"/>
      <c r="EG249" s="23" t="n">
        <v>10</v>
      </c>
      <c r="EH249" s="24" t="n"/>
      <c r="EI249" s="25" t="n">
        <v>0</v>
      </c>
      <c r="EJ249" s="24" t="n"/>
      <c r="EK249" s="23" t="n">
        <v>10</v>
      </c>
      <c r="EL249" s="24" t="n"/>
      <c r="EM249" s="25" t="n">
        <v>0</v>
      </c>
      <c r="EN249" s="24" t="n"/>
      <c r="EO249" s="23" t="n">
        <v>10</v>
      </c>
      <c r="EP249" s="24" t="n"/>
      <c r="EQ249" s="25" t="n">
        <v>0</v>
      </c>
      <c r="ER249" s="24" t="n"/>
      <c r="ES249" s="23" t="n">
        <v>10</v>
      </c>
      <c r="ET249" s="24" t="n"/>
      <c r="EU249" s="25" t="n">
        <v>0</v>
      </c>
      <c r="EV249" s="24" t="n"/>
      <c r="EW249" s="23" t="n">
        <v>10</v>
      </c>
      <c r="EX249" s="24" t="n"/>
      <c r="EY249" s="25" t="n">
        <v>0</v>
      </c>
      <c r="EZ249" s="24" t="n"/>
      <c r="FA249" s="23" t="n">
        <v>10</v>
      </c>
      <c r="FB249" s="24" t="n"/>
      <c r="FC249" s="25" t="n">
        <v>0</v>
      </c>
      <c r="FD249" s="24" t="n"/>
      <c r="FE249" s="23" t="n">
        <v>10</v>
      </c>
      <c r="FF249" s="24" t="n"/>
      <c r="FG249" s="25" t="n">
        <v>0</v>
      </c>
      <c r="FH249" s="24" t="n"/>
      <c r="FI249" s="23" t="n">
        <v>10</v>
      </c>
      <c r="FJ249" s="24" t="n"/>
      <c r="FK249" s="25" t="n">
        <v>0</v>
      </c>
      <c r="FL249" s="24" t="n"/>
      <c r="FM249" s="23" t="n">
        <v>10</v>
      </c>
      <c r="FN249" s="24" t="n"/>
      <c r="FO249" s="25" t="n">
        <v>0</v>
      </c>
      <c r="FP249" s="24" t="n"/>
      <c r="FQ249" s="340" t="n"/>
      <c r="FR249" s="803">
        <f>SUMPRODUCT(--(MOD(COLUMN(DU249:ER249),4)=MOD(COLUMN(DU249),4)),DU249:ER249)+SUMPRODUCT(--(MOD(COLUMN(ES249:FP249),4)=MOD(COLUMN(ES249),4)),ES249:FP249)</f>
        <v/>
      </c>
      <c r="FS249" s="803">
        <f>SUMPRODUCT(--(MOD(COLUMN(DU249:ER249),4)=MOD(COLUMN(DU249),4)),DU249:ER249)*$I249+SUMPRODUCT(--(MOD(COLUMN(ES249:FP249),4)=MOD(COLUMN(ES249),4)),ES249:FP249)*$I249</f>
        <v/>
      </c>
      <c r="FT249" s="361" t="n"/>
    </row>
    <row r="250" outlineLevel="2">
      <c r="A250" s="56" t="inlineStr">
        <is>
          <t>СПЕЦАВТО-ВОСТОК ООО</t>
        </is>
      </c>
      <c r="B250" s="387" t="inlineStr">
        <is>
          <t>Отсрочка 15 дней</t>
        </is>
      </c>
      <c r="C250" s="173" t="inlineStr">
        <is>
          <t>ВБК РУС</t>
        </is>
      </c>
      <c r="D250" s="565" t="inlineStr">
        <is>
          <t>Прасолов, Соловьёв</t>
        </is>
      </c>
      <c r="E250" s="10">
        <f>IF(ISBLANK(G250),"",IF($A$6:$A$330=$A250,COUNTIF($A$6:A250,$A250),""))</f>
        <v/>
      </c>
      <c r="F250" s="123" t="n">
        <v>1</v>
      </c>
      <c r="G250" s="128" t="n">
        <v>9522010010</v>
      </c>
      <c r="H250" s="612" t="inlineStr">
        <is>
          <t>Головка соединительная (управляющая)</t>
        </is>
      </c>
      <c r="I250" s="618" t="n">
        <v>0</v>
      </c>
      <c r="J250" s="618" t="n"/>
      <c r="K250" s="874" t="n"/>
      <c r="L250" s="618">
        <f>IF(K250="RUB",J250/ЮАНЬ,IF(K250="EUR",J250*ЕВРО/ЮАНЬ,""))</f>
        <v/>
      </c>
      <c r="M250" s="873" t="n"/>
      <c r="N250" s="871">
        <f>IF(BP250&gt;0,1,IF(BN250&gt;0,2,))</f>
        <v/>
      </c>
      <c r="O250" s="23" t="n">
        <v>20</v>
      </c>
      <c r="P250" s="24" t="n"/>
      <c r="Q250" s="25" t="n">
        <v>0</v>
      </c>
      <c r="R250" s="24" t="n"/>
      <c r="S250" s="23" t="n">
        <v>20</v>
      </c>
      <c r="T250" s="24">
        <f>SUMPRODUCT((Комплекты[Пр]=$F250)*(Комплекты[Обозначение]=$G250)*Комплекты[Кол-во]*(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50" s="25" t="n">
        <v>5</v>
      </c>
      <c r="V250" s="24" t="n"/>
      <c r="W250" s="23" t="n">
        <v>20</v>
      </c>
      <c r="X250" s="24">
        <f>SUMPRODUCT((Комплекты[Пр]=$F250)*(Комплекты[Обозначение]=$G250)*Комплекты[Кол-во]*(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50" s="25" t="n">
        <v>16</v>
      </c>
      <c r="Z250" s="24" t="n"/>
      <c r="AA250" s="23" t="n">
        <v>20</v>
      </c>
      <c r="AB250" s="24">
        <f>SUMPRODUCT((Комплекты[Пр]=$F250)*(Комплекты[Обозначение]=$G250)*Комплекты[Кол-во]*(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50" s="25" t="n">
        <v>0</v>
      </c>
      <c r="AD250" s="24" t="n"/>
      <c r="AE250" s="23" t="n">
        <v>20</v>
      </c>
      <c r="AF250" s="24">
        <f>SUMPRODUCT((Комплекты[Пр]=$F250)*(Комплекты[Обозначение]=$G250)*Комплекты[Кол-во]*(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50" s="25" t="n">
        <v>20</v>
      </c>
      <c r="AH250" s="24" t="n"/>
      <c r="AI250" s="23" t="n">
        <v>20</v>
      </c>
      <c r="AJ250" s="24">
        <f>SUMPRODUCT((Комплекты[Пр]=$F250)*(Комплекты[Обозначение]=$G250)*Комплекты[Кол-во]*(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50" s="25" t="n">
        <v>0</v>
      </c>
      <c r="AL250" s="24" t="n"/>
      <c r="AM250" s="23" t="n">
        <v>20</v>
      </c>
      <c r="AN250" s="24">
        <f>SUMPRODUCT((Комплекты[Пр]=$F250)*(Комплекты[Обозначение]=$G250)*Комплекты[Кол-во]*(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50" s="25" t="n">
        <v>0</v>
      </c>
      <c r="AP250" s="24" t="n"/>
      <c r="AQ250" s="23" t="n">
        <v>20</v>
      </c>
      <c r="AR250" s="24">
        <f>SUMPRODUCT((Комплекты[Пр]=$F250)*(Комплекты[Обозначение]=$G250)*Комплекты[Кол-во]*(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50" s="25" t="n">
        <v>0</v>
      </c>
      <c r="AT250" s="24" t="n"/>
      <c r="AU250" s="23" t="n">
        <v>25</v>
      </c>
      <c r="AV250" s="24">
        <f>SUMPRODUCT((Комплекты[Пр]=$F250)*(Комплекты[Обозначение]=$G250)*Комплекты[Кол-во]*(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50" s="25" t="n">
        <v>0</v>
      </c>
      <c r="AX250" s="24" t="n"/>
      <c r="AY250" s="23" t="n">
        <v>25</v>
      </c>
      <c r="AZ250" s="24">
        <f>SUMPRODUCT((Комплекты[Пр]=$F250)*(Комплекты[Обозначение]=$G250)*Комплекты[Кол-во]*(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50" s="25" t="n">
        <v>0</v>
      </c>
      <c r="BB250" s="24" t="n"/>
      <c r="BC250" s="23" t="n">
        <v>25</v>
      </c>
      <c r="BD250" s="24">
        <f>SUMPRODUCT((Комплекты[Пр]=$F250)*(Комплекты[Обозначение]=$G250)*Комплекты[Кол-во]*(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50" s="25" t="n">
        <v>0</v>
      </c>
      <c r="BF250" s="24" t="n"/>
      <c r="BG250" s="23" t="n">
        <v>25</v>
      </c>
      <c r="BH250" s="24">
        <f>SUMPRODUCT((Комплекты[Пр]=$F250)*(Комплекты[Обозначение]=$G250)*Комплекты[Кол-во]*(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50" s="25" t="n">
        <v>0</v>
      </c>
      <c r="BJ250" s="24" t="n"/>
      <c r="BK250" s="340" t="n"/>
      <c r="BL250" s="803">
        <f>SUMPRODUCT(--(MOD(COLUMN($O250:$AL250),4)=MOD(COLUMN($O250)+0,4)),$O250:$AL250)
+SUMPRODUCT(--(MOD(COLUMN($AM250:$BJ250),4)=MOD(COLUMN($AM250)+0,4)),$AM250:$BJ250)</f>
        <v/>
      </c>
      <c r="BM250" s="803">
        <f>SUMPRODUCT(--(MOD(COLUMN($O250:$AL250),4)=MOD(COLUMN($O250)+0,4)),$O250:$AL250)*
$I250+SUMPRODUCT(--(MOD(COLUMN($AM250:$BJ250),4)=MOD(COLUMN($AM250)+0,4)),$AM250:$BJ250)*$I250</f>
        <v/>
      </c>
      <c r="BN250" s="805">
        <f>SUMPRODUCT(--(MOD(COLUMN($O250:$AL250),4)=MOD(COLUMN($O250)+1,4)),$O250:$AL250)
+SUMPRODUCT(--(MOD(COLUMN($AM250:$BJ250),4)=MOD(COLUMN($AM250)+1,4)),$AM250:$BJ250)</f>
        <v/>
      </c>
      <c r="BO250" s="806">
        <f>SUMPRODUCT(--(MOD(COLUMN($O250:$AL250),4)=MOD(COLUMN($O250)+1,4)),$O250:$AL250)*
$I250+SUMPRODUCT(--(MOD(COLUMN($AM250:$BJ250),4)=MOD(COLUMN($AM250)+1,4)),$AM250:$BJ250)*$I250</f>
        <v/>
      </c>
      <c r="BP250" s="807">
        <f>SUMPRODUCT(--(MOD(COLUMN($O250:$AL250),4)=MOD(COLUMN($O250)+2,4)),$O250:$AL250)
+SUMPRODUCT(--(MOD(COLUMN($AM250:$BJ250),4)=MOD(COLUMN($AM250)+2,4)),$AM250:$BJ250)</f>
        <v/>
      </c>
      <c r="BQ250" s="808">
        <f>SUMPRODUCT(--(MOD(COLUMN($O250:$AL250),4)=MOD(COLUMN($O250)+2,4)),$O250:$AL250)*
$I250+SUMPRODUCT(--(MOD(COLUMN($AM250:$BJ250),4)=MOD(COLUMN($AM250)+2,4)),$AM250:$BJ250)*$I250</f>
        <v/>
      </c>
      <c r="BR250" s="801" t="n"/>
      <c r="BS250" s="819" t="n"/>
      <c r="BT250" s="23" t="n">
        <v>10</v>
      </c>
      <c r="BU250" s="24" t="n"/>
      <c r="BV250" s="25" t="n">
        <v>0</v>
      </c>
      <c r="BW250" s="24" t="n"/>
      <c r="BX250" s="23" t="n">
        <v>10</v>
      </c>
      <c r="BY250" s="24" t="n"/>
      <c r="BZ250" s="25" t="n">
        <v>0</v>
      </c>
      <c r="CA250" s="24" t="n"/>
      <c r="CB250" s="23" t="n">
        <v>10</v>
      </c>
      <c r="CC250" s="24" t="n"/>
      <c r="CD250" s="25" t="n">
        <v>0</v>
      </c>
      <c r="CE250" s="24" t="n"/>
      <c r="CF250" s="23" t="n">
        <v>10</v>
      </c>
      <c r="CG250" s="24" t="n"/>
      <c r="CH250" s="25" t="n">
        <v>0</v>
      </c>
      <c r="CI250" s="24" t="n"/>
      <c r="CJ250" s="23" t="n">
        <v>10</v>
      </c>
      <c r="CK250" s="24" t="n"/>
      <c r="CL250" s="25" t="n">
        <v>0</v>
      </c>
      <c r="CM250" s="24" t="n"/>
      <c r="CN250" s="23" t="n">
        <v>10</v>
      </c>
      <c r="CO250" s="24" t="n"/>
      <c r="CP250" s="25" t="n">
        <v>0</v>
      </c>
      <c r="CQ250" s="24" t="n"/>
      <c r="CR250" s="23" t="n">
        <v>10</v>
      </c>
      <c r="CS250" s="24" t="n"/>
      <c r="CT250" s="25" t="n">
        <v>0</v>
      </c>
      <c r="CU250" s="24" t="n"/>
      <c r="CV250" s="23" t="n">
        <v>10</v>
      </c>
      <c r="CW250" s="24" t="n"/>
      <c r="CX250" s="25" t="n">
        <v>0</v>
      </c>
      <c r="CY250" s="24" t="n"/>
      <c r="CZ250" s="23" t="n">
        <v>10</v>
      </c>
      <c r="DA250" s="24" t="n"/>
      <c r="DB250" s="25" t="n">
        <v>0</v>
      </c>
      <c r="DC250" s="24" t="n"/>
      <c r="DD250" s="23" t="n">
        <v>10</v>
      </c>
      <c r="DE250" s="24" t="n"/>
      <c r="DF250" s="25" t="n">
        <v>0</v>
      </c>
      <c r="DG250" s="24" t="n"/>
      <c r="DH250" s="23" t="n">
        <v>10</v>
      </c>
      <c r="DI250" s="24" t="n"/>
      <c r="DJ250" s="25" t="n">
        <v>0</v>
      </c>
      <c r="DK250" s="24" t="n"/>
      <c r="DL250" s="23" t="n">
        <v>10</v>
      </c>
      <c r="DM250" s="24" t="n"/>
      <c r="DN250" s="25" t="n">
        <v>0</v>
      </c>
      <c r="DO250" s="24" t="n"/>
      <c r="DP250" s="340" t="n"/>
      <c r="DQ250" s="803">
        <f>SUMPRODUCT(--(MOD(COLUMN(BT250:CQ250),4)=MOD(COLUMN(BT250),4)),BT250:CQ250)+SUMPRODUCT(--(MOD(COLUMN(CR250:DO250),4)=MOD(COLUMN(CR250),4)),CR250:DO250)</f>
        <v/>
      </c>
      <c r="DR250" s="803">
        <f>SUMPRODUCT(--(MOD(COLUMN(BT250:CQ250),4)=MOD(COLUMN(BT250),4)),BT250:CQ250)*$I250+SUMPRODUCT(--(MOD(COLUMN(CR250:DO250),4)=MOD(COLUMN(CR250),4)),CR250:DO250)*$I250</f>
        <v/>
      </c>
      <c r="DS250" s="801" t="n"/>
      <c r="DT250" s="819" t="n"/>
      <c r="DU250" s="23" t="n">
        <v>15</v>
      </c>
      <c r="DV250" s="24" t="n"/>
      <c r="DW250" s="25" t="n">
        <v>0</v>
      </c>
      <c r="DX250" s="24" t="n"/>
      <c r="DY250" s="23" t="n">
        <v>15</v>
      </c>
      <c r="DZ250" s="24" t="n"/>
      <c r="EA250" s="25" t="n">
        <v>0</v>
      </c>
      <c r="EB250" s="24" t="n"/>
      <c r="EC250" s="23" t="n">
        <v>15</v>
      </c>
      <c r="ED250" s="24" t="n"/>
      <c r="EE250" s="25" t="n">
        <v>0</v>
      </c>
      <c r="EF250" s="24" t="n"/>
      <c r="EG250" s="23" t="n">
        <v>15</v>
      </c>
      <c r="EH250" s="24" t="n"/>
      <c r="EI250" s="25" t="n">
        <v>0</v>
      </c>
      <c r="EJ250" s="24" t="n"/>
      <c r="EK250" s="23" t="n">
        <v>15</v>
      </c>
      <c r="EL250" s="24" t="n"/>
      <c r="EM250" s="25" t="n">
        <v>0</v>
      </c>
      <c r="EN250" s="24" t="n"/>
      <c r="EO250" s="23" t="n">
        <v>15</v>
      </c>
      <c r="EP250" s="24" t="n"/>
      <c r="EQ250" s="25" t="n">
        <v>0</v>
      </c>
      <c r="ER250" s="24" t="n"/>
      <c r="ES250" s="23" t="n">
        <v>15</v>
      </c>
      <c r="ET250" s="24" t="n"/>
      <c r="EU250" s="25" t="n">
        <v>0</v>
      </c>
      <c r="EV250" s="24" t="n"/>
      <c r="EW250" s="23" t="n">
        <v>15</v>
      </c>
      <c r="EX250" s="24" t="n"/>
      <c r="EY250" s="25" t="n">
        <v>0</v>
      </c>
      <c r="EZ250" s="24" t="n"/>
      <c r="FA250" s="23" t="n">
        <v>15</v>
      </c>
      <c r="FB250" s="24" t="n"/>
      <c r="FC250" s="25" t="n">
        <v>0</v>
      </c>
      <c r="FD250" s="24" t="n"/>
      <c r="FE250" s="23" t="n">
        <v>15</v>
      </c>
      <c r="FF250" s="24" t="n"/>
      <c r="FG250" s="25" t="n">
        <v>0</v>
      </c>
      <c r="FH250" s="24" t="n"/>
      <c r="FI250" s="23" t="n">
        <v>15</v>
      </c>
      <c r="FJ250" s="24" t="n"/>
      <c r="FK250" s="25" t="n">
        <v>0</v>
      </c>
      <c r="FL250" s="24" t="n"/>
      <c r="FM250" s="23" t="n">
        <v>15</v>
      </c>
      <c r="FN250" s="24" t="n"/>
      <c r="FO250" s="25" t="n">
        <v>0</v>
      </c>
      <c r="FP250" s="24" t="n"/>
      <c r="FQ250" s="340" t="n"/>
      <c r="FR250" s="803">
        <f>SUMPRODUCT(--(MOD(COLUMN(DU250:ER250),4)=MOD(COLUMN(DU250),4)),DU250:ER250)+SUMPRODUCT(--(MOD(COLUMN(ES250:FP250),4)=MOD(COLUMN(ES250),4)),ES250:FP250)</f>
        <v/>
      </c>
      <c r="FS250" s="803">
        <f>SUMPRODUCT(--(MOD(COLUMN(DU250:ER250),4)=MOD(COLUMN(DU250),4)),DU250:ER250)*$I250+SUMPRODUCT(--(MOD(COLUMN(ES250:FP250),4)=MOD(COLUMN(ES250),4)),ES250:FP250)*$I250</f>
        <v/>
      </c>
      <c r="FT250" s="361" t="n"/>
    </row>
    <row r="251" outlineLevel="2">
      <c r="A251" s="56" t="inlineStr">
        <is>
          <t>СПЕЦАВТО-ВОСТОК ООО</t>
        </is>
      </c>
      <c r="B251" s="387" t="inlineStr">
        <is>
          <t>Отсрочка 15 дней</t>
        </is>
      </c>
      <c r="C251" s="173" t="inlineStr">
        <is>
          <t>ВБК РУС</t>
        </is>
      </c>
      <c r="D251" s="565" t="inlineStr">
        <is>
          <t>Прасолов, Соловьёв</t>
        </is>
      </c>
      <c r="E251" s="10">
        <f>IF(ISBLANK(G251),"",IF($A$6:$A$330=$A251,COUNTIF($A$6:A251,$A251),""))</f>
        <v/>
      </c>
      <c r="F251" s="123" t="n">
        <v>1</v>
      </c>
      <c r="G251" s="128" t="n">
        <v>9522010020</v>
      </c>
      <c r="H251" s="612" t="inlineStr">
        <is>
          <t>Головка соединительная (питающая)</t>
        </is>
      </c>
      <c r="I251" s="618" t="n">
        <v>0</v>
      </c>
      <c r="J251" s="618" t="n"/>
      <c r="K251" s="874" t="n"/>
      <c r="L251" s="618">
        <f>IF(K251="RUB",J251/ЮАНЬ,IF(K251="EUR",J251*ЕВРО/ЮАНЬ,""))</f>
        <v/>
      </c>
      <c r="M251" s="873" t="n"/>
      <c r="N251" s="871">
        <f>IF(BP251&gt;0,1,IF(BN251&gt;0,2,))</f>
        <v/>
      </c>
      <c r="O251" s="23" t="n">
        <v>20</v>
      </c>
      <c r="P251" s="24" t="n"/>
      <c r="Q251" s="25" t="n">
        <v>0</v>
      </c>
      <c r="R251" s="24" t="n"/>
      <c r="S251" s="23" t="n">
        <v>20</v>
      </c>
      <c r="T251" s="24">
        <f>SUMPRODUCT((Комплекты[Пр]=$F251)*(Комплекты[Обозначение]=$G251)*Комплекты[Кол-во]*(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51" s="25" t="n">
        <v>5</v>
      </c>
      <c r="V251" s="24" t="n"/>
      <c r="W251" s="23" t="n">
        <v>20</v>
      </c>
      <c r="X251" s="24">
        <f>SUMPRODUCT((Комплекты[Пр]=$F251)*(Комплекты[Обозначение]=$G251)*Комплекты[Кол-во]*(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51" s="25" t="n">
        <v>16</v>
      </c>
      <c r="Z251" s="24" t="n"/>
      <c r="AA251" s="23" t="n">
        <v>20</v>
      </c>
      <c r="AB251" s="24">
        <f>SUMPRODUCT((Комплекты[Пр]=$F251)*(Комплекты[Обозначение]=$G251)*Комплекты[Кол-во]*(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51" s="25" t="n">
        <v>0</v>
      </c>
      <c r="AD251" s="24" t="n"/>
      <c r="AE251" s="23" t="n">
        <v>20</v>
      </c>
      <c r="AF251" s="24">
        <f>SUMPRODUCT((Комплекты[Пр]=$F251)*(Комплекты[Обозначение]=$G251)*Комплекты[Кол-во]*(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51" s="25" t="n">
        <v>20</v>
      </c>
      <c r="AH251" s="24" t="n"/>
      <c r="AI251" s="23" t="n">
        <v>20</v>
      </c>
      <c r="AJ251" s="24">
        <f>SUMPRODUCT((Комплекты[Пр]=$F251)*(Комплекты[Обозначение]=$G251)*Комплекты[Кол-во]*(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51" s="25" t="n">
        <v>0</v>
      </c>
      <c r="AL251" s="24" t="n"/>
      <c r="AM251" s="23" t="n">
        <v>20</v>
      </c>
      <c r="AN251" s="24">
        <f>SUMPRODUCT((Комплекты[Пр]=$F251)*(Комплекты[Обозначение]=$G251)*Комплекты[Кол-во]*(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51" s="25" t="n">
        <v>0</v>
      </c>
      <c r="AP251" s="24" t="n"/>
      <c r="AQ251" s="23" t="n">
        <v>20</v>
      </c>
      <c r="AR251" s="24">
        <f>SUMPRODUCT((Комплекты[Пр]=$F251)*(Комплекты[Обозначение]=$G251)*Комплекты[Кол-во]*(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51" s="25" t="n">
        <v>0</v>
      </c>
      <c r="AT251" s="24" t="n"/>
      <c r="AU251" s="23" t="n">
        <v>25</v>
      </c>
      <c r="AV251" s="24">
        <f>SUMPRODUCT((Комплекты[Пр]=$F251)*(Комплекты[Обозначение]=$G251)*Комплекты[Кол-во]*(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51" s="25" t="n">
        <v>0</v>
      </c>
      <c r="AX251" s="24" t="n"/>
      <c r="AY251" s="23" t="n">
        <v>25</v>
      </c>
      <c r="AZ251" s="24">
        <f>SUMPRODUCT((Комплекты[Пр]=$F251)*(Комплекты[Обозначение]=$G251)*Комплекты[Кол-во]*(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51" s="25" t="n">
        <v>0</v>
      </c>
      <c r="BB251" s="24" t="n"/>
      <c r="BC251" s="23" t="n">
        <v>25</v>
      </c>
      <c r="BD251" s="24">
        <f>SUMPRODUCT((Комплекты[Пр]=$F251)*(Комплекты[Обозначение]=$G251)*Комплекты[Кол-во]*(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51" s="25" t="n">
        <v>0</v>
      </c>
      <c r="BF251" s="24" t="n"/>
      <c r="BG251" s="23" t="n">
        <v>25</v>
      </c>
      <c r="BH251" s="24">
        <f>SUMPRODUCT((Комплекты[Пр]=$F251)*(Комплекты[Обозначение]=$G251)*Комплекты[Кол-во]*(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51" s="25" t="n">
        <v>0</v>
      </c>
      <c r="BJ251" s="24" t="n"/>
      <c r="BK251" s="340" t="n"/>
      <c r="BL251" s="803">
        <f>SUMPRODUCT(--(MOD(COLUMN($O251:$AL251),4)=MOD(COLUMN($O251)+0,4)),$O251:$AL251)
+SUMPRODUCT(--(MOD(COLUMN($AM251:$BJ251),4)=MOD(COLUMN($AM251)+0,4)),$AM251:$BJ251)</f>
        <v/>
      </c>
      <c r="BM251" s="803">
        <f>SUMPRODUCT(--(MOD(COLUMN($O251:$AL251),4)=MOD(COLUMN($O251)+0,4)),$O251:$AL251)*
$I251+SUMPRODUCT(--(MOD(COLUMN($AM251:$BJ251),4)=MOD(COLUMN($AM251)+0,4)),$AM251:$BJ251)*$I251</f>
        <v/>
      </c>
      <c r="BN251" s="805">
        <f>SUMPRODUCT(--(MOD(COLUMN($O251:$AL251),4)=MOD(COLUMN($O251)+1,4)),$O251:$AL251)
+SUMPRODUCT(--(MOD(COLUMN($AM251:$BJ251),4)=MOD(COLUMN($AM251)+1,4)),$AM251:$BJ251)</f>
        <v/>
      </c>
      <c r="BO251" s="806">
        <f>SUMPRODUCT(--(MOD(COLUMN($O251:$AL251),4)=MOD(COLUMN($O251)+1,4)),$O251:$AL251)*
$I251+SUMPRODUCT(--(MOD(COLUMN($AM251:$BJ251),4)=MOD(COLUMN($AM251)+1,4)),$AM251:$BJ251)*$I251</f>
        <v/>
      </c>
      <c r="BP251" s="807">
        <f>SUMPRODUCT(--(MOD(COLUMN($O251:$AL251),4)=MOD(COLUMN($O251)+2,4)),$O251:$AL251)
+SUMPRODUCT(--(MOD(COLUMN($AM251:$BJ251),4)=MOD(COLUMN($AM251)+2,4)),$AM251:$BJ251)</f>
        <v/>
      </c>
      <c r="BQ251" s="808">
        <f>SUMPRODUCT(--(MOD(COLUMN($O251:$AL251),4)=MOD(COLUMN($O251)+2,4)),$O251:$AL251)*
$I251+SUMPRODUCT(--(MOD(COLUMN($AM251:$BJ251),4)=MOD(COLUMN($AM251)+2,4)),$AM251:$BJ251)*$I251</f>
        <v/>
      </c>
      <c r="BR251" s="801" t="n"/>
      <c r="BS251" s="819" t="n"/>
      <c r="BT251" s="23" t="n">
        <v>10</v>
      </c>
      <c r="BU251" s="24" t="n"/>
      <c r="BV251" s="25" t="n">
        <v>0</v>
      </c>
      <c r="BW251" s="24" t="n"/>
      <c r="BX251" s="23" t="n">
        <v>10</v>
      </c>
      <c r="BY251" s="24" t="n"/>
      <c r="BZ251" s="25" t="n">
        <v>0</v>
      </c>
      <c r="CA251" s="24" t="n"/>
      <c r="CB251" s="23" t="n">
        <v>10</v>
      </c>
      <c r="CC251" s="24" t="n"/>
      <c r="CD251" s="25" t="n">
        <v>0</v>
      </c>
      <c r="CE251" s="24" t="n"/>
      <c r="CF251" s="23" t="n">
        <v>10</v>
      </c>
      <c r="CG251" s="24" t="n"/>
      <c r="CH251" s="25" t="n">
        <v>0</v>
      </c>
      <c r="CI251" s="24" t="n"/>
      <c r="CJ251" s="23" t="n">
        <v>10</v>
      </c>
      <c r="CK251" s="24" t="n"/>
      <c r="CL251" s="25" t="n">
        <v>0</v>
      </c>
      <c r="CM251" s="24" t="n"/>
      <c r="CN251" s="23" t="n">
        <v>10</v>
      </c>
      <c r="CO251" s="24" t="n"/>
      <c r="CP251" s="25" t="n">
        <v>0</v>
      </c>
      <c r="CQ251" s="24" t="n"/>
      <c r="CR251" s="23" t="n">
        <v>10</v>
      </c>
      <c r="CS251" s="24" t="n"/>
      <c r="CT251" s="25" t="n">
        <v>0</v>
      </c>
      <c r="CU251" s="24" t="n"/>
      <c r="CV251" s="23" t="n">
        <v>10</v>
      </c>
      <c r="CW251" s="24" t="n"/>
      <c r="CX251" s="25" t="n">
        <v>0</v>
      </c>
      <c r="CY251" s="24" t="n"/>
      <c r="CZ251" s="23" t="n">
        <v>10</v>
      </c>
      <c r="DA251" s="24" t="n"/>
      <c r="DB251" s="25" t="n">
        <v>0</v>
      </c>
      <c r="DC251" s="24" t="n"/>
      <c r="DD251" s="23" t="n">
        <v>10</v>
      </c>
      <c r="DE251" s="24" t="n"/>
      <c r="DF251" s="25" t="n">
        <v>0</v>
      </c>
      <c r="DG251" s="24" t="n"/>
      <c r="DH251" s="23" t="n">
        <v>10</v>
      </c>
      <c r="DI251" s="24" t="n"/>
      <c r="DJ251" s="25" t="n">
        <v>0</v>
      </c>
      <c r="DK251" s="24" t="n"/>
      <c r="DL251" s="23" t="n">
        <v>10</v>
      </c>
      <c r="DM251" s="24" t="n"/>
      <c r="DN251" s="25" t="n">
        <v>0</v>
      </c>
      <c r="DO251" s="24" t="n"/>
      <c r="DP251" s="340" t="n"/>
      <c r="DQ251" s="803">
        <f>SUMPRODUCT(--(MOD(COLUMN(BT251:CQ251),4)=MOD(COLUMN(BT251),4)),BT251:CQ251)+SUMPRODUCT(--(MOD(COLUMN(CR251:DO251),4)=MOD(COLUMN(CR251),4)),CR251:DO251)</f>
        <v/>
      </c>
      <c r="DR251" s="803">
        <f>SUMPRODUCT(--(MOD(COLUMN(BT251:CQ251),4)=MOD(COLUMN(BT251),4)),BT251:CQ251)*$I251+SUMPRODUCT(--(MOD(COLUMN(CR251:DO251),4)=MOD(COLUMN(CR251),4)),CR251:DO251)*$I251</f>
        <v/>
      </c>
      <c r="DS251" s="801" t="n"/>
      <c r="DT251" s="819" t="n"/>
      <c r="DU251" s="23" t="n">
        <v>15</v>
      </c>
      <c r="DV251" s="24" t="n"/>
      <c r="DW251" s="25" t="n">
        <v>0</v>
      </c>
      <c r="DX251" s="24" t="n"/>
      <c r="DY251" s="23" t="n">
        <v>15</v>
      </c>
      <c r="DZ251" s="24" t="n"/>
      <c r="EA251" s="25" t="n">
        <v>0</v>
      </c>
      <c r="EB251" s="24" t="n"/>
      <c r="EC251" s="23" t="n">
        <v>15</v>
      </c>
      <c r="ED251" s="24" t="n"/>
      <c r="EE251" s="25" t="n">
        <v>0</v>
      </c>
      <c r="EF251" s="24" t="n"/>
      <c r="EG251" s="23" t="n">
        <v>15</v>
      </c>
      <c r="EH251" s="24" t="n"/>
      <c r="EI251" s="25" t="n">
        <v>0</v>
      </c>
      <c r="EJ251" s="24" t="n"/>
      <c r="EK251" s="23" t="n">
        <v>15</v>
      </c>
      <c r="EL251" s="24" t="n"/>
      <c r="EM251" s="25" t="n">
        <v>0</v>
      </c>
      <c r="EN251" s="24" t="n"/>
      <c r="EO251" s="23" t="n">
        <v>15</v>
      </c>
      <c r="EP251" s="24" t="n"/>
      <c r="EQ251" s="25" t="n">
        <v>0</v>
      </c>
      <c r="ER251" s="24" t="n"/>
      <c r="ES251" s="23" t="n">
        <v>15</v>
      </c>
      <c r="ET251" s="24" t="n"/>
      <c r="EU251" s="25" t="n">
        <v>0</v>
      </c>
      <c r="EV251" s="24" t="n"/>
      <c r="EW251" s="23" t="n">
        <v>15</v>
      </c>
      <c r="EX251" s="24" t="n"/>
      <c r="EY251" s="25" t="n">
        <v>0</v>
      </c>
      <c r="EZ251" s="24" t="n"/>
      <c r="FA251" s="23" t="n">
        <v>15</v>
      </c>
      <c r="FB251" s="24" t="n"/>
      <c r="FC251" s="25" t="n">
        <v>0</v>
      </c>
      <c r="FD251" s="24" t="n"/>
      <c r="FE251" s="23" t="n">
        <v>15</v>
      </c>
      <c r="FF251" s="24" t="n"/>
      <c r="FG251" s="25" t="n">
        <v>0</v>
      </c>
      <c r="FH251" s="24" t="n"/>
      <c r="FI251" s="23" t="n">
        <v>15</v>
      </c>
      <c r="FJ251" s="24" t="n"/>
      <c r="FK251" s="25" t="n">
        <v>0</v>
      </c>
      <c r="FL251" s="24" t="n"/>
      <c r="FM251" s="23" t="n">
        <v>15</v>
      </c>
      <c r="FN251" s="24" t="n"/>
      <c r="FO251" s="25" t="n">
        <v>0</v>
      </c>
      <c r="FP251" s="24" t="n"/>
      <c r="FQ251" s="340" t="n"/>
      <c r="FR251" s="803">
        <f>SUMPRODUCT(--(MOD(COLUMN(DU251:ER251),4)=MOD(COLUMN(DU251),4)),DU251:ER251)+SUMPRODUCT(--(MOD(COLUMN(ES251:FP251),4)=MOD(COLUMN(ES251),4)),ES251:FP251)</f>
        <v/>
      </c>
      <c r="FS251" s="803">
        <f>SUMPRODUCT(--(MOD(COLUMN(DU251:ER251),4)=MOD(COLUMN(DU251),4)),DU251:ER251)*$I251+SUMPRODUCT(--(MOD(COLUMN(ES251:FP251),4)=MOD(COLUMN(ES251),4)),ES251:FP251)*$I251</f>
        <v/>
      </c>
      <c r="FT251" s="361" t="n"/>
    </row>
    <row r="252" outlineLevel="2">
      <c r="A252" s="56" t="inlineStr">
        <is>
          <t>СПЕЦАВТО-ВОСТОК ООО</t>
        </is>
      </c>
      <c r="B252" s="387" t="inlineStr">
        <is>
          <t>Отсрочка 15 дней</t>
        </is>
      </c>
      <c r="C252" s="173" t="inlineStr">
        <is>
          <t>ВБК РУС</t>
        </is>
      </c>
      <c r="D252" s="565" t="inlineStr">
        <is>
          <t>Прасолов, Соловьёв</t>
        </is>
      </c>
      <c r="E252" s="10">
        <f>IF(ISBLANK(G252),"",IF($A$6:$A$330=$A252,COUNTIF($A$6:A252,$A252),""))</f>
        <v/>
      </c>
      <c r="F252" s="123" t="n">
        <v>1</v>
      </c>
      <c r="G252" s="128" t="n">
        <v>9710029000</v>
      </c>
      <c r="H252" s="612" t="inlineStr">
        <is>
          <t>Воздухораспределитель с клапаном растормаживания</t>
        </is>
      </c>
      <c r="I252" s="618" t="n">
        <v>0</v>
      </c>
      <c r="J252" s="618" t="n"/>
      <c r="K252" s="874" t="n"/>
      <c r="L252" s="618">
        <f>IF(K252="RUB",J252/ЮАНЬ,IF(K252="EUR",J252*ЕВРО/ЮАНЬ,""))</f>
        <v/>
      </c>
      <c r="M252" s="873" t="n"/>
      <c r="N252" s="871">
        <f>IF(BP252&gt;0,1,IF(BN252&gt;0,2,))</f>
        <v/>
      </c>
      <c r="O252" s="23" t="n">
        <v>20</v>
      </c>
      <c r="P252" s="24" t="n"/>
      <c r="Q252" s="25" t="n">
        <v>0</v>
      </c>
      <c r="R252" s="24" t="n"/>
      <c r="S252" s="23" t="n">
        <v>20</v>
      </c>
      <c r="T252" s="24">
        <f>SUMPRODUCT((Комплекты[Пр]=$F252)*(Комплекты[Обозначение]=$G252)*Комплекты[Кол-во]*(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52" s="25" t="n">
        <v>26</v>
      </c>
      <c r="V252" s="24" t="n"/>
      <c r="W252" s="23" t="n">
        <v>20</v>
      </c>
      <c r="X252" s="24">
        <f>SUMPRODUCT((Комплекты[Пр]=$F252)*(Комплекты[Обозначение]=$G252)*Комплекты[Кол-во]*(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52" s="25" t="n">
        <v>34</v>
      </c>
      <c r="Z252" s="24" t="n"/>
      <c r="AA252" s="23" t="n">
        <v>20</v>
      </c>
      <c r="AB252" s="24">
        <f>SUMPRODUCT((Комплекты[Пр]=$F252)*(Комплекты[Обозначение]=$G252)*Комплекты[Кол-во]*(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52" s="25" t="n">
        <v>0</v>
      </c>
      <c r="AD252" s="24" t="n"/>
      <c r="AE252" s="23" t="n">
        <v>20</v>
      </c>
      <c r="AF252" s="24">
        <f>SUMPRODUCT((Комплекты[Пр]=$F252)*(Комплекты[Обозначение]=$G252)*Комплекты[Кол-во]*(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52" s="25" t="n">
        <v>20</v>
      </c>
      <c r="AH252" s="24" t="n"/>
      <c r="AI252" s="23" t="n">
        <v>20</v>
      </c>
      <c r="AJ252" s="24">
        <f>SUMPRODUCT((Комплекты[Пр]=$F252)*(Комплекты[Обозначение]=$G252)*Комплекты[Кол-во]*(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52" s="25" t="n">
        <v>0</v>
      </c>
      <c r="AL252" s="24" t="n"/>
      <c r="AM252" s="23" t="n">
        <v>20</v>
      </c>
      <c r="AN252" s="24">
        <f>SUMPRODUCT((Комплекты[Пр]=$F252)*(Комплекты[Обозначение]=$G252)*Комплекты[Кол-во]*(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52" s="25" t="n">
        <v>0</v>
      </c>
      <c r="AP252" s="24" t="n"/>
      <c r="AQ252" s="23" t="n">
        <v>20</v>
      </c>
      <c r="AR252" s="24">
        <f>SUMPRODUCT((Комплекты[Пр]=$F252)*(Комплекты[Обозначение]=$G252)*Комплекты[Кол-во]*(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52" s="25" t="n">
        <v>0</v>
      </c>
      <c r="AT252" s="24" t="n"/>
      <c r="AU252" s="23" t="n">
        <v>25</v>
      </c>
      <c r="AV252" s="24">
        <f>SUMPRODUCT((Комплекты[Пр]=$F252)*(Комплекты[Обозначение]=$G252)*Комплекты[Кол-во]*(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52" s="25" t="n">
        <v>0</v>
      </c>
      <c r="AX252" s="24" t="n"/>
      <c r="AY252" s="23" t="n">
        <v>25</v>
      </c>
      <c r="AZ252" s="24">
        <f>SUMPRODUCT((Комплекты[Пр]=$F252)*(Комплекты[Обозначение]=$G252)*Комплекты[Кол-во]*(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52" s="25" t="n">
        <v>0</v>
      </c>
      <c r="BB252" s="24" t="n"/>
      <c r="BC252" s="23" t="n">
        <v>25</v>
      </c>
      <c r="BD252" s="24">
        <f>SUMPRODUCT((Комплекты[Пр]=$F252)*(Комплекты[Обозначение]=$G252)*Комплекты[Кол-во]*(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52" s="25" t="n">
        <v>0</v>
      </c>
      <c r="BF252" s="24" t="n"/>
      <c r="BG252" s="23" t="n">
        <v>25</v>
      </c>
      <c r="BH252" s="24">
        <f>SUMPRODUCT((Комплекты[Пр]=$F252)*(Комплекты[Обозначение]=$G252)*Комплекты[Кол-во]*(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52" s="25" t="n">
        <v>0</v>
      </c>
      <c r="BJ252" s="24" t="n"/>
      <c r="BK252" s="340" t="n"/>
      <c r="BL252" s="803">
        <f>SUMPRODUCT(--(MOD(COLUMN($O252:$AL252),4)=MOD(COLUMN($O252)+0,4)),$O252:$AL252)
+SUMPRODUCT(--(MOD(COLUMN($AM252:$BJ252),4)=MOD(COLUMN($AM252)+0,4)),$AM252:$BJ252)</f>
        <v/>
      </c>
      <c r="BM252" s="803">
        <f>SUMPRODUCT(--(MOD(COLUMN($O252:$AL252),4)=MOD(COLUMN($O252)+0,4)),$O252:$AL252)*
$I252+SUMPRODUCT(--(MOD(COLUMN($AM252:$BJ252),4)=MOD(COLUMN($AM252)+0,4)),$AM252:$BJ252)*$I252</f>
        <v/>
      </c>
      <c r="BN252" s="805">
        <f>SUMPRODUCT(--(MOD(COLUMN($O252:$AL252),4)=MOD(COLUMN($O252)+1,4)),$O252:$AL252)
+SUMPRODUCT(--(MOD(COLUMN($AM252:$BJ252),4)=MOD(COLUMN($AM252)+1,4)),$AM252:$BJ252)</f>
        <v/>
      </c>
      <c r="BO252" s="806">
        <f>SUMPRODUCT(--(MOD(COLUMN($O252:$AL252),4)=MOD(COLUMN($O252)+1,4)),$O252:$AL252)*
$I252+SUMPRODUCT(--(MOD(COLUMN($AM252:$BJ252),4)=MOD(COLUMN($AM252)+1,4)),$AM252:$BJ252)*$I252</f>
        <v/>
      </c>
      <c r="BP252" s="807">
        <f>SUMPRODUCT(--(MOD(COLUMN($O252:$AL252),4)=MOD(COLUMN($O252)+2,4)),$O252:$AL252)
+SUMPRODUCT(--(MOD(COLUMN($AM252:$BJ252),4)=MOD(COLUMN($AM252)+2,4)),$AM252:$BJ252)</f>
        <v/>
      </c>
      <c r="BQ252" s="808">
        <f>SUMPRODUCT(--(MOD(COLUMN($O252:$AL252),4)=MOD(COLUMN($O252)+2,4)),$O252:$AL252)*
$I252+SUMPRODUCT(--(MOD(COLUMN($AM252:$BJ252),4)=MOD(COLUMN($AM252)+2,4)),$AM252:$BJ252)*$I252</f>
        <v/>
      </c>
      <c r="BR252" s="801" t="n"/>
      <c r="BS252" s="819" t="n"/>
      <c r="BT252" s="23" t="n">
        <v>10</v>
      </c>
      <c r="BU252" s="24" t="n"/>
      <c r="BV252" s="25" t="n">
        <v>0</v>
      </c>
      <c r="BW252" s="24" t="n"/>
      <c r="BX252" s="23" t="n">
        <v>10</v>
      </c>
      <c r="BY252" s="24" t="n"/>
      <c r="BZ252" s="25" t="n">
        <v>0</v>
      </c>
      <c r="CA252" s="24" t="n"/>
      <c r="CB252" s="23" t="n">
        <v>10</v>
      </c>
      <c r="CC252" s="24" t="n"/>
      <c r="CD252" s="25" t="n">
        <v>0</v>
      </c>
      <c r="CE252" s="24" t="n"/>
      <c r="CF252" s="23" t="n">
        <v>10</v>
      </c>
      <c r="CG252" s="24" t="n"/>
      <c r="CH252" s="25" t="n">
        <v>0</v>
      </c>
      <c r="CI252" s="24" t="n"/>
      <c r="CJ252" s="23" t="n">
        <v>10</v>
      </c>
      <c r="CK252" s="24" t="n"/>
      <c r="CL252" s="25" t="n">
        <v>0</v>
      </c>
      <c r="CM252" s="24" t="n"/>
      <c r="CN252" s="23" t="n">
        <v>10</v>
      </c>
      <c r="CO252" s="24" t="n"/>
      <c r="CP252" s="25" t="n">
        <v>0</v>
      </c>
      <c r="CQ252" s="24" t="n"/>
      <c r="CR252" s="23" t="n">
        <v>10</v>
      </c>
      <c r="CS252" s="24" t="n"/>
      <c r="CT252" s="25" t="n">
        <v>0</v>
      </c>
      <c r="CU252" s="24" t="n"/>
      <c r="CV252" s="23" t="n">
        <v>10</v>
      </c>
      <c r="CW252" s="24" t="n"/>
      <c r="CX252" s="25" t="n">
        <v>0</v>
      </c>
      <c r="CY252" s="24" t="n"/>
      <c r="CZ252" s="23" t="n">
        <v>10</v>
      </c>
      <c r="DA252" s="24" t="n"/>
      <c r="DB252" s="25" t="n">
        <v>0</v>
      </c>
      <c r="DC252" s="24" t="n"/>
      <c r="DD252" s="23" t="n">
        <v>10</v>
      </c>
      <c r="DE252" s="24" t="n"/>
      <c r="DF252" s="25" t="n">
        <v>0</v>
      </c>
      <c r="DG252" s="24" t="n"/>
      <c r="DH252" s="23" t="n">
        <v>10</v>
      </c>
      <c r="DI252" s="24" t="n"/>
      <c r="DJ252" s="25" t="n">
        <v>0</v>
      </c>
      <c r="DK252" s="24" t="n"/>
      <c r="DL252" s="23" t="n">
        <v>10</v>
      </c>
      <c r="DM252" s="24" t="n"/>
      <c r="DN252" s="25" t="n">
        <v>0</v>
      </c>
      <c r="DO252" s="24" t="n"/>
      <c r="DP252" s="340" t="n"/>
      <c r="DQ252" s="803">
        <f>SUMPRODUCT(--(MOD(COLUMN(BT252:CQ252),4)=MOD(COLUMN(BT252),4)),BT252:CQ252)+SUMPRODUCT(--(MOD(COLUMN(CR252:DO252),4)=MOD(COLUMN(CR252),4)),CR252:DO252)</f>
        <v/>
      </c>
      <c r="DR252" s="803">
        <f>SUMPRODUCT(--(MOD(COLUMN(BT252:CQ252),4)=MOD(COLUMN(BT252),4)),BT252:CQ252)*$I252+SUMPRODUCT(--(MOD(COLUMN(CR252:DO252),4)=MOD(COLUMN(CR252),4)),CR252:DO252)*$I252</f>
        <v/>
      </c>
      <c r="DS252" s="801" t="n"/>
      <c r="DT252" s="819" t="n"/>
      <c r="DU252" s="23" t="n">
        <v>15</v>
      </c>
      <c r="DV252" s="24" t="n"/>
      <c r="DW252" s="25" t="n">
        <v>0</v>
      </c>
      <c r="DX252" s="24" t="n"/>
      <c r="DY252" s="23" t="n">
        <v>15</v>
      </c>
      <c r="DZ252" s="24" t="n"/>
      <c r="EA252" s="25" t="n">
        <v>0</v>
      </c>
      <c r="EB252" s="24" t="n"/>
      <c r="EC252" s="23" t="n">
        <v>15</v>
      </c>
      <c r="ED252" s="24" t="n"/>
      <c r="EE252" s="25" t="n">
        <v>0</v>
      </c>
      <c r="EF252" s="24" t="n"/>
      <c r="EG252" s="23" t="n">
        <v>15</v>
      </c>
      <c r="EH252" s="24" t="n"/>
      <c r="EI252" s="25" t="n">
        <v>0</v>
      </c>
      <c r="EJ252" s="24" t="n"/>
      <c r="EK252" s="23" t="n">
        <v>15</v>
      </c>
      <c r="EL252" s="24" t="n"/>
      <c r="EM252" s="25" t="n">
        <v>0</v>
      </c>
      <c r="EN252" s="24" t="n"/>
      <c r="EO252" s="23" t="n">
        <v>15</v>
      </c>
      <c r="EP252" s="24" t="n"/>
      <c r="EQ252" s="25" t="n">
        <v>0</v>
      </c>
      <c r="ER252" s="24" t="n"/>
      <c r="ES252" s="23" t="n">
        <v>15</v>
      </c>
      <c r="ET252" s="24" t="n"/>
      <c r="EU252" s="25" t="n">
        <v>0</v>
      </c>
      <c r="EV252" s="24" t="n"/>
      <c r="EW252" s="23" t="n">
        <v>15</v>
      </c>
      <c r="EX252" s="24" t="n"/>
      <c r="EY252" s="25" t="n">
        <v>0</v>
      </c>
      <c r="EZ252" s="24" t="n"/>
      <c r="FA252" s="23" t="n">
        <v>15</v>
      </c>
      <c r="FB252" s="24" t="n"/>
      <c r="FC252" s="25" t="n">
        <v>0</v>
      </c>
      <c r="FD252" s="24" t="n"/>
      <c r="FE252" s="23" t="n">
        <v>15</v>
      </c>
      <c r="FF252" s="24" t="n"/>
      <c r="FG252" s="25" t="n">
        <v>0</v>
      </c>
      <c r="FH252" s="24" t="n"/>
      <c r="FI252" s="23" t="n">
        <v>15</v>
      </c>
      <c r="FJ252" s="24" t="n"/>
      <c r="FK252" s="25" t="n">
        <v>0</v>
      </c>
      <c r="FL252" s="24" t="n"/>
      <c r="FM252" s="23" t="n">
        <v>15</v>
      </c>
      <c r="FN252" s="24" t="n"/>
      <c r="FO252" s="25" t="n">
        <v>0</v>
      </c>
      <c r="FP252" s="24" t="n"/>
      <c r="FQ252" s="340" t="n"/>
      <c r="FR252" s="803">
        <f>SUMPRODUCT(--(MOD(COLUMN(DU252:ER252),4)=MOD(COLUMN(DU252),4)),DU252:ER252)+SUMPRODUCT(--(MOD(COLUMN(ES252:FP252),4)=MOD(COLUMN(ES252),4)),ES252:FP252)</f>
        <v/>
      </c>
      <c r="FS252" s="803">
        <f>SUMPRODUCT(--(MOD(COLUMN(DU252:ER252),4)=MOD(COLUMN(DU252),4)),DU252:ER252)*$I252+SUMPRODUCT(--(MOD(COLUMN(ES252:FP252),4)=MOD(COLUMN(ES252),4)),ES252:FP252)*$I252</f>
        <v/>
      </c>
      <c r="FT252" s="361" t="n"/>
    </row>
    <row r="253" outlineLevel="2">
      <c r="A253" s="56" t="inlineStr">
        <is>
          <t>СПЕЦАВТО-ВОСТОК ООО</t>
        </is>
      </c>
      <c r="B253" s="387" t="inlineStr">
        <is>
          <t>Отсрочка 15 дней</t>
        </is>
      </c>
      <c r="C253" s="173" t="inlineStr">
        <is>
          <t>ВБК РУС</t>
        </is>
      </c>
      <c r="D253" s="565" t="inlineStr">
        <is>
          <t>Прасолов, Соловьёв</t>
        </is>
      </c>
      <c r="E253" s="10">
        <f>IF(ISBLANK(G253),"",IF($A$6:$A$330=$A253,COUNTIF($A$6:A253,$A253),""))</f>
        <v/>
      </c>
      <c r="F253" s="123" t="n">
        <v>1</v>
      </c>
      <c r="G253" s="128" t="n">
        <v>4801020640</v>
      </c>
      <c r="H253" s="612" t="inlineStr">
        <is>
          <t>Электропневматический блок клапанов TEBS_4801020640</t>
        </is>
      </c>
      <c r="I253" s="618" t="n">
        <v>0</v>
      </c>
      <c r="J253" s="618" t="n"/>
      <c r="K253" s="874" t="n"/>
      <c r="L253" s="618">
        <f>IF(K253="RUB",J253/ЮАНЬ,IF(K253="EUR",J253*ЕВРО/ЮАНЬ,""))</f>
        <v/>
      </c>
      <c r="M253" s="873" t="n"/>
      <c r="N253" s="871">
        <f>IF(BP253&gt;0,1,IF(BN253&gt;0,2,))</f>
        <v/>
      </c>
      <c r="O253" s="23" t="n">
        <v>20</v>
      </c>
      <c r="P253" s="24" t="n"/>
      <c r="Q253" s="25" t="n">
        <v>0</v>
      </c>
      <c r="R253" s="24" t="n"/>
      <c r="S253" s="23" t="n">
        <v>20</v>
      </c>
      <c r="T253" s="24">
        <f>SUMPRODUCT((Комплекты[Пр]=$F253)*(Комплекты[Обозначение]=$G253)*Комплекты[Кол-во]*(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53" s="25" t="n">
        <v>26</v>
      </c>
      <c r="V253" s="24" t="n"/>
      <c r="W253" s="23" t="n">
        <v>20</v>
      </c>
      <c r="X253" s="24">
        <f>SUMPRODUCT((Комплекты[Пр]=$F253)*(Комплекты[Обозначение]=$G253)*Комплекты[Кол-во]*(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53" s="25" t="n">
        <v>34</v>
      </c>
      <c r="Z253" s="24" t="n"/>
      <c r="AA253" s="23" t="n">
        <v>20</v>
      </c>
      <c r="AB253" s="24">
        <f>SUMPRODUCT((Комплекты[Пр]=$F253)*(Комплекты[Обозначение]=$G253)*Комплекты[Кол-во]*(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53" s="25" t="n">
        <v>0</v>
      </c>
      <c r="AD253" s="24" t="n"/>
      <c r="AE253" s="23" t="n">
        <v>20</v>
      </c>
      <c r="AF253" s="24">
        <f>SUMPRODUCT((Комплекты[Пр]=$F253)*(Комплекты[Обозначение]=$G253)*Комплекты[Кол-во]*(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53" s="25" t="n">
        <v>20</v>
      </c>
      <c r="AH253" s="24" t="n"/>
      <c r="AI253" s="23" t="n">
        <v>20</v>
      </c>
      <c r="AJ253" s="24">
        <f>SUMPRODUCT((Комплекты[Пр]=$F253)*(Комплекты[Обозначение]=$G253)*Комплекты[Кол-во]*(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53" s="25" t="n">
        <v>0</v>
      </c>
      <c r="AL253" s="24" t="n"/>
      <c r="AM253" s="23" t="n">
        <v>20</v>
      </c>
      <c r="AN253" s="24">
        <f>SUMPRODUCT((Комплекты[Пр]=$F253)*(Комплекты[Обозначение]=$G253)*Комплекты[Кол-во]*(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53" s="25" t="n">
        <v>0</v>
      </c>
      <c r="AP253" s="24" t="n"/>
      <c r="AQ253" s="23" t="n">
        <v>20</v>
      </c>
      <c r="AR253" s="24">
        <f>SUMPRODUCT((Комплекты[Пр]=$F253)*(Комплекты[Обозначение]=$G253)*Комплекты[Кол-во]*(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53" s="25" t="n">
        <v>0</v>
      </c>
      <c r="AT253" s="24" t="n"/>
      <c r="AU253" s="23" t="n">
        <v>25</v>
      </c>
      <c r="AV253" s="24">
        <f>SUMPRODUCT((Комплекты[Пр]=$F253)*(Комплекты[Обозначение]=$G253)*Комплекты[Кол-во]*(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53" s="25" t="n">
        <v>0</v>
      </c>
      <c r="AX253" s="24" t="n"/>
      <c r="AY253" s="23" t="n">
        <v>25</v>
      </c>
      <c r="AZ253" s="24">
        <f>SUMPRODUCT((Комплекты[Пр]=$F253)*(Комплекты[Обозначение]=$G253)*Комплекты[Кол-во]*(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53" s="25" t="n">
        <v>0</v>
      </c>
      <c r="BB253" s="24" t="n"/>
      <c r="BC253" s="23" t="n">
        <v>25</v>
      </c>
      <c r="BD253" s="24">
        <f>SUMPRODUCT((Комплекты[Пр]=$F253)*(Комплекты[Обозначение]=$G253)*Комплекты[Кол-во]*(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53" s="25" t="n">
        <v>0</v>
      </c>
      <c r="BF253" s="24" t="n"/>
      <c r="BG253" s="23" t="n">
        <v>25</v>
      </c>
      <c r="BH253" s="24">
        <f>SUMPRODUCT((Комплекты[Пр]=$F253)*(Комплекты[Обозначение]=$G253)*Комплекты[Кол-во]*(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53" s="25" t="n">
        <v>0</v>
      </c>
      <c r="BJ253" s="24" t="n"/>
      <c r="BK253" s="340" t="n"/>
      <c r="BL253" s="803">
        <f>SUMPRODUCT(--(MOD(COLUMN($O253:$AL253),4)=MOD(COLUMN($O253)+0,4)),$O253:$AL253)
+SUMPRODUCT(--(MOD(COLUMN($AM253:$BJ253),4)=MOD(COLUMN($AM253)+0,4)),$AM253:$BJ253)</f>
        <v/>
      </c>
      <c r="BM253" s="803">
        <f>SUMPRODUCT(--(MOD(COLUMN($O253:$AL253),4)=MOD(COLUMN($O253)+0,4)),$O253:$AL253)*
$I253+SUMPRODUCT(--(MOD(COLUMN($AM253:$BJ253),4)=MOD(COLUMN($AM253)+0,4)),$AM253:$BJ253)*$I253</f>
        <v/>
      </c>
      <c r="BN253" s="805">
        <f>SUMPRODUCT(--(MOD(COLUMN($O253:$AL253),4)=MOD(COLUMN($O253)+1,4)),$O253:$AL253)
+SUMPRODUCT(--(MOD(COLUMN($AM253:$BJ253),4)=MOD(COLUMN($AM253)+1,4)),$AM253:$BJ253)</f>
        <v/>
      </c>
      <c r="BO253" s="806">
        <f>SUMPRODUCT(--(MOD(COLUMN($O253:$AL253),4)=MOD(COLUMN($O253)+1,4)),$O253:$AL253)*
$I253+SUMPRODUCT(--(MOD(COLUMN($AM253:$BJ253),4)=MOD(COLUMN($AM253)+1,4)),$AM253:$BJ253)*$I253</f>
        <v/>
      </c>
      <c r="BP253" s="807">
        <f>SUMPRODUCT(--(MOD(COLUMN($O253:$AL253),4)=MOD(COLUMN($O253)+2,4)),$O253:$AL253)
+SUMPRODUCT(--(MOD(COLUMN($AM253:$BJ253),4)=MOD(COLUMN($AM253)+2,4)),$AM253:$BJ253)</f>
        <v/>
      </c>
      <c r="BQ253" s="808">
        <f>SUMPRODUCT(--(MOD(COLUMN($O253:$AL253),4)=MOD(COLUMN($O253)+2,4)),$O253:$AL253)*
$I253+SUMPRODUCT(--(MOD(COLUMN($AM253:$BJ253),4)=MOD(COLUMN($AM253)+2,4)),$AM253:$BJ253)*$I253</f>
        <v/>
      </c>
      <c r="BR253" s="801" t="n"/>
      <c r="BS253" s="819" t="n"/>
      <c r="BT253" s="23" t="n">
        <v>10</v>
      </c>
      <c r="BU253" s="24" t="n"/>
      <c r="BV253" s="25" t="n">
        <v>0</v>
      </c>
      <c r="BW253" s="24" t="n"/>
      <c r="BX253" s="23" t="n">
        <v>10</v>
      </c>
      <c r="BY253" s="24" t="n"/>
      <c r="BZ253" s="25" t="n">
        <v>0</v>
      </c>
      <c r="CA253" s="24" t="n"/>
      <c r="CB253" s="23" t="n">
        <v>10</v>
      </c>
      <c r="CC253" s="24" t="n"/>
      <c r="CD253" s="25" t="n">
        <v>0</v>
      </c>
      <c r="CE253" s="24" t="n"/>
      <c r="CF253" s="23" t="n">
        <v>10</v>
      </c>
      <c r="CG253" s="24" t="n"/>
      <c r="CH253" s="25" t="n">
        <v>0</v>
      </c>
      <c r="CI253" s="24" t="n"/>
      <c r="CJ253" s="23" t="n">
        <v>10</v>
      </c>
      <c r="CK253" s="24" t="n"/>
      <c r="CL253" s="25" t="n">
        <v>0</v>
      </c>
      <c r="CM253" s="24" t="n"/>
      <c r="CN253" s="23" t="n">
        <v>10</v>
      </c>
      <c r="CO253" s="24" t="n"/>
      <c r="CP253" s="25" t="n">
        <v>0</v>
      </c>
      <c r="CQ253" s="24" t="n"/>
      <c r="CR253" s="23" t="n">
        <v>10</v>
      </c>
      <c r="CS253" s="24" t="n"/>
      <c r="CT253" s="25" t="n">
        <v>0</v>
      </c>
      <c r="CU253" s="24" t="n"/>
      <c r="CV253" s="23" t="n">
        <v>10</v>
      </c>
      <c r="CW253" s="24" t="n"/>
      <c r="CX253" s="25" t="n">
        <v>0</v>
      </c>
      <c r="CY253" s="24" t="n"/>
      <c r="CZ253" s="23" t="n">
        <v>10</v>
      </c>
      <c r="DA253" s="24" t="n"/>
      <c r="DB253" s="25" t="n">
        <v>0</v>
      </c>
      <c r="DC253" s="24" t="n"/>
      <c r="DD253" s="23" t="n">
        <v>10</v>
      </c>
      <c r="DE253" s="24" t="n"/>
      <c r="DF253" s="25" t="n">
        <v>0</v>
      </c>
      <c r="DG253" s="24" t="n"/>
      <c r="DH253" s="23" t="n">
        <v>10</v>
      </c>
      <c r="DI253" s="24" t="n"/>
      <c r="DJ253" s="25" t="n">
        <v>0</v>
      </c>
      <c r="DK253" s="24" t="n"/>
      <c r="DL253" s="23" t="n">
        <v>10</v>
      </c>
      <c r="DM253" s="24" t="n"/>
      <c r="DN253" s="25" t="n">
        <v>0</v>
      </c>
      <c r="DO253" s="24" t="n"/>
      <c r="DP253" s="340" t="n"/>
      <c r="DQ253" s="803">
        <f>SUMPRODUCT(--(MOD(COLUMN(BT253:CQ253),4)=MOD(COLUMN(BT253),4)),BT253:CQ253)+SUMPRODUCT(--(MOD(COLUMN(CR253:DO253),4)=MOD(COLUMN(CR253),4)),CR253:DO253)</f>
        <v/>
      </c>
      <c r="DR253" s="803">
        <f>SUMPRODUCT(--(MOD(COLUMN(BT253:CQ253),4)=MOD(COLUMN(BT253),4)),BT253:CQ253)*$I253+SUMPRODUCT(--(MOD(COLUMN(CR253:DO253),4)=MOD(COLUMN(CR253),4)),CR253:DO253)*$I253</f>
        <v/>
      </c>
      <c r="DS253" s="801" t="n"/>
      <c r="DT253" s="819" t="n"/>
      <c r="DU253" s="23" t="n">
        <v>15</v>
      </c>
      <c r="DV253" s="24" t="n"/>
      <c r="DW253" s="25" t="n">
        <v>0</v>
      </c>
      <c r="DX253" s="24" t="n"/>
      <c r="DY253" s="23" t="n">
        <v>15</v>
      </c>
      <c r="DZ253" s="24" t="n"/>
      <c r="EA253" s="25" t="n">
        <v>0</v>
      </c>
      <c r="EB253" s="24" t="n"/>
      <c r="EC253" s="23" t="n">
        <v>15</v>
      </c>
      <c r="ED253" s="24" t="n"/>
      <c r="EE253" s="25" t="n">
        <v>0</v>
      </c>
      <c r="EF253" s="24" t="n"/>
      <c r="EG253" s="23" t="n">
        <v>15</v>
      </c>
      <c r="EH253" s="24" t="n"/>
      <c r="EI253" s="25" t="n">
        <v>0</v>
      </c>
      <c r="EJ253" s="24" t="n"/>
      <c r="EK253" s="23" t="n">
        <v>15</v>
      </c>
      <c r="EL253" s="24" t="n"/>
      <c r="EM253" s="25" t="n">
        <v>0</v>
      </c>
      <c r="EN253" s="24" t="n"/>
      <c r="EO253" s="23" t="n">
        <v>15</v>
      </c>
      <c r="EP253" s="24" t="n"/>
      <c r="EQ253" s="25" t="n">
        <v>0</v>
      </c>
      <c r="ER253" s="24" t="n"/>
      <c r="ES253" s="23" t="n">
        <v>15</v>
      </c>
      <c r="ET253" s="24" t="n"/>
      <c r="EU253" s="25" t="n">
        <v>0</v>
      </c>
      <c r="EV253" s="24" t="n"/>
      <c r="EW253" s="23" t="n">
        <v>15</v>
      </c>
      <c r="EX253" s="24" t="n"/>
      <c r="EY253" s="25" t="n">
        <v>0</v>
      </c>
      <c r="EZ253" s="24" t="n"/>
      <c r="FA253" s="23" t="n">
        <v>15</v>
      </c>
      <c r="FB253" s="24" t="n"/>
      <c r="FC253" s="25" t="n">
        <v>0</v>
      </c>
      <c r="FD253" s="24" t="n"/>
      <c r="FE253" s="23" t="n">
        <v>15</v>
      </c>
      <c r="FF253" s="24" t="n"/>
      <c r="FG253" s="25" t="n">
        <v>0</v>
      </c>
      <c r="FH253" s="24" t="n"/>
      <c r="FI253" s="23" t="n">
        <v>15</v>
      </c>
      <c r="FJ253" s="24" t="n"/>
      <c r="FK253" s="25" t="n">
        <v>0</v>
      </c>
      <c r="FL253" s="24" t="n"/>
      <c r="FM253" s="23" t="n">
        <v>15</v>
      </c>
      <c r="FN253" s="24" t="n"/>
      <c r="FO253" s="25" t="n">
        <v>0</v>
      </c>
      <c r="FP253" s="24" t="n"/>
      <c r="FQ253" s="340" t="n"/>
      <c r="FR253" s="803">
        <f>SUMPRODUCT(--(MOD(COLUMN(DU253:ER253),4)=MOD(COLUMN(DU253),4)),DU253:ER253)+SUMPRODUCT(--(MOD(COLUMN(ES253:FP253),4)=MOD(COLUMN(ES253),4)),ES253:FP253)</f>
        <v/>
      </c>
      <c r="FS253" s="803">
        <f>SUMPRODUCT(--(MOD(COLUMN(DU253:ER253),4)=MOD(COLUMN(DU253),4)),DU253:ER253)*$I253+SUMPRODUCT(--(MOD(COLUMN(ES253:FP253),4)=MOD(COLUMN(ES253),4)),ES253:FP253)*$I253</f>
        <v/>
      </c>
      <c r="FT253" s="361" t="n"/>
    </row>
    <row r="254" outlineLevel="2">
      <c r="A254" s="56" t="inlineStr">
        <is>
          <t>СПЕЦАВТО-ВОСТОК ООО</t>
        </is>
      </c>
      <c r="B254" s="387" t="inlineStr">
        <is>
          <t>Отсрочка 15 дней</t>
        </is>
      </c>
      <c r="C254" s="173" t="inlineStr">
        <is>
          <t>ВБК РУС</t>
        </is>
      </c>
      <c r="D254" s="565" t="inlineStr">
        <is>
          <t>Прасолов, Соловьёв</t>
        </is>
      </c>
      <c r="E254" s="10">
        <f>IF(ISBLANK(G254),"",IF($A$6:$A$330=$A254,COUNTIF($A$6:A254,$A254),""))</f>
        <v/>
      </c>
      <c r="F254" s="123" t="n">
        <v>1</v>
      </c>
      <c r="G254" s="128" t="n">
        <v>4491731500</v>
      </c>
      <c r="H254" s="612" t="inlineStr">
        <is>
          <t>Кабель питания, 15 м</t>
        </is>
      </c>
      <c r="I254" s="618" t="n">
        <v>0</v>
      </c>
      <c r="J254" s="618" t="n"/>
      <c r="K254" s="874" t="n"/>
      <c r="L254" s="618">
        <f>IF(K254="RUB",J254/ЮАНЬ,IF(K254="EUR",J254*ЕВРО/ЮАНЬ,""))</f>
        <v/>
      </c>
      <c r="M254" s="873" t="n"/>
      <c r="N254" s="871">
        <f>IF(BP254&gt;0,1,IF(BN254&gt;0,2,))</f>
        <v/>
      </c>
      <c r="O254" s="23" t="n">
        <v>20</v>
      </c>
      <c r="P254" s="24" t="n"/>
      <c r="Q254" s="25" t="n">
        <v>0</v>
      </c>
      <c r="R254" s="24" t="n"/>
      <c r="S254" s="23" t="n">
        <v>20</v>
      </c>
      <c r="T254" s="24">
        <f>SUMPRODUCT((Комплекты[Пр]=$F254)*(Комплекты[Обозначение]=$G254)*Комплекты[Кол-во]*(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54" s="25" t="n">
        <v>26</v>
      </c>
      <c r="V254" s="24" t="n"/>
      <c r="W254" s="23" t="n">
        <v>20</v>
      </c>
      <c r="X254" s="24">
        <f>SUMPRODUCT((Комплекты[Пр]=$F254)*(Комплекты[Обозначение]=$G254)*Комплекты[Кол-во]*(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54" s="25" t="n">
        <v>34</v>
      </c>
      <c r="Z254" s="24" t="n"/>
      <c r="AA254" s="23" t="n">
        <v>20</v>
      </c>
      <c r="AB254" s="24">
        <f>SUMPRODUCT((Комплекты[Пр]=$F254)*(Комплекты[Обозначение]=$G254)*Комплекты[Кол-во]*(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54" s="25" t="n">
        <v>0</v>
      </c>
      <c r="AD254" s="24" t="n"/>
      <c r="AE254" s="23" t="n">
        <v>20</v>
      </c>
      <c r="AF254" s="24">
        <f>SUMPRODUCT((Комплекты[Пр]=$F254)*(Комплекты[Обозначение]=$G254)*Комплекты[Кол-во]*(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54" s="25" t="n">
        <v>20</v>
      </c>
      <c r="AH254" s="24" t="n"/>
      <c r="AI254" s="23" t="n">
        <v>20</v>
      </c>
      <c r="AJ254" s="24">
        <f>SUMPRODUCT((Комплекты[Пр]=$F254)*(Комплекты[Обозначение]=$G254)*Комплекты[Кол-во]*(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54" s="25" t="n">
        <v>0</v>
      </c>
      <c r="AL254" s="24" t="n"/>
      <c r="AM254" s="23" t="n">
        <v>20</v>
      </c>
      <c r="AN254" s="24">
        <f>SUMPRODUCT((Комплекты[Пр]=$F254)*(Комплекты[Обозначение]=$G254)*Комплекты[Кол-во]*(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54" s="25" t="n">
        <v>0</v>
      </c>
      <c r="AP254" s="24" t="n"/>
      <c r="AQ254" s="23" t="n">
        <v>20</v>
      </c>
      <c r="AR254" s="24">
        <f>SUMPRODUCT((Комплекты[Пр]=$F254)*(Комплекты[Обозначение]=$G254)*Комплекты[Кол-во]*(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54" s="25" t="n">
        <v>0</v>
      </c>
      <c r="AT254" s="24" t="n"/>
      <c r="AU254" s="23" t="n">
        <v>25</v>
      </c>
      <c r="AV254" s="24">
        <f>SUMPRODUCT((Комплекты[Пр]=$F254)*(Комплекты[Обозначение]=$G254)*Комплекты[Кол-во]*(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54" s="25" t="n">
        <v>0</v>
      </c>
      <c r="AX254" s="24" t="n"/>
      <c r="AY254" s="23" t="n">
        <v>25</v>
      </c>
      <c r="AZ254" s="24">
        <f>SUMPRODUCT((Комплекты[Пр]=$F254)*(Комплекты[Обозначение]=$G254)*Комплекты[Кол-во]*(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54" s="25" t="n">
        <v>0</v>
      </c>
      <c r="BB254" s="24" t="n"/>
      <c r="BC254" s="23" t="n">
        <v>25</v>
      </c>
      <c r="BD254" s="24">
        <f>SUMPRODUCT((Комплекты[Пр]=$F254)*(Комплекты[Обозначение]=$G254)*Комплекты[Кол-во]*(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54" s="25" t="n">
        <v>0</v>
      </c>
      <c r="BF254" s="24" t="n"/>
      <c r="BG254" s="23" t="n">
        <v>25</v>
      </c>
      <c r="BH254" s="24">
        <f>SUMPRODUCT((Комплекты[Пр]=$F254)*(Комплекты[Обозначение]=$G254)*Комплекты[Кол-во]*(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54" s="25" t="n">
        <v>0</v>
      </c>
      <c r="BJ254" s="24" t="n"/>
      <c r="BK254" s="340" t="n"/>
      <c r="BL254" s="803">
        <f>SUMPRODUCT(--(MOD(COLUMN($O254:$AL254),4)=MOD(COLUMN($O254)+0,4)),$O254:$AL254)
+SUMPRODUCT(--(MOD(COLUMN($AM254:$BJ254),4)=MOD(COLUMN($AM254)+0,4)),$AM254:$BJ254)</f>
        <v/>
      </c>
      <c r="BM254" s="803">
        <f>SUMPRODUCT(--(MOD(COLUMN($O254:$AL254),4)=MOD(COLUMN($O254)+0,4)),$O254:$AL254)*
$I254+SUMPRODUCT(--(MOD(COLUMN($AM254:$BJ254),4)=MOD(COLUMN($AM254)+0,4)),$AM254:$BJ254)*$I254</f>
        <v/>
      </c>
      <c r="BN254" s="805">
        <f>SUMPRODUCT(--(MOD(COLUMN($O254:$AL254),4)=MOD(COLUMN($O254)+1,4)),$O254:$AL254)
+SUMPRODUCT(--(MOD(COLUMN($AM254:$BJ254),4)=MOD(COLUMN($AM254)+1,4)),$AM254:$BJ254)</f>
        <v/>
      </c>
      <c r="BO254" s="806">
        <f>SUMPRODUCT(--(MOD(COLUMN($O254:$AL254),4)=MOD(COLUMN($O254)+1,4)),$O254:$AL254)*
$I254+SUMPRODUCT(--(MOD(COLUMN($AM254:$BJ254),4)=MOD(COLUMN($AM254)+1,4)),$AM254:$BJ254)*$I254</f>
        <v/>
      </c>
      <c r="BP254" s="807">
        <f>SUMPRODUCT(--(MOD(COLUMN($O254:$AL254),4)=MOD(COLUMN($O254)+2,4)),$O254:$AL254)
+SUMPRODUCT(--(MOD(COLUMN($AM254:$BJ254),4)=MOD(COLUMN($AM254)+2,4)),$AM254:$BJ254)</f>
        <v/>
      </c>
      <c r="BQ254" s="808">
        <f>SUMPRODUCT(--(MOD(COLUMN($O254:$AL254),4)=MOD(COLUMN($O254)+2,4)),$O254:$AL254)*
$I254+SUMPRODUCT(--(MOD(COLUMN($AM254:$BJ254),4)=MOD(COLUMN($AM254)+2,4)),$AM254:$BJ254)*$I254</f>
        <v/>
      </c>
      <c r="BR254" s="801" t="n"/>
      <c r="BS254" s="819" t="n"/>
      <c r="BT254" s="23" t="n">
        <v>10</v>
      </c>
      <c r="BU254" s="24" t="n"/>
      <c r="BV254" s="25" t="n">
        <v>0</v>
      </c>
      <c r="BW254" s="24" t="n"/>
      <c r="BX254" s="23" t="n">
        <v>10</v>
      </c>
      <c r="BY254" s="24" t="n"/>
      <c r="BZ254" s="25" t="n">
        <v>0</v>
      </c>
      <c r="CA254" s="24" t="n"/>
      <c r="CB254" s="23" t="n">
        <v>10</v>
      </c>
      <c r="CC254" s="24" t="n"/>
      <c r="CD254" s="25" t="n">
        <v>0</v>
      </c>
      <c r="CE254" s="24" t="n"/>
      <c r="CF254" s="23" t="n">
        <v>10</v>
      </c>
      <c r="CG254" s="24" t="n"/>
      <c r="CH254" s="25" t="n">
        <v>0</v>
      </c>
      <c r="CI254" s="24" t="n"/>
      <c r="CJ254" s="23" t="n">
        <v>10</v>
      </c>
      <c r="CK254" s="24" t="n"/>
      <c r="CL254" s="25" t="n">
        <v>0</v>
      </c>
      <c r="CM254" s="24" t="n"/>
      <c r="CN254" s="23" t="n">
        <v>10</v>
      </c>
      <c r="CO254" s="24" t="n"/>
      <c r="CP254" s="25" t="n">
        <v>0</v>
      </c>
      <c r="CQ254" s="24" t="n"/>
      <c r="CR254" s="23" t="n">
        <v>10</v>
      </c>
      <c r="CS254" s="24" t="n"/>
      <c r="CT254" s="25" t="n">
        <v>0</v>
      </c>
      <c r="CU254" s="24" t="n"/>
      <c r="CV254" s="23" t="n">
        <v>10</v>
      </c>
      <c r="CW254" s="24" t="n"/>
      <c r="CX254" s="25" t="n">
        <v>0</v>
      </c>
      <c r="CY254" s="24" t="n"/>
      <c r="CZ254" s="23" t="n">
        <v>10</v>
      </c>
      <c r="DA254" s="24" t="n"/>
      <c r="DB254" s="25" t="n">
        <v>0</v>
      </c>
      <c r="DC254" s="24" t="n"/>
      <c r="DD254" s="23" t="n">
        <v>10</v>
      </c>
      <c r="DE254" s="24" t="n"/>
      <c r="DF254" s="25" t="n">
        <v>0</v>
      </c>
      <c r="DG254" s="24" t="n"/>
      <c r="DH254" s="23" t="n">
        <v>10</v>
      </c>
      <c r="DI254" s="24" t="n"/>
      <c r="DJ254" s="25" t="n">
        <v>0</v>
      </c>
      <c r="DK254" s="24" t="n"/>
      <c r="DL254" s="23" t="n">
        <v>10</v>
      </c>
      <c r="DM254" s="24" t="n"/>
      <c r="DN254" s="25" t="n">
        <v>0</v>
      </c>
      <c r="DO254" s="24" t="n"/>
      <c r="DP254" s="340" t="n"/>
      <c r="DQ254" s="803">
        <f>SUMPRODUCT(--(MOD(COLUMN(BT254:CQ254),4)=MOD(COLUMN(BT254),4)),BT254:CQ254)+SUMPRODUCT(--(MOD(COLUMN(CR254:DO254),4)=MOD(COLUMN(CR254),4)),CR254:DO254)</f>
        <v/>
      </c>
      <c r="DR254" s="803">
        <f>SUMPRODUCT(--(MOD(COLUMN(BT254:CQ254),4)=MOD(COLUMN(BT254),4)),BT254:CQ254)*$I254+SUMPRODUCT(--(MOD(COLUMN(CR254:DO254),4)=MOD(COLUMN(CR254),4)),CR254:DO254)*$I254</f>
        <v/>
      </c>
      <c r="DS254" s="801" t="n"/>
      <c r="DT254" s="819" t="n"/>
      <c r="DU254" s="23" t="n">
        <v>15</v>
      </c>
      <c r="DV254" s="24" t="n"/>
      <c r="DW254" s="25" t="n">
        <v>0</v>
      </c>
      <c r="DX254" s="24" t="n"/>
      <c r="DY254" s="23" t="n">
        <v>15</v>
      </c>
      <c r="DZ254" s="24" t="n"/>
      <c r="EA254" s="25" t="n">
        <v>0</v>
      </c>
      <c r="EB254" s="24" t="n"/>
      <c r="EC254" s="23" t="n">
        <v>15</v>
      </c>
      <c r="ED254" s="24" t="n"/>
      <c r="EE254" s="25" t="n">
        <v>0</v>
      </c>
      <c r="EF254" s="24" t="n"/>
      <c r="EG254" s="23" t="n">
        <v>15</v>
      </c>
      <c r="EH254" s="24" t="n"/>
      <c r="EI254" s="25" t="n">
        <v>0</v>
      </c>
      <c r="EJ254" s="24" t="n"/>
      <c r="EK254" s="23" t="n">
        <v>15</v>
      </c>
      <c r="EL254" s="24" t="n"/>
      <c r="EM254" s="25" t="n">
        <v>0</v>
      </c>
      <c r="EN254" s="24" t="n"/>
      <c r="EO254" s="23" t="n">
        <v>15</v>
      </c>
      <c r="EP254" s="24" t="n"/>
      <c r="EQ254" s="25" t="n">
        <v>0</v>
      </c>
      <c r="ER254" s="24" t="n"/>
      <c r="ES254" s="23" t="n">
        <v>15</v>
      </c>
      <c r="ET254" s="24" t="n"/>
      <c r="EU254" s="25" t="n">
        <v>0</v>
      </c>
      <c r="EV254" s="24" t="n"/>
      <c r="EW254" s="23" t="n">
        <v>15</v>
      </c>
      <c r="EX254" s="24" t="n"/>
      <c r="EY254" s="25" t="n">
        <v>0</v>
      </c>
      <c r="EZ254" s="24" t="n"/>
      <c r="FA254" s="23" t="n">
        <v>15</v>
      </c>
      <c r="FB254" s="24" t="n"/>
      <c r="FC254" s="25" t="n">
        <v>0</v>
      </c>
      <c r="FD254" s="24" t="n"/>
      <c r="FE254" s="23" t="n">
        <v>15</v>
      </c>
      <c r="FF254" s="24" t="n"/>
      <c r="FG254" s="25" t="n">
        <v>0</v>
      </c>
      <c r="FH254" s="24" t="n"/>
      <c r="FI254" s="23" t="n">
        <v>15</v>
      </c>
      <c r="FJ254" s="24" t="n"/>
      <c r="FK254" s="25" t="n">
        <v>0</v>
      </c>
      <c r="FL254" s="24" t="n"/>
      <c r="FM254" s="23" t="n">
        <v>15</v>
      </c>
      <c r="FN254" s="24" t="n"/>
      <c r="FO254" s="25" t="n">
        <v>0</v>
      </c>
      <c r="FP254" s="24" t="n"/>
      <c r="FQ254" s="340" t="n"/>
      <c r="FR254" s="803">
        <f>SUMPRODUCT(--(MOD(COLUMN(DU254:ER254),4)=MOD(COLUMN(DU254),4)),DU254:ER254)+SUMPRODUCT(--(MOD(COLUMN(ES254:FP254),4)=MOD(COLUMN(ES254),4)),ES254:FP254)</f>
        <v/>
      </c>
      <c r="FS254" s="803">
        <f>SUMPRODUCT(--(MOD(COLUMN(DU254:ER254),4)=MOD(COLUMN(DU254),4)),DU254:ER254)*$I254+SUMPRODUCT(--(MOD(COLUMN(ES254:FP254),4)=MOD(COLUMN(ES254),4)),ES254:FP254)*$I254</f>
        <v/>
      </c>
      <c r="FT254" s="361" t="n"/>
    </row>
    <row r="255" outlineLevel="2">
      <c r="A255" s="56" t="inlineStr">
        <is>
          <t>СПЕЦАВТО-ВОСТОК ООО</t>
        </is>
      </c>
      <c r="B255" s="387" t="inlineStr">
        <is>
          <t>Отсрочка 15 дней</t>
        </is>
      </c>
      <c r="C255" s="173" t="inlineStr">
        <is>
          <t>ВБК РУС</t>
        </is>
      </c>
      <c r="D255" s="565" t="inlineStr">
        <is>
          <t>Прасолов, Соловьёв</t>
        </is>
      </c>
      <c r="E255" s="10">
        <f>IF(ISBLANK(G255),"",IF($A$6:$A$330=$A255,COUNTIF($A$6:A255,$A255),""))</f>
        <v/>
      </c>
      <c r="F255" s="123" t="n">
        <v>1</v>
      </c>
      <c r="G255" s="128" t="n">
        <v>4497230500</v>
      </c>
      <c r="H255" s="612" t="inlineStr">
        <is>
          <t>Кабель датчика, 5 м</t>
        </is>
      </c>
      <c r="I255" s="618" t="n">
        <v>0</v>
      </c>
      <c r="J255" s="618" t="n"/>
      <c r="K255" s="874" t="n"/>
      <c r="L255" s="618">
        <f>IF(K255="RUB",J255/ЮАНЬ,IF(K255="EUR",J255*ЕВРО/ЮАНЬ,""))</f>
        <v/>
      </c>
      <c r="M255" s="873" t="n"/>
      <c r="N255" s="871">
        <f>IF(BP255&gt;0,1,IF(BN255&gt;0,2,))</f>
        <v/>
      </c>
      <c r="O255" s="23" t="n">
        <v>40</v>
      </c>
      <c r="P255" s="24" t="n"/>
      <c r="Q255" s="25" t="n">
        <v>0</v>
      </c>
      <c r="R255" s="24" t="n"/>
      <c r="S255" s="23" t="n">
        <v>40</v>
      </c>
      <c r="T255" s="24">
        <f>SUMPRODUCT((Комплекты[Пр]=$F255)*(Комплекты[Обозначение]=$G255)*Комплекты[Кол-во]*(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55" s="25" t="n">
        <v>52</v>
      </c>
      <c r="V255" s="24" t="n"/>
      <c r="W255" s="23" t="n">
        <v>40</v>
      </c>
      <c r="X255" s="24">
        <f>SUMPRODUCT((Комплекты[Пр]=$F255)*(Комплекты[Обозначение]=$G255)*Комплекты[Кол-во]*(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55" s="25" t="n">
        <v>14</v>
      </c>
      <c r="Z255" s="24" t="n"/>
      <c r="AA255" s="23" t="n">
        <v>40</v>
      </c>
      <c r="AB255" s="24">
        <f>SUMPRODUCT((Комплекты[Пр]=$F255)*(Комплекты[Обозначение]=$G255)*Комплекты[Кол-во]*(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55" s="25" t="n">
        <v>0</v>
      </c>
      <c r="AD255" s="24" t="n"/>
      <c r="AE255" s="23" t="n">
        <v>40</v>
      </c>
      <c r="AF255" s="24">
        <f>SUMPRODUCT((Комплекты[Пр]=$F255)*(Комплекты[Обозначение]=$G255)*Комплекты[Кол-во]*(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55" s="25" t="n">
        <v>40</v>
      </c>
      <c r="AH255" s="24" t="n"/>
      <c r="AI255" s="23" t="n">
        <v>40</v>
      </c>
      <c r="AJ255" s="24">
        <f>SUMPRODUCT((Комплекты[Пр]=$F255)*(Комплекты[Обозначение]=$G255)*Комплекты[Кол-во]*(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55" s="25" t="n">
        <v>0</v>
      </c>
      <c r="AL255" s="24" t="n"/>
      <c r="AM255" s="23" t="n">
        <v>40</v>
      </c>
      <c r="AN255" s="24">
        <f>SUMPRODUCT((Комплекты[Пр]=$F255)*(Комплекты[Обозначение]=$G255)*Комплекты[Кол-во]*(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55" s="25" t="n">
        <v>0</v>
      </c>
      <c r="AP255" s="24" t="n"/>
      <c r="AQ255" s="23" t="n">
        <v>40</v>
      </c>
      <c r="AR255" s="24">
        <f>SUMPRODUCT((Комплекты[Пр]=$F255)*(Комплекты[Обозначение]=$G255)*Комплекты[Кол-во]*(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55" s="25" t="n">
        <v>0</v>
      </c>
      <c r="AT255" s="24" t="n"/>
      <c r="AU255" s="23" t="n">
        <v>50</v>
      </c>
      <c r="AV255" s="24">
        <f>SUMPRODUCT((Комплекты[Пр]=$F255)*(Комплекты[Обозначение]=$G255)*Комплекты[Кол-во]*(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55" s="25" t="n">
        <v>0</v>
      </c>
      <c r="AX255" s="24" t="n"/>
      <c r="AY255" s="23" t="n">
        <v>50</v>
      </c>
      <c r="AZ255" s="24">
        <f>SUMPRODUCT((Комплекты[Пр]=$F255)*(Комплекты[Обозначение]=$G255)*Комплекты[Кол-во]*(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55" s="25" t="n">
        <v>0</v>
      </c>
      <c r="BB255" s="24" t="n"/>
      <c r="BC255" s="23" t="n">
        <v>50</v>
      </c>
      <c r="BD255" s="24">
        <f>SUMPRODUCT((Комплекты[Пр]=$F255)*(Комплекты[Обозначение]=$G255)*Комплекты[Кол-во]*(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55" s="25" t="n">
        <v>0</v>
      </c>
      <c r="BF255" s="24" t="n"/>
      <c r="BG255" s="23" t="n">
        <v>50</v>
      </c>
      <c r="BH255" s="24">
        <f>SUMPRODUCT((Комплекты[Пр]=$F255)*(Комплекты[Обозначение]=$G255)*Комплекты[Кол-во]*(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55" s="25" t="n">
        <v>0</v>
      </c>
      <c r="BJ255" s="24" t="n"/>
      <c r="BK255" s="340" t="n"/>
      <c r="BL255" s="803">
        <f>SUMPRODUCT(--(MOD(COLUMN($O255:$AL255),4)=MOD(COLUMN($O255)+0,4)),$O255:$AL255)
+SUMPRODUCT(--(MOD(COLUMN($AM255:$BJ255),4)=MOD(COLUMN($AM255)+0,4)),$AM255:$BJ255)</f>
        <v/>
      </c>
      <c r="BM255" s="803">
        <f>SUMPRODUCT(--(MOD(COLUMN($O255:$AL255),4)=MOD(COLUMN($O255)+0,4)),$O255:$AL255)*
$I255+SUMPRODUCT(--(MOD(COLUMN($AM255:$BJ255),4)=MOD(COLUMN($AM255)+0,4)),$AM255:$BJ255)*$I255</f>
        <v/>
      </c>
      <c r="BN255" s="805">
        <f>SUMPRODUCT(--(MOD(COLUMN($O255:$AL255),4)=MOD(COLUMN($O255)+1,4)),$O255:$AL255)
+SUMPRODUCT(--(MOD(COLUMN($AM255:$BJ255),4)=MOD(COLUMN($AM255)+1,4)),$AM255:$BJ255)</f>
        <v/>
      </c>
      <c r="BO255" s="806">
        <f>SUMPRODUCT(--(MOD(COLUMN($O255:$AL255),4)=MOD(COLUMN($O255)+1,4)),$O255:$AL255)*
$I255+SUMPRODUCT(--(MOD(COLUMN($AM255:$BJ255),4)=MOD(COLUMN($AM255)+1,4)),$AM255:$BJ255)*$I255</f>
        <v/>
      </c>
      <c r="BP255" s="807">
        <f>SUMPRODUCT(--(MOD(COLUMN($O255:$AL255),4)=MOD(COLUMN($O255)+2,4)),$O255:$AL255)
+SUMPRODUCT(--(MOD(COLUMN($AM255:$BJ255),4)=MOD(COLUMN($AM255)+2,4)),$AM255:$BJ255)</f>
        <v/>
      </c>
      <c r="BQ255" s="808">
        <f>SUMPRODUCT(--(MOD(COLUMN($O255:$AL255),4)=MOD(COLUMN($O255)+2,4)),$O255:$AL255)*
$I255+SUMPRODUCT(--(MOD(COLUMN($AM255:$BJ255),4)=MOD(COLUMN($AM255)+2,4)),$AM255:$BJ255)*$I255</f>
        <v/>
      </c>
      <c r="BR255" s="801" t="n"/>
      <c r="BS255" s="819" t="n"/>
      <c r="BT255" s="23" t="n">
        <v>20</v>
      </c>
      <c r="BU255" s="24" t="n"/>
      <c r="BV255" s="25" t="n">
        <v>0</v>
      </c>
      <c r="BW255" s="24" t="n"/>
      <c r="BX255" s="23" t="n">
        <v>20</v>
      </c>
      <c r="BY255" s="24" t="n"/>
      <c r="BZ255" s="25" t="n">
        <v>0</v>
      </c>
      <c r="CA255" s="24" t="n"/>
      <c r="CB255" s="23" t="n">
        <v>20</v>
      </c>
      <c r="CC255" s="24" t="n"/>
      <c r="CD255" s="25" t="n">
        <v>0</v>
      </c>
      <c r="CE255" s="24" t="n"/>
      <c r="CF255" s="23" t="n">
        <v>20</v>
      </c>
      <c r="CG255" s="24" t="n"/>
      <c r="CH255" s="25" t="n">
        <v>0</v>
      </c>
      <c r="CI255" s="24" t="n"/>
      <c r="CJ255" s="23" t="n">
        <v>20</v>
      </c>
      <c r="CK255" s="24" t="n"/>
      <c r="CL255" s="25" t="n">
        <v>0</v>
      </c>
      <c r="CM255" s="24" t="n"/>
      <c r="CN255" s="23" t="n">
        <v>20</v>
      </c>
      <c r="CO255" s="24" t="n"/>
      <c r="CP255" s="25" t="n">
        <v>0</v>
      </c>
      <c r="CQ255" s="24" t="n"/>
      <c r="CR255" s="23" t="n">
        <v>20</v>
      </c>
      <c r="CS255" s="24" t="n"/>
      <c r="CT255" s="25" t="n">
        <v>0</v>
      </c>
      <c r="CU255" s="24" t="n"/>
      <c r="CV255" s="23" t="n">
        <v>20</v>
      </c>
      <c r="CW255" s="24" t="n"/>
      <c r="CX255" s="25" t="n">
        <v>0</v>
      </c>
      <c r="CY255" s="24" t="n"/>
      <c r="CZ255" s="23" t="n">
        <v>20</v>
      </c>
      <c r="DA255" s="24" t="n"/>
      <c r="DB255" s="25" t="n">
        <v>0</v>
      </c>
      <c r="DC255" s="24" t="n"/>
      <c r="DD255" s="23" t="n">
        <v>20</v>
      </c>
      <c r="DE255" s="24" t="n"/>
      <c r="DF255" s="25" t="n">
        <v>0</v>
      </c>
      <c r="DG255" s="24" t="n"/>
      <c r="DH255" s="23" t="n">
        <v>20</v>
      </c>
      <c r="DI255" s="24" t="n"/>
      <c r="DJ255" s="25" t="n">
        <v>0</v>
      </c>
      <c r="DK255" s="24" t="n"/>
      <c r="DL255" s="23" t="n">
        <v>20</v>
      </c>
      <c r="DM255" s="24" t="n"/>
      <c r="DN255" s="25" t="n">
        <v>0</v>
      </c>
      <c r="DO255" s="24" t="n"/>
      <c r="DP255" s="340" t="n"/>
      <c r="DQ255" s="803">
        <f>SUMPRODUCT(--(MOD(COLUMN(BT255:CQ255),4)=MOD(COLUMN(BT255),4)),BT255:CQ255)+SUMPRODUCT(--(MOD(COLUMN(CR255:DO255),4)=MOD(COLUMN(CR255),4)),CR255:DO255)</f>
        <v/>
      </c>
      <c r="DR255" s="803">
        <f>SUMPRODUCT(--(MOD(COLUMN(BT255:CQ255),4)=MOD(COLUMN(BT255),4)),BT255:CQ255)*$I255+SUMPRODUCT(--(MOD(COLUMN(CR255:DO255),4)=MOD(COLUMN(CR255),4)),CR255:DO255)*$I255</f>
        <v/>
      </c>
      <c r="DS255" s="801" t="n"/>
      <c r="DT255" s="819" t="n"/>
      <c r="DU255" s="23" t="n">
        <v>30</v>
      </c>
      <c r="DV255" s="24" t="n"/>
      <c r="DW255" s="25" t="n">
        <v>0</v>
      </c>
      <c r="DX255" s="24" t="n"/>
      <c r="DY255" s="23" t="n">
        <v>30</v>
      </c>
      <c r="DZ255" s="24" t="n"/>
      <c r="EA255" s="25" t="n">
        <v>0</v>
      </c>
      <c r="EB255" s="24" t="n"/>
      <c r="EC255" s="23" t="n">
        <v>30</v>
      </c>
      <c r="ED255" s="24" t="n"/>
      <c r="EE255" s="25" t="n">
        <v>0</v>
      </c>
      <c r="EF255" s="24" t="n"/>
      <c r="EG255" s="23" t="n">
        <v>30</v>
      </c>
      <c r="EH255" s="24" t="n"/>
      <c r="EI255" s="25" t="n">
        <v>0</v>
      </c>
      <c r="EJ255" s="24" t="n"/>
      <c r="EK255" s="23" t="n">
        <v>30</v>
      </c>
      <c r="EL255" s="24" t="n"/>
      <c r="EM255" s="25" t="n">
        <v>0</v>
      </c>
      <c r="EN255" s="24" t="n"/>
      <c r="EO255" s="23" t="n">
        <v>30</v>
      </c>
      <c r="EP255" s="24" t="n"/>
      <c r="EQ255" s="25" t="n">
        <v>0</v>
      </c>
      <c r="ER255" s="24" t="n"/>
      <c r="ES255" s="23" t="n">
        <v>30</v>
      </c>
      <c r="ET255" s="24" t="n"/>
      <c r="EU255" s="25" t="n">
        <v>0</v>
      </c>
      <c r="EV255" s="24" t="n"/>
      <c r="EW255" s="23" t="n">
        <v>30</v>
      </c>
      <c r="EX255" s="24" t="n"/>
      <c r="EY255" s="25" t="n">
        <v>0</v>
      </c>
      <c r="EZ255" s="24" t="n"/>
      <c r="FA255" s="23" t="n">
        <v>30</v>
      </c>
      <c r="FB255" s="24" t="n"/>
      <c r="FC255" s="25" t="n">
        <v>0</v>
      </c>
      <c r="FD255" s="24" t="n"/>
      <c r="FE255" s="23" t="n">
        <v>30</v>
      </c>
      <c r="FF255" s="24" t="n"/>
      <c r="FG255" s="25" t="n">
        <v>0</v>
      </c>
      <c r="FH255" s="24" t="n"/>
      <c r="FI255" s="23" t="n">
        <v>30</v>
      </c>
      <c r="FJ255" s="24" t="n"/>
      <c r="FK255" s="25" t="n">
        <v>0</v>
      </c>
      <c r="FL255" s="24" t="n"/>
      <c r="FM255" s="23" t="n">
        <v>30</v>
      </c>
      <c r="FN255" s="24" t="n"/>
      <c r="FO255" s="25" t="n">
        <v>0</v>
      </c>
      <c r="FP255" s="24" t="n"/>
      <c r="FQ255" s="340" t="n"/>
      <c r="FR255" s="803">
        <f>SUMPRODUCT(--(MOD(COLUMN(DU255:ER255),4)=MOD(COLUMN(DU255),4)),DU255:ER255)+SUMPRODUCT(--(MOD(COLUMN(ES255:FP255),4)=MOD(COLUMN(ES255),4)),ES255:FP255)</f>
        <v/>
      </c>
      <c r="FS255" s="803">
        <f>SUMPRODUCT(--(MOD(COLUMN(DU255:ER255),4)=MOD(COLUMN(DU255),4)),DU255:ER255)*$I255+SUMPRODUCT(--(MOD(COLUMN(ES255:FP255),4)=MOD(COLUMN(ES255),4)),ES255:FP255)*$I255</f>
        <v/>
      </c>
      <c r="FT255" s="361" t="n"/>
    </row>
    <row r="256" outlineLevel="2">
      <c r="A256" s="56" t="inlineStr">
        <is>
          <t>СПЕЦАВТО-ВОСТОК ООО</t>
        </is>
      </c>
      <c r="B256" s="387" t="inlineStr">
        <is>
          <t>Отсрочка 15 дней</t>
        </is>
      </c>
      <c r="C256" s="173" t="inlineStr">
        <is>
          <t>ВБК РУС</t>
        </is>
      </c>
      <c r="D256" s="565" t="inlineStr">
        <is>
          <t>Прасолов, Соловьёв</t>
        </is>
      </c>
      <c r="E256" s="10">
        <f>IF(ISBLANK(G256),"",IF($A$6:$A$330=$A256,COUNTIF($A$6:A256,$A256),""))</f>
        <v/>
      </c>
      <c r="F256" s="123" t="n">
        <v>1</v>
      </c>
      <c r="G256" s="128" t="n">
        <v>4640061000</v>
      </c>
      <c r="H256" s="612" t="inlineStr">
        <is>
          <t>Кран уровня пола, 5-ти портовый</t>
        </is>
      </c>
      <c r="I256" s="618" t="n">
        <v>0</v>
      </c>
      <c r="J256" s="618" t="n"/>
      <c r="K256" s="874" t="n"/>
      <c r="L256" s="618">
        <f>IF(K256="RUB",J256/ЮАНЬ,IF(K256="EUR",J256*ЕВРО/ЮАНЬ,""))</f>
        <v/>
      </c>
      <c r="M256" s="873" t="n"/>
      <c r="N256" s="871">
        <f>IF(BP256&gt;0,1,IF(BN256&gt;0,2,))</f>
        <v/>
      </c>
      <c r="O256" s="23" t="n">
        <v>20</v>
      </c>
      <c r="P256" s="24" t="n"/>
      <c r="Q256" s="25" t="n">
        <v>0</v>
      </c>
      <c r="R256" s="24" t="n"/>
      <c r="S256" s="23" t="n">
        <v>20</v>
      </c>
      <c r="T256" s="24">
        <f>SUMPRODUCT((Комплекты[Пр]=$F256)*(Комплекты[Обозначение]=$G256)*Комплекты[Кол-во]*(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56" s="25" t="n">
        <v>26</v>
      </c>
      <c r="V256" s="24" t="n"/>
      <c r="W256" s="23" t="n">
        <v>20</v>
      </c>
      <c r="X256" s="24">
        <f>SUMPRODUCT((Комплекты[Пр]=$F256)*(Комплекты[Обозначение]=$G256)*Комплекты[Кол-во]*(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56" s="25" t="n">
        <v>18</v>
      </c>
      <c r="Z256" s="24" t="n"/>
      <c r="AA256" s="23" t="n">
        <v>20</v>
      </c>
      <c r="AB256" s="24">
        <f>SUMPRODUCT((Комплекты[Пр]=$F256)*(Комплекты[Обозначение]=$G256)*Комплекты[Кол-во]*(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56" s="25" t="n">
        <v>0</v>
      </c>
      <c r="AD256" s="24" t="n"/>
      <c r="AE256" s="23" t="n">
        <v>20</v>
      </c>
      <c r="AF256" s="24">
        <f>SUMPRODUCT((Комплекты[Пр]=$F256)*(Комплекты[Обозначение]=$G256)*Комплекты[Кол-во]*(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56" s="25" t="n">
        <v>2</v>
      </c>
      <c r="AH256" s="24" t="n"/>
      <c r="AI256" s="23" t="n">
        <v>20</v>
      </c>
      <c r="AJ256" s="24">
        <f>SUMPRODUCT((Комплекты[Пр]=$F256)*(Комплекты[Обозначение]=$G256)*Комплекты[Кол-во]*(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56" s="25" t="n">
        <v>0</v>
      </c>
      <c r="AL256" s="24" t="n"/>
      <c r="AM256" s="23" t="n">
        <v>20</v>
      </c>
      <c r="AN256" s="24">
        <f>SUMPRODUCT((Комплекты[Пр]=$F256)*(Комплекты[Обозначение]=$G256)*Комплекты[Кол-во]*(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56" s="25" t="n">
        <v>0</v>
      </c>
      <c r="AP256" s="24" t="n"/>
      <c r="AQ256" s="23" t="n">
        <v>20</v>
      </c>
      <c r="AR256" s="24">
        <f>SUMPRODUCT((Комплекты[Пр]=$F256)*(Комплекты[Обозначение]=$G256)*Комплекты[Кол-во]*(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56" s="25" t="n">
        <v>0</v>
      </c>
      <c r="AT256" s="24" t="n"/>
      <c r="AU256" s="23" t="n">
        <v>25</v>
      </c>
      <c r="AV256" s="24">
        <f>SUMPRODUCT((Комплекты[Пр]=$F256)*(Комплекты[Обозначение]=$G256)*Комплекты[Кол-во]*(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56" s="25" t="n">
        <v>0</v>
      </c>
      <c r="AX256" s="24" t="n"/>
      <c r="AY256" s="23" t="n">
        <v>25</v>
      </c>
      <c r="AZ256" s="24">
        <f>SUMPRODUCT((Комплекты[Пр]=$F256)*(Комплекты[Обозначение]=$G256)*Комплекты[Кол-во]*(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56" s="25" t="n">
        <v>0</v>
      </c>
      <c r="BB256" s="24" t="n"/>
      <c r="BC256" s="23" t="n">
        <v>25</v>
      </c>
      <c r="BD256" s="24">
        <f>SUMPRODUCT((Комплекты[Пр]=$F256)*(Комплекты[Обозначение]=$G256)*Комплекты[Кол-во]*(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56" s="25" t="n">
        <v>0</v>
      </c>
      <c r="BF256" s="24" t="n"/>
      <c r="BG256" s="23" t="n">
        <v>25</v>
      </c>
      <c r="BH256" s="24">
        <f>SUMPRODUCT((Комплекты[Пр]=$F256)*(Комплекты[Обозначение]=$G256)*Комплекты[Кол-во]*(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56" s="25" t="n">
        <v>0</v>
      </c>
      <c r="BJ256" s="24" t="n"/>
      <c r="BK256" s="340" t="n"/>
      <c r="BL256" s="803">
        <f>SUMPRODUCT(--(MOD(COLUMN($O256:$AL256),4)=MOD(COLUMN($O256)+0,4)),$O256:$AL256)
+SUMPRODUCT(--(MOD(COLUMN($AM256:$BJ256),4)=MOD(COLUMN($AM256)+0,4)),$AM256:$BJ256)</f>
        <v/>
      </c>
      <c r="BM256" s="803">
        <f>SUMPRODUCT(--(MOD(COLUMN($O256:$AL256),4)=MOD(COLUMN($O256)+0,4)),$O256:$AL256)*
$I256+SUMPRODUCT(--(MOD(COLUMN($AM256:$BJ256),4)=MOD(COLUMN($AM256)+0,4)),$AM256:$BJ256)*$I256</f>
        <v/>
      </c>
      <c r="BN256" s="805">
        <f>SUMPRODUCT(--(MOD(COLUMN($O256:$AL256),4)=MOD(COLUMN($O256)+1,4)),$O256:$AL256)
+SUMPRODUCT(--(MOD(COLUMN($AM256:$BJ256),4)=MOD(COLUMN($AM256)+1,4)),$AM256:$BJ256)</f>
        <v/>
      </c>
      <c r="BO256" s="806">
        <f>SUMPRODUCT(--(MOD(COLUMN($O256:$AL256),4)=MOD(COLUMN($O256)+1,4)),$O256:$AL256)*
$I256+SUMPRODUCT(--(MOD(COLUMN($AM256:$BJ256),4)=MOD(COLUMN($AM256)+1,4)),$AM256:$BJ256)*$I256</f>
        <v/>
      </c>
      <c r="BP256" s="807">
        <f>SUMPRODUCT(--(MOD(COLUMN($O256:$AL256),4)=MOD(COLUMN($O256)+2,4)),$O256:$AL256)
+SUMPRODUCT(--(MOD(COLUMN($AM256:$BJ256),4)=MOD(COLUMN($AM256)+2,4)),$AM256:$BJ256)</f>
        <v/>
      </c>
      <c r="BQ256" s="808">
        <f>SUMPRODUCT(--(MOD(COLUMN($O256:$AL256),4)=MOD(COLUMN($O256)+2,4)),$O256:$AL256)*
$I256+SUMPRODUCT(--(MOD(COLUMN($AM256:$BJ256),4)=MOD(COLUMN($AM256)+2,4)),$AM256:$BJ256)*$I256</f>
        <v/>
      </c>
      <c r="BR256" s="801" t="n"/>
      <c r="BS256" s="819" t="n"/>
      <c r="BT256" s="23" t="n">
        <v>10</v>
      </c>
      <c r="BU256" s="24" t="n"/>
      <c r="BV256" s="25" t="n">
        <v>0</v>
      </c>
      <c r="BW256" s="24" t="n"/>
      <c r="BX256" s="23" t="n">
        <v>10</v>
      </c>
      <c r="BY256" s="24" t="n"/>
      <c r="BZ256" s="25" t="n">
        <v>0</v>
      </c>
      <c r="CA256" s="24" t="n"/>
      <c r="CB256" s="23" t="n">
        <v>10</v>
      </c>
      <c r="CC256" s="24" t="n"/>
      <c r="CD256" s="25" t="n">
        <v>0</v>
      </c>
      <c r="CE256" s="24" t="n"/>
      <c r="CF256" s="23" t="n">
        <v>10</v>
      </c>
      <c r="CG256" s="24" t="n"/>
      <c r="CH256" s="25" t="n">
        <v>0</v>
      </c>
      <c r="CI256" s="24" t="n"/>
      <c r="CJ256" s="23" t="n">
        <v>10</v>
      </c>
      <c r="CK256" s="24" t="n"/>
      <c r="CL256" s="25" t="n">
        <v>0</v>
      </c>
      <c r="CM256" s="24" t="n"/>
      <c r="CN256" s="23" t="n">
        <v>10</v>
      </c>
      <c r="CO256" s="24" t="n"/>
      <c r="CP256" s="25" t="n">
        <v>0</v>
      </c>
      <c r="CQ256" s="24" t="n"/>
      <c r="CR256" s="23" t="n">
        <v>10</v>
      </c>
      <c r="CS256" s="24" t="n"/>
      <c r="CT256" s="25" t="n">
        <v>0</v>
      </c>
      <c r="CU256" s="24" t="n"/>
      <c r="CV256" s="23" t="n">
        <v>10</v>
      </c>
      <c r="CW256" s="24" t="n"/>
      <c r="CX256" s="25" t="n">
        <v>0</v>
      </c>
      <c r="CY256" s="24" t="n"/>
      <c r="CZ256" s="23" t="n">
        <v>10</v>
      </c>
      <c r="DA256" s="24" t="n"/>
      <c r="DB256" s="25" t="n">
        <v>0</v>
      </c>
      <c r="DC256" s="24" t="n"/>
      <c r="DD256" s="23" t="n">
        <v>10</v>
      </c>
      <c r="DE256" s="24" t="n"/>
      <c r="DF256" s="25" t="n">
        <v>0</v>
      </c>
      <c r="DG256" s="24" t="n"/>
      <c r="DH256" s="23" t="n">
        <v>10</v>
      </c>
      <c r="DI256" s="24" t="n"/>
      <c r="DJ256" s="25" t="n">
        <v>0</v>
      </c>
      <c r="DK256" s="24" t="n"/>
      <c r="DL256" s="23" t="n">
        <v>10</v>
      </c>
      <c r="DM256" s="24" t="n"/>
      <c r="DN256" s="25" t="n">
        <v>0</v>
      </c>
      <c r="DO256" s="24" t="n"/>
      <c r="DP256" s="340" t="n"/>
      <c r="DQ256" s="803">
        <f>SUMPRODUCT(--(MOD(COLUMN(BT256:CQ256),4)=MOD(COLUMN(BT256),4)),BT256:CQ256)+SUMPRODUCT(--(MOD(COLUMN(CR256:DO256),4)=MOD(COLUMN(CR256),4)),CR256:DO256)</f>
        <v/>
      </c>
      <c r="DR256" s="803">
        <f>SUMPRODUCT(--(MOD(COLUMN(BT256:CQ256),4)=MOD(COLUMN(BT256),4)),BT256:CQ256)*$I256+SUMPRODUCT(--(MOD(COLUMN(CR256:DO256),4)=MOD(COLUMN(CR256),4)),CR256:DO256)*$I256</f>
        <v/>
      </c>
      <c r="DS256" s="801" t="n"/>
      <c r="DT256" s="819" t="n"/>
      <c r="DU256" s="23" t="n">
        <v>15</v>
      </c>
      <c r="DV256" s="24" t="n"/>
      <c r="DW256" s="25" t="n">
        <v>0</v>
      </c>
      <c r="DX256" s="24" t="n"/>
      <c r="DY256" s="23" t="n">
        <v>15</v>
      </c>
      <c r="DZ256" s="24" t="n"/>
      <c r="EA256" s="25" t="n">
        <v>0</v>
      </c>
      <c r="EB256" s="24" t="n"/>
      <c r="EC256" s="23" t="n">
        <v>15</v>
      </c>
      <c r="ED256" s="24" t="n"/>
      <c r="EE256" s="25" t="n">
        <v>0</v>
      </c>
      <c r="EF256" s="24" t="n"/>
      <c r="EG256" s="23" t="n">
        <v>15</v>
      </c>
      <c r="EH256" s="24" t="n"/>
      <c r="EI256" s="25" t="n">
        <v>0</v>
      </c>
      <c r="EJ256" s="24" t="n"/>
      <c r="EK256" s="23" t="n">
        <v>15</v>
      </c>
      <c r="EL256" s="24" t="n"/>
      <c r="EM256" s="25" t="n">
        <v>0</v>
      </c>
      <c r="EN256" s="24" t="n"/>
      <c r="EO256" s="23" t="n">
        <v>15</v>
      </c>
      <c r="EP256" s="24" t="n"/>
      <c r="EQ256" s="25" t="n">
        <v>0</v>
      </c>
      <c r="ER256" s="24" t="n"/>
      <c r="ES256" s="23" t="n">
        <v>15</v>
      </c>
      <c r="ET256" s="24" t="n"/>
      <c r="EU256" s="25" t="n">
        <v>0</v>
      </c>
      <c r="EV256" s="24" t="n"/>
      <c r="EW256" s="23" t="n">
        <v>15</v>
      </c>
      <c r="EX256" s="24" t="n"/>
      <c r="EY256" s="25" t="n">
        <v>0</v>
      </c>
      <c r="EZ256" s="24" t="n"/>
      <c r="FA256" s="23" t="n">
        <v>15</v>
      </c>
      <c r="FB256" s="24" t="n"/>
      <c r="FC256" s="25" t="n">
        <v>0</v>
      </c>
      <c r="FD256" s="24" t="n"/>
      <c r="FE256" s="23" t="n">
        <v>15</v>
      </c>
      <c r="FF256" s="24" t="n"/>
      <c r="FG256" s="25" t="n">
        <v>0</v>
      </c>
      <c r="FH256" s="24" t="n"/>
      <c r="FI256" s="23" t="n">
        <v>15</v>
      </c>
      <c r="FJ256" s="24" t="n"/>
      <c r="FK256" s="25" t="n">
        <v>0</v>
      </c>
      <c r="FL256" s="24" t="n"/>
      <c r="FM256" s="23" t="n">
        <v>15</v>
      </c>
      <c r="FN256" s="24" t="n"/>
      <c r="FO256" s="25" t="n">
        <v>0</v>
      </c>
      <c r="FP256" s="24" t="n"/>
      <c r="FQ256" s="340" t="n"/>
      <c r="FR256" s="803">
        <f>SUMPRODUCT(--(MOD(COLUMN(DU256:ER256),4)=MOD(COLUMN(DU256),4)),DU256:ER256)+SUMPRODUCT(--(MOD(COLUMN(ES256:FP256),4)=MOD(COLUMN(ES256),4)),ES256:FP256)</f>
        <v/>
      </c>
      <c r="FS256" s="803">
        <f>SUMPRODUCT(--(MOD(COLUMN(DU256:ER256),4)=MOD(COLUMN(DU256),4)),DU256:ER256)*$I256+SUMPRODUCT(--(MOD(COLUMN(ES256:FP256),4)=MOD(COLUMN(ES256),4)),ES256:FP256)*$I256</f>
        <v/>
      </c>
      <c r="FT256" s="361" t="n"/>
    </row>
    <row r="257" outlineLevel="2">
      <c r="A257" s="56" t="inlineStr">
        <is>
          <t>СПЕЦАВТО-ВОСТОК ООО</t>
        </is>
      </c>
      <c r="B257" s="387" t="inlineStr">
        <is>
          <t>Отсрочка 15 дней</t>
        </is>
      </c>
      <c r="C257" s="173" t="inlineStr">
        <is>
          <t>ВБК РУС</t>
        </is>
      </c>
      <c r="D257" s="565" t="inlineStr">
        <is>
          <t>Прасолов, Соловьёв</t>
        </is>
      </c>
      <c r="E257" s="10">
        <f>IF(ISBLANK(G257),"",IF($A$6:$A$330=$A257,COUNTIF($A$6:A257,$A257),""))</f>
        <v/>
      </c>
      <c r="F257" s="123" t="n">
        <v>1</v>
      </c>
      <c r="G257" s="128" t="n">
        <v>4630320200</v>
      </c>
      <c r="H257" s="612" t="inlineStr">
        <is>
          <t>Кран ручного управления</t>
        </is>
      </c>
      <c r="I257" s="618" t="n">
        <v>0</v>
      </c>
      <c r="J257" s="618" t="n"/>
      <c r="K257" s="874" t="n"/>
      <c r="L257" s="618">
        <f>IF(K257="RUB",J257/ЮАНЬ,IF(K257="EUR",J257*ЕВРО/ЮАНЬ,""))</f>
        <v/>
      </c>
      <c r="M257" s="873" t="n"/>
      <c r="N257" s="871">
        <f>IF(BP257&gt;0,1,IF(BN257&gt;0,2,))</f>
        <v/>
      </c>
      <c r="O257" s="23" t="n">
        <v>20</v>
      </c>
      <c r="P257" s="24" t="n"/>
      <c r="Q257" s="25" t="n">
        <v>0</v>
      </c>
      <c r="R257" s="24" t="n"/>
      <c r="S257" s="23" t="n">
        <v>20</v>
      </c>
      <c r="T257" s="24">
        <f>SUMPRODUCT((Комплекты[Пр]=$F257)*(Комплекты[Обозначение]=$G257)*Комплекты[Кол-во]*(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57" s="25" t="n">
        <v>26</v>
      </c>
      <c r="V257" s="24" t="n"/>
      <c r="W257" s="23" t="n">
        <v>20</v>
      </c>
      <c r="X257" s="24">
        <f>SUMPRODUCT((Комплекты[Пр]=$F257)*(Комплекты[Обозначение]=$G257)*Комплекты[Кол-во]*(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57" s="25" t="n">
        <v>18</v>
      </c>
      <c r="Z257" s="24" t="n"/>
      <c r="AA257" s="23" t="n">
        <v>20</v>
      </c>
      <c r="AB257" s="24">
        <f>SUMPRODUCT((Комплекты[Пр]=$F257)*(Комплекты[Обозначение]=$G257)*Комплекты[Кол-во]*(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57" s="25" t="n">
        <v>0</v>
      </c>
      <c r="AD257" s="24" t="n"/>
      <c r="AE257" s="23" t="n">
        <v>20</v>
      </c>
      <c r="AF257" s="24">
        <f>SUMPRODUCT((Комплекты[Пр]=$F257)*(Комплекты[Обозначение]=$G257)*Комплекты[Кол-во]*(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57" s="25" t="n">
        <v>2</v>
      </c>
      <c r="AH257" s="24" t="n"/>
      <c r="AI257" s="23" t="n">
        <v>20</v>
      </c>
      <c r="AJ257" s="24">
        <f>SUMPRODUCT((Комплекты[Пр]=$F257)*(Комплекты[Обозначение]=$G257)*Комплекты[Кол-во]*(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57" s="25" t="n">
        <v>0</v>
      </c>
      <c r="AL257" s="24" t="n"/>
      <c r="AM257" s="23" t="n">
        <v>20</v>
      </c>
      <c r="AN257" s="24">
        <f>SUMPRODUCT((Комплекты[Пр]=$F257)*(Комплекты[Обозначение]=$G257)*Комплекты[Кол-во]*(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57" s="25" t="n">
        <v>0</v>
      </c>
      <c r="AP257" s="24" t="n"/>
      <c r="AQ257" s="23" t="n">
        <v>20</v>
      </c>
      <c r="AR257" s="24">
        <f>SUMPRODUCT((Комплекты[Пр]=$F257)*(Комплекты[Обозначение]=$G257)*Комплекты[Кол-во]*(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57" s="25" t="n">
        <v>0</v>
      </c>
      <c r="AT257" s="24" t="n"/>
      <c r="AU257" s="23" t="n">
        <v>25</v>
      </c>
      <c r="AV257" s="24">
        <f>SUMPRODUCT((Комплекты[Пр]=$F257)*(Комплекты[Обозначение]=$G257)*Комплекты[Кол-во]*(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57" s="25" t="n">
        <v>0</v>
      </c>
      <c r="AX257" s="24" t="n"/>
      <c r="AY257" s="23" t="n">
        <v>25</v>
      </c>
      <c r="AZ257" s="24">
        <f>SUMPRODUCT((Комплекты[Пр]=$F257)*(Комплекты[Обозначение]=$G257)*Комплекты[Кол-во]*(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57" s="25" t="n">
        <v>0</v>
      </c>
      <c r="BB257" s="24" t="n"/>
      <c r="BC257" s="23" t="n">
        <v>25</v>
      </c>
      <c r="BD257" s="24">
        <f>SUMPRODUCT((Комплекты[Пр]=$F257)*(Комплекты[Обозначение]=$G257)*Комплекты[Кол-во]*(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57" s="25" t="n">
        <v>0</v>
      </c>
      <c r="BF257" s="24" t="n"/>
      <c r="BG257" s="23" t="n">
        <v>25</v>
      </c>
      <c r="BH257" s="24">
        <f>SUMPRODUCT((Комплекты[Пр]=$F257)*(Комплекты[Обозначение]=$G257)*Комплекты[Кол-во]*(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57" s="25" t="n">
        <v>0</v>
      </c>
      <c r="BJ257" s="24" t="n"/>
      <c r="BK257" s="340" t="n"/>
      <c r="BL257" s="803">
        <f>SUMPRODUCT(--(MOD(COLUMN($O257:$AL257),4)=MOD(COLUMN($O257)+0,4)),$O257:$AL257)
+SUMPRODUCT(--(MOD(COLUMN($AM257:$BJ257),4)=MOD(COLUMN($AM257)+0,4)),$AM257:$BJ257)</f>
        <v/>
      </c>
      <c r="BM257" s="803">
        <f>SUMPRODUCT(--(MOD(COLUMN($O257:$AL257),4)=MOD(COLUMN($O257)+0,4)),$O257:$AL257)*
$I257+SUMPRODUCT(--(MOD(COLUMN($AM257:$BJ257),4)=MOD(COLUMN($AM257)+0,4)),$AM257:$BJ257)*$I257</f>
        <v/>
      </c>
      <c r="BN257" s="805">
        <f>SUMPRODUCT(--(MOD(COLUMN($O257:$AL257),4)=MOD(COLUMN($O257)+1,4)),$O257:$AL257)
+SUMPRODUCT(--(MOD(COLUMN($AM257:$BJ257),4)=MOD(COLUMN($AM257)+1,4)),$AM257:$BJ257)</f>
        <v/>
      </c>
      <c r="BO257" s="806">
        <f>SUMPRODUCT(--(MOD(COLUMN($O257:$AL257),4)=MOD(COLUMN($O257)+1,4)),$O257:$AL257)*
$I257+SUMPRODUCT(--(MOD(COLUMN($AM257:$BJ257),4)=MOD(COLUMN($AM257)+1,4)),$AM257:$BJ257)*$I257</f>
        <v/>
      </c>
      <c r="BP257" s="807">
        <f>SUMPRODUCT(--(MOD(COLUMN($O257:$AL257),4)=MOD(COLUMN($O257)+2,4)),$O257:$AL257)
+SUMPRODUCT(--(MOD(COLUMN($AM257:$BJ257),4)=MOD(COLUMN($AM257)+2,4)),$AM257:$BJ257)</f>
        <v/>
      </c>
      <c r="BQ257" s="808">
        <f>SUMPRODUCT(--(MOD(COLUMN($O257:$AL257),4)=MOD(COLUMN($O257)+2,4)),$O257:$AL257)*
$I257+SUMPRODUCT(--(MOD(COLUMN($AM257:$BJ257),4)=MOD(COLUMN($AM257)+2,4)),$AM257:$BJ257)*$I257</f>
        <v/>
      </c>
      <c r="BR257" s="801" t="n"/>
      <c r="BS257" s="819" t="n"/>
      <c r="BT257" s="23" t="n">
        <v>10</v>
      </c>
      <c r="BU257" s="24" t="n"/>
      <c r="BV257" s="25" t="n">
        <v>0</v>
      </c>
      <c r="BW257" s="24" t="n"/>
      <c r="BX257" s="23" t="n">
        <v>10</v>
      </c>
      <c r="BY257" s="24" t="n"/>
      <c r="BZ257" s="25" t="n">
        <v>0</v>
      </c>
      <c r="CA257" s="24" t="n"/>
      <c r="CB257" s="23" t="n">
        <v>10</v>
      </c>
      <c r="CC257" s="24" t="n"/>
      <c r="CD257" s="25" t="n">
        <v>0</v>
      </c>
      <c r="CE257" s="24" t="n"/>
      <c r="CF257" s="23" t="n">
        <v>10</v>
      </c>
      <c r="CG257" s="24" t="n"/>
      <c r="CH257" s="25" t="n">
        <v>0</v>
      </c>
      <c r="CI257" s="24" t="n"/>
      <c r="CJ257" s="23" t="n">
        <v>10</v>
      </c>
      <c r="CK257" s="24" t="n"/>
      <c r="CL257" s="25" t="n">
        <v>0</v>
      </c>
      <c r="CM257" s="24" t="n"/>
      <c r="CN257" s="23" t="n">
        <v>10</v>
      </c>
      <c r="CO257" s="24" t="n"/>
      <c r="CP257" s="25" t="n">
        <v>0</v>
      </c>
      <c r="CQ257" s="24" t="n"/>
      <c r="CR257" s="23" t="n">
        <v>10</v>
      </c>
      <c r="CS257" s="24" t="n"/>
      <c r="CT257" s="25" t="n">
        <v>0</v>
      </c>
      <c r="CU257" s="24" t="n"/>
      <c r="CV257" s="23" t="n">
        <v>10</v>
      </c>
      <c r="CW257" s="24" t="n"/>
      <c r="CX257" s="25" t="n">
        <v>0</v>
      </c>
      <c r="CY257" s="24" t="n"/>
      <c r="CZ257" s="23" t="n">
        <v>10</v>
      </c>
      <c r="DA257" s="24" t="n"/>
      <c r="DB257" s="25" t="n">
        <v>0</v>
      </c>
      <c r="DC257" s="24" t="n"/>
      <c r="DD257" s="23" t="n">
        <v>10</v>
      </c>
      <c r="DE257" s="24" t="n"/>
      <c r="DF257" s="25" t="n">
        <v>0</v>
      </c>
      <c r="DG257" s="24" t="n"/>
      <c r="DH257" s="23" t="n">
        <v>10</v>
      </c>
      <c r="DI257" s="24" t="n"/>
      <c r="DJ257" s="25" t="n">
        <v>0</v>
      </c>
      <c r="DK257" s="24" t="n"/>
      <c r="DL257" s="23" t="n">
        <v>10</v>
      </c>
      <c r="DM257" s="24" t="n"/>
      <c r="DN257" s="25" t="n">
        <v>0</v>
      </c>
      <c r="DO257" s="24" t="n"/>
      <c r="DP257" s="340" t="n"/>
      <c r="DQ257" s="803">
        <f>SUMPRODUCT(--(MOD(COLUMN(BT257:CQ257),4)=MOD(COLUMN(BT257),4)),BT257:CQ257)+SUMPRODUCT(--(MOD(COLUMN(CR257:DO257),4)=MOD(COLUMN(CR257),4)),CR257:DO257)</f>
        <v/>
      </c>
      <c r="DR257" s="803">
        <f>SUMPRODUCT(--(MOD(COLUMN(BT257:CQ257),4)=MOD(COLUMN(BT257),4)),BT257:CQ257)*$I257+SUMPRODUCT(--(MOD(COLUMN(CR257:DO257),4)=MOD(COLUMN(CR257),4)),CR257:DO257)*$I257</f>
        <v/>
      </c>
      <c r="DS257" s="801" t="n"/>
      <c r="DT257" s="819" t="n"/>
      <c r="DU257" s="23" t="n">
        <v>15</v>
      </c>
      <c r="DV257" s="24" t="n"/>
      <c r="DW257" s="25" t="n">
        <v>0</v>
      </c>
      <c r="DX257" s="24" t="n"/>
      <c r="DY257" s="23" t="n">
        <v>15</v>
      </c>
      <c r="DZ257" s="24" t="n"/>
      <c r="EA257" s="25" t="n">
        <v>0</v>
      </c>
      <c r="EB257" s="24" t="n"/>
      <c r="EC257" s="23" t="n">
        <v>15</v>
      </c>
      <c r="ED257" s="24" t="n"/>
      <c r="EE257" s="25" t="n">
        <v>0</v>
      </c>
      <c r="EF257" s="24" t="n"/>
      <c r="EG257" s="23" t="n">
        <v>15</v>
      </c>
      <c r="EH257" s="24" t="n"/>
      <c r="EI257" s="25" t="n">
        <v>0</v>
      </c>
      <c r="EJ257" s="24" t="n"/>
      <c r="EK257" s="23" t="n">
        <v>15</v>
      </c>
      <c r="EL257" s="24" t="n"/>
      <c r="EM257" s="25" t="n">
        <v>0</v>
      </c>
      <c r="EN257" s="24" t="n"/>
      <c r="EO257" s="23" t="n">
        <v>15</v>
      </c>
      <c r="EP257" s="24" t="n"/>
      <c r="EQ257" s="25" t="n">
        <v>0</v>
      </c>
      <c r="ER257" s="24" t="n"/>
      <c r="ES257" s="23" t="n">
        <v>15</v>
      </c>
      <c r="ET257" s="24" t="n"/>
      <c r="EU257" s="25" t="n">
        <v>0</v>
      </c>
      <c r="EV257" s="24" t="n"/>
      <c r="EW257" s="23" t="n">
        <v>15</v>
      </c>
      <c r="EX257" s="24" t="n"/>
      <c r="EY257" s="25" t="n">
        <v>0</v>
      </c>
      <c r="EZ257" s="24" t="n"/>
      <c r="FA257" s="23" t="n">
        <v>15</v>
      </c>
      <c r="FB257" s="24" t="n"/>
      <c r="FC257" s="25" t="n">
        <v>0</v>
      </c>
      <c r="FD257" s="24" t="n"/>
      <c r="FE257" s="23" t="n">
        <v>15</v>
      </c>
      <c r="FF257" s="24" t="n"/>
      <c r="FG257" s="25" t="n">
        <v>0</v>
      </c>
      <c r="FH257" s="24" t="n"/>
      <c r="FI257" s="23" t="n">
        <v>15</v>
      </c>
      <c r="FJ257" s="24" t="n"/>
      <c r="FK257" s="25" t="n">
        <v>0</v>
      </c>
      <c r="FL257" s="24" t="n"/>
      <c r="FM257" s="23" t="n">
        <v>15</v>
      </c>
      <c r="FN257" s="24" t="n"/>
      <c r="FO257" s="25" t="n">
        <v>0</v>
      </c>
      <c r="FP257" s="24" t="n"/>
      <c r="FQ257" s="340" t="n"/>
      <c r="FR257" s="803">
        <f>SUMPRODUCT(--(MOD(COLUMN(DU257:ER257),4)=MOD(COLUMN(DU257),4)),DU257:ER257)+SUMPRODUCT(--(MOD(COLUMN(ES257:FP257),4)=MOD(COLUMN(ES257),4)),ES257:FP257)</f>
        <v/>
      </c>
      <c r="FS257" s="803">
        <f>SUMPRODUCT(--(MOD(COLUMN(DU257:ER257),4)=MOD(COLUMN(DU257),4)),DU257:ER257)*$I257+SUMPRODUCT(--(MOD(COLUMN(ES257:FP257),4)=MOD(COLUMN(ES257),4)),ES257:FP257)*$I257</f>
        <v/>
      </c>
      <c r="FT257" s="361" t="n"/>
    </row>
    <row r="258" outlineLevel="2">
      <c r="A258" s="56" t="inlineStr">
        <is>
          <t>СПЕЦАВТО-ВОСТОК ООО</t>
        </is>
      </c>
      <c r="B258" s="387" t="inlineStr">
        <is>
          <t>Отсрочка 15 дней</t>
        </is>
      </c>
      <c r="C258" s="173" t="inlineStr">
        <is>
          <t>ВБК РУС</t>
        </is>
      </c>
      <c r="D258" s="565" t="inlineStr">
        <is>
          <t>Прасолов, Соловьёв</t>
        </is>
      </c>
      <c r="E258" s="10">
        <f>IF(ISBLANK(G258),"",IF($A$6:$A$330=$A258,COUNTIF($A$6:A258,$A258),""))</f>
        <v/>
      </c>
      <c r="F258" s="123" t="n">
        <v>1</v>
      </c>
      <c r="G258" s="128" t="n">
        <v>4334010030</v>
      </c>
      <c r="H258" s="612" t="inlineStr">
        <is>
          <t>Упругий элемент</t>
        </is>
      </c>
      <c r="I258" s="618" t="n">
        <v>0</v>
      </c>
      <c r="J258" s="618" t="n"/>
      <c r="K258" s="874" t="n"/>
      <c r="L258" s="618">
        <f>IF(K258="RUB",J258/ЮАНЬ,IF(K258="EUR",J258*ЕВРО/ЮАНЬ,""))</f>
        <v/>
      </c>
      <c r="M258" s="873" t="n"/>
      <c r="N258" s="871">
        <f>IF(BP258&gt;0,1,IF(BN258&gt;0,2,))</f>
        <v/>
      </c>
      <c r="O258" s="23" t="n">
        <v>20</v>
      </c>
      <c r="P258" s="24" t="n"/>
      <c r="Q258" s="25" t="n">
        <v>0</v>
      </c>
      <c r="R258" s="24" t="n"/>
      <c r="S258" s="23" t="n">
        <v>20</v>
      </c>
      <c r="T258" s="24">
        <f>SUMPRODUCT((Комплекты[Пр]=$F258)*(Комплекты[Обозначение]=$G258)*Комплекты[Кол-во]*(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58" s="25" t="n">
        <v>26</v>
      </c>
      <c r="V258" s="24" t="n"/>
      <c r="W258" s="23" t="n">
        <v>20</v>
      </c>
      <c r="X258" s="24">
        <f>SUMPRODUCT((Комплекты[Пр]=$F258)*(Комплекты[Обозначение]=$G258)*Комплекты[Кол-во]*(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58" s="25" t="n">
        <v>18</v>
      </c>
      <c r="Z258" s="24" t="n"/>
      <c r="AA258" s="23" t="n">
        <v>20</v>
      </c>
      <c r="AB258" s="24">
        <f>SUMPRODUCT((Комплекты[Пр]=$F258)*(Комплекты[Обозначение]=$G258)*Комплекты[Кол-во]*(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58" s="25" t="n">
        <v>0</v>
      </c>
      <c r="AD258" s="24" t="n"/>
      <c r="AE258" s="23" t="n">
        <v>20</v>
      </c>
      <c r="AF258" s="24">
        <f>SUMPRODUCT((Комплекты[Пр]=$F258)*(Комплекты[Обозначение]=$G258)*Комплекты[Кол-во]*(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58" s="25" t="n">
        <v>2</v>
      </c>
      <c r="AH258" s="24" t="n"/>
      <c r="AI258" s="23" t="n">
        <v>20</v>
      </c>
      <c r="AJ258" s="24">
        <f>SUMPRODUCT((Комплекты[Пр]=$F258)*(Комплекты[Обозначение]=$G258)*Комплекты[Кол-во]*(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58" s="25" t="n">
        <v>0</v>
      </c>
      <c r="AL258" s="24" t="n"/>
      <c r="AM258" s="23" t="n">
        <v>20</v>
      </c>
      <c r="AN258" s="24">
        <f>SUMPRODUCT((Комплекты[Пр]=$F258)*(Комплекты[Обозначение]=$G258)*Комплекты[Кол-во]*(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58" s="25" t="n">
        <v>0</v>
      </c>
      <c r="AP258" s="24" t="n"/>
      <c r="AQ258" s="23" t="n">
        <v>20</v>
      </c>
      <c r="AR258" s="24">
        <f>SUMPRODUCT((Комплекты[Пр]=$F258)*(Комплекты[Обозначение]=$G258)*Комплекты[Кол-во]*(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58" s="25" t="n">
        <v>0</v>
      </c>
      <c r="AT258" s="24" t="n"/>
      <c r="AU258" s="23" t="n">
        <v>25</v>
      </c>
      <c r="AV258" s="24">
        <f>SUMPRODUCT((Комплекты[Пр]=$F258)*(Комплекты[Обозначение]=$G258)*Комплекты[Кол-во]*(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58" s="25" t="n">
        <v>0</v>
      </c>
      <c r="AX258" s="24" t="n"/>
      <c r="AY258" s="23" t="n">
        <v>25</v>
      </c>
      <c r="AZ258" s="24">
        <f>SUMPRODUCT((Комплекты[Пр]=$F258)*(Комплекты[Обозначение]=$G258)*Комплекты[Кол-во]*(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58" s="25" t="n">
        <v>0</v>
      </c>
      <c r="BB258" s="24" t="n"/>
      <c r="BC258" s="23" t="n">
        <v>25</v>
      </c>
      <c r="BD258" s="24">
        <f>SUMPRODUCT((Комплекты[Пр]=$F258)*(Комплекты[Обозначение]=$G258)*Комплекты[Кол-во]*(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58" s="25" t="n">
        <v>0</v>
      </c>
      <c r="BF258" s="24" t="n"/>
      <c r="BG258" s="23" t="n">
        <v>25</v>
      </c>
      <c r="BH258" s="24">
        <f>SUMPRODUCT((Комплекты[Пр]=$F258)*(Комплекты[Обозначение]=$G258)*Комплекты[Кол-во]*(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58" s="25" t="n">
        <v>0</v>
      </c>
      <c r="BJ258" s="24" t="n"/>
      <c r="BK258" s="340" t="n"/>
      <c r="BL258" s="803">
        <f>SUMPRODUCT(--(MOD(COLUMN($O258:$AL258),4)=MOD(COLUMN($O258)+0,4)),$O258:$AL258)
+SUMPRODUCT(--(MOD(COLUMN($AM258:$BJ258),4)=MOD(COLUMN($AM258)+0,4)),$AM258:$BJ258)</f>
        <v/>
      </c>
      <c r="BM258" s="803">
        <f>SUMPRODUCT(--(MOD(COLUMN($O258:$AL258),4)=MOD(COLUMN($O258)+0,4)),$O258:$AL258)*
$I258+SUMPRODUCT(--(MOD(COLUMN($AM258:$BJ258),4)=MOD(COLUMN($AM258)+0,4)),$AM258:$BJ258)*$I258</f>
        <v/>
      </c>
      <c r="BN258" s="805">
        <f>SUMPRODUCT(--(MOD(COLUMN($O258:$AL258),4)=MOD(COLUMN($O258)+1,4)),$O258:$AL258)
+SUMPRODUCT(--(MOD(COLUMN($AM258:$BJ258),4)=MOD(COLUMN($AM258)+1,4)),$AM258:$BJ258)</f>
        <v/>
      </c>
      <c r="BO258" s="806">
        <f>SUMPRODUCT(--(MOD(COLUMN($O258:$AL258),4)=MOD(COLUMN($O258)+1,4)),$O258:$AL258)*
$I258+SUMPRODUCT(--(MOD(COLUMN($AM258:$BJ258),4)=MOD(COLUMN($AM258)+1,4)),$AM258:$BJ258)*$I258</f>
        <v/>
      </c>
      <c r="BP258" s="807">
        <f>SUMPRODUCT(--(MOD(COLUMN($O258:$AL258),4)=MOD(COLUMN($O258)+2,4)),$O258:$AL258)
+SUMPRODUCT(--(MOD(COLUMN($AM258:$BJ258),4)=MOD(COLUMN($AM258)+2,4)),$AM258:$BJ258)</f>
        <v/>
      </c>
      <c r="BQ258" s="808">
        <f>SUMPRODUCT(--(MOD(COLUMN($O258:$AL258),4)=MOD(COLUMN($O258)+2,4)),$O258:$AL258)*
$I258+SUMPRODUCT(--(MOD(COLUMN($AM258:$BJ258),4)=MOD(COLUMN($AM258)+2,4)),$AM258:$BJ258)*$I258</f>
        <v/>
      </c>
      <c r="BR258" s="801" t="n"/>
      <c r="BS258" s="819" t="n"/>
      <c r="BT258" s="23" t="n">
        <v>10</v>
      </c>
      <c r="BU258" s="24" t="n"/>
      <c r="BV258" s="25" t="n">
        <v>0</v>
      </c>
      <c r="BW258" s="24" t="n"/>
      <c r="BX258" s="23" t="n">
        <v>10</v>
      </c>
      <c r="BY258" s="24" t="n"/>
      <c r="BZ258" s="25" t="n">
        <v>0</v>
      </c>
      <c r="CA258" s="24" t="n"/>
      <c r="CB258" s="23" t="n">
        <v>10</v>
      </c>
      <c r="CC258" s="24" t="n"/>
      <c r="CD258" s="25" t="n">
        <v>0</v>
      </c>
      <c r="CE258" s="24" t="n"/>
      <c r="CF258" s="23" t="n">
        <v>10</v>
      </c>
      <c r="CG258" s="24" t="n"/>
      <c r="CH258" s="25" t="n">
        <v>0</v>
      </c>
      <c r="CI258" s="24" t="n"/>
      <c r="CJ258" s="23" t="n">
        <v>10</v>
      </c>
      <c r="CK258" s="24" t="n"/>
      <c r="CL258" s="25" t="n">
        <v>0</v>
      </c>
      <c r="CM258" s="24" t="n"/>
      <c r="CN258" s="23" t="n">
        <v>10</v>
      </c>
      <c r="CO258" s="24" t="n"/>
      <c r="CP258" s="25" t="n">
        <v>0</v>
      </c>
      <c r="CQ258" s="24" t="n"/>
      <c r="CR258" s="23" t="n">
        <v>10</v>
      </c>
      <c r="CS258" s="24" t="n"/>
      <c r="CT258" s="25" t="n">
        <v>0</v>
      </c>
      <c r="CU258" s="24" t="n"/>
      <c r="CV258" s="23" t="n">
        <v>10</v>
      </c>
      <c r="CW258" s="24" t="n"/>
      <c r="CX258" s="25" t="n">
        <v>0</v>
      </c>
      <c r="CY258" s="24" t="n"/>
      <c r="CZ258" s="23" t="n">
        <v>10</v>
      </c>
      <c r="DA258" s="24" t="n"/>
      <c r="DB258" s="25" t="n">
        <v>0</v>
      </c>
      <c r="DC258" s="24" t="n"/>
      <c r="DD258" s="23" t="n">
        <v>10</v>
      </c>
      <c r="DE258" s="24" t="n"/>
      <c r="DF258" s="25" t="n">
        <v>0</v>
      </c>
      <c r="DG258" s="24" t="n"/>
      <c r="DH258" s="23" t="n">
        <v>10</v>
      </c>
      <c r="DI258" s="24" t="n"/>
      <c r="DJ258" s="25" t="n">
        <v>0</v>
      </c>
      <c r="DK258" s="24" t="n"/>
      <c r="DL258" s="23" t="n">
        <v>10</v>
      </c>
      <c r="DM258" s="24" t="n"/>
      <c r="DN258" s="25" t="n">
        <v>0</v>
      </c>
      <c r="DO258" s="24" t="n"/>
      <c r="DP258" s="340" t="n"/>
      <c r="DQ258" s="803">
        <f>SUMPRODUCT(--(MOD(COLUMN(BT258:CQ258),4)=MOD(COLUMN(BT258),4)),BT258:CQ258)+SUMPRODUCT(--(MOD(COLUMN(CR258:DO258),4)=MOD(COLUMN(CR258),4)),CR258:DO258)</f>
        <v/>
      </c>
      <c r="DR258" s="803">
        <f>SUMPRODUCT(--(MOD(COLUMN(BT258:CQ258),4)=MOD(COLUMN(BT258),4)),BT258:CQ258)*$I258+SUMPRODUCT(--(MOD(COLUMN(CR258:DO258),4)=MOD(COLUMN(CR258),4)),CR258:DO258)*$I258</f>
        <v/>
      </c>
      <c r="DS258" s="801" t="n"/>
      <c r="DT258" s="819" t="n"/>
      <c r="DU258" s="23" t="n">
        <v>15</v>
      </c>
      <c r="DV258" s="24" t="n"/>
      <c r="DW258" s="25" t="n">
        <v>0</v>
      </c>
      <c r="DX258" s="24" t="n"/>
      <c r="DY258" s="23" t="n">
        <v>15</v>
      </c>
      <c r="DZ258" s="24" t="n"/>
      <c r="EA258" s="25" t="n">
        <v>0</v>
      </c>
      <c r="EB258" s="24" t="n"/>
      <c r="EC258" s="23" t="n">
        <v>15</v>
      </c>
      <c r="ED258" s="24" t="n"/>
      <c r="EE258" s="25" t="n">
        <v>0</v>
      </c>
      <c r="EF258" s="24" t="n"/>
      <c r="EG258" s="23" t="n">
        <v>15</v>
      </c>
      <c r="EH258" s="24" t="n"/>
      <c r="EI258" s="25" t="n">
        <v>0</v>
      </c>
      <c r="EJ258" s="24" t="n"/>
      <c r="EK258" s="23" t="n">
        <v>15</v>
      </c>
      <c r="EL258" s="24" t="n"/>
      <c r="EM258" s="25" t="n">
        <v>0</v>
      </c>
      <c r="EN258" s="24" t="n"/>
      <c r="EO258" s="23" t="n">
        <v>15</v>
      </c>
      <c r="EP258" s="24" t="n"/>
      <c r="EQ258" s="25" t="n">
        <v>0</v>
      </c>
      <c r="ER258" s="24" t="n"/>
      <c r="ES258" s="23" t="n">
        <v>15</v>
      </c>
      <c r="ET258" s="24" t="n"/>
      <c r="EU258" s="25" t="n">
        <v>0</v>
      </c>
      <c r="EV258" s="24" t="n"/>
      <c r="EW258" s="23" t="n">
        <v>15</v>
      </c>
      <c r="EX258" s="24" t="n"/>
      <c r="EY258" s="25" t="n">
        <v>0</v>
      </c>
      <c r="EZ258" s="24" t="n"/>
      <c r="FA258" s="23" t="n">
        <v>15</v>
      </c>
      <c r="FB258" s="24" t="n"/>
      <c r="FC258" s="25" t="n">
        <v>0</v>
      </c>
      <c r="FD258" s="24" t="n"/>
      <c r="FE258" s="23" t="n">
        <v>15</v>
      </c>
      <c r="FF258" s="24" t="n"/>
      <c r="FG258" s="25" t="n">
        <v>0</v>
      </c>
      <c r="FH258" s="24" t="n"/>
      <c r="FI258" s="23" t="n">
        <v>15</v>
      </c>
      <c r="FJ258" s="24" t="n"/>
      <c r="FK258" s="25" t="n">
        <v>0</v>
      </c>
      <c r="FL258" s="24" t="n"/>
      <c r="FM258" s="23" t="n">
        <v>15</v>
      </c>
      <c r="FN258" s="24" t="n"/>
      <c r="FO258" s="25" t="n">
        <v>0</v>
      </c>
      <c r="FP258" s="24" t="n"/>
      <c r="FQ258" s="340" t="n"/>
      <c r="FR258" s="803">
        <f>SUMPRODUCT(--(MOD(COLUMN(DU258:ER258),4)=MOD(COLUMN(DU258),4)),DU258:ER258)+SUMPRODUCT(--(MOD(COLUMN(ES258:FP258),4)=MOD(COLUMN(ES258),4)),ES258:FP258)</f>
        <v/>
      </c>
      <c r="FS258" s="803">
        <f>SUMPRODUCT(--(MOD(COLUMN(DU258:ER258),4)=MOD(COLUMN(DU258),4)),DU258:ER258)*$I258+SUMPRODUCT(--(MOD(COLUMN(ES258:FP258),4)=MOD(COLUMN(ES258),4)),ES258:FP258)*$I258</f>
        <v/>
      </c>
      <c r="FT258" s="361" t="n"/>
    </row>
    <row r="259" outlineLevel="2">
      <c r="A259" s="375" t="inlineStr">
        <is>
          <t>СПЕЦАВТО-ВОСТОК ООО</t>
        </is>
      </c>
      <c r="B259" s="389" t="inlineStr">
        <is>
          <t>Отсрочка 15 дней</t>
        </is>
      </c>
      <c r="C259" s="311" t="inlineStr">
        <is>
          <t>ВБК РУС</t>
        </is>
      </c>
      <c r="D259" s="575" t="inlineStr">
        <is>
          <t>Прасолов, Соловьёв</t>
        </is>
      </c>
      <c r="E259" s="284">
        <f>IF(ISBLANK(G259),"",IF($A$6:$A$330=$A259,COUNTIF($A$6:A259,$A259),""))</f>
        <v/>
      </c>
      <c r="F259" s="318" t="n">
        <v>1</v>
      </c>
      <c r="G259" s="403" t="n">
        <v>4494300600</v>
      </c>
      <c r="H259" s="613" t="inlineStr">
        <is>
          <t>Кабель клапана ускорительного TEBS (6 м)</t>
        </is>
      </c>
      <c r="I259" s="619" t="n">
        <v>0</v>
      </c>
      <c r="J259" s="619" t="n"/>
      <c r="K259" s="876" t="n"/>
      <c r="L259" s="619" t="n"/>
      <c r="M259" s="871" t="n"/>
      <c r="N259" s="871">
        <f>IF(BP259&gt;0,1,IF(BN259&gt;0,2,))</f>
        <v/>
      </c>
      <c r="O259" s="322" t="n"/>
      <c r="P259" s="408" t="n"/>
      <c r="Q259" s="307" t="n"/>
      <c r="R259" s="408" t="n"/>
      <c r="S259" s="322" t="n"/>
      <c r="T259" s="408" t="n"/>
      <c r="U259" s="307" t="n"/>
      <c r="V259" s="408" t="n"/>
      <c r="W259" s="322" t="n"/>
      <c r="X259" s="408">
        <f>SUMPRODUCT((Комплекты[Пр]=$F259)*(Комплекты[Обозначение]=$G259)*Комплекты[Кол-во]*(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59" s="307">
        <f>SUMPRODUCT((Комплекты[Пр]=$F259)*(Комплекты[Обозначение]=$G259)*Комплекты[Кол-во]*(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/>
      </c>
      <c r="Z259" s="408" t="n"/>
      <c r="AA259" s="322" t="n"/>
      <c r="AB259" s="408">
        <f>SUMPRODUCT((Комплекты[Пр]=$F259)*(Комплекты[Обозначение]=$G259)*Комплекты[Кол-во]*(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59" s="307" t="n"/>
      <c r="AD259" s="408" t="n"/>
      <c r="AE259" s="322" t="n"/>
      <c r="AF259" s="408">
        <f>SUMPRODUCT((Комплекты[Пр]=$F259)*(Комплекты[Обозначение]=$G259)*Комплекты[Кол-во]*(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59" s="307">
        <f>SUMPRODUCT((Комплекты[Пр]=$F259)*(Комплекты[Обозначение]=$G259)*Комплекты[Кол-во]*(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/>
      </c>
      <c r="AH259" s="408" t="n"/>
      <c r="AI259" s="322" t="n"/>
      <c r="AJ259" s="408">
        <f>SUMPRODUCT((Комплекты[Пр]=$F259)*(Комплекты[Обозначение]=$G259)*Комплекты[Кол-во]*(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59" s="307" t="n"/>
      <c r="AL259" s="408" t="n"/>
      <c r="AM259" s="322" t="n"/>
      <c r="AN259" s="408">
        <f>SUMPRODUCT((Комплекты[Пр]=$F259)*(Комплекты[Обозначение]=$G259)*Комплекты[Кол-во]*(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59" s="307" t="n"/>
      <c r="AP259" s="408" t="n"/>
      <c r="AQ259" s="322" t="n"/>
      <c r="AR259" s="408">
        <f>SUMPRODUCT((Комплекты[Пр]=$F259)*(Комплекты[Обозначение]=$G259)*Комплекты[Кол-во]*(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59" s="307" t="n"/>
      <c r="AT259" s="408" t="n"/>
      <c r="AU259" s="322" t="n"/>
      <c r="AV259" s="408">
        <f>SUMPRODUCT((Комплекты[Пр]=$F259)*(Комплекты[Обозначение]=$G259)*Комплекты[Кол-во]*(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59" s="307" t="n"/>
      <c r="AX259" s="408" t="n"/>
      <c r="AY259" s="322" t="n"/>
      <c r="AZ259" s="408">
        <f>SUMPRODUCT((Комплекты[Пр]=$F259)*(Комплекты[Обозначение]=$G259)*Комплекты[Кол-во]*(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59" s="307" t="n"/>
      <c r="BB259" s="408" t="n"/>
      <c r="BC259" s="322" t="n"/>
      <c r="BD259" s="408">
        <f>SUMPRODUCT((Комплекты[Пр]=$F259)*(Комплекты[Обозначение]=$G259)*Комплекты[Кол-во]*(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59" s="307" t="n"/>
      <c r="BF259" s="408" t="n"/>
      <c r="BG259" s="322" t="n"/>
      <c r="BH259" s="408">
        <f>SUMPRODUCT((Комплекты[Пр]=$F259)*(Комплекты[Обозначение]=$G259)*Комплекты[Кол-во]*(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59" s="307" t="n"/>
      <c r="BJ259" s="408" t="n"/>
      <c r="BK259" s="340" t="n"/>
      <c r="BL259" s="820">
        <f>SUMPRODUCT(--(MOD(COLUMN($O259:$AL259),4)=MOD(COLUMN($O259)+0,4)),$O259:$AL259)
+SUMPRODUCT(--(MOD(COLUMN($AM259:$BJ259),4)=MOD(COLUMN($AM259)+0,4)),$AM259:$BJ259)</f>
        <v/>
      </c>
      <c r="BM259" s="820">
        <f>SUMPRODUCT(--(MOD(COLUMN($O259:$AL259),4)=MOD(COLUMN($O259)+0,4)),$O259:$AL259)*
$I259+SUMPRODUCT(--(MOD(COLUMN($AM259:$BJ259),4)=MOD(COLUMN($AM259)+0,4)),$AM259:$BJ259)*$I259</f>
        <v/>
      </c>
      <c r="BN259" s="822">
        <f>SUMPRODUCT(--(MOD(COLUMN($O259:$AL259),4)=MOD(COLUMN($O259)+1,4)),$O259:$AL259)
+SUMPRODUCT(--(MOD(COLUMN($AM259:$BJ259),4)=MOD(COLUMN($AM259)+1,4)),$AM259:$BJ259)</f>
        <v/>
      </c>
      <c r="BO259" s="823">
        <f>SUMPRODUCT(--(MOD(COLUMN($O259:$AL259),4)=MOD(COLUMN($O259)+1,4)),$O259:$AL259)*
$I259+SUMPRODUCT(--(MOD(COLUMN($AM259:$BJ259),4)=MOD(COLUMN($AM259)+1,4)),$AM259:$BJ259)*$I259</f>
        <v/>
      </c>
      <c r="BP259" s="824">
        <f>SUMPRODUCT(--(MOD(COLUMN($O259:$AL259),4)=MOD(COLUMN($O259)+2,4)),$O259:$AL259)
+SUMPRODUCT(--(MOD(COLUMN($AM259:$BJ259),4)=MOD(COLUMN($AM259)+2,4)),$AM259:$BJ259)</f>
        <v/>
      </c>
      <c r="BQ259" s="825">
        <f>SUMPRODUCT(--(MOD(COLUMN($O259:$AL259),4)=MOD(COLUMN($O259)+2,4)),$O259:$AL259)*
$I259+SUMPRODUCT(--(MOD(COLUMN($AM259:$BJ259),4)=MOD(COLUMN($AM259)+2,4)),$AM259:$BJ259)*$I259</f>
        <v/>
      </c>
      <c r="BR259" s="819" t="n"/>
      <c r="BS259" s="819" t="n"/>
      <c r="BT259" s="322" t="n"/>
      <c r="BU259" s="408" t="n"/>
      <c r="BV259" s="307" t="n"/>
      <c r="BW259" s="408" t="n"/>
      <c r="BX259" s="322" t="n"/>
      <c r="BY259" s="408" t="n"/>
      <c r="BZ259" s="307" t="n"/>
      <c r="CA259" s="408" t="n"/>
      <c r="CB259" s="322" t="n"/>
      <c r="CC259" s="408" t="n"/>
      <c r="CD259" s="307" t="n"/>
      <c r="CE259" s="408" t="n"/>
      <c r="CF259" s="322" t="n"/>
      <c r="CG259" s="408" t="n"/>
      <c r="CH259" s="307" t="n"/>
      <c r="CI259" s="408" t="n"/>
      <c r="CJ259" s="322" t="n"/>
      <c r="CK259" s="408" t="n"/>
      <c r="CL259" s="307" t="n"/>
      <c r="CM259" s="408" t="n"/>
      <c r="CN259" s="322" t="n"/>
      <c r="CO259" s="408" t="n"/>
      <c r="CP259" s="307" t="n"/>
      <c r="CQ259" s="408" t="n"/>
      <c r="CR259" s="322" t="n"/>
      <c r="CS259" s="408" t="n"/>
      <c r="CT259" s="307" t="n"/>
      <c r="CU259" s="408" t="n"/>
      <c r="CV259" s="322" t="n"/>
      <c r="CW259" s="408" t="n"/>
      <c r="CX259" s="307" t="n"/>
      <c r="CY259" s="408" t="n"/>
      <c r="CZ259" s="322" t="n"/>
      <c r="DA259" s="408" t="n"/>
      <c r="DB259" s="307" t="n"/>
      <c r="DC259" s="408" t="n"/>
      <c r="DD259" s="322" t="n"/>
      <c r="DE259" s="408" t="n"/>
      <c r="DF259" s="307" t="n"/>
      <c r="DG259" s="408" t="n"/>
      <c r="DH259" s="322" t="n"/>
      <c r="DI259" s="408" t="n"/>
      <c r="DJ259" s="307" t="n"/>
      <c r="DK259" s="408" t="n"/>
      <c r="DL259" s="322" t="n"/>
      <c r="DM259" s="408" t="n"/>
      <c r="DN259" s="307" t="n"/>
      <c r="DO259" s="408" t="n"/>
      <c r="DP259" s="340" t="n"/>
      <c r="DQ259" s="820" t="n"/>
      <c r="DR259" s="820" t="n"/>
      <c r="DS259" s="819" t="n"/>
      <c r="DT259" s="819" t="n"/>
      <c r="DU259" s="322" t="n"/>
      <c r="DV259" s="408" t="n"/>
      <c r="DW259" s="307" t="n"/>
      <c r="DX259" s="408" t="n"/>
      <c r="DY259" s="322" t="n"/>
      <c r="DZ259" s="408" t="n"/>
      <c r="EA259" s="307" t="n"/>
      <c r="EB259" s="408" t="n"/>
      <c r="EC259" s="322" t="n"/>
      <c r="ED259" s="408" t="n"/>
      <c r="EE259" s="307" t="n"/>
      <c r="EF259" s="408" t="n"/>
      <c r="EG259" s="322" t="n"/>
      <c r="EH259" s="408" t="n"/>
      <c r="EI259" s="307" t="n"/>
      <c r="EJ259" s="408" t="n"/>
      <c r="EK259" s="322" t="n"/>
      <c r="EL259" s="408" t="n"/>
      <c r="EM259" s="307" t="n"/>
      <c r="EN259" s="408" t="n"/>
      <c r="EO259" s="322" t="n"/>
      <c r="EP259" s="408" t="n"/>
      <c r="EQ259" s="307" t="n"/>
      <c r="ER259" s="408" t="n"/>
      <c r="ES259" s="322" t="n"/>
      <c r="ET259" s="408" t="n"/>
      <c r="EU259" s="307" t="n"/>
      <c r="EV259" s="408" t="n"/>
      <c r="EW259" s="322" t="n"/>
      <c r="EX259" s="408" t="n"/>
      <c r="EY259" s="307" t="n"/>
      <c r="EZ259" s="408" t="n"/>
      <c r="FA259" s="322" t="n"/>
      <c r="FB259" s="408" t="n"/>
      <c r="FC259" s="307" t="n"/>
      <c r="FD259" s="408" t="n"/>
      <c r="FE259" s="322" t="n"/>
      <c r="FF259" s="408" t="n"/>
      <c r="FG259" s="307" t="n"/>
      <c r="FH259" s="408" t="n"/>
      <c r="FI259" s="322" t="n"/>
      <c r="FJ259" s="408" t="n"/>
      <c r="FK259" s="307" t="n"/>
      <c r="FL259" s="408" t="n"/>
      <c r="FM259" s="322" t="n"/>
      <c r="FN259" s="408" t="n"/>
      <c r="FO259" s="307" t="n"/>
      <c r="FP259" s="408" t="n"/>
      <c r="FQ259" s="340" t="n"/>
      <c r="FR259" s="820" t="n"/>
      <c r="FS259" s="820" t="n"/>
      <c r="FT259" s="361" t="n"/>
    </row>
    <row r="260" outlineLevel="2">
      <c r="A260" s="375" t="inlineStr">
        <is>
          <t>СПЕЦАВТО-ВОСТОК ООО</t>
        </is>
      </c>
      <c r="B260" s="389" t="inlineStr">
        <is>
          <t>Отсрочка 15 дней</t>
        </is>
      </c>
      <c r="C260" s="311" t="inlineStr">
        <is>
          <t>ВБК РУС</t>
        </is>
      </c>
      <c r="D260" s="575" t="inlineStr">
        <is>
          <t>Прасолов, Соловьёв</t>
        </is>
      </c>
      <c r="E260" s="284">
        <f>IF(ISBLANK(G260),"",IF($A$6:$A$330=$A260,COUNTIF($A$6:A260,$A260),""))</f>
        <v/>
      </c>
      <c r="F260" s="318" t="n">
        <v>1</v>
      </c>
      <c r="G260" s="403" t="n">
        <v>4497230800</v>
      </c>
      <c r="H260" s="613" t="inlineStr">
        <is>
          <t>Кабель датчика АБС, 8 м</t>
        </is>
      </c>
      <c r="I260" s="619" t="n">
        <v>0</v>
      </c>
      <c r="J260" s="619" t="n"/>
      <c r="K260" s="876" t="n"/>
      <c r="L260" s="619" t="n"/>
      <c r="M260" s="871" t="n"/>
      <c r="N260" s="871">
        <f>IF(BP260&gt;0,1,IF(BN260&gt;0,2,))</f>
        <v/>
      </c>
      <c r="O260" s="322" t="n"/>
      <c r="P260" s="408" t="n"/>
      <c r="Q260" s="307" t="n"/>
      <c r="R260" s="408" t="n"/>
      <c r="S260" s="322" t="n"/>
      <c r="T260" s="408" t="n"/>
      <c r="U260" s="307" t="n"/>
      <c r="V260" s="408" t="n"/>
      <c r="W260" s="322" t="n"/>
      <c r="X260" s="408">
        <f>SUMPRODUCT((Комплекты[Пр]=$F260)*(Комплекты[Обозначение]=$G260)*Комплекты[Кол-во]*(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60" s="307">
        <f>SUMPRODUCT((Комплекты[Пр]=$F260)*(Комплекты[Обозначение]=$G260)*Комплекты[Кол-во]*(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/>
      </c>
      <c r="Z260" s="408" t="n"/>
      <c r="AA260" s="322" t="n"/>
      <c r="AB260" s="408">
        <f>SUMPRODUCT((Комплекты[Пр]=$F260)*(Комплекты[Обозначение]=$G260)*Комплекты[Кол-во]*(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60" s="307" t="n"/>
      <c r="AD260" s="408" t="n"/>
      <c r="AE260" s="322" t="n"/>
      <c r="AF260" s="408">
        <f>SUMPRODUCT((Комплекты[Пр]=$F260)*(Комплекты[Обозначение]=$G260)*Комплекты[Кол-во]*(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60" s="307">
        <f>SUMPRODUCT((Комплекты[Пр]=$F260)*(Комплекты[Обозначение]=$G260)*Комплекты[Кол-во]*(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/>
      </c>
      <c r="AH260" s="408" t="n"/>
      <c r="AI260" s="322" t="n"/>
      <c r="AJ260" s="408">
        <f>SUMPRODUCT((Комплекты[Пр]=$F260)*(Комплекты[Обозначение]=$G260)*Комплекты[Кол-во]*(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60" s="307" t="n"/>
      <c r="AL260" s="408" t="n"/>
      <c r="AM260" s="322" t="n"/>
      <c r="AN260" s="408">
        <f>SUMPRODUCT((Комплекты[Пр]=$F260)*(Комплекты[Обозначение]=$G260)*Комплекты[Кол-во]*(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60" s="307" t="n"/>
      <c r="AP260" s="408" t="n"/>
      <c r="AQ260" s="322" t="n"/>
      <c r="AR260" s="408">
        <f>SUMPRODUCT((Комплекты[Пр]=$F260)*(Комплекты[Обозначение]=$G260)*Комплекты[Кол-во]*(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60" s="307" t="n"/>
      <c r="AT260" s="408" t="n"/>
      <c r="AU260" s="322" t="n"/>
      <c r="AV260" s="408">
        <f>SUMPRODUCT((Комплекты[Пр]=$F260)*(Комплекты[Обозначение]=$G260)*Комплекты[Кол-во]*(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60" s="307" t="n"/>
      <c r="AX260" s="408" t="n"/>
      <c r="AY260" s="322" t="n"/>
      <c r="AZ260" s="408">
        <f>SUMPRODUCT((Комплекты[Пр]=$F260)*(Комплекты[Обозначение]=$G260)*Комплекты[Кол-во]*(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60" s="307" t="n"/>
      <c r="BB260" s="408" t="n"/>
      <c r="BC260" s="322" t="n"/>
      <c r="BD260" s="408">
        <f>SUMPRODUCT((Комплекты[Пр]=$F260)*(Комплекты[Обозначение]=$G260)*Комплекты[Кол-во]*(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60" s="307" t="n"/>
      <c r="BF260" s="408" t="n"/>
      <c r="BG260" s="322" t="n"/>
      <c r="BH260" s="408">
        <f>SUMPRODUCT((Комплекты[Пр]=$F260)*(Комплекты[Обозначение]=$G260)*Комплекты[Кол-во]*(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60" s="307" t="n"/>
      <c r="BJ260" s="408" t="n"/>
      <c r="BK260" s="340" t="n"/>
      <c r="BL260" s="820">
        <f>SUMPRODUCT(--(MOD(COLUMN($O260:$AL260),4)=MOD(COLUMN($O260)+0,4)),$O260:$AL260)
+SUMPRODUCT(--(MOD(COLUMN($AM260:$BJ260),4)=MOD(COLUMN($AM260)+0,4)),$AM260:$BJ260)</f>
        <v/>
      </c>
      <c r="BM260" s="820">
        <f>SUMPRODUCT(--(MOD(COLUMN($O260:$AL260),4)=MOD(COLUMN($O260)+0,4)),$O260:$AL260)*
$I260+SUMPRODUCT(--(MOD(COLUMN($AM260:$BJ260),4)=MOD(COLUMN($AM260)+0,4)),$AM260:$BJ260)*$I260</f>
        <v/>
      </c>
      <c r="BN260" s="822">
        <f>SUMPRODUCT(--(MOD(COLUMN($O260:$AL260),4)=MOD(COLUMN($O260)+1,4)),$O260:$AL260)
+SUMPRODUCT(--(MOD(COLUMN($AM260:$BJ260),4)=MOD(COLUMN($AM260)+1,4)),$AM260:$BJ260)</f>
        <v/>
      </c>
      <c r="BO260" s="823">
        <f>SUMPRODUCT(--(MOD(COLUMN($O260:$AL260),4)=MOD(COLUMN($O260)+1,4)),$O260:$AL260)*
$I260+SUMPRODUCT(--(MOD(COLUMN($AM260:$BJ260),4)=MOD(COLUMN($AM260)+1,4)),$AM260:$BJ260)*$I260</f>
        <v/>
      </c>
      <c r="BP260" s="824">
        <f>SUMPRODUCT(--(MOD(COLUMN($O260:$AL260),4)=MOD(COLUMN($O260)+2,4)),$O260:$AL260)
+SUMPRODUCT(--(MOD(COLUMN($AM260:$BJ260),4)=MOD(COLUMN($AM260)+2,4)),$AM260:$BJ260)</f>
        <v/>
      </c>
      <c r="BQ260" s="825">
        <f>SUMPRODUCT(--(MOD(COLUMN($O260:$AL260),4)=MOD(COLUMN($O260)+2,4)),$O260:$AL260)*
$I260+SUMPRODUCT(--(MOD(COLUMN($AM260:$BJ260),4)=MOD(COLUMN($AM260)+2,4)),$AM260:$BJ260)*$I260</f>
        <v/>
      </c>
      <c r="BR260" s="819" t="n"/>
      <c r="BS260" s="819" t="n"/>
      <c r="BT260" s="322" t="n"/>
      <c r="BU260" s="408" t="n"/>
      <c r="BV260" s="307" t="n"/>
      <c r="BW260" s="408" t="n"/>
      <c r="BX260" s="322" t="n"/>
      <c r="BY260" s="408" t="n"/>
      <c r="BZ260" s="307" t="n"/>
      <c r="CA260" s="408" t="n"/>
      <c r="CB260" s="322" t="n"/>
      <c r="CC260" s="408" t="n"/>
      <c r="CD260" s="307" t="n"/>
      <c r="CE260" s="408" t="n"/>
      <c r="CF260" s="322" t="n"/>
      <c r="CG260" s="408" t="n"/>
      <c r="CH260" s="307" t="n"/>
      <c r="CI260" s="408" t="n"/>
      <c r="CJ260" s="322" t="n"/>
      <c r="CK260" s="408" t="n"/>
      <c r="CL260" s="307" t="n"/>
      <c r="CM260" s="408" t="n"/>
      <c r="CN260" s="322" t="n"/>
      <c r="CO260" s="408" t="n"/>
      <c r="CP260" s="307" t="n"/>
      <c r="CQ260" s="408" t="n"/>
      <c r="CR260" s="322" t="n"/>
      <c r="CS260" s="408" t="n"/>
      <c r="CT260" s="307" t="n"/>
      <c r="CU260" s="408" t="n"/>
      <c r="CV260" s="322" t="n"/>
      <c r="CW260" s="408" t="n"/>
      <c r="CX260" s="307" t="n"/>
      <c r="CY260" s="408" t="n"/>
      <c r="CZ260" s="322" t="n"/>
      <c r="DA260" s="408" t="n"/>
      <c r="DB260" s="307" t="n"/>
      <c r="DC260" s="408" t="n"/>
      <c r="DD260" s="322" t="n"/>
      <c r="DE260" s="408" t="n"/>
      <c r="DF260" s="307" t="n"/>
      <c r="DG260" s="408" t="n"/>
      <c r="DH260" s="322" t="n"/>
      <c r="DI260" s="408" t="n"/>
      <c r="DJ260" s="307" t="n"/>
      <c r="DK260" s="408" t="n"/>
      <c r="DL260" s="322" t="n"/>
      <c r="DM260" s="408" t="n"/>
      <c r="DN260" s="307" t="n"/>
      <c r="DO260" s="408" t="n"/>
      <c r="DP260" s="340" t="n"/>
      <c r="DQ260" s="820" t="n"/>
      <c r="DR260" s="820" t="n"/>
      <c r="DS260" s="819" t="n"/>
      <c r="DT260" s="819" t="n"/>
      <c r="DU260" s="322" t="n"/>
      <c r="DV260" s="408" t="n"/>
      <c r="DW260" s="307" t="n"/>
      <c r="DX260" s="408" t="n"/>
      <c r="DY260" s="322" t="n"/>
      <c r="DZ260" s="408" t="n"/>
      <c r="EA260" s="307" t="n"/>
      <c r="EB260" s="408" t="n"/>
      <c r="EC260" s="322" t="n"/>
      <c r="ED260" s="408" t="n"/>
      <c r="EE260" s="307" t="n"/>
      <c r="EF260" s="408" t="n"/>
      <c r="EG260" s="322" t="n"/>
      <c r="EH260" s="408" t="n"/>
      <c r="EI260" s="307" t="n"/>
      <c r="EJ260" s="408" t="n"/>
      <c r="EK260" s="322" t="n"/>
      <c r="EL260" s="408" t="n"/>
      <c r="EM260" s="307" t="n"/>
      <c r="EN260" s="408" t="n"/>
      <c r="EO260" s="322" t="n"/>
      <c r="EP260" s="408" t="n"/>
      <c r="EQ260" s="307" t="n"/>
      <c r="ER260" s="408" t="n"/>
      <c r="ES260" s="322" t="n"/>
      <c r="ET260" s="408" t="n"/>
      <c r="EU260" s="307" t="n"/>
      <c r="EV260" s="408" t="n"/>
      <c r="EW260" s="322" t="n"/>
      <c r="EX260" s="408" t="n"/>
      <c r="EY260" s="307" t="n"/>
      <c r="EZ260" s="408" t="n"/>
      <c r="FA260" s="322" t="n"/>
      <c r="FB260" s="408" t="n"/>
      <c r="FC260" s="307" t="n"/>
      <c r="FD260" s="408" t="n"/>
      <c r="FE260" s="322" t="n"/>
      <c r="FF260" s="408" t="n"/>
      <c r="FG260" s="307" t="n"/>
      <c r="FH260" s="408" t="n"/>
      <c r="FI260" s="322" t="n"/>
      <c r="FJ260" s="408" t="n"/>
      <c r="FK260" s="307" t="n"/>
      <c r="FL260" s="408" t="n"/>
      <c r="FM260" s="322" t="n"/>
      <c r="FN260" s="408" t="n"/>
      <c r="FO260" s="307" t="n"/>
      <c r="FP260" s="408" t="n"/>
      <c r="FQ260" s="340" t="n"/>
      <c r="FR260" s="820" t="n"/>
      <c r="FS260" s="820" t="n"/>
      <c r="FT260" s="361" t="n"/>
    </row>
    <row r="261" outlineLevel="2">
      <c r="A261" s="375" t="inlineStr">
        <is>
          <t>СПЕЦАВТО-ВОСТОК ООО</t>
        </is>
      </c>
      <c r="B261" s="389" t="inlineStr">
        <is>
          <t>Отсрочка 15 дней</t>
        </is>
      </c>
      <c r="C261" s="311" t="inlineStr">
        <is>
          <t>ВБК РУС</t>
        </is>
      </c>
      <c r="D261" s="575" t="inlineStr">
        <is>
          <t>Прасолов, Соловьёв</t>
        </is>
      </c>
      <c r="E261" s="284">
        <f>IF(ISBLANK(G261),"",IF($A$6:$A$330=$A261,COUNTIF($A$6:A261,$A261),""))</f>
        <v/>
      </c>
      <c r="F261" s="318" t="n">
        <v>1</v>
      </c>
      <c r="G261" s="403" t="n">
        <v>4802070600</v>
      </c>
      <c r="H261" s="613" t="inlineStr">
        <is>
          <t>Клапан ускорительный TEBS</t>
        </is>
      </c>
      <c r="I261" s="619" t="n">
        <v>0</v>
      </c>
      <c r="J261" s="619" t="n"/>
      <c r="K261" s="876" t="n"/>
      <c r="L261" s="619" t="n"/>
      <c r="M261" s="871" t="n"/>
      <c r="N261" s="871">
        <f>IF(BP261&gt;0,1,IF(BN261&gt;0,2,))</f>
        <v/>
      </c>
      <c r="O261" s="322" t="n"/>
      <c r="P261" s="408" t="n"/>
      <c r="Q261" s="307" t="n"/>
      <c r="R261" s="408" t="n"/>
      <c r="S261" s="322" t="n"/>
      <c r="T261" s="408" t="n"/>
      <c r="U261" s="307" t="n"/>
      <c r="V261" s="408" t="n"/>
      <c r="W261" s="322" t="n"/>
      <c r="X261" s="408">
        <f>SUMPRODUCT((Комплекты[Пр]=$F261)*(Комплекты[Обозначение]=$G261)*Комплекты[Кол-во]*(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61" s="307">
        <f>SUMPRODUCT((Комплекты[Пр]=$F261)*(Комплекты[Обозначение]=$G261)*Комплекты[Кол-во]*(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/>
      </c>
      <c r="Z261" s="408" t="n"/>
      <c r="AA261" s="322" t="n"/>
      <c r="AB261" s="408">
        <f>SUMPRODUCT((Комплекты[Пр]=$F261)*(Комплекты[Обозначение]=$G261)*Комплекты[Кол-во]*(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61" s="307" t="n"/>
      <c r="AD261" s="408" t="n"/>
      <c r="AE261" s="322" t="n"/>
      <c r="AF261" s="408">
        <f>SUMPRODUCT((Комплекты[Пр]=$F261)*(Комплекты[Обозначение]=$G261)*Комплекты[Кол-во]*(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61" s="307">
        <f>SUMPRODUCT((Комплекты[Пр]=$F261)*(Комплекты[Обозначение]=$G261)*Комплекты[Кол-во]*(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/>
      </c>
      <c r="AH261" s="408" t="n"/>
      <c r="AI261" s="322" t="n"/>
      <c r="AJ261" s="408">
        <f>SUMPRODUCT((Комплекты[Пр]=$F261)*(Комплекты[Обозначение]=$G261)*Комплекты[Кол-во]*(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61" s="307" t="n"/>
      <c r="AL261" s="408" t="n"/>
      <c r="AM261" s="322" t="n"/>
      <c r="AN261" s="408">
        <f>SUMPRODUCT((Комплекты[Пр]=$F261)*(Комплекты[Обозначение]=$G261)*Комплекты[Кол-во]*(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61" s="307" t="n"/>
      <c r="AP261" s="408" t="n"/>
      <c r="AQ261" s="322" t="n"/>
      <c r="AR261" s="408">
        <f>SUMPRODUCT((Комплекты[Пр]=$F261)*(Комплекты[Обозначение]=$G261)*Комплекты[Кол-во]*(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61" s="307" t="n"/>
      <c r="AT261" s="408" t="n"/>
      <c r="AU261" s="322" t="n"/>
      <c r="AV261" s="408">
        <f>SUMPRODUCT((Комплекты[Пр]=$F261)*(Комплекты[Обозначение]=$G261)*Комплекты[Кол-во]*(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61" s="307" t="n"/>
      <c r="AX261" s="408" t="n"/>
      <c r="AY261" s="322" t="n"/>
      <c r="AZ261" s="408">
        <f>SUMPRODUCT((Комплекты[Пр]=$F261)*(Комплекты[Обозначение]=$G261)*Комплекты[Кол-во]*(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61" s="307" t="n"/>
      <c r="BB261" s="408" t="n"/>
      <c r="BC261" s="322" t="n"/>
      <c r="BD261" s="408">
        <f>SUMPRODUCT((Комплекты[Пр]=$F261)*(Комплекты[Обозначение]=$G261)*Комплекты[Кол-во]*(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61" s="307" t="n"/>
      <c r="BF261" s="408" t="n"/>
      <c r="BG261" s="322" t="n"/>
      <c r="BH261" s="408">
        <f>SUMPRODUCT((Комплекты[Пр]=$F261)*(Комплекты[Обозначение]=$G261)*Комплекты[Кол-во]*(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61" s="307" t="n"/>
      <c r="BJ261" s="408" t="n"/>
      <c r="BK261" s="340" t="n"/>
      <c r="BL261" s="820">
        <f>SUMPRODUCT(--(MOD(COLUMN($O261:$AL261),4)=MOD(COLUMN($O261)+0,4)),$O261:$AL261)
+SUMPRODUCT(--(MOD(COLUMN($AM261:$BJ261),4)=MOD(COLUMN($AM261)+0,4)),$AM261:$BJ261)</f>
        <v/>
      </c>
      <c r="BM261" s="820">
        <f>SUMPRODUCT(--(MOD(COLUMN($O261:$AL261),4)=MOD(COLUMN($O261)+0,4)),$O261:$AL261)*
$I261+SUMPRODUCT(--(MOD(COLUMN($AM261:$BJ261),4)=MOD(COLUMN($AM261)+0,4)),$AM261:$BJ261)*$I261</f>
        <v/>
      </c>
      <c r="BN261" s="822">
        <f>SUMPRODUCT(--(MOD(COLUMN($O261:$AL261),4)=MOD(COLUMN($O261)+1,4)),$O261:$AL261)
+SUMPRODUCT(--(MOD(COLUMN($AM261:$BJ261),4)=MOD(COLUMN($AM261)+1,4)),$AM261:$BJ261)</f>
        <v/>
      </c>
      <c r="BO261" s="823">
        <f>SUMPRODUCT(--(MOD(COLUMN($O261:$AL261),4)=MOD(COLUMN($O261)+1,4)),$O261:$AL261)*
$I261+SUMPRODUCT(--(MOD(COLUMN($AM261:$BJ261),4)=MOD(COLUMN($AM261)+1,4)),$AM261:$BJ261)*$I261</f>
        <v/>
      </c>
      <c r="BP261" s="824">
        <f>SUMPRODUCT(--(MOD(COLUMN($O261:$AL261),4)=MOD(COLUMN($O261)+2,4)),$O261:$AL261)
+SUMPRODUCT(--(MOD(COLUMN($AM261:$BJ261),4)=MOD(COLUMN($AM261)+2,4)),$AM261:$BJ261)</f>
        <v/>
      </c>
      <c r="BQ261" s="825">
        <f>SUMPRODUCT(--(MOD(COLUMN($O261:$AL261),4)=MOD(COLUMN($O261)+2,4)),$O261:$AL261)*
$I261+SUMPRODUCT(--(MOD(COLUMN($AM261:$BJ261),4)=MOD(COLUMN($AM261)+2,4)),$AM261:$BJ261)*$I261</f>
        <v/>
      </c>
      <c r="BR261" s="819" t="n"/>
      <c r="BS261" s="819" t="n"/>
      <c r="BT261" s="322" t="n"/>
      <c r="BU261" s="408" t="n"/>
      <c r="BV261" s="307" t="n"/>
      <c r="BW261" s="408" t="n"/>
      <c r="BX261" s="322" t="n"/>
      <c r="BY261" s="408" t="n"/>
      <c r="BZ261" s="307" t="n"/>
      <c r="CA261" s="408" t="n"/>
      <c r="CB261" s="322" t="n"/>
      <c r="CC261" s="408" t="n"/>
      <c r="CD261" s="307" t="n"/>
      <c r="CE261" s="408" t="n"/>
      <c r="CF261" s="322" t="n"/>
      <c r="CG261" s="408" t="n"/>
      <c r="CH261" s="307" t="n"/>
      <c r="CI261" s="408" t="n"/>
      <c r="CJ261" s="322" t="n"/>
      <c r="CK261" s="408" t="n"/>
      <c r="CL261" s="307" t="n"/>
      <c r="CM261" s="408" t="n"/>
      <c r="CN261" s="322" t="n"/>
      <c r="CO261" s="408" t="n"/>
      <c r="CP261" s="307" t="n"/>
      <c r="CQ261" s="408" t="n"/>
      <c r="CR261" s="322" t="n"/>
      <c r="CS261" s="408" t="n"/>
      <c r="CT261" s="307" t="n"/>
      <c r="CU261" s="408" t="n"/>
      <c r="CV261" s="322" t="n"/>
      <c r="CW261" s="408" t="n"/>
      <c r="CX261" s="307" t="n"/>
      <c r="CY261" s="408" t="n"/>
      <c r="CZ261" s="322" t="n"/>
      <c r="DA261" s="408" t="n"/>
      <c r="DB261" s="307" t="n"/>
      <c r="DC261" s="408" t="n"/>
      <c r="DD261" s="322" t="n"/>
      <c r="DE261" s="408" t="n"/>
      <c r="DF261" s="307" t="n"/>
      <c r="DG261" s="408" t="n"/>
      <c r="DH261" s="322" t="n"/>
      <c r="DI261" s="408" t="n"/>
      <c r="DJ261" s="307" t="n"/>
      <c r="DK261" s="408" t="n"/>
      <c r="DL261" s="322" t="n"/>
      <c r="DM261" s="408" t="n"/>
      <c r="DN261" s="307" t="n"/>
      <c r="DO261" s="408" t="n"/>
      <c r="DP261" s="340" t="n"/>
      <c r="DQ261" s="820" t="n"/>
      <c r="DR261" s="820" t="n"/>
      <c r="DS261" s="819" t="n"/>
      <c r="DT261" s="819" t="n"/>
      <c r="DU261" s="322" t="n"/>
      <c r="DV261" s="408" t="n"/>
      <c r="DW261" s="307" t="n"/>
      <c r="DX261" s="408" t="n"/>
      <c r="DY261" s="322" t="n"/>
      <c r="DZ261" s="408" t="n"/>
      <c r="EA261" s="307" t="n"/>
      <c r="EB261" s="408" t="n"/>
      <c r="EC261" s="322" t="n"/>
      <c r="ED261" s="408" t="n"/>
      <c r="EE261" s="307" t="n"/>
      <c r="EF261" s="408" t="n"/>
      <c r="EG261" s="322" t="n"/>
      <c r="EH261" s="408" t="n"/>
      <c r="EI261" s="307" t="n"/>
      <c r="EJ261" s="408" t="n"/>
      <c r="EK261" s="322" t="n"/>
      <c r="EL261" s="408" t="n"/>
      <c r="EM261" s="307" t="n"/>
      <c r="EN261" s="408" t="n"/>
      <c r="EO261" s="322" t="n"/>
      <c r="EP261" s="408" t="n"/>
      <c r="EQ261" s="307" t="n"/>
      <c r="ER261" s="408" t="n"/>
      <c r="ES261" s="322" t="n"/>
      <c r="ET261" s="408" t="n"/>
      <c r="EU261" s="307" t="n"/>
      <c r="EV261" s="408" t="n"/>
      <c r="EW261" s="322" t="n"/>
      <c r="EX261" s="408" t="n"/>
      <c r="EY261" s="307" t="n"/>
      <c r="EZ261" s="408" t="n"/>
      <c r="FA261" s="322" t="n"/>
      <c r="FB261" s="408" t="n"/>
      <c r="FC261" s="307" t="n"/>
      <c r="FD261" s="408" t="n"/>
      <c r="FE261" s="322" t="n"/>
      <c r="FF261" s="408" t="n"/>
      <c r="FG261" s="307" t="n"/>
      <c r="FH261" s="408" t="n"/>
      <c r="FI261" s="322" t="n"/>
      <c r="FJ261" s="408" t="n"/>
      <c r="FK261" s="307" t="n"/>
      <c r="FL261" s="408" t="n"/>
      <c r="FM261" s="322" t="n"/>
      <c r="FN261" s="408" t="n"/>
      <c r="FO261" s="307" t="n"/>
      <c r="FP261" s="408" t="n"/>
      <c r="FQ261" s="340" t="n"/>
      <c r="FR261" s="820" t="n"/>
      <c r="FS261" s="820" t="n"/>
      <c r="FT261" s="361" t="n"/>
    </row>
    <row r="262" outlineLevel="2">
      <c r="A262" s="56" t="inlineStr">
        <is>
          <t>СПЕЦАВТО-ВОСТОК ООО</t>
        </is>
      </c>
      <c r="B262" s="387" t="inlineStr">
        <is>
          <t>Отсрочка 15 дней</t>
        </is>
      </c>
      <c r="C262" s="173" t="inlineStr">
        <is>
          <t>ВБК РУС</t>
        </is>
      </c>
      <c r="D262" s="565" t="inlineStr">
        <is>
          <t>Прасолов, Соловьёв</t>
        </is>
      </c>
      <c r="E262" s="10">
        <f>IF(ISBLANK(G262),"",IF($A$6:$A$330=$A262,COUNTIF($A$6:A262,$A262),""))</f>
        <v/>
      </c>
      <c r="F262" s="123" t="n">
        <v>1</v>
      </c>
      <c r="G262" s="128" t="n">
        <v>4630840310</v>
      </c>
      <c r="H262" s="612" t="inlineStr">
        <is>
          <t>Клапан управления подъемом оси (LACV)</t>
        </is>
      </c>
      <c r="I262" s="618" t="n">
        <v>0</v>
      </c>
      <c r="J262" s="618" t="n"/>
      <c r="K262" s="874" t="n"/>
      <c r="L262" s="618">
        <f>IF(K262="RUB",J262/ЮАНЬ,IF(K262="EUR",J262*ЕВРО/ЮАНЬ,""))</f>
        <v/>
      </c>
      <c r="M262" s="873" t="n"/>
      <c r="N262" s="871">
        <f>IF(BP262&gt;0,1,IF(BN262&gt;0,2,))</f>
        <v/>
      </c>
      <c r="O262" s="23" t="n">
        <v>0</v>
      </c>
      <c r="P262" s="24" t="n"/>
      <c r="Q262" s="25" t="n"/>
      <c r="R262" s="24" t="n"/>
      <c r="S262" s="23" t="n">
        <v>0</v>
      </c>
      <c r="T262" s="24">
        <f>SUMPRODUCT((Комплекты[Пр]=$F262)*(Комплекты[Обозначение]=$G262)*Комплекты[Кол-во]*(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62" s="25">
        <f>SUMPRODUCT((Комплекты[Пр]=$F262)*(Комплекты[Обозначение]=$G262)*Комплекты[Кол-во]*(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/>
      </c>
      <c r="V262" s="24" t="n"/>
      <c r="W262" s="23" t="n">
        <v>0</v>
      </c>
      <c r="X262" s="24">
        <f>SUMPRODUCT((Комплекты[Пр]=$F262)*(Комплекты[Обозначение]=$G262)*Комплекты[Кол-во]*(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62" s="25" t="n">
        <v>10</v>
      </c>
      <c r="Z262" s="24" t="n"/>
      <c r="AA262" s="23" t="n">
        <v>0</v>
      </c>
      <c r="AB262" s="24">
        <f>SUMPRODUCT((Комплекты[Пр]=$F262)*(Комплекты[Обозначение]=$G262)*Комплекты[Кол-во]*(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62" s="25" t="n">
        <v>0</v>
      </c>
      <c r="AD262" s="24" t="n"/>
      <c r="AE262" s="23" t="n">
        <v>0</v>
      </c>
      <c r="AF262" s="24">
        <f>SUMPRODUCT((Комплекты[Пр]=$F262)*(Комплекты[Обозначение]=$G262)*Комплекты[Кол-во]*(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62" s="25">
        <f>SUMPRODUCT((Комплекты[Пр]=$F262)*(Комплекты[Обозначение]=$G262)*Комплекты[Кол-во]*(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/>
      </c>
      <c r="AH262" s="24" t="n"/>
      <c r="AI262" s="23" t="n">
        <v>0</v>
      </c>
      <c r="AJ262" s="24">
        <f>SUMPRODUCT((Комплекты[Пр]=$F262)*(Комплекты[Обозначение]=$G262)*Комплекты[Кол-во]*(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62" s="25" t="n">
        <v>0</v>
      </c>
      <c r="AL262" s="24" t="n"/>
      <c r="AM262" s="23" t="n">
        <v>0</v>
      </c>
      <c r="AN262" s="24">
        <f>SUMPRODUCT((Комплекты[Пр]=$F262)*(Комплекты[Обозначение]=$G262)*Комплекты[Кол-во]*(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62" s="25" t="n"/>
      <c r="AP262" s="24" t="n"/>
      <c r="AQ262" s="23" t="n">
        <v>0</v>
      </c>
      <c r="AR262" s="24">
        <f>SUMPRODUCT((Комплекты[Пр]=$F262)*(Комплекты[Обозначение]=$G262)*Комплекты[Кол-во]*(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62" s="25" t="n"/>
      <c r="AT262" s="24" t="n"/>
      <c r="AU262" s="23" t="n">
        <v>0</v>
      </c>
      <c r="AV262" s="24">
        <f>SUMPRODUCT((Комплекты[Пр]=$F262)*(Комплекты[Обозначение]=$G262)*Комплекты[Кол-во]*(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62" s="25" t="n"/>
      <c r="AX262" s="24" t="n"/>
      <c r="AY262" s="23" t="n">
        <v>0</v>
      </c>
      <c r="AZ262" s="24">
        <f>SUMPRODUCT((Комплекты[Пр]=$F262)*(Комплекты[Обозначение]=$G262)*Комплекты[Кол-во]*(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62" s="25" t="n"/>
      <c r="BB262" s="24" t="n"/>
      <c r="BC262" s="23" t="n">
        <v>0</v>
      </c>
      <c r="BD262" s="24">
        <f>SUMPRODUCT((Комплекты[Пр]=$F262)*(Комплекты[Обозначение]=$G262)*Комплекты[Кол-во]*(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62" s="25" t="n"/>
      <c r="BF262" s="24" t="n"/>
      <c r="BG262" s="23" t="n">
        <v>0</v>
      </c>
      <c r="BH262" s="24">
        <f>SUMPRODUCT((Комплекты[Пр]=$F262)*(Комплекты[Обозначение]=$G262)*Комплекты[Кол-во]*(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62" s="25" t="n"/>
      <c r="BJ262" s="24" t="n"/>
      <c r="BK262" s="340" t="n"/>
      <c r="BL262" s="803">
        <f>SUMPRODUCT(--(MOD(COLUMN($O262:$AL262),4)=MOD(COLUMN($O262)+0,4)),$O262:$AL262)
+SUMPRODUCT(--(MOD(COLUMN($AM262:$BJ262),4)=MOD(COLUMN($AM262)+0,4)),$AM262:$BJ262)</f>
        <v/>
      </c>
      <c r="BM262" s="803">
        <f>SUMPRODUCT(--(MOD(COLUMN($O262:$AL262),4)=MOD(COLUMN($O262)+0,4)),$O262:$AL262)*
$I262+SUMPRODUCT(--(MOD(COLUMN($AM262:$BJ262),4)=MOD(COLUMN($AM262)+0,4)),$AM262:$BJ262)*$I262</f>
        <v/>
      </c>
      <c r="BN262" s="805">
        <f>SUMPRODUCT(--(MOD(COLUMN($O262:$AL262),4)=MOD(COLUMN($O262)+1,4)),$O262:$AL262)
+SUMPRODUCT(--(MOD(COLUMN($AM262:$BJ262),4)=MOD(COLUMN($AM262)+1,4)),$AM262:$BJ262)</f>
        <v/>
      </c>
      <c r="BO262" s="806">
        <f>SUMPRODUCT(--(MOD(COLUMN($O262:$AL262),4)=MOD(COLUMN($O262)+1,4)),$O262:$AL262)*
$I262+SUMPRODUCT(--(MOD(COLUMN($AM262:$BJ262),4)=MOD(COLUMN($AM262)+1,4)),$AM262:$BJ262)*$I262</f>
        <v/>
      </c>
      <c r="BP262" s="807">
        <f>SUMPRODUCT(--(MOD(COLUMN($O262:$AL262),4)=MOD(COLUMN($O262)+2,4)),$O262:$AL262)
+SUMPRODUCT(--(MOD(COLUMN($AM262:$BJ262),4)=MOD(COLUMN($AM262)+2,4)),$AM262:$BJ262)</f>
        <v/>
      </c>
      <c r="BQ262" s="808">
        <f>SUMPRODUCT(--(MOD(COLUMN($O262:$AL262),4)=MOD(COLUMN($O262)+2,4)),$O262:$AL262)*
$I262+SUMPRODUCT(--(MOD(COLUMN($AM262:$BJ262),4)=MOD(COLUMN($AM262)+2,4)),$AM262:$BJ262)*$I262</f>
        <v/>
      </c>
      <c r="BR262" s="801" t="n"/>
      <c r="BS262" s="819" t="n"/>
      <c r="BT262" s="23" t="n">
        <v>2</v>
      </c>
      <c r="BU262" s="24" t="n"/>
      <c r="BV262" s="25" t="n">
        <v>0</v>
      </c>
      <c r="BW262" s="24" t="n"/>
      <c r="BX262" s="23" t="n">
        <v>2</v>
      </c>
      <c r="BY262" s="24" t="n"/>
      <c r="BZ262" s="25" t="n">
        <v>0</v>
      </c>
      <c r="CA262" s="24" t="n"/>
      <c r="CB262" s="23" t="n">
        <v>2</v>
      </c>
      <c r="CC262" s="24" t="n"/>
      <c r="CD262" s="25" t="n">
        <v>0</v>
      </c>
      <c r="CE262" s="24" t="n"/>
      <c r="CF262" s="23" t="n">
        <v>2</v>
      </c>
      <c r="CG262" s="24" t="n"/>
      <c r="CH262" s="25" t="n">
        <v>0</v>
      </c>
      <c r="CI262" s="24" t="n"/>
      <c r="CJ262" s="23" t="n">
        <v>2</v>
      </c>
      <c r="CK262" s="24" t="n"/>
      <c r="CL262" s="25" t="n">
        <v>0</v>
      </c>
      <c r="CM262" s="24" t="n"/>
      <c r="CN262" s="23" t="n">
        <v>2</v>
      </c>
      <c r="CO262" s="24" t="n"/>
      <c r="CP262" s="25" t="n">
        <v>0</v>
      </c>
      <c r="CQ262" s="24" t="n"/>
      <c r="CR262" s="23" t="n">
        <v>2</v>
      </c>
      <c r="CS262" s="24" t="n"/>
      <c r="CT262" s="25" t="n">
        <v>0</v>
      </c>
      <c r="CU262" s="24" t="n"/>
      <c r="CV262" s="23" t="n">
        <v>2</v>
      </c>
      <c r="CW262" s="24" t="n"/>
      <c r="CX262" s="25" t="n">
        <v>0</v>
      </c>
      <c r="CY262" s="24" t="n"/>
      <c r="CZ262" s="23" t="n">
        <v>2</v>
      </c>
      <c r="DA262" s="24" t="n"/>
      <c r="DB262" s="25" t="n">
        <v>0</v>
      </c>
      <c r="DC262" s="24" t="n"/>
      <c r="DD262" s="23" t="n">
        <v>2</v>
      </c>
      <c r="DE262" s="24" t="n"/>
      <c r="DF262" s="25" t="n">
        <v>0</v>
      </c>
      <c r="DG262" s="24" t="n"/>
      <c r="DH262" s="23" t="n">
        <v>2</v>
      </c>
      <c r="DI262" s="24" t="n"/>
      <c r="DJ262" s="25" t="n">
        <v>0</v>
      </c>
      <c r="DK262" s="24" t="n"/>
      <c r="DL262" s="23" t="n">
        <v>2</v>
      </c>
      <c r="DM262" s="24" t="n"/>
      <c r="DN262" s="25" t="n">
        <v>0</v>
      </c>
      <c r="DO262" s="24" t="n"/>
      <c r="DP262" s="340" t="n"/>
      <c r="DQ262" s="803">
        <f>SUMPRODUCT(--(MOD(COLUMN(BT262:CQ262),4)=MOD(COLUMN(BT262),4)),BT262:CQ262)+SUMPRODUCT(--(MOD(COLUMN(CR262:DO262),4)=MOD(COLUMN(CR262),4)),CR262:DO262)</f>
        <v/>
      </c>
      <c r="DR262" s="803">
        <f>SUMPRODUCT(--(MOD(COLUMN(BT262:CQ262),4)=MOD(COLUMN(BT262),4)),BT262:CQ262)*$I262+SUMPRODUCT(--(MOD(COLUMN(CR262:DO262),4)=MOD(COLUMN(CR262),4)),CR262:DO262)*$I262</f>
        <v/>
      </c>
      <c r="DS262" s="801" t="n"/>
      <c r="DT262" s="819" t="n"/>
      <c r="DU262" s="23" t="n">
        <v>3</v>
      </c>
      <c r="DV262" s="24" t="n"/>
      <c r="DW262" s="25" t="n">
        <v>0</v>
      </c>
      <c r="DX262" s="24" t="n"/>
      <c r="DY262" s="23" t="n">
        <v>3</v>
      </c>
      <c r="DZ262" s="24" t="n"/>
      <c r="EA262" s="25" t="n">
        <v>0</v>
      </c>
      <c r="EB262" s="24" t="n"/>
      <c r="EC262" s="23" t="n">
        <v>3</v>
      </c>
      <c r="ED262" s="24" t="n"/>
      <c r="EE262" s="25" t="n">
        <v>0</v>
      </c>
      <c r="EF262" s="24" t="n"/>
      <c r="EG262" s="23" t="n">
        <v>3</v>
      </c>
      <c r="EH262" s="24" t="n"/>
      <c r="EI262" s="25" t="n">
        <v>0</v>
      </c>
      <c r="EJ262" s="24" t="n"/>
      <c r="EK262" s="23" t="n">
        <v>3</v>
      </c>
      <c r="EL262" s="24" t="n"/>
      <c r="EM262" s="25" t="n">
        <v>0</v>
      </c>
      <c r="EN262" s="24" t="n"/>
      <c r="EO262" s="23" t="n">
        <v>3</v>
      </c>
      <c r="EP262" s="24" t="n"/>
      <c r="EQ262" s="25" t="n">
        <v>0</v>
      </c>
      <c r="ER262" s="24" t="n"/>
      <c r="ES262" s="23" t="n">
        <v>3</v>
      </c>
      <c r="ET262" s="24" t="n"/>
      <c r="EU262" s="25" t="n">
        <v>0</v>
      </c>
      <c r="EV262" s="24" t="n"/>
      <c r="EW262" s="23" t="n">
        <v>3</v>
      </c>
      <c r="EX262" s="24" t="n"/>
      <c r="EY262" s="25" t="n">
        <v>0</v>
      </c>
      <c r="EZ262" s="24" t="n"/>
      <c r="FA262" s="23" t="n">
        <v>3</v>
      </c>
      <c r="FB262" s="24" t="n"/>
      <c r="FC262" s="25" t="n">
        <v>0</v>
      </c>
      <c r="FD262" s="24" t="n"/>
      <c r="FE262" s="23" t="n">
        <v>3</v>
      </c>
      <c r="FF262" s="24" t="n"/>
      <c r="FG262" s="25" t="n">
        <v>0</v>
      </c>
      <c r="FH262" s="24" t="n"/>
      <c r="FI262" s="23" t="n">
        <v>3</v>
      </c>
      <c r="FJ262" s="24" t="n"/>
      <c r="FK262" s="25" t="n">
        <v>0</v>
      </c>
      <c r="FL262" s="24" t="n"/>
      <c r="FM262" s="23" t="n">
        <v>3</v>
      </c>
      <c r="FN262" s="24" t="n"/>
      <c r="FO262" s="25" t="n">
        <v>0</v>
      </c>
      <c r="FP262" s="24" t="n"/>
      <c r="FQ262" s="340" t="n"/>
      <c r="FR262" s="803">
        <f>SUMPRODUCT(--(MOD(COLUMN(DU262:ER262),4)=MOD(COLUMN(DU262),4)),DU262:ER262)+SUMPRODUCT(--(MOD(COLUMN(ES262:FP262),4)=MOD(COLUMN(ES262),4)),ES262:FP262)</f>
        <v/>
      </c>
      <c r="FS262" s="803">
        <f>SUMPRODUCT(--(MOD(COLUMN(DU262:ER262),4)=MOD(COLUMN(DU262),4)),DU262:ER262)*$I262+SUMPRODUCT(--(MOD(COLUMN(ES262:FP262),4)=MOD(COLUMN(ES262),4)),ES262:FP262)*$I262</f>
        <v/>
      </c>
      <c r="FT262" s="361" t="n"/>
    </row>
    <row r="263" outlineLevel="2">
      <c r="A263" s="56" t="inlineStr">
        <is>
          <t>СПЕЦАВТО-ВОСТОК ООО</t>
        </is>
      </c>
      <c r="B263" s="387" t="inlineStr">
        <is>
          <t>Отсрочка 15 дней</t>
        </is>
      </c>
      <c r="C263" s="173" t="inlineStr">
        <is>
          <t>ВБК РУС</t>
        </is>
      </c>
      <c r="D263" s="565" t="inlineStr">
        <is>
          <t>Прасолов, Соловьёв</t>
        </is>
      </c>
      <c r="E263" s="10">
        <f>IF(ISBLANK(G263),"",IF($A$6:$A$330=$A263,COUNTIF($A$6:A263,$A263),""))</f>
        <v/>
      </c>
      <c r="F263" s="123" t="n">
        <v>1</v>
      </c>
      <c r="G263" s="128" t="n">
        <v>4494430600</v>
      </c>
      <c r="H263" s="612" t="inlineStr">
        <is>
          <t>Кабель клапана управления подъемом оси, 6 м</t>
        </is>
      </c>
      <c r="I263" s="618" t="n">
        <v>0</v>
      </c>
      <c r="J263" s="618" t="n"/>
      <c r="K263" s="874" t="n"/>
      <c r="L263" s="618">
        <f>IF(K263="RUB",J263/ЮАНЬ,IF(K263="EUR",J263*ЕВРО/ЮАНЬ,""))</f>
        <v/>
      </c>
      <c r="M263" s="873" t="n"/>
      <c r="N263" s="871">
        <f>IF(BP263&gt;0,1,IF(BN263&gt;0,2,))</f>
        <v/>
      </c>
      <c r="O263" s="23" t="n">
        <v>0</v>
      </c>
      <c r="P263" s="24" t="n"/>
      <c r="Q263" s="25" t="n"/>
      <c r="R263" s="24" t="n"/>
      <c r="S263" s="23" t="n">
        <v>0</v>
      </c>
      <c r="T263" s="24">
        <f>SUMPRODUCT((Комплекты[Пр]=$F263)*(Комплекты[Обозначение]=$G263)*Комплекты[Кол-во]*(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/>
      </c>
      <c r="U263" s="25">
        <f>SUMPRODUCT((Комплекты[Пр]=$F263)*(Комплекты[Обозначение]=$G263)*Комплекты[Кол-во]*(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/>
      </c>
      <c r="V263" s="24" t="n"/>
      <c r="W263" s="23" t="n">
        <v>0</v>
      </c>
      <c r="X263" s="24">
        <f>SUMPRODUCT((Комплекты[Пр]=$F263)*(Комплекты[Обозначение]=$G263)*Комплекты[Кол-во]*(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/>
      </c>
      <c r="Y263" s="25" t="n">
        <v>10</v>
      </c>
      <c r="Z263" s="24" t="n"/>
      <c r="AA263" s="23" t="n">
        <v>0</v>
      </c>
      <c r="AB263" s="24">
        <f>SUMPRODUCT((Комплекты[Пр]=$F263)*(Комплекты[Обозначение]=$G263)*Комплекты[Кол-во]*(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/>
      </c>
      <c r="AC263" s="25" t="n">
        <v>35</v>
      </c>
      <c r="AD263" s="24" t="n"/>
      <c r="AE263" s="23" t="n">
        <v>0</v>
      </c>
      <c r="AF263" s="24">
        <f>SUMPRODUCT((Комплекты[Пр]=$F263)*(Комплекты[Обозначение]=$G263)*Комплекты[Кол-во]*(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/>
      </c>
      <c r="AG263" s="25">
        <f>SUMPRODUCT((Комплекты[Пр]=$F263)*(Комплекты[Обозначение]=$G263)*Комплекты[Кол-во]*(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/>
      </c>
      <c r="AH263" s="24" t="n"/>
      <c r="AI263" s="23" t="n">
        <v>0</v>
      </c>
      <c r="AJ263" s="24">
        <f>SUMPRODUCT((Комплекты[Пр]=$F263)*(Комплекты[Обозначение]=$G263)*Комплекты[Кол-во]*(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/>
      </c>
      <c r="AK263" s="25" t="n"/>
      <c r="AL263" s="24" t="n"/>
      <c r="AM263" s="23" t="n">
        <v>0</v>
      </c>
      <c r="AN263" s="24">
        <f>SUMPRODUCT((Комплекты[Пр]=$F263)*(Комплекты[Обозначение]=$G263)*Комплекты[Кол-во]*(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/>
      </c>
      <c r="AO263" s="25" t="n"/>
      <c r="AP263" s="24" t="n"/>
      <c r="AQ263" s="23" t="n">
        <v>0</v>
      </c>
      <c r="AR263" s="24">
        <f>SUMPRODUCT((Комплекты[Пр]=$F263)*(Комплекты[Обозначение]=$G263)*Комплекты[Кол-во]*(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/>
      </c>
      <c r="AS263" s="25" t="n"/>
      <c r="AT263" s="24" t="n"/>
      <c r="AU263" s="23" t="n">
        <v>0</v>
      </c>
      <c r="AV263" s="24">
        <f>SUMPRODUCT((Комплекты[Пр]=$F263)*(Комплекты[Обозначение]=$G263)*Комплекты[Кол-во]*(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/>
      </c>
      <c r="AW263" s="25" t="n"/>
      <c r="AX263" s="24" t="n"/>
      <c r="AY263" s="23" t="n">
        <v>0</v>
      </c>
      <c r="AZ263" s="24">
        <f>SUMPRODUCT((Комплекты[Пр]=$F263)*(Комплекты[Обозначение]=$G263)*Комплекты[Кол-во]*(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/>
      </c>
      <c r="BA263" s="25" t="n"/>
      <c r="BB263" s="24" t="n"/>
      <c r="BC263" s="23" t="n">
        <v>0</v>
      </c>
      <c r="BD263" s="24">
        <f>SUMPRODUCT((Комплекты[Пр]=$F263)*(Комплекты[Обозначение]=$G263)*Комплекты[Кол-во]*(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/>
      </c>
      <c r="BE263" s="25" t="n"/>
      <c r="BF263" s="24" t="n"/>
      <c r="BG263" s="23" t="n">
        <v>0</v>
      </c>
      <c r="BH263" s="24">
        <f>SUMPRODUCT((Комплекты[Пр]=$F263)*(Комплекты[Обозначение]=$G263)*Комплекты[Кол-во]*(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/>
      </c>
      <c r="BI263" s="25" t="n"/>
      <c r="BJ263" s="24" t="n"/>
      <c r="BK263" s="340" t="n"/>
      <c r="BL263" s="803">
        <f>SUMPRODUCT(--(MOD(COLUMN($O263:$AL263),4)=MOD(COLUMN($O263)+0,4)),$O263:$AL263)
+SUMPRODUCT(--(MOD(COLUMN($AM263:$BJ263),4)=MOD(COLUMN($AM263)+0,4)),$AM263:$BJ263)</f>
        <v/>
      </c>
      <c r="BM263" s="803">
        <f>SUMPRODUCT(--(MOD(COLUMN($O263:$AL263),4)=MOD(COLUMN($O263)+0,4)),$O263:$AL263)*
$I263+SUMPRODUCT(--(MOD(COLUMN($AM263:$BJ263),4)=MOD(COLUMN($AM263)+0,4)),$AM263:$BJ263)*$I263</f>
        <v/>
      </c>
      <c r="BN263" s="805">
        <f>SUMPRODUCT(--(MOD(COLUMN($O263:$AL263),4)=MOD(COLUMN($O263)+1,4)),$O263:$AL263)
+SUMPRODUCT(--(MOD(COLUMN($AM263:$BJ263),4)=MOD(COLUMN($AM263)+1,4)),$AM263:$BJ263)</f>
        <v/>
      </c>
      <c r="BO263" s="806">
        <f>SUMPRODUCT(--(MOD(COLUMN($O263:$AL263),4)=MOD(COLUMN($O263)+1,4)),$O263:$AL263)*
$I263+SUMPRODUCT(--(MOD(COLUMN($AM263:$BJ263),4)=MOD(COLUMN($AM263)+1,4)),$AM263:$BJ263)*$I263</f>
        <v/>
      </c>
      <c r="BP263" s="807">
        <f>SUMPRODUCT(--(MOD(COLUMN($O263:$AL263),4)=MOD(COLUMN($O263)+2,4)),$O263:$AL263)
+SUMPRODUCT(--(MOD(COLUMN($AM263:$BJ263),4)=MOD(COLUMN($AM263)+2,4)),$AM263:$BJ263)</f>
        <v/>
      </c>
      <c r="BQ263" s="808">
        <f>SUMPRODUCT(--(MOD(COLUMN($O263:$AL263),4)=MOD(COLUMN($O263)+2,4)),$O263:$AL263)*
$I263+SUMPRODUCT(--(MOD(COLUMN($AM263:$BJ263),4)=MOD(COLUMN($AM263)+2,4)),$AM263:$BJ263)*$I263</f>
        <v/>
      </c>
      <c r="BR263" s="801" t="n"/>
      <c r="BS263" s="819" t="n"/>
      <c r="BT263" s="23" t="n">
        <v>2</v>
      </c>
      <c r="BU263" s="24" t="n"/>
      <c r="BV263" s="25" t="n">
        <v>0</v>
      </c>
      <c r="BW263" s="24" t="n"/>
      <c r="BX263" s="23" t="n">
        <v>2</v>
      </c>
      <c r="BY263" s="24" t="n"/>
      <c r="BZ263" s="25" t="n">
        <v>0</v>
      </c>
      <c r="CA263" s="24" t="n"/>
      <c r="CB263" s="23" t="n">
        <v>2</v>
      </c>
      <c r="CC263" s="24" t="n"/>
      <c r="CD263" s="25" t="n">
        <v>0</v>
      </c>
      <c r="CE263" s="24" t="n"/>
      <c r="CF263" s="23" t="n">
        <v>2</v>
      </c>
      <c r="CG263" s="24" t="n"/>
      <c r="CH263" s="25" t="n">
        <v>0</v>
      </c>
      <c r="CI263" s="24" t="n"/>
      <c r="CJ263" s="23" t="n">
        <v>2</v>
      </c>
      <c r="CK263" s="24" t="n"/>
      <c r="CL263" s="25" t="n">
        <v>0</v>
      </c>
      <c r="CM263" s="24" t="n"/>
      <c r="CN263" s="23" t="n">
        <v>2</v>
      </c>
      <c r="CO263" s="24" t="n"/>
      <c r="CP263" s="25" t="n">
        <v>0</v>
      </c>
      <c r="CQ263" s="24" t="n"/>
      <c r="CR263" s="23" t="n">
        <v>2</v>
      </c>
      <c r="CS263" s="24" t="n"/>
      <c r="CT263" s="25" t="n">
        <v>0</v>
      </c>
      <c r="CU263" s="24" t="n"/>
      <c r="CV263" s="23" t="n">
        <v>2</v>
      </c>
      <c r="CW263" s="24" t="n"/>
      <c r="CX263" s="25" t="n">
        <v>0</v>
      </c>
      <c r="CY263" s="24" t="n"/>
      <c r="CZ263" s="23" t="n">
        <v>2</v>
      </c>
      <c r="DA263" s="24" t="n"/>
      <c r="DB263" s="25" t="n">
        <v>0</v>
      </c>
      <c r="DC263" s="24" t="n"/>
      <c r="DD263" s="23" t="n">
        <v>2</v>
      </c>
      <c r="DE263" s="24" t="n"/>
      <c r="DF263" s="25" t="n">
        <v>0</v>
      </c>
      <c r="DG263" s="24" t="n"/>
      <c r="DH263" s="23" t="n">
        <v>2</v>
      </c>
      <c r="DI263" s="24" t="n"/>
      <c r="DJ263" s="25" t="n">
        <v>0</v>
      </c>
      <c r="DK263" s="24" t="n"/>
      <c r="DL263" s="23" t="n">
        <v>2</v>
      </c>
      <c r="DM263" s="24" t="n"/>
      <c r="DN263" s="25" t="n">
        <v>0</v>
      </c>
      <c r="DO263" s="24" t="n"/>
      <c r="DP263" s="340" t="n"/>
      <c r="DQ263" s="803">
        <f>SUMPRODUCT(--(MOD(COLUMN(BT263:CQ263),4)=MOD(COLUMN(BT263),4)),BT263:CQ263)+SUMPRODUCT(--(MOD(COLUMN(CR263:DO263),4)=MOD(COLUMN(CR263),4)),CR263:DO263)</f>
        <v/>
      </c>
      <c r="DR263" s="803">
        <f>SUMPRODUCT(--(MOD(COLUMN(BT263:CQ263),4)=MOD(COLUMN(BT263),4)),BT263:CQ263)*$I263+SUMPRODUCT(--(MOD(COLUMN(CR263:DO263),4)=MOD(COLUMN(CR263),4)),CR263:DO263)*$I263</f>
        <v/>
      </c>
      <c r="DS263" s="801" t="n"/>
      <c r="DT263" s="819" t="n"/>
      <c r="DU263" s="23" t="n">
        <v>3</v>
      </c>
      <c r="DV263" s="24" t="n"/>
      <c r="DW263" s="25" t="n">
        <v>0</v>
      </c>
      <c r="DX263" s="24" t="n"/>
      <c r="DY263" s="23" t="n">
        <v>3</v>
      </c>
      <c r="DZ263" s="24" t="n"/>
      <c r="EA263" s="25" t="n">
        <v>0</v>
      </c>
      <c r="EB263" s="24" t="n"/>
      <c r="EC263" s="23" t="n">
        <v>3</v>
      </c>
      <c r="ED263" s="24" t="n"/>
      <c r="EE263" s="25" t="n">
        <v>0</v>
      </c>
      <c r="EF263" s="24" t="n"/>
      <c r="EG263" s="23" t="n">
        <v>3</v>
      </c>
      <c r="EH263" s="24" t="n"/>
      <c r="EI263" s="25" t="n">
        <v>0</v>
      </c>
      <c r="EJ263" s="24" t="n"/>
      <c r="EK263" s="23" t="n">
        <v>3</v>
      </c>
      <c r="EL263" s="24" t="n"/>
      <c r="EM263" s="25" t="n">
        <v>0</v>
      </c>
      <c r="EN263" s="24" t="n"/>
      <c r="EO263" s="23" t="n">
        <v>3</v>
      </c>
      <c r="EP263" s="24" t="n"/>
      <c r="EQ263" s="25" t="n">
        <v>0</v>
      </c>
      <c r="ER263" s="24" t="n"/>
      <c r="ES263" s="23" t="n">
        <v>3</v>
      </c>
      <c r="ET263" s="24" t="n"/>
      <c r="EU263" s="25" t="n">
        <v>0</v>
      </c>
      <c r="EV263" s="24" t="n"/>
      <c r="EW263" s="23" t="n">
        <v>3</v>
      </c>
      <c r="EX263" s="24" t="n"/>
      <c r="EY263" s="25" t="n">
        <v>0</v>
      </c>
      <c r="EZ263" s="24" t="n"/>
      <c r="FA263" s="23" t="n">
        <v>3</v>
      </c>
      <c r="FB263" s="24" t="n"/>
      <c r="FC263" s="25" t="n">
        <v>0</v>
      </c>
      <c r="FD263" s="24" t="n"/>
      <c r="FE263" s="23" t="n">
        <v>3</v>
      </c>
      <c r="FF263" s="24" t="n"/>
      <c r="FG263" s="25" t="n">
        <v>0</v>
      </c>
      <c r="FH263" s="24" t="n"/>
      <c r="FI263" s="23" t="n">
        <v>3</v>
      </c>
      <c r="FJ263" s="24" t="n"/>
      <c r="FK263" s="25" t="n">
        <v>0</v>
      </c>
      <c r="FL263" s="24" t="n"/>
      <c r="FM263" s="23" t="n">
        <v>3</v>
      </c>
      <c r="FN263" s="24" t="n"/>
      <c r="FO263" s="25" t="n">
        <v>0</v>
      </c>
      <c r="FP263" s="24" t="n"/>
      <c r="FQ263" s="340" t="n"/>
      <c r="FR263" s="803">
        <f>SUMPRODUCT(--(MOD(COLUMN(DU263:ER263),4)=MOD(COLUMN(DU263),4)),DU263:ER263)+SUMPRODUCT(--(MOD(COLUMN(ES263:FP263),4)=MOD(COLUMN(ES263),4)),ES263:FP263)</f>
        <v/>
      </c>
      <c r="FS263" s="803">
        <f>SUMPRODUCT(--(MOD(COLUMN(DU263:ER263),4)=MOD(COLUMN(DU263),4)),DU263:ER263)*$I263+SUMPRODUCT(--(MOD(COLUMN(ES263:FP263),4)=MOD(COLUMN(ES263),4)),ES263:FP263)*$I263</f>
        <v/>
      </c>
      <c r="FT263" s="361" t="n"/>
    </row>
    <row r="264" outlineLevel="2">
      <c r="A264" s="56" t="inlineStr">
        <is>
          <t>СПЕЦАВТО-ВОСТОК ООО</t>
        </is>
      </c>
      <c r="B264" s="387" t="n"/>
      <c r="C264" s="173" t="n"/>
      <c r="D264" s="565" t="n"/>
      <c r="E264" s="13">
        <f>IF(ISBLANK(G264),"",IF($A$6:$A$330=$A264,COUNTIF($A$6:A264,$A264),""))</f>
        <v/>
      </c>
      <c r="F264" s="13" t="n"/>
      <c r="G264" s="111" t="n"/>
      <c r="H264" s="607" t="inlineStr">
        <is>
          <t>Итого</t>
        </is>
      </c>
      <c r="I264" s="617" t="n"/>
      <c r="J264" s="617" t="n"/>
      <c r="K264" s="872" t="n"/>
      <c r="L264" s="617">
        <f>IF(K264="RUB",J264/ЮАНЬ,IF(K264="EUR",J264*ЕВРО/ЮАНЬ,""))</f>
        <v/>
      </c>
      <c r="M264" s="873" t="n"/>
      <c r="N264" s="871">
        <f>IF(BP264&gt;0,1,IF(BN264&gt;0,2,))</f>
        <v/>
      </c>
      <c r="O264" s="40" t="n"/>
      <c r="P264" s="41" t="n"/>
      <c r="Q264" s="42" t="n"/>
      <c r="R264" s="41" t="n"/>
      <c r="S264" s="40" t="n"/>
      <c r="T264" s="41" t="n"/>
      <c r="U264" s="42" t="n"/>
      <c r="V264" s="41" t="n"/>
      <c r="W264" s="40" t="n"/>
      <c r="X264" s="41" t="n"/>
      <c r="Y264" s="42" t="n"/>
      <c r="Z264" s="41" t="n"/>
      <c r="AA264" s="40" t="n"/>
      <c r="AB264" s="41" t="n"/>
      <c r="AC264" s="42" t="n"/>
      <c r="AD264" s="41" t="n"/>
      <c r="AE264" s="40" t="n"/>
      <c r="AF264" s="41" t="n"/>
      <c r="AG264" s="42" t="n"/>
      <c r="AH264" s="41" t="n"/>
      <c r="AI264" s="40" t="n"/>
      <c r="AJ264" s="41" t="n"/>
      <c r="AK264" s="42" t="n"/>
      <c r="AL264" s="41" t="n"/>
      <c r="AM264" s="40" t="n"/>
      <c r="AN264" s="41" t="n"/>
      <c r="AO264" s="42" t="n"/>
      <c r="AP264" s="41" t="n"/>
      <c r="AQ264" s="40" t="n"/>
      <c r="AR264" s="41" t="n"/>
      <c r="AS264" s="42" t="n"/>
      <c r="AT264" s="41" t="n"/>
      <c r="AU264" s="40" t="n"/>
      <c r="AV264" s="41" t="n"/>
      <c r="AW264" s="42" t="n"/>
      <c r="AX264" s="41" t="n"/>
      <c r="AY264" s="40" t="n"/>
      <c r="AZ264" s="41" t="n"/>
      <c r="BA264" s="42" t="n"/>
      <c r="BB264" s="41" t="n"/>
      <c r="BC264" s="40" t="n"/>
      <c r="BD264" s="41" t="n"/>
      <c r="BE264" s="42" t="n"/>
      <c r="BF264" s="41" t="n"/>
      <c r="BG264" s="40" t="n"/>
      <c r="BH264" s="41" t="n"/>
      <c r="BI264" s="42" t="n"/>
      <c r="BJ264" s="43" t="n"/>
      <c r="BK264" s="341" t="n"/>
      <c r="BL264" s="811">
        <f>SUMPRODUCT(--(MOD(COLUMN($O264:$AL264),4)=MOD(COLUMN($O264)+0,4)),$O264:$AL264)
+SUMPRODUCT(--(MOD(COLUMN($AM264:$BJ264),4)=MOD(COLUMN($AM264)+0,4)),$AM264:$BJ264)</f>
        <v/>
      </c>
      <c r="BM264" s="811">
        <f>SUMPRODUCT(--(MOD(COLUMN($O264:$AL264),4)=MOD(COLUMN($O264)+0,4)),$O264:$AL264)*
$I264+SUMPRODUCT(--(MOD(COLUMN($AM264:$BJ264),4)=MOD(COLUMN($AM264)+0,4)),$AM264:$BJ264)*$I264</f>
        <v/>
      </c>
      <c r="BN264" s="805">
        <f>SUMPRODUCT(--(MOD(COLUMN($O264:$AL264),4)=MOD(COLUMN($O264)+1,4)),$O264:$AL264)
+SUMPRODUCT(--(MOD(COLUMN($AM264:$BJ264),4)=MOD(COLUMN($AM264)+1,4)),$AM264:$BJ264)</f>
        <v/>
      </c>
      <c r="BO264" s="806">
        <f>SUMPRODUCT(--(MOD(COLUMN($O264:$AL264),4)=MOD(COLUMN($O264)+1,4)),$O264:$AL264)*
$I264+SUMPRODUCT(--(MOD(COLUMN($AM264:$BJ264),4)=MOD(COLUMN($AM264)+1,4)),$AM264:$BJ264)*$I264</f>
        <v/>
      </c>
      <c r="BP264" s="807">
        <f>SUMPRODUCT(--(MOD(COLUMN($O264:$AL264),4)=MOD(COLUMN($O264)+2,4)),$O264:$AL264)
+SUMPRODUCT(--(MOD(COLUMN($AM264:$BJ264),4)=MOD(COLUMN($AM264)+2,4)),$AM264:$BJ264)</f>
        <v/>
      </c>
      <c r="BQ264" s="808">
        <f>SUMPRODUCT(--(MOD(COLUMN($O264:$AL264),4)=MOD(COLUMN($O264)+2,4)),$O264:$AL264)*
$I264+SUMPRODUCT(--(MOD(COLUMN($AM264:$BJ264),4)=MOD(COLUMN($AM264)+2,4)),$AM264:$BJ264)*$I264</f>
        <v/>
      </c>
      <c r="BR264" s="801" t="n"/>
      <c r="BS264" s="819" t="n"/>
      <c r="BT264" s="40" t="n"/>
      <c r="BU264" s="41" t="n"/>
      <c r="BV264" s="42" t="n"/>
      <c r="BW264" s="41" t="n"/>
      <c r="BX264" s="40" t="n"/>
      <c r="BY264" s="41" t="n"/>
      <c r="BZ264" s="42" t="n"/>
      <c r="CA264" s="41" t="n"/>
      <c r="CB264" s="40" t="n"/>
      <c r="CC264" s="41" t="n"/>
      <c r="CD264" s="42" t="n"/>
      <c r="CE264" s="41" t="n"/>
      <c r="CF264" s="40" t="n"/>
      <c r="CG264" s="41" t="n"/>
      <c r="CH264" s="42" t="n"/>
      <c r="CI264" s="41" t="n"/>
      <c r="CJ264" s="40" t="n"/>
      <c r="CK264" s="41" t="n"/>
      <c r="CL264" s="42" t="n"/>
      <c r="CM264" s="41" t="n"/>
      <c r="CN264" s="40" t="n"/>
      <c r="CO264" s="41" t="n"/>
      <c r="CP264" s="42" t="n"/>
      <c r="CQ264" s="41" t="n"/>
      <c r="CR264" s="40" t="n"/>
      <c r="CS264" s="41" t="n"/>
      <c r="CT264" s="42" t="n"/>
      <c r="CU264" s="41" t="n"/>
      <c r="CV264" s="40" t="n"/>
      <c r="CW264" s="41" t="n"/>
      <c r="CX264" s="42" t="n"/>
      <c r="CY264" s="41" t="n"/>
      <c r="CZ264" s="40" t="n"/>
      <c r="DA264" s="41" t="n"/>
      <c r="DB264" s="42" t="n"/>
      <c r="DC264" s="41" t="n"/>
      <c r="DD264" s="40" t="n"/>
      <c r="DE264" s="41" t="n"/>
      <c r="DF264" s="42" t="n"/>
      <c r="DG264" s="41" t="n"/>
      <c r="DH264" s="40" t="n"/>
      <c r="DI264" s="41" t="n"/>
      <c r="DJ264" s="42" t="n"/>
      <c r="DK264" s="41" t="n"/>
      <c r="DL264" s="40" t="n"/>
      <c r="DM264" s="41" t="n"/>
      <c r="DN264" s="42" t="n"/>
      <c r="DO264" s="43" t="n"/>
      <c r="DP264" s="341" t="n"/>
      <c r="DQ264" s="811">
        <f>SUMPRODUCT(--(MOD(COLUMN(BT264:CQ264),4)=MOD(COLUMN(BT264),4)),BT264:CQ264)+SUMPRODUCT(--(MOD(COLUMN(CR264:DO264),4)=MOD(COLUMN(CR264),4)),CR264:DO264)</f>
        <v/>
      </c>
      <c r="DR264" s="811">
        <f>SUMPRODUCT(--(MOD(COLUMN(BT264:CQ264),4)=MOD(COLUMN(BT264),4)),BT264:CQ264)*$I264+SUMPRODUCT(--(MOD(COLUMN(CR264:DO264),4)=MOD(COLUMN(CR264),4)),CR264:DO264)*$I264</f>
        <v/>
      </c>
      <c r="DS264" s="801" t="n"/>
      <c r="DT264" s="819" t="n"/>
      <c r="DU264" s="40" t="n"/>
      <c r="DV264" s="41" t="n"/>
      <c r="DW264" s="42" t="n"/>
      <c r="DX264" s="41" t="n"/>
      <c r="DY264" s="40" t="n"/>
      <c r="DZ264" s="41" t="n"/>
      <c r="EA264" s="42" t="n"/>
      <c r="EB264" s="41" t="n"/>
      <c r="EC264" s="40" t="n"/>
      <c r="ED264" s="41" t="n"/>
      <c r="EE264" s="42" t="n"/>
      <c r="EF264" s="41" t="n"/>
      <c r="EG264" s="40" t="n"/>
      <c r="EH264" s="41" t="n"/>
      <c r="EI264" s="42" t="n"/>
      <c r="EJ264" s="41" t="n"/>
      <c r="EK264" s="40" t="n"/>
      <c r="EL264" s="41" t="n"/>
      <c r="EM264" s="42" t="n"/>
      <c r="EN264" s="41" t="n"/>
      <c r="EO264" s="40" t="n"/>
      <c r="EP264" s="41" t="n"/>
      <c r="EQ264" s="42" t="n"/>
      <c r="ER264" s="41" t="n"/>
      <c r="ES264" s="40" t="n"/>
      <c r="ET264" s="41" t="n"/>
      <c r="EU264" s="42" t="n"/>
      <c r="EV264" s="41" t="n"/>
      <c r="EW264" s="40" t="n"/>
      <c r="EX264" s="41" t="n"/>
      <c r="EY264" s="42" t="n"/>
      <c r="EZ264" s="41" t="n"/>
      <c r="FA264" s="40" t="n"/>
      <c r="FB264" s="41" t="n"/>
      <c r="FC264" s="42" t="n"/>
      <c r="FD264" s="41" t="n"/>
      <c r="FE264" s="40" t="n"/>
      <c r="FF264" s="41" t="n"/>
      <c r="FG264" s="42" t="n"/>
      <c r="FH264" s="41" t="n"/>
      <c r="FI264" s="40" t="n"/>
      <c r="FJ264" s="41" t="n"/>
      <c r="FK264" s="42" t="n"/>
      <c r="FL264" s="41" t="n"/>
      <c r="FM264" s="40" t="n"/>
      <c r="FN264" s="41" t="n"/>
      <c r="FO264" s="42" t="n"/>
      <c r="FP264" s="43" t="n"/>
      <c r="FQ264" s="341" t="n"/>
      <c r="FR264" s="811">
        <f>SUMPRODUCT(--(MOD(COLUMN(DU264:ER264),4)=MOD(COLUMN(DU264),4)),DU264:ER264)+SUMPRODUCT(--(MOD(COLUMN(ES264:FP264),4)=MOD(COLUMN(ES264),4)),ES264:FP264)</f>
        <v/>
      </c>
      <c r="FS264" s="811">
        <f>SUMPRODUCT(--(MOD(COLUMN(DU264:ER264),4)=MOD(COLUMN(DU264),4)),DU264:ER264)*$I264+SUMPRODUCT(--(MOD(COLUMN(ES264:FP264),4)=MOD(COLUMN(ES264),4)),ES264:FP264)*$I264</f>
        <v/>
      </c>
      <c r="FT264" s="361" t="n"/>
    </row>
    <row r="265" outlineLevel="1" customFormat="1" s="116">
      <c r="A265" s="46" t="inlineStr">
        <is>
          <t>СПЕЦАВТО-ВОСТОК ООО</t>
        </is>
      </c>
      <c r="B265" s="388" t="n"/>
      <c r="C265" s="650" t="n"/>
      <c r="D265" s="651" t="n"/>
      <c r="E265" s="118">
        <f>IF(ISBLANK(G265),"",IF($A$6:$A$330=$A265,COUNTIF($A$6:A265,$A265),""))</f>
        <v/>
      </c>
      <c r="F265" s="117" t="n"/>
      <c r="G265" s="119" t="n"/>
      <c r="H265" s="608" t="n"/>
      <c r="I265" s="620" t="n"/>
      <c r="J265" s="620" t="n"/>
      <c r="K265" s="120" t="n"/>
      <c r="L265" s="620">
        <f>IF(K265="RUB",J265/ЮАНЬ,IF(K265="EUR",J265*ЕВРО/ЮАНЬ,""))</f>
        <v/>
      </c>
      <c r="M265" s="873" t="n"/>
      <c r="N265" s="871">
        <f>IF(BP265&gt;0,1,IF(BN265&gt;0,2,))</f>
        <v/>
      </c>
      <c r="O265" s="121" t="n"/>
      <c r="P265" s="121" t="n"/>
      <c r="Q265" s="121" t="n"/>
      <c r="R265" s="121" t="n"/>
      <c r="S265" s="121" t="n"/>
      <c r="T265" s="121" t="n"/>
      <c r="U265" s="121" t="n"/>
      <c r="V265" s="121" t="n"/>
      <c r="W265" s="121" t="n"/>
      <c r="X265" s="121" t="n"/>
      <c r="Y265" s="121" t="n"/>
      <c r="Z265" s="121" t="n"/>
      <c r="AA265" s="121" t="n"/>
      <c r="AB265" s="121" t="n"/>
      <c r="AC265" s="121" t="n"/>
      <c r="AD265" s="121" t="n"/>
      <c r="AE265" s="121" t="n"/>
      <c r="AF265" s="121" t="n"/>
      <c r="AG265" s="121" t="n"/>
      <c r="AH265" s="121" t="n"/>
      <c r="AI265" s="121" t="n"/>
      <c r="AJ265" s="121" t="n"/>
      <c r="AK265" s="121" t="n"/>
      <c r="AL265" s="121" t="n"/>
      <c r="AM265" s="121" t="n"/>
      <c r="AN265" s="121" t="n"/>
      <c r="AO265" s="121" t="n"/>
      <c r="AP265" s="121" t="n"/>
      <c r="AQ265" s="121" t="n"/>
      <c r="AR265" s="121" t="n"/>
      <c r="AS265" s="121" t="n"/>
      <c r="AT265" s="121" t="n"/>
      <c r="AU265" s="121" t="n"/>
      <c r="AV265" s="121" t="n"/>
      <c r="AW265" s="121" t="n"/>
      <c r="AX265" s="121" t="n"/>
      <c r="AY265" s="121" t="n"/>
      <c r="AZ265" s="121" t="n"/>
      <c r="BA265" s="121" t="n"/>
      <c r="BB265" s="121" t="n"/>
      <c r="BC265" s="121" t="n"/>
      <c r="BD265" s="121" t="n"/>
      <c r="BE265" s="121" t="n"/>
      <c r="BF265" s="121" t="n"/>
      <c r="BG265" s="121" t="n"/>
      <c r="BH265" s="121" t="n"/>
      <c r="BI265" s="121" t="n"/>
      <c r="BJ265" s="121" t="n"/>
      <c r="BK265" s="356" t="n"/>
      <c r="BL265" s="814">
        <f>SUMPRODUCT(--(MOD(COLUMN($O265:$AL265),4)=MOD(COLUMN($O265)+0,4)),$O265:$AL265)
+SUMPRODUCT(--(MOD(COLUMN($AM265:$BJ265),4)=MOD(COLUMN($AM265)+0,4)),$AM265:$BJ265)</f>
        <v/>
      </c>
      <c r="BM265" s="814">
        <f>SUMPRODUCT(--(MOD(COLUMN($O265:$AL265),4)=MOD(COLUMN($O265)+0,4)),$O265:$AL265)*
$I265+SUMPRODUCT(--(MOD(COLUMN($AM265:$BJ265),4)=MOD(COLUMN($AM265)+0,4)),$AM265:$BJ265)*$I265</f>
        <v/>
      </c>
      <c r="BN265" s="814">
        <f>SUMPRODUCT(--(MOD(COLUMN($O265:$AL265),4)=MOD(COLUMN($O265)+1,4)),$O265:$AL265)
+SUMPRODUCT(--(MOD(COLUMN($AM265:$BJ265),4)=MOD(COLUMN($AM265)+1,4)),$AM265:$BJ265)</f>
        <v/>
      </c>
      <c r="BO265" s="814">
        <f>SUMPRODUCT(--(MOD(COLUMN($O265:$AL265),4)=MOD(COLUMN($O265)+1,4)),$O265:$AL265)*
$I265+SUMPRODUCT(--(MOD(COLUMN($AM265:$BJ265),4)=MOD(COLUMN($AM265)+1,4)),$AM265:$BJ265)*$I265</f>
        <v/>
      </c>
      <c r="BP265" s="814">
        <f>SUMPRODUCT(--(MOD(COLUMN($O265:$AL265),4)=MOD(COLUMN($O265)+2,4)),$O265:$AL265)
+SUMPRODUCT(--(MOD(COLUMN($AM265:$BJ265),4)=MOD(COLUMN($AM265)+2,4)),$AM265:$BJ265)</f>
        <v/>
      </c>
      <c r="BQ265" s="814">
        <f>SUMPRODUCT(--(MOD(COLUMN($O265:$AL265),4)=MOD(COLUMN($O265)+2,4)),$O265:$AL265)*
$I265+SUMPRODUCT(--(MOD(COLUMN($AM265:$BJ265),4)=MOD(COLUMN($AM265)+2,4)),$AM265:$BJ265)*$I265</f>
        <v/>
      </c>
      <c r="BR265" s="51" t="n"/>
      <c r="BS265" s="335" t="n"/>
      <c r="BT265" s="121" t="n"/>
      <c r="BU265" s="121" t="n"/>
      <c r="BV265" s="121" t="n"/>
      <c r="BW265" s="121" t="n"/>
      <c r="BX265" s="121" t="n"/>
      <c r="BY265" s="121" t="n"/>
      <c r="BZ265" s="121" t="n"/>
      <c r="CA265" s="121" t="n"/>
      <c r="CB265" s="121" t="n"/>
      <c r="CC265" s="121" t="n"/>
      <c r="CD265" s="121" t="n"/>
      <c r="CE265" s="121" t="n"/>
      <c r="CF265" s="121" t="n"/>
      <c r="CG265" s="121" t="n"/>
      <c r="CH265" s="121" t="n"/>
      <c r="CI265" s="121" t="n"/>
      <c r="CJ265" s="121" t="n"/>
      <c r="CK265" s="121" t="n"/>
      <c r="CL265" s="121" t="n"/>
      <c r="CM265" s="121" t="n"/>
      <c r="CN265" s="121" t="n"/>
      <c r="CO265" s="121" t="n"/>
      <c r="CP265" s="121" t="n"/>
      <c r="CQ265" s="121" t="n"/>
      <c r="CR265" s="121" t="n"/>
      <c r="CS265" s="121" t="n"/>
      <c r="CT265" s="121" t="n"/>
      <c r="CU265" s="121" t="n"/>
      <c r="CV265" s="121" t="n"/>
      <c r="CW265" s="121" t="n"/>
      <c r="CX265" s="121" t="n"/>
      <c r="CY265" s="121" t="n"/>
      <c r="CZ265" s="121" t="n"/>
      <c r="DA265" s="121" t="n"/>
      <c r="DB265" s="121" t="n"/>
      <c r="DC265" s="121" t="n"/>
      <c r="DD265" s="121" t="n"/>
      <c r="DE265" s="121" t="n"/>
      <c r="DF265" s="121" t="n"/>
      <c r="DG265" s="121" t="n"/>
      <c r="DH265" s="121" t="n"/>
      <c r="DI265" s="121" t="n"/>
      <c r="DJ265" s="121" t="n"/>
      <c r="DK265" s="121" t="n"/>
      <c r="DL265" s="121" t="n"/>
      <c r="DM265" s="121" t="n"/>
      <c r="DN265" s="121" t="n"/>
      <c r="DO265" s="121" t="n"/>
      <c r="DP265" s="356" t="n"/>
      <c r="DQ265" s="814">
        <f>SUMPRODUCT(--(MOD(COLUMN(BT265:CQ265),4)=MOD(COLUMN(BT265),4)),BT265:CQ265)+SUMPRODUCT(--(MOD(COLUMN(CR265:DO265),4)=MOD(COLUMN(CR265),4)),CR265:DO265)</f>
        <v/>
      </c>
      <c r="DR265" s="814">
        <f>SUMPRODUCT(--(MOD(COLUMN(BT265:CQ265),4)=MOD(COLUMN(BT265),4)),BT265:CQ265)*$I265+SUMPRODUCT(--(MOD(COLUMN(CR265:DO265),4)=MOD(COLUMN(CR265),4)),CR265:DO265)*$I265</f>
        <v/>
      </c>
      <c r="DS265" s="51" t="n"/>
      <c r="DT265" s="335" t="n"/>
      <c r="DU265" s="121" t="n"/>
      <c r="DV265" s="121" t="n"/>
      <c r="DW265" s="121" t="n"/>
      <c r="DX265" s="121" t="n"/>
      <c r="DY265" s="121" t="n"/>
      <c r="DZ265" s="121" t="n"/>
      <c r="EA265" s="121" t="n"/>
      <c r="EB265" s="121" t="n"/>
      <c r="EC265" s="121" t="n"/>
      <c r="ED265" s="121" t="n"/>
      <c r="EE265" s="121" t="n"/>
      <c r="EF265" s="121" t="n"/>
      <c r="EG265" s="121" t="n"/>
      <c r="EH265" s="121" t="n"/>
      <c r="EI265" s="121" t="n"/>
      <c r="EJ265" s="121" t="n"/>
      <c r="EK265" s="121" t="n"/>
      <c r="EL265" s="121" t="n"/>
      <c r="EM265" s="121" t="n"/>
      <c r="EN265" s="121" t="n"/>
      <c r="EO265" s="121" t="n"/>
      <c r="EP265" s="121" t="n"/>
      <c r="EQ265" s="121" t="n"/>
      <c r="ER265" s="121" t="n"/>
      <c r="ES265" s="121" t="n"/>
      <c r="ET265" s="121" t="n"/>
      <c r="EU265" s="121" t="n"/>
      <c r="EV265" s="121" t="n"/>
      <c r="EW265" s="121" t="n"/>
      <c r="EX265" s="121" t="n"/>
      <c r="EY265" s="121" t="n"/>
      <c r="EZ265" s="121" t="n"/>
      <c r="FA265" s="121" t="n"/>
      <c r="FB265" s="121" t="n"/>
      <c r="FC265" s="121" t="n"/>
      <c r="FD265" s="121" t="n"/>
      <c r="FE265" s="121" t="n"/>
      <c r="FF265" s="121" t="n"/>
      <c r="FG265" s="121" t="n"/>
      <c r="FH265" s="121" t="n"/>
      <c r="FI265" s="121" t="n"/>
      <c r="FJ265" s="121" t="n"/>
      <c r="FK265" s="121" t="n"/>
      <c r="FL265" s="121" t="n"/>
      <c r="FM265" s="121" t="n"/>
      <c r="FN265" s="121" t="n"/>
      <c r="FO265" s="121" t="n"/>
      <c r="FP265" s="121" t="n"/>
      <c r="FQ265" s="356" t="n"/>
      <c r="FR265" s="814">
        <f>SUMPRODUCT(--(MOD(COLUMN(DU265:ER265),4)=MOD(COLUMN(DU265),4)),DU265:ER265)+SUMPRODUCT(--(MOD(COLUMN(ES265:FP265),4)=MOD(COLUMN(ES265),4)),ES265:FP265)</f>
        <v/>
      </c>
      <c r="FS265" s="814">
        <f>SUMPRODUCT(--(MOD(COLUMN(DU265:ER265),4)=MOD(COLUMN(DU265),4)),DU265:ER265)*$I265+SUMPRODUCT(--(MOD(COLUMN(ES265:FP265),4)=MOD(COLUMN(ES265),4)),ES265:FP265)*$I265</f>
        <v/>
      </c>
      <c r="FT265" s="343" t="n"/>
    </row>
    <row r="266" outlineLevel="2">
      <c r="A266" s="58" t="inlineStr">
        <is>
          <t>АВТОВИК ООО / AVTOVIK OOO</t>
        </is>
      </c>
      <c r="B266" s="387" t="inlineStr">
        <is>
          <t>Предоплата 100%</t>
        </is>
      </c>
      <c r="C266" s="173" t="inlineStr">
        <is>
          <t>ВБК Восток</t>
        </is>
      </c>
      <c r="D266" s="595" t="inlineStr">
        <is>
          <t>Прасолов, Соловьёв</t>
        </is>
      </c>
      <c r="E266" s="414">
        <f>IF(ISBLANK(G266),"",IF($A$6:$A$330=$A266,COUNTIF($A$6:A266,$A266),""))</f>
        <v/>
      </c>
      <c r="F266" s="10" t="n">
        <v>1</v>
      </c>
      <c r="G266" s="55" t="n">
        <v>4231069000</v>
      </c>
      <c r="H266" s="54" t="inlineStr">
        <is>
          <t>Камера тормозная тип 24</t>
        </is>
      </c>
      <c r="I266" s="617">
        <f>145.38/НДС</f>
        <v/>
      </c>
      <c r="J266" s="617" t="n"/>
      <c r="K266" s="872" t="n"/>
      <c r="L266" s="617">
        <f>IF(K266="RUB",J266/ЮАНЬ,IF(K266="EUR",J266*ЕВРО/ЮАНЬ,""))</f>
        <v/>
      </c>
      <c r="M266" s="873" t="n"/>
      <c r="N266" s="871">
        <f>IF(BP266&gt;0,1,IF(BN266&gt;0,2,))</f>
        <v/>
      </c>
      <c r="O266" s="23" t="n"/>
      <c r="P266" s="24" t="n"/>
      <c r="Q266" s="25" t="n"/>
      <c r="R266" s="24" t="n"/>
      <c r="S266" s="23" t="n"/>
      <c r="T266" s="24" t="n"/>
      <c r="U266" s="25" t="n"/>
      <c r="V266" s="24" t="n"/>
      <c r="W266" s="23" t="n"/>
      <c r="X266" s="26" t="n"/>
      <c r="Y266" s="25" t="n"/>
      <c r="Z266" s="24" t="n"/>
      <c r="AA266" s="23" t="n"/>
      <c r="AB266" s="26" t="n"/>
      <c r="AC266" s="25" t="n"/>
      <c r="AD266" s="24" t="n"/>
      <c r="AE266" s="23" t="n"/>
      <c r="AF266" s="26" t="n"/>
      <c r="AG266" s="25" t="n"/>
      <c r="AH266" s="24" t="n"/>
      <c r="AI266" s="23" t="n"/>
      <c r="AJ266" s="24" t="n"/>
      <c r="AK266" s="25" t="n"/>
      <c r="AL266" s="24" t="n"/>
      <c r="AM266" s="23" t="n"/>
      <c r="AN266" s="24" t="n"/>
      <c r="AO266" s="25" t="n"/>
      <c r="AP266" s="24" t="n"/>
      <c r="AQ266" s="23" t="n"/>
      <c r="AR266" s="24" t="n"/>
      <c r="AS266" s="25" t="n"/>
      <c r="AT266" s="24" t="n"/>
      <c r="AU266" s="23" t="n"/>
      <c r="AV266" s="24" t="n"/>
      <c r="AW266" s="25" t="n"/>
      <c r="AX266" s="24" t="n"/>
      <c r="AY266" s="23" t="n"/>
      <c r="AZ266" s="24" t="n"/>
      <c r="BA266" s="25" t="n"/>
      <c r="BB266" s="24" t="n"/>
      <c r="BC266" s="23" t="n"/>
      <c r="BD266" s="24" t="n"/>
      <c r="BE266" s="25" t="n"/>
      <c r="BF266" s="24" t="n"/>
      <c r="BG266" s="23" t="n"/>
      <c r="BH266" s="24" t="n"/>
      <c r="BI266" s="25" t="n"/>
      <c r="BJ266" s="24" t="n"/>
      <c r="BK266" s="340" t="n"/>
      <c r="BL266" s="803">
        <f>SUMPRODUCT(--(MOD(COLUMN($O266:$AL266),4)=MOD(COLUMN($O266)+0,4)),$O266:$AL266)
+SUMPRODUCT(--(MOD(COLUMN($AM266:$BJ266),4)=MOD(COLUMN($AM266)+0,4)),$AM266:$BJ266)</f>
        <v/>
      </c>
      <c r="BM266" s="803">
        <f>SUMPRODUCT(--(MOD(COLUMN($O266:$AL266),4)=MOD(COLUMN($O266)+0,4)),$O266:$AL266)*
$I266+SUMPRODUCT(--(MOD(COLUMN($AM266:$BJ266),4)=MOD(COLUMN($AM266)+0,4)),$AM266:$BJ266)*$I266</f>
        <v/>
      </c>
      <c r="BN266" s="805">
        <f>SUMPRODUCT(--(MOD(COLUMN($O266:$AL266),4)=MOD(COLUMN($O266)+1,4)),$O266:$AL266)
+SUMPRODUCT(--(MOD(COLUMN($AM266:$BJ266),4)=MOD(COLUMN($AM266)+1,4)),$AM266:$BJ266)</f>
        <v/>
      </c>
      <c r="BO266" s="806">
        <f>SUMPRODUCT(--(MOD(COLUMN($O266:$AL266),4)=MOD(COLUMN($O266)+1,4)),$O266:$AL266)*
$I266+SUMPRODUCT(--(MOD(COLUMN($AM266:$BJ266),4)=MOD(COLUMN($AM266)+1,4)),$AM266:$BJ266)*$I266</f>
        <v/>
      </c>
      <c r="BP266" s="807">
        <f>SUMPRODUCT(--(MOD(COLUMN($O266:$AL266),4)=MOD(COLUMN($O266)+2,4)),$O266:$AL266)
+SUMPRODUCT(--(MOD(COLUMN($AM266:$BJ266),4)=MOD(COLUMN($AM266)+2,4)),$AM266:$BJ266)</f>
        <v/>
      </c>
      <c r="BQ266" s="808">
        <f>SUMPRODUCT(--(MOD(COLUMN($O266:$AL266),4)=MOD(COLUMN($O266)+2,4)),$O266:$AL266)*
$I266+SUMPRODUCT(--(MOD(COLUMN($AM266:$BJ266),4)=MOD(COLUMN($AM266)+2,4)),$AM266:$BJ266)*$I266</f>
        <v/>
      </c>
      <c r="BR266" s="801" t="n"/>
      <c r="BS266" s="819" t="n"/>
      <c r="BT266" s="23" t="n">
        <v>10</v>
      </c>
      <c r="BU266" s="24" t="n"/>
      <c r="BV266" s="25" t="n">
        <v>0</v>
      </c>
      <c r="BW266" s="24" t="n"/>
      <c r="BX266" s="23" t="n">
        <v>10</v>
      </c>
      <c r="BY266" s="24" t="n"/>
      <c r="BZ266" s="25" t="n">
        <v>0</v>
      </c>
      <c r="CA266" s="24" t="n"/>
      <c r="CB266" s="23" t="n">
        <v>10</v>
      </c>
      <c r="CC266" s="24" t="n"/>
      <c r="CD266" s="25" t="n">
        <v>0</v>
      </c>
      <c r="CE266" s="24" t="n"/>
      <c r="CF266" s="23" t="n">
        <v>10</v>
      </c>
      <c r="CG266" s="24" t="n"/>
      <c r="CH266" s="25" t="n">
        <v>0</v>
      </c>
      <c r="CI266" s="24" t="n"/>
      <c r="CJ266" s="23" t="n">
        <v>10</v>
      </c>
      <c r="CK266" s="24" t="n"/>
      <c r="CL266" s="25" t="n">
        <v>0</v>
      </c>
      <c r="CM266" s="24" t="n"/>
      <c r="CN266" s="23" t="n">
        <v>10</v>
      </c>
      <c r="CO266" s="24" t="n"/>
      <c r="CP266" s="25" t="n">
        <v>0</v>
      </c>
      <c r="CQ266" s="24" t="n"/>
      <c r="CR266" s="23" t="n">
        <v>10</v>
      </c>
      <c r="CS266" s="24" t="n"/>
      <c r="CT266" s="25" t="n">
        <v>0</v>
      </c>
      <c r="CU266" s="24" t="n"/>
      <c r="CV266" s="23" t="n">
        <v>10</v>
      </c>
      <c r="CW266" s="24" t="n"/>
      <c r="CX266" s="25" t="n">
        <v>0</v>
      </c>
      <c r="CY266" s="24" t="n"/>
      <c r="CZ266" s="23" t="n">
        <v>10</v>
      </c>
      <c r="DA266" s="24" t="n"/>
      <c r="DB266" s="25" t="n">
        <v>0</v>
      </c>
      <c r="DC266" s="24" t="n"/>
      <c r="DD266" s="23" t="n">
        <v>10</v>
      </c>
      <c r="DE266" s="24" t="n"/>
      <c r="DF266" s="25" t="n">
        <v>0</v>
      </c>
      <c r="DG266" s="24" t="n"/>
      <c r="DH266" s="23" t="n">
        <v>10</v>
      </c>
      <c r="DI266" s="24" t="n"/>
      <c r="DJ266" s="25" t="n">
        <v>0</v>
      </c>
      <c r="DK266" s="24" t="n"/>
      <c r="DL266" s="23" t="n">
        <v>10</v>
      </c>
      <c r="DM266" s="24" t="n"/>
      <c r="DN266" s="25" t="n">
        <v>0</v>
      </c>
      <c r="DO266" s="24" t="n"/>
      <c r="DP266" s="340" t="n"/>
      <c r="DQ266" s="803">
        <f>SUMPRODUCT(--(MOD(COLUMN(BT266:CQ266),4)=MOD(COLUMN(BT266),4)),BT266:CQ266)+SUMPRODUCT(--(MOD(COLUMN(CR266:DO266),4)=MOD(COLUMN(CR266),4)),CR266:DO266)</f>
        <v/>
      </c>
      <c r="DR266" s="803">
        <f>SUMPRODUCT(--(MOD(COLUMN(BT266:CQ266),4)=MOD(COLUMN(BT266),4)),BT266:CQ266)*$I266+SUMPRODUCT(--(MOD(COLUMN(CR266:DO266),4)=MOD(COLUMN(CR266),4)),CR266:DO266)*$I266</f>
        <v/>
      </c>
      <c r="DS266" s="801" t="n"/>
      <c r="DT266" s="819" t="n"/>
      <c r="DU266" s="23" t="n">
        <v>10</v>
      </c>
      <c r="DV266" s="24" t="n"/>
      <c r="DW266" s="25" t="n">
        <v>0</v>
      </c>
      <c r="DX266" s="24" t="n"/>
      <c r="DY266" s="23" t="n">
        <v>10</v>
      </c>
      <c r="DZ266" s="24" t="n"/>
      <c r="EA266" s="25" t="n">
        <v>0</v>
      </c>
      <c r="EB266" s="24" t="n"/>
      <c r="EC266" s="23" t="n">
        <v>10</v>
      </c>
      <c r="ED266" s="24" t="n"/>
      <c r="EE266" s="25" t="n">
        <v>0</v>
      </c>
      <c r="EF266" s="24" t="n"/>
      <c r="EG266" s="23" t="n">
        <v>10</v>
      </c>
      <c r="EH266" s="24" t="n"/>
      <c r="EI266" s="25" t="n">
        <v>0</v>
      </c>
      <c r="EJ266" s="24" t="n"/>
      <c r="EK266" s="23" t="n">
        <v>10</v>
      </c>
      <c r="EL266" s="24" t="n"/>
      <c r="EM266" s="25" t="n">
        <v>0</v>
      </c>
      <c r="EN266" s="24" t="n"/>
      <c r="EO266" s="23" t="n">
        <v>10</v>
      </c>
      <c r="EP266" s="24" t="n"/>
      <c r="EQ266" s="25" t="n">
        <v>0</v>
      </c>
      <c r="ER266" s="24" t="n"/>
      <c r="ES266" s="23" t="n">
        <v>10</v>
      </c>
      <c r="ET266" s="24" t="n"/>
      <c r="EU266" s="25" t="n">
        <v>0</v>
      </c>
      <c r="EV266" s="24" t="n"/>
      <c r="EW266" s="23" t="n">
        <v>10</v>
      </c>
      <c r="EX266" s="24" t="n"/>
      <c r="EY266" s="25" t="n">
        <v>0</v>
      </c>
      <c r="EZ266" s="24" t="n"/>
      <c r="FA266" s="23" t="n">
        <v>10</v>
      </c>
      <c r="FB266" s="24" t="n"/>
      <c r="FC266" s="25" t="n">
        <v>0</v>
      </c>
      <c r="FD266" s="24" t="n"/>
      <c r="FE266" s="23" t="n">
        <v>10</v>
      </c>
      <c r="FF266" s="24" t="n"/>
      <c r="FG266" s="25" t="n">
        <v>0</v>
      </c>
      <c r="FH266" s="24" t="n"/>
      <c r="FI266" s="23" t="n">
        <v>10</v>
      </c>
      <c r="FJ266" s="24" t="n"/>
      <c r="FK266" s="25" t="n">
        <v>0</v>
      </c>
      <c r="FL266" s="24" t="n"/>
      <c r="FM266" s="23" t="n">
        <v>10</v>
      </c>
      <c r="FN266" s="24" t="n"/>
      <c r="FO266" s="25" t="n">
        <v>0</v>
      </c>
      <c r="FP266" s="24" t="n"/>
      <c r="FQ266" s="340" t="n"/>
      <c r="FR266" s="803">
        <f>SUMPRODUCT(--(MOD(COLUMN(DU266:ER266),4)=MOD(COLUMN(DU266),4)),DU266:ER266)+SUMPRODUCT(--(MOD(COLUMN(ES266:FP266),4)=MOD(COLUMN(ES266),4)),ES266:FP266)</f>
        <v/>
      </c>
      <c r="FS266" s="803">
        <f>SUMPRODUCT(--(MOD(COLUMN(DU266:ER266),4)=MOD(COLUMN(DU266),4)),DU266:ER266)*$I266+SUMPRODUCT(--(MOD(COLUMN(ES266:FP266),4)=MOD(COLUMN(ES266),4)),ES266:FP266)*$I266</f>
        <v/>
      </c>
      <c r="FT266" s="361" t="n"/>
    </row>
    <row r="267" outlineLevel="2">
      <c r="A267" s="58" t="inlineStr">
        <is>
          <t>АВТОВИК ООО / AVTOVIK OOO</t>
        </is>
      </c>
      <c r="B267" s="387" t="inlineStr">
        <is>
          <t>Предоплата 100%</t>
        </is>
      </c>
      <c r="C267" s="173" t="inlineStr">
        <is>
          <t>ВБК Восток</t>
        </is>
      </c>
      <c r="D267" s="595" t="inlineStr">
        <is>
          <t>Прасолов, Соловьёв</t>
        </is>
      </c>
      <c r="E267" s="414">
        <f>IF(ISBLANK(G267),"",IF($A$6:$A$330=$A267,COUNTIF($A$6:A267,$A267),""))</f>
        <v/>
      </c>
      <c r="F267" s="10" t="n">
        <v>1</v>
      </c>
      <c r="G267" s="55" t="n">
        <v>4231079000</v>
      </c>
      <c r="H267" s="54" t="inlineStr">
        <is>
          <t>Камера тормозная тип 30</t>
        </is>
      </c>
      <c r="I267" s="617">
        <f>153.51/НДС</f>
        <v/>
      </c>
      <c r="J267" s="617" t="n"/>
      <c r="K267" s="872" t="n"/>
      <c r="L267" s="617">
        <f>IF(K267="RUB",J267/ЮАНЬ,IF(K267="EUR",J267*ЕВРО/ЮАНЬ,""))</f>
        <v/>
      </c>
      <c r="M267" s="873" t="n"/>
      <c r="N267" s="871">
        <f>IF(BP267&gt;0,1,IF(BN267&gt;0,2,))</f>
        <v/>
      </c>
      <c r="O267" s="23" t="n"/>
      <c r="P267" s="24" t="n"/>
      <c r="Q267" s="25" t="n"/>
      <c r="R267" s="24" t="n"/>
      <c r="S267" s="23" t="n"/>
      <c r="T267" s="24" t="n"/>
      <c r="U267" s="25" t="n"/>
      <c r="V267" s="24" t="n"/>
      <c r="W267" s="23" t="n">
        <v>40</v>
      </c>
      <c r="X267" s="26">
        <f>40</f>
        <v/>
      </c>
      <c r="Y267" s="25" t="n">
        <v>40</v>
      </c>
      <c r="Z267" s="674" t="n">
        <v>40</v>
      </c>
      <c r="AA267" s="23" t="n"/>
      <c r="AB267" s="26">
        <f>120-42</f>
        <v/>
      </c>
      <c r="AC267" s="579" t="n">
        <v>78</v>
      </c>
      <c r="AD267" s="674" t="n">
        <v>78</v>
      </c>
      <c r="AE267" s="23" t="n"/>
      <c r="AF267" s="26" t="n"/>
      <c r="AG267" s="25" t="n"/>
      <c r="AH267" s="24" t="n"/>
      <c r="AI267" s="23" t="n"/>
      <c r="AJ267" s="24">
        <f>120+42+40</f>
        <v/>
      </c>
      <c r="AK267" s="25" t="n">
        <v>0</v>
      </c>
      <c r="AL267" s="674" t="n">
        <v>162</v>
      </c>
      <c r="AM267" s="23" t="n">
        <v>40</v>
      </c>
      <c r="AN267" s="24" t="n">
        <v>40</v>
      </c>
      <c r="AO267" s="25" t="n">
        <v>0</v>
      </c>
      <c r="AP267" s="24" t="n"/>
      <c r="AQ267" s="23" t="n"/>
      <c r="AR267" s="24" t="n"/>
      <c r="AS267" s="25" t="n"/>
      <c r="AT267" s="24" t="n"/>
      <c r="AU267" s="23" t="n"/>
      <c r="AV267" s="24" t="n"/>
      <c r="AW267" s="25" t="n"/>
      <c r="AX267" s="24" t="n"/>
      <c r="AY267" s="23" t="n"/>
      <c r="AZ267" s="24" t="n"/>
      <c r="BA267" s="25" t="n"/>
      <c r="BB267" s="24" t="n"/>
      <c r="BC267" s="23" t="n">
        <v>40</v>
      </c>
      <c r="BD267" s="24" t="n">
        <v>40</v>
      </c>
      <c r="BE267" s="25" t="n">
        <v>0</v>
      </c>
      <c r="BF267" s="24" t="n"/>
      <c r="BG267" s="23" t="n"/>
      <c r="BH267" s="24" t="n"/>
      <c r="BI267" s="25" t="n"/>
      <c r="BJ267" s="24" t="n"/>
      <c r="BK267" s="340" t="n"/>
      <c r="BL267" s="803">
        <f>SUMPRODUCT(--(MOD(COLUMN($O267:$AL267),4)=MOD(COLUMN($O267)+0,4)),$O267:$AL267)
+SUMPRODUCT(--(MOD(COLUMN($AM267:$BJ267),4)=MOD(COLUMN($AM267)+0,4)),$AM267:$BJ267)</f>
        <v/>
      </c>
      <c r="BM267" s="803">
        <f>SUMPRODUCT(--(MOD(COLUMN($O267:$AL267),4)=MOD(COLUMN($O267)+0,4)),$O267:$AL267)*
$I267+SUMPRODUCT(--(MOD(COLUMN($AM267:$BJ267),4)=MOD(COLUMN($AM267)+0,4)),$AM267:$BJ267)*$I267</f>
        <v/>
      </c>
      <c r="BN267" s="805">
        <f>SUMPRODUCT(--(MOD(COLUMN($O267:$AL267),4)=MOD(COLUMN($O267)+1,4)),$O267:$AL267)
+SUMPRODUCT(--(MOD(COLUMN($AM267:$BJ267),4)=MOD(COLUMN($AM267)+1,4)),$AM267:$BJ267)</f>
        <v/>
      </c>
      <c r="BO267" s="806">
        <f>SUMPRODUCT(--(MOD(COLUMN($O267:$AL267),4)=MOD(COLUMN($O267)+1,4)),$O267:$AL267)*
$I267+SUMPRODUCT(--(MOD(COLUMN($AM267:$BJ267),4)=MOD(COLUMN($AM267)+1,4)),$AM267:$BJ267)*$I267</f>
        <v/>
      </c>
      <c r="BP267" s="807">
        <f>SUMPRODUCT(--(MOD(COLUMN($O267:$AL267),4)=MOD(COLUMN($O267)+2,4)),$O267:$AL267)
+SUMPRODUCT(--(MOD(COLUMN($AM267:$BJ267),4)=MOD(COLUMN($AM267)+2,4)),$AM267:$BJ267)</f>
        <v/>
      </c>
      <c r="BQ267" s="808">
        <f>SUMPRODUCT(--(MOD(COLUMN($O267:$AL267),4)=MOD(COLUMN($O267)+2,4)),$O267:$AL267)*
$I267+SUMPRODUCT(--(MOD(COLUMN($AM267:$BJ267),4)=MOD(COLUMN($AM267)+2,4)),$AM267:$BJ267)*$I267</f>
        <v/>
      </c>
      <c r="BR267" s="801" t="n"/>
      <c r="BS267" s="819" t="n"/>
      <c r="BT267" s="23" t="n">
        <v>30</v>
      </c>
      <c r="BU267" s="24" t="n"/>
      <c r="BV267" s="25" t="n">
        <v>0</v>
      </c>
      <c r="BW267" s="24" t="n"/>
      <c r="BX267" s="23" t="n">
        <v>30</v>
      </c>
      <c r="BY267" s="24" t="n"/>
      <c r="BZ267" s="25" t="n">
        <v>0</v>
      </c>
      <c r="CA267" s="24" t="n"/>
      <c r="CB267" s="23" t="n">
        <v>30</v>
      </c>
      <c r="CC267" s="24" t="n"/>
      <c r="CD267" s="25" t="n">
        <v>0</v>
      </c>
      <c r="CE267" s="24" t="n"/>
      <c r="CF267" s="23" t="n">
        <v>30</v>
      </c>
      <c r="CG267" s="24" t="n"/>
      <c r="CH267" s="25" t="n">
        <v>0</v>
      </c>
      <c r="CI267" s="24" t="n"/>
      <c r="CJ267" s="23" t="n">
        <v>30</v>
      </c>
      <c r="CK267" s="24" t="n"/>
      <c r="CL267" s="25" t="n">
        <v>0</v>
      </c>
      <c r="CM267" s="24" t="n"/>
      <c r="CN267" s="23" t="n">
        <v>30</v>
      </c>
      <c r="CO267" s="24" t="n"/>
      <c r="CP267" s="25" t="n">
        <v>0</v>
      </c>
      <c r="CQ267" s="24" t="n"/>
      <c r="CR267" s="23" t="n">
        <v>30</v>
      </c>
      <c r="CS267" s="24" t="n"/>
      <c r="CT267" s="25" t="n">
        <v>0</v>
      </c>
      <c r="CU267" s="24" t="n"/>
      <c r="CV267" s="23" t="n">
        <v>30</v>
      </c>
      <c r="CW267" s="24" t="n"/>
      <c r="CX267" s="25" t="n">
        <v>0</v>
      </c>
      <c r="CY267" s="24" t="n"/>
      <c r="CZ267" s="23" t="n">
        <v>30</v>
      </c>
      <c r="DA267" s="24" t="n"/>
      <c r="DB267" s="25" t="n">
        <v>0</v>
      </c>
      <c r="DC267" s="24" t="n"/>
      <c r="DD267" s="23" t="n">
        <v>30</v>
      </c>
      <c r="DE267" s="24" t="n"/>
      <c r="DF267" s="25" t="n">
        <v>0</v>
      </c>
      <c r="DG267" s="24" t="n"/>
      <c r="DH267" s="23" t="n">
        <v>30</v>
      </c>
      <c r="DI267" s="24" t="n"/>
      <c r="DJ267" s="25" t="n">
        <v>0</v>
      </c>
      <c r="DK267" s="24" t="n"/>
      <c r="DL267" s="23" t="n">
        <v>30</v>
      </c>
      <c r="DM267" s="24" t="n"/>
      <c r="DN267" s="25" t="n">
        <v>0</v>
      </c>
      <c r="DO267" s="24" t="n"/>
      <c r="DP267" s="340" t="n"/>
      <c r="DQ267" s="803">
        <f>SUMPRODUCT(--(MOD(COLUMN(BT267:CQ267),4)=MOD(COLUMN(BT267),4)),BT267:CQ267)+SUMPRODUCT(--(MOD(COLUMN(CR267:DO267),4)=MOD(COLUMN(CR267),4)),CR267:DO267)</f>
        <v/>
      </c>
      <c r="DR267" s="803">
        <f>SUMPRODUCT(--(MOD(COLUMN(BT267:CQ267),4)=MOD(COLUMN(BT267),4)),BT267:CQ267)*$I267+SUMPRODUCT(--(MOD(COLUMN(CR267:DO267),4)=MOD(COLUMN(CR267),4)),CR267:DO267)*$I267</f>
        <v/>
      </c>
      <c r="DS267" s="801" t="n"/>
      <c r="DT267" s="819" t="n"/>
      <c r="DU267" s="23" t="n">
        <v>30</v>
      </c>
      <c r="DV267" s="24" t="n"/>
      <c r="DW267" s="25" t="n">
        <v>0</v>
      </c>
      <c r="DX267" s="24" t="n"/>
      <c r="DY267" s="23" t="n">
        <v>30</v>
      </c>
      <c r="DZ267" s="24" t="n"/>
      <c r="EA267" s="25" t="n">
        <v>0</v>
      </c>
      <c r="EB267" s="24" t="n"/>
      <c r="EC267" s="23" t="n">
        <v>30</v>
      </c>
      <c r="ED267" s="24" t="n"/>
      <c r="EE267" s="25" t="n">
        <v>0</v>
      </c>
      <c r="EF267" s="24" t="n"/>
      <c r="EG267" s="23" t="n">
        <v>30</v>
      </c>
      <c r="EH267" s="24" t="n"/>
      <c r="EI267" s="25" t="n">
        <v>0</v>
      </c>
      <c r="EJ267" s="24" t="n"/>
      <c r="EK267" s="23" t="n">
        <v>30</v>
      </c>
      <c r="EL267" s="24" t="n"/>
      <c r="EM267" s="25" t="n">
        <v>0</v>
      </c>
      <c r="EN267" s="24" t="n"/>
      <c r="EO267" s="23" t="n">
        <v>30</v>
      </c>
      <c r="EP267" s="24" t="n"/>
      <c r="EQ267" s="25" t="n">
        <v>0</v>
      </c>
      <c r="ER267" s="24" t="n"/>
      <c r="ES267" s="23" t="n">
        <v>30</v>
      </c>
      <c r="ET267" s="24" t="n"/>
      <c r="EU267" s="25" t="n">
        <v>0</v>
      </c>
      <c r="EV267" s="24" t="n"/>
      <c r="EW267" s="23" t="n">
        <v>30</v>
      </c>
      <c r="EX267" s="24" t="n"/>
      <c r="EY267" s="25" t="n">
        <v>0</v>
      </c>
      <c r="EZ267" s="24" t="n"/>
      <c r="FA267" s="23" t="n">
        <v>30</v>
      </c>
      <c r="FB267" s="24" t="n"/>
      <c r="FC267" s="25" t="n">
        <v>0</v>
      </c>
      <c r="FD267" s="24" t="n"/>
      <c r="FE267" s="23" t="n">
        <v>30</v>
      </c>
      <c r="FF267" s="24" t="n"/>
      <c r="FG267" s="25" t="n">
        <v>0</v>
      </c>
      <c r="FH267" s="24" t="n"/>
      <c r="FI267" s="23" t="n">
        <v>30</v>
      </c>
      <c r="FJ267" s="24" t="n"/>
      <c r="FK267" s="25" t="n">
        <v>0</v>
      </c>
      <c r="FL267" s="24" t="n"/>
      <c r="FM267" s="23" t="n">
        <v>30</v>
      </c>
      <c r="FN267" s="24" t="n"/>
      <c r="FO267" s="25" t="n">
        <v>0</v>
      </c>
      <c r="FP267" s="24" t="n"/>
      <c r="FQ267" s="340" t="n"/>
      <c r="FR267" s="803">
        <f>SUMPRODUCT(--(MOD(COLUMN(DU267:ER267),4)=MOD(COLUMN(DU267),4)),DU267:ER267)+SUMPRODUCT(--(MOD(COLUMN(ES267:FP267),4)=MOD(COLUMN(ES267),4)),ES267:FP267)</f>
        <v/>
      </c>
      <c r="FS267" s="803">
        <f>SUMPRODUCT(--(MOD(COLUMN(DU267:ER267),4)=MOD(COLUMN(DU267),4)),DU267:ER267)*$I267+SUMPRODUCT(--(MOD(COLUMN(ES267:FP267),4)=MOD(COLUMN(ES267),4)),ES267:FP267)*$I267</f>
        <v/>
      </c>
      <c r="FT267" s="361" t="n"/>
    </row>
    <row r="268" outlineLevel="2">
      <c r="A268" s="58" t="inlineStr">
        <is>
          <t>АВТОВИК ООО / AVTOVIK OOO</t>
        </is>
      </c>
      <c r="B268" s="387" t="inlineStr">
        <is>
          <t>Предоплата 100%</t>
        </is>
      </c>
      <c r="C268" s="173" t="inlineStr">
        <is>
          <t>ВБК Восток</t>
        </is>
      </c>
      <c r="D268" s="595" t="inlineStr">
        <is>
          <t>Прасолов, Соловьёв</t>
        </is>
      </c>
      <c r="E268" s="414">
        <f>IF(ISBLANK(G268),"",IF($A$6:$A$330=$A268,COUNTIF($A$6:A268,$A268),""))</f>
        <v/>
      </c>
      <c r="F268" s="10" t="n">
        <v>1</v>
      </c>
      <c r="G268" s="55" t="n">
        <v>9253761210</v>
      </c>
      <c r="H268" s="54" t="inlineStr">
        <is>
          <t>Энергоаккумулятор тип 24/30</t>
        </is>
      </c>
      <c r="I268" s="617">
        <f>301.95/НДС</f>
        <v/>
      </c>
      <c r="J268" s="617" t="n"/>
      <c r="K268" s="872" t="n"/>
      <c r="L268" s="617">
        <f>IF(K268="RUB",J268/ЮАНЬ,IF(K268="EUR",J268*ЕВРО/ЮАНЬ,""))</f>
        <v/>
      </c>
      <c r="M268" s="873" t="n"/>
      <c r="N268" s="871">
        <f>IF(BP268&gt;0,1,IF(BN268&gt;0,2,))</f>
        <v/>
      </c>
      <c r="O268" s="23" t="n">
        <v>160</v>
      </c>
      <c r="P268" s="24" t="n"/>
      <c r="Q268" s="25" t="n">
        <v>0</v>
      </c>
      <c r="R268" s="24" t="n"/>
      <c r="S268" s="23" t="n">
        <v>240</v>
      </c>
      <c r="T268" s="24" t="n"/>
      <c r="U268" s="25" t="n">
        <v>0</v>
      </c>
      <c r="V268" s="24" t="n"/>
      <c r="W268" s="23" t="n">
        <v>200</v>
      </c>
      <c r="X268" s="26">
        <f>80</f>
        <v/>
      </c>
      <c r="Y268" s="25" t="n">
        <v>80</v>
      </c>
      <c r="Z268" s="674" t="n">
        <v>80</v>
      </c>
      <c r="AA268" s="23" t="n">
        <v>120</v>
      </c>
      <c r="AB268" s="26">
        <f>240+80+80</f>
        <v/>
      </c>
      <c r="AC268" s="25" t="n">
        <v>400</v>
      </c>
      <c r="AD268" s="674" t="n">
        <v>240</v>
      </c>
      <c r="AE268" s="23" t="n">
        <v>40</v>
      </c>
      <c r="AF268" s="26" t="n"/>
      <c r="AG268" s="25" t="n">
        <v>0</v>
      </c>
      <c r="AH268" s="24" t="n"/>
      <c r="AI268" s="23" t="n">
        <v>120</v>
      </c>
      <c r="AJ268" s="24">
        <f>240+40+40</f>
        <v/>
      </c>
      <c r="AK268" s="25" t="n">
        <v>0</v>
      </c>
      <c r="AL268" s="674" t="n">
        <v>240</v>
      </c>
      <c r="AM268" s="23" t="n">
        <v>40</v>
      </c>
      <c r="AN268" s="24" t="n">
        <v>40</v>
      </c>
      <c r="AO268" s="25" t="n">
        <v>0</v>
      </c>
      <c r="AP268" s="24" t="n"/>
      <c r="AQ268" s="23" t="n">
        <v>120</v>
      </c>
      <c r="AR268" s="24" t="n">
        <v>120</v>
      </c>
      <c r="AS268" s="25" t="n">
        <v>0</v>
      </c>
      <c r="AT268" s="24" t="n"/>
      <c r="AU268" s="23" t="n">
        <v>40</v>
      </c>
      <c r="AV268" s="24" t="n">
        <v>40</v>
      </c>
      <c r="AW268" s="25" t="n">
        <v>0</v>
      </c>
      <c r="AX268" s="24" t="n"/>
      <c r="AY268" s="23" t="n">
        <v>120</v>
      </c>
      <c r="AZ268" s="24" t="n">
        <v>120</v>
      </c>
      <c r="BA268" s="25" t="n">
        <v>0</v>
      </c>
      <c r="BB268" s="24" t="n"/>
      <c r="BC268" s="23" t="n">
        <v>40</v>
      </c>
      <c r="BD268" s="24" t="n">
        <v>40</v>
      </c>
      <c r="BE268" s="25" t="n">
        <v>0</v>
      </c>
      <c r="BF268" s="24" t="n"/>
      <c r="BG268" s="23" t="n">
        <v>160</v>
      </c>
      <c r="BH268" s="24" t="n">
        <v>160</v>
      </c>
      <c r="BI268" s="25" t="n">
        <v>0</v>
      </c>
      <c r="BJ268" s="24" t="n"/>
      <c r="BK268" s="340" t="n"/>
      <c r="BL268" s="803">
        <f>SUMPRODUCT(--(MOD(COLUMN($O268:$AL268),4)=MOD(COLUMN($O268)+0,4)),$O268:$AL268)
+SUMPRODUCT(--(MOD(COLUMN($AM268:$BJ268),4)=MOD(COLUMN($AM268)+0,4)),$AM268:$BJ268)</f>
        <v/>
      </c>
      <c r="BM268" s="803">
        <f>SUMPRODUCT(--(MOD(COLUMN($O268:$AL268),4)=MOD(COLUMN($O268)+0,4)),$O268:$AL268)*
$I268+SUMPRODUCT(--(MOD(COLUMN($AM268:$BJ268),4)=MOD(COLUMN($AM268)+0,4)),$AM268:$BJ268)*$I268</f>
        <v/>
      </c>
      <c r="BN268" s="805">
        <f>SUMPRODUCT(--(MOD(COLUMN($O268:$AL268),4)=MOD(COLUMN($O268)+1,4)),$O268:$AL268)
+SUMPRODUCT(--(MOD(COLUMN($AM268:$BJ268),4)=MOD(COLUMN($AM268)+1,4)),$AM268:$BJ268)</f>
        <v/>
      </c>
      <c r="BO268" s="806">
        <f>SUMPRODUCT(--(MOD(COLUMN($O268:$AL268),4)=MOD(COLUMN($O268)+1,4)),$O268:$AL268)*
$I268+SUMPRODUCT(--(MOD(COLUMN($AM268:$BJ268),4)=MOD(COLUMN($AM268)+1,4)),$AM268:$BJ268)*$I268</f>
        <v/>
      </c>
      <c r="BP268" s="807">
        <f>SUMPRODUCT(--(MOD(COLUMN($O268:$AL268),4)=MOD(COLUMN($O268)+2,4)),$O268:$AL268)
+SUMPRODUCT(--(MOD(COLUMN($AM268:$BJ268),4)=MOD(COLUMN($AM268)+2,4)),$AM268:$BJ268)</f>
        <v/>
      </c>
      <c r="BQ268" s="808">
        <f>SUMPRODUCT(--(MOD(COLUMN($O268:$AL268),4)=MOD(COLUMN($O268)+2,4)),$O268:$AL268)*
$I268+SUMPRODUCT(--(MOD(COLUMN($AM268:$BJ268),4)=MOD(COLUMN($AM268)+2,4)),$AM268:$BJ268)*$I268</f>
        <v/>
      </c>
      <c r="BR268" s="801" t="n"/>
      <c r="BS268" s="819" t="n"/>
      <c r="BT268" s="23" t="n">
        <v>60</v>
      </c>
      <c r="BU268" s="24" t="n"/>
      <c r="BV268" s="25" t="n">
        <v>0</v>
      </c>
      <c r="BW268" s="24" t="n"/>
      <c r="BX268" s="23" t="n">
        <v>60</v>
      </c>
      <c r="BY268" s="24" t="n"/>
      <c r="BZ268" s="25" t="n">
        <v>0</v>
      </c>
      <c r="CA268" s="24" t="n"/>
      <c r="CB268" s="23" t="n">
        <v>60</v>
      </c>
      <c r="CC268" s="24" t="n"/>
      <c r="CD268" s="25" t="n">
        <v>0</v>
      </c>
      <c r="CE268" s="24" t="n"/>
      <c r="CF268" s="23" t="n">
        <v>60</v>
      </c>
      <c r="CG268" s="24" t="n"/>
      <c r="CH268" s="25" t="n">
        <v>0</v>
      </c>
      <c r="CI268" s="24" t="n"/>
      <c r="CJ268" s="23" t="n">
        <v>60</v>
      </c>
      <c r="CK268" s="24" t="n"/>
      <c r="CL268" s="25" t="n">
        <v>0</v>
      </c>
      <c r="CM268" s="24" t="n"/>
      <c r="CN268" s="23" t="n">
        <v>60</v>
      </c>
      <c r="CO268" s="24" t="n"/>
      <c r="CP268" s="25" t="n">
        <v>0</v>
      </c>
      <c r="CQ268" s="24" t="n"/>
      <c r="CR268" s="23" t="n">
        <v>60</v>
      </c>
      <c r="CS268" s="24" t="n"/>
      <c r="CT268" s="25" t="n">
        <v>0</v>
      </c>
      <c r="CU268" s="24" t="n"/>
      <c r="CV268" s="23" t="n">
        <v>60</v>
      </c>
      <c r="CW268" s="24" t="n"/>
      <c r="CX268" s="25" t="n">
        <v>0</v>
      </c>
      <c r="CY268" s="24" t="n"/>
      <c r="CZ268" s="23" t="n">
        <v>60</v>
      </c>
      <c r="DA268" s="24" t="n"/>
      <c r="DB268" s="25" t="n">
        <v>0</v>
      </c>
      <c r="DC268" s="24" t="n"/>
      <c r="DD268" s="23" t="n">
        <v>60</v>
      </c>
      <c r="DE268" s="24" t="n"/>
      <c r="DF268" s="25" t="n">
        <v>0</v>
      </c>
      <c r="DG268" s="24" t="n"/>
      <c r="DH268" s="23" t="n">
        <v>60</v>
      </c>
      <c r="DI268" s="24" t="n"/>
      <c r="DJ268" s="25" t="n">
        <v>0</v>
      </c>
      <c r="DK268" s="24" t="n"/>
      <c r="DL268" s="23" t="n">
        <v>60</v>
      </c>
      <c r="DM268" s="24" t="n"/>
      <c r="DN268" s="25" t="n">
        <v>0</v>
      </c>
      <c r="DO268" s="24" t="n"/>
      <c r="DP268" s="340" t="n"/>
      <c r="DQ268" s="803">
        <f>SUMPRODUCT(--(MOD(COLUMN(BT268:CQ268),4)=MOD(COLUMN(BT268),4)),BT268:CQ268)+SUMPRODUCT(--(MOD(COLUMN(CR268:DO268),4)=MOD(COLUMN(CR268),4)),CR268:DO268)</f>
        <v/>
      </c>
      <c r="DR268" s="803">
        <f>SUMPRODUCT(--(MOD(COLUMN(BT268:CQ268),4)=MOD(COLUMN(BT268),4)),BT268:CQ268)*$I268+SUMPRODUCT(--(MOD(COLUMN(CR268:DO268),4)=MOD(COLUMN(CR268),4)),CR268:DO268)*$I268</f>
        <v/>
      </c>
      <c r="DS268" s="801" t="n"/>
      <c r="DT268" s="819" t="n"/>
      <c r="DU268" s="23" t="n">
        <v>60</v>
      </c>
      <c r="DV268" s="24" t="n"/>
      <c r="DW268" s="25" t="n">
        <v>0</v>
      </c>
      <c r="DX268" s="24" t="n"/>
      <c r="DY268" s="23" t="n">
        <v>60</v>
      </c>
      <c r="DZ268" s="24" t="n"/>
      <c r="EA268" s="25" t="n">
        <v>0</v>
      </c>
      <c r="EB268" s="24" t="n"/>
      <c r="EC268" s="23" t="n">
        <v>60</v>
      </c>
      <c r="ED268" s="24" t="n"/>
      <c r="EE268" s="25" t="n">
        <v>0</v>
      </c>
      <c r="EF268" s="24" t="n"/>
      <c r="EG268" s="23" t="n">
        <v>60</v>
      </c>
      <c r="EH268" s="24" t="n"/>
      <c r="EI268" s="25" t="n">
        <v>0</v>
      </c>
      <c r="EJ268" s="24" t="n"/>
      <c r="EK268" s="23" t="n">
        <v>60</v>
      </c>
      <c r="EL268" s="24" t="n"/>
      <c r="EM268" s="25" t="n">
        <v>0</v>
      </c>
      <c r="EN268" s="24" t="n"/>
      <c r="EO268" s="23" t="n">
        <v>60</v>
      </c>
      <c r="EP268" s="24" t="n"/>
      <c r="EQ268" s="25" t="n">
        <v>0</v>
      </c>
      <c r="ER268" s="24" t="n"/>
      <c r="ES268" s="23" t="n">
        <v>60</v>
      </c>
      <c r="ET268" s="24" t="n"/>
      <c r="EU268" s="25" t="n">
        <v>0</v>
      </c>
      <c r="EV268" s="24" t="n"/>
      <c r="EW268" s="23" t="n">
        <v>60</v>
      </c>
      <c r="EX268" s="24" t="n"/>
      <c r="EY268" s="25" t="n">
        <v>0</v>
      </c>
      <c r="EZ268" s="24" t="n"/>
      <c r="FA268" s="23" t="n">
        <v>60</v>
      </c>
      <c r="FB268" s="24" t="n"/>
      <c r="FC268" s="25" t="n">
        <v>0</v>
      </c>
      <c r="FD268" s="24" t="n"/>
      <c r="FE268" s="23" t="n">
        <v>60</v>
      </c>
      <c r="FF268" s="24" t="n"/>
      <c r="FG268" s="25" t="n">
        <v>0</v>
      </c>
      <c r="FH268" s="24" t="n"/>
      <c r="FI268" s="23" t="n">
        <v>60</v>
      </c>
      <c r="FJ268" s="24" t="n"/>
      <c r="FK268" s="25" t="n">
        <v>0</v>
      </c>
      <c r="FL268" s="24" t="n"/>
      <c r="FM268" s="23" t="n">
        <v>60</v>
      </c>
      <c r="FN268" s="24" t="n"/>
      <c r="FO268" s="25" t="n">
        <v>0</v>
      </c>
      <c r="FP268" s="24" t="n"/>
      <c r="FQ268" s="340" t="n"/>
      <c r="FR268" s="803">
        <f>SUMPRODUCT(--(MOD(COLUMN(DU268:ER268),4)=MOD(COLUMN(DU268),4)),DU268:ER268)+SUMPRODUCT(--(MOD(COLUMN(ES268:FP268),4)=MOD(COLUMN(ES268),4)),ES268:FP268)</f>
        <v/>
      </c>
      <c r="FS268" s="803">
        <f>SUMPRODUCT(--(MOD(COLUMN(DU268:ER268),4)=MOD(COLUMN(DU268),4)),DU268:ER268)*$I268+SUMPRODUCT(--(MOD(COLUMN(ES268:FP268),4)=MOD(COLUMN(ES268),4)),ES268:FP268)*$I268</f>
        <v/>
      </c>
      <c r="FT268" s="361" t="n"/>
    </row>
    <row r="269" outlineLevel="2">
      <c r="A269" s="58" t="inlineStr">
        <is>
          <t>АВТОВИК ООО / AVTOVIK OOO</t>
        </is>
      </c>
      <c r="B269" s="387" t="inlineStr">
        <is>
          <t>Предоплата 100%</t>
        </is>
      </c>
      <c r="C269" s="173" t="inlineStr">
        <is>
          <t>ВБК Восток</t>
        </is>
      </c>
      <c r="D269" s="595" t="inlineStr">
        <is>
          <t>Прасолов, Соловьёв</t>
        </is>
      </c>
      <c r="E269" s="414">
        <f>IF(ISBLANK(G269),"",IF($A$6:$A$330=$A269,COUNTIF($A$6:A269,$A269),""))</f>
        <v/>
      </c>
      <c r="F269" s="10" t="n">
        <v>1</v>
      </c>
      <c r="G269" s="55" t="n">
        <v>9253771100</v>
      </c>
      <c r="H269" s="54" t="inlineStr">
        <is>
          <t>Энергоаккумулятор тип 30/30</t>
        </is>
      </c>
      <c r="I269" s="617">
        <f>306/НДС</f>
        <v/>
      </c>
      <c r="J269" s="617" t="n"/>
      <c r="K269" s="872" t="n"/>
      <c r="L269" s="617">
        <f>IF(K269="RUB",J269/ЮАНЬ,IF(K269="EUR",J269*ЕВРО/ЮАНЬ,""))</f>
        <v/>
      </c>
      <c r="M269" s="873" t="n"/>
      <c r="N269" s="871">
        <f>IF(BP269&gt;0,1,IF(BN269&gt;0,2,))</f>
        <v/>
      </c>
      <c r="O269" s="23" t="n">
        <v>280</v>
      </c>
      <c r="P269" s="24" t="n"/>
      <c r="Q269" s="25" t="n">
        <v>0</v>
      </c>
      <c r="R269" s="24" t="n"/>
      <c r="S269" s="23" t="n">
        <v>280</v>
      </c>
      <c r="T269" s="24">
        <f>160</f>
        <v/>
      </c>
      <c r="U269" s="25" t="n">
        <v>160</v>
      </c>
      <c r="V269" s="24" t="n"/>
      <c r="W269" s="23" t="n">
        <v>280</v>
      </c>
      <c r="X269" s="26">
        <f>80</f>
        <v/>
      </c>
      <c r="Y269" s="25" t="n">
        <v>80</v>
      </c>
      <c r="Z269" s="674" t="n">
        <v>80</v>
      </c>
      <c r="AA269" s="23" t="n">
        <v>120</v>
      </c>
      <c r="AB269" s="26">
        <f>240+80+80</f>
        <v/>
      </c>
      <c r="AC269" s="25" t="n">
        <v>400</v>
      </c>
      <c r="AD269" s="674" t="n">
        <v>240</v>
      </c>
      <c r="AE269" s="23" t="n">
        <v>120</v>
      </c>
      <c r="AF269" s="26" t="n"/>
      <c r="AG269" s="25" t="n">
        <v>0</v>
      </c>
      <c r="AH269" s="24" t="n"/>
      <c r="AI269" s="23" t="n">
        <v>120</v>
      </c>
      <c r="AJ269" s="24">
        <f>240+120+160</f>
        <v/>
      </c>
      <c r="AK269" s="25" t="n">
        <v>0</v>
      </c>
      <c r="AL269" s="674" t="n">
        <v>240</v>
      </c>
      <c r="AM269" s="23" t="n">
        <v>120</v>
      </c>
      <c r="AN269" s="24" t="n">
        <v>80</v>
      </c>
      <c r="AO269" s="25" t="n">
        <v>0</v>
      </c>
      <c r="AP269" s="24" t="n"/>
      <c r="AQ269" s="23" t="n">
        <v>120</v>
      </c>
      <c r="AR269" s="24" t="n">
        <v>120</v>
      </c>
      <c r="AS269" s="25" t="n">
        <v>0</v>
      </c>
      <c r="AT269" s="24" t="n"/>
      <c r="AU269" s="23" t="n">
        <v>120</v>
      </c>
      <c r="AV269" s="24" t="n">
        <v>120</v>
      </c>
      <c r="AW269" s="25" t="n">
        <v>0</v>
      </c>
      <c r="AX269" s="24" t="n"/>
      <c r="AY269" s="23" t="n">
        <v>120</v>
      </c>
      <c r="AZ269" s="24" t="n">
        <v>120</v>
      </c>
      <c r="BA269" s="25" t="n">
        <v>0</v>
      </c>
      <c r="BB269" s="24" t="n"/>
      <c r="BC269" s="23" t="n">
        <v>120</v>
      </c>
      <c r="BD269" s="24" t="n">
        <v>120</v>
      </c>
      <c r="BE269" s="25" t="n">
        <v>0</v>
      </c>
      <c r="BF269" s="24" t="n"/>
      <c r="BG269" s="23" t="n">
        <v>160</v>
      </c>
      <c r="BH269" s="24" t="n">
        <v>160</v>
      </c>
      <c r="BI269" s="25" t="n">
        <v>0</v>
      </c>
      <c r="BJ269" s="24" t="n"/>
      <c r="BK269" s="340" t="n"/>
      <c r="BL269" s="803">
        <f>SUMPRODUCT(--(MOD(COLUMN($O269:$AL269),4)=MOD(COLUMN($O269)+0,4)),$O269:$AL269)
+SUMPRODUCT(--(MOD(COLUMN($AM269:$BJ269),4)=MOD(COLUMN($AM269)+0,4)),$AM269:$BJ269)</f>
        <v/>
      </c>
      <c r="BM269" s="803">
        <f>SUMPRODUCT(--(MOD(COLUMN($O269:$AL269),4)=MOD(COLUMN($O269)+0,4)),$O269:$AL269)*
$I269+SUMPRODUCT(--(MOD(COLUMN($AM269:$BJ269),4)=MOD(COLUMN($AM269)+0,4)),$AM269:$BJ269)*$I269</f>
        <v/>
      </c>
      <c r="BN269" s="805">
        <f>SUMPRODUCT(--(MOD(COLUMN($O269:$AL269),4)=MOD(COLUMN($O269)+1,4)),$O269:$AL269)
+SUMPRODUCT(--(MOD(COLUMN($AM269:$BJ269),4)=MOD(COLUMN($AM269)+1,4)),$AM269:$BJ269)</f>
        <v/>
      </c>
      <c r="BO269" s="806">
        <f>SUMPRODUCT(--(MOD(COLUMN($O269:$AL269),4)=MOD(COLUMN($O269)+1,4)),$O269:$AL269)*
$I269+SUMPRODUCT(--(MOD(COLUMN($AM269:$BJ269),4)=MOD(COLUMN($AM269)+1,4)),$AM269:$BJ269)*$I269</f>
        <v/>
      </c>
      <c r="BP269" s="807">
        <f>SUMPRODUCT(--(MOD(COLUMN($O269:$AL269),4)=MOD(COLUMN($O269)+2,4)),$O269:$AL269)
+SUMPRODUCT(--(MOD(COLUMN($AM269:$BJ269),4)=MOD(COLUMN($AM269)+2,4)),$AM269:$BJ269)</f>
        <v/>
      </c>
      <c r="BQ269" s="808">
        <f>SUMPRODUCT(--(MOD(COLUMN($O269:$AL269),4)=MOD(COLUMN($O269)+2,4)),$O269:$AL269)*
$I269+SUMPRODUCT(--(MOD(COLUMN($AM269:$BJ269),4)=MOD(COLUMN($AM269)+2,4)),$AM269:$BJ269)*$I269</f>
        <v/>
      </c>
      <c r="BR269" s="801" t="n"/>
      <c r="BS269" s="819" t="n"/>
      <c r="BT269" s="23" t="n">
        <v>80</v>
      </c>
      <c r="BU269" s="24" t="n"/>
      <c r="BV269" s="25" t="n">
        <v>0</v>
      </c>
      <c r="BW269" s="24" t="n"/>
      <c r="BX269" s="23" t="n">
        <v>80</v>
      </c>
      <c r="BY269" s="24" t="n"/>
      <c r="BZ269" s="25" t="n">
        <v>0</v>
      </c>
      <c r="CA269" s="24" t="n"/>
      <c r="CB269" s="23" t="n">
        <v>80</v>
      </c>
      <c r="CC269" s="24" t="n"/>
      <c r="CD269" s="25" t="n">
        <v>0</v>
      </c>
      <c r="CE269" s="24" t="n"/>
      <c r="CF269" s="23" t="n">
        <v>80</v>
      </c>
      <c r="CG269" s="24" t="n"/>
      <c r="CH269" s="25" t="n">
        <v>0</v>
      </c>
      <c r="CI269" s="24" t="n"/>
      <c r="CJ269" s="23" t="n">
        <v>80</v>
      </c>
      <c r="CK269" s="24" t="n"/>
      <c r="CL269" s="25" t="n">
        <v>0</v>
      </c>
      <c r="CM269" s="24" t="n"/>
      <c r="CN269" s="23" t="n">
        <v>80</v>
      </c>
      <c r="CO269" s="24" t="n"/>
      <c r="CP269" s="25" t="n">
        <v>0</v>
      </c>
      <c r="CQ269" s="24" t="n"/>
      <c r="CR269" s="23" t="n">
        <v>80</v>
      </c>
      <c r="CS269" s="24" t="n"/>
      <c r="CT269" s="25" t="n">
        <v>0</v>
      </c>
      <c r="CU269" s="24" t="n"/>
      <c r="CV269" s="23" t="n">
        <v>80</v>
      </c>
      <c r="CW269" s="24" t="n"/>
      <c r="CX269" s="25" t="n">
        <v>0</v>
      </c>
      <c r="CY269" s="24" t="n"/>
      <c r="CZ269" s="23" t="n">
        <v>80</v>
      </c>
      <c r="DA269" s="24" t="n"/>
      <c r="DB269" s="25" t="n">
        <v>0</v>
      </c>
      <c r="DC269" s="24" t="n"/>
      <c r="DD269" s="23" t="n">
        <v>80</v>
      </c>
      <c r="DE269" s="24" t="n"/>
      <c r="DF269" s="25" t="n">
        <v>0</v>
      </c>
      <c r="DG269" s="24" t="n"/>
      <c r="DH269" s="23" t="n">
        <v>80</v>
      </c>
      <c r="DI269" s="24" t="n"/>
      <c r="DJ269" s="25" t="n">
        <v>0</v>
      </c>
      <c r="DK269" s="24" t="n"/>
      <c r="DL269" s="23" t="n">
        <v>80</v>
      </c>
      <c r="DM269" s="24" t="n"/>
      <c r="DN269" s="25" t="n">
        <v>0</v>
      </c>
      <c r="DO269" s="24" t="n"/>
      <c r="DP269" s="340" t="n"/>
      <c r="DQ269" s="803">
        <f>SUMPRODUCT(--(MOD(COLUMN(BT269:CQ269),4)=MOD(COLUMN(BT269),4)),BT269:CQ269)+SUMPRODUCT(--(MOD(COLUMN(CR269:DO269),4)=MOD(COLUMN(CR269),4)),CR269:DO269)</f>
        <v/>
      </c>
      <c r="DR269" s="803">
        <f>SUMPRODUCT(--(MOD(COLUMN(BT269:CQ269),4)=MOD(COLUMN(BT269),4)),BT269:CQ269)*$I269+SUMPRODUCT(--(MOD(COLUMN(CR269:DO269),4)=MOD(COLUMN(CR269),4)),CR269:DO269)*$I269</f>
        <v/>
      </c>
      <c r="DS269" s="801" t="n"/>
      <c r="DT269" s="819" t="n"/>
      <c r="DU269" s="23" t="n">
        <v>80</v>
      </c>
      <c r="DV269" s="24" t="n"/>
      <c r="DW269" s="25" t="n">
        <v>0</v>
      </c>
      <c r="DX269" s="24" t="n"/>
      <c r="DY269" s="23" t="n">
        <v>80</v>
      </c>
      <c r="DZ269" s="24" t="n"/>
      <c r="EA269" s="25" t="n">
        <v>0</v>
      </c>
      <c r="EB269" s="24" t="n"/>
      <c r="EC269" s="23" t="n">
        <v>80</v>
      </c>
      <c r="ED269" s="24" t="n"/>
      <c r="EE269" s="25" t="n">
        <v>0</v>
      </c>
      <c r="EF269" s="24" t="n"/>
      <c r="EG269" s="23" t="n">
        <v>80</v>
      </c>
      <c r="EH269" s="24" t="n"/>
      <c r="EI269" s="25" t="n">
        <v>0</v>
      </c>
      <c r="EJ269" s="24" t="n"/>
      <c r="EK269" s="23" t="n">
        <v>80</v>
      </c>
      <c r="EL269" s="24" t="n"/>
      <c r="EM269" s="25" t="n">
        <v>0</v>
      </c>
      <c r="EN269" s="24" t="n"/>
      <c r="EO269" s="23" t="n">
        <v>80</v>
      </c>
      <c r="EP269" s="24" t="n"/>
      <c r="EQ269" s="25" t="n">
        <v>0</v>
      </c>
      <c r="ER269" s="24" t="n"/>
      <c r="ES269" s="23" t="n">
        <v>80</v>
      </c>
      <c r="ET269" s="24" t="n"/>
      <c r="EU269" s="25" t="n">
        <v>0</v>
      </c>
      <c r="EV269" s="24" t="n"/>
      <c r="EW269" s="23" t="n">
        <v>80</v>
      </c>
      <c r="EX269" s="24" t="n"/>
      <c r="EY269" s="25" t="n">
        <v>0</v>
      </c>
      <c r="EZ269" s="24" t="n"/>
      <c r="FA269" s="23" t="n">
        <v>80</v>
      </c>
      <c r="FB269" s="24" t="n"/>
      <c r="FC269" s="25" t="n">
        <v>0</v>
      </c>
      <c r="FD269" s="24" t="n"/>
      <c r="FE269" s="23" t="n">
        <v>80</v>
      </c>
      <c r="FF269" s="24" t="n"/>
      <c r="FG269" s="25" t="n">
        <v>0</v>
      </c>
      <c r="FH269" s="24" t="n"/>
      <c r="FI269" s="23" t="n">
        <v>80</v>
      </c>
      <c r="FJ269" s="24" t="n"/>
      <c r="FK269" s="25" t="n">
        <v>0</v>
      </c>
      <c r="FL269" s="24" t="n"/>
      <c r="FM269" s="23" t="n">
        <v>80</v>
      </c>
      <c r="FN269" s="24" t="n"/>
      <c r="FO269" s="25" t="n">
        <v>0</v>
      </c>
      <c r="FP269" s="24" t="n"/>
      <c r="FQ269" s="340" t="n"/>
      <c r="FR269" s="803">
        <f>SUMPRODUCT(--(MOD(COLUMN(DU269:ER269),4)=MOD(COLUMN(DU269),4)),DU269:ER269)+SUMPRODUCT(--(MOD(COLUMN(ES269:FP269),4)=MOD(COLUMN(ES269),4)),ES269:FP269)</f>
        <v/>
      </c>
      <c r="FS269" s="803">
        <f>SUMPRODUCT(--(MOD(COLUMN(DU269:ER269),4)=MOD(COLUMN(DU269),4)),DU269:ER269)*$I269+SUMPRODUCT(--(MOD(COLUMN(ES269:FP269),4)=MOD(COLUMN(ES269),4)),ES269:FP269)*$I269</f>
        <v/>
      </c>
      <c r="FT269" s="361" t="n"/>
    </row>
    <row r="270" outlineLevel="2">
      <c r="A270" s="58" t="inlineStr">
        <is>
          <t>АВТОВИК ООО / AVTOVIK OOO</t>
        </is>
      </c>
      <c r="B270" s="387" t="inlineStr">
        <is>
          <t>Предоплата 100%</t>
        </is>
      </c>
      <c r="C270" s="173" t="inlineStr">
        <is>
          <t>ВБК РУС</t>
        </is>
      </c>
      <c r="D270" s="595" t="inlineStr">
        <is>
          <t>Прасолов, Соловьёв</t>
        </is>
      </c>
      <c r="E270" s="414">
        <f>IF(ISBLANK(G270),"",IF($A$6:$A$330=$A270,COUNTIF($A$6:A270,$A270),""))</f>
        <v/>
      </c>
      <c r="F270" s="10" t="n">
        <v>1</v>
      </c>
      <c r="G270" s="55" t="n">
        <v>8282519676</v>
      </c>
      <c r="H270" s="54" t="inlineStr">
        <is>
          <t>Трубка пластиковая 6x1, бухта 100м (м)</t>
        </is>
      </c>
      <c r="I270" s="617" t="n">
        <v>3.1</v>
      </c>
      <c r="J270" s="617" t="n"/>
      <c r="K270" s="872" t="n"/>
      <c r="L270" s="617">
        <f>IF(K270="RUB",J270/ЮАНЬ,IF(K270="EUR",J270*ЕВРО/ЮАНЬ,""))</f>
        <v/>
      </c>
      <c r="M270" s="873" t="n"/>
      <c r="N270" s="871">
        <f>IF(BP270&gt;0,1,IF(BN270&gt;0,2,))</f>
        <v/>
      </c>
      <c r="O270" s="23" t="n"/>
      <c r="P270" s="24" t="n"/>
      <c r="Q270" s="25" t="n"/>
      <c r="R270" s="24" t="n"/>
      <c r="S270" s="23" t="n"/>
      <c r="T270" s="24" t="n"/>
      <c r="U270" s="25" t="n"/>
      <c r="V270" s="24" t="n"/>
      <c r="W270" s="23" t="n"/>
      <c r="X270" s="26" t="n"/>
      <c r="Y270" s="25" t="n"/>
      <c r="Z270" s="24" t="n"/>
      <c r="AA270" s="23" t="n"/>
      <c r="AB270" s="26">
        <f>6000</f>
        <v/>
      </c>
      <c r="AC270" s="25" t="n">
        <v>6000</v>
      </c>
      <c r="AD270" s="24" t="n"/>
      <c r="AE270" s="23" t="n">
        <v>3000</v>
      </c>
      <c r="AF270" s="26" t="n"/>
      <c r="AG270" s="25" t="n">
        <v>0</v>
      </c>
      <c r="AH270" s="24" t="n"/>
      <c r="AI270" s="23" t="n"/>
      <c r="AJ270" s="24" t="n"/>
      <c r="AK270" s="25" t="n"/>
      <c r="AL270" s="24" t="n"/>
      <c r="AM270" s="23" t="n"/>
      <c r="AN270" s="24" t="n"/>
      <c r="AO270" s="25" t="n"/>
      <c r="AP270" s="24" t="n"/>
      <c r="AQ270" s="23" t="n">
        <v>3000</v>
      </c>
      <c r="AR270" s="24" t="n"/>
      <c r="AS270" s="25" t="n">
        <v>0</v>
      </c>
      <c r="AT270" s="24" t="n"/>
      <c r="AU270" s="23" t="n"/>
      <c r="AV270" s="24" t="n"/>
      <c r="AW270" s="25" t="n"/>
      <c r="AX270" s="24" t="n"/>
      <c r="AY270" s="23" t="n"/>
      <c r="AZ270" s="24" t="n"/>
      <c r="BA270" s="25" t="n"/>
      <c r="BB270" s="24" t="n"/>
      <c r="BC270" s="23" t="n">
        <v>3000</v>
      </c>
      <c r="BD270" s="24" t="n">
        <v>3000</v>
      </c>
      <c r="BE270" s="25" t="n">
        <v>0</v>
      </c>
      <c r="BF270" s="24" t="n"/>
      <c r="BG270" s="23" t="n"/>
      <c r="BH270" s="24" t="n"/>
      <c r="BI270" s="25" t="n"/>
      <c r="BJ270" s="24" t="n"/>
      <c r="BK270" s="340" t="n"/>
      <c r="BL270" s="803">
        <f>SUMPRODUCT(--(MOD(COLUMN($O270:$AL270),4)=MOD(COLUMN($O270)+0,4)),$O270:$AL270)
+SUMPRODUCT(--(MOD(COLUMN($AM270:$BJ270),4)=MOD(COLUMN($AM270)+0,4)),$AM270:$BJ270)</f>
        <v/>
      </c>
      <c r="BM270" s="803">
        <f>SUMPRODUCT(--(MOD(COLUMN($O270:$AL270),4)=MOD(COLUMN($O270)+0,4)),$O270:$AL270)*
$I270+SUMPRODUCT(--(MOD(COLUMN($AM270:$BJ270),4)=MOD(COLUMN($AM270)+0,4)),$AM270:$BJ270)*$I270</f>
        <v/>
      </c>
      <c r="BN270" s="805">
        <f>SUMPRODUCT(--(MOD(COLUMN($O270:$AL270),4)=MOD(COLUMN($O270)+1,4)),$O270:$AL270)
+SUMPRODUCT(--(MOD(COLUMN($AM270:$BJ270),4)=MOD(COLUMN($AM270)+1,4)),$AM270:$BJ270)</f>
        <v/>
      </c>
      <c r="BO270" s="806">
        <f>SUMPRODUCT(--(MOD(COLUMN($O270:$AL270),4)=MOD(COLUMN($O270)+1,4)),$O270:$AL270)*
$I270+SUMPRODUCT(--(MOD(COLUMN($AM270:$BJ270),4)=MOD(COLUMN($AM270)+1,4)),$AM270:$BJ270)*$I270</f>
        <v/>
      </c>
      <c r="BP270" s="807">
        <f>SUMPRODUCT(--(MOD(COLUMN($O270:$AL270),4)=MOD(COLUMN($O270)+2,4)),$O270:$AL270)
+SUMPRODUCT(--(MOD(COLUMN($AM270:$BJ270),4)=MOD(COLUMN($AM270)+2,4)),$AM270:$BJ270)</f>
        <v/>
      </c>
      <c r="BQ270" s="808">
        <f>SUMPRODUCT(--(MOD(COLUMN($O270:$AL270),4)=MOD(COLUMN($O270)+2,4)),$O270:$AL270)*
$I270+SUMPRODUCT(--(MOD(COLUMN($AM270:$BJ270),4)=MOD(COLUMN($AM270)+2,4)),$AM270:$BJ270)*$I270</f>
        <v/>
      </c>
      <c r="BR270" s="801" t="n"/>
      <c r="BS270" s="819" t="n"/>
      <c r="BT270" s="23" t="n"/>
      <c r="BU270" s="24" t="n"/>
      <c r="BV270" s="25" t="n"/>
      <c r="BW270" s="24" t="n"/>
      <c r="BX270" s="23" t="n">
        <v>3000</v>
      </c>
      <c r="BY270" s="24" t="n"/>
      <c r="BZ270" s="25" t="n">
        <v>0</v>
      </c>
      <c r="CA270" s="24" t="n"/>
      <c r="CB270" s="23" t="n"/>
      <c r="CC270" s="24" t="n"/>
      <c r="CD270" s="25" t="n"/>
      <c r="CE270" s="24" t="n"/>
      <c r="CF270" s="23" t="n"/>
      <c r="CG270" s="24" t="n"/>
      <c r="CH270" s="25" t="n"/>
      <c r="CI270" s="24" t="n"/>
      <c r="CJ270" s="23" t="n">
        <v>3000</v>
      </c>
      <c r="CK270" s="24" t="n"/>
      <c r="CL270" s="25" t="n">
        <v>0</v>
      </c>
      <c r="CM270" s="24" t="n"/>
      <c r="CN270" s="23" t="n"/>
      <c r="CO270" s="24" t="n"/>
      <c r="CP270" s="25" t="n"/>
      <c r="CQ270" s="24" t="n"/>
      <c r="CR270" s="23" t="n"/>
      <c r="CS270" s="24" t="n"/>
      <c r="CT270" s="25" t="n"/>
      <c r="CU270" s="24" t="n"/>
      <c r="CV270" s="23" t="n">
        <v>3000</v>
      </c>
      <c r="CW270" s="24" t="n"/>
      <c r="CX270" s="25" t="n">
        <v>0</v>
      </c>
      <c r="CY270" s="24" t="n"/>
      <c r="CZ270" s="23" t="n"/>
      <c r="DA270" s="24" t="n"/>
      <c r="DB270" s="25" t="n"/>
      <c r="DC270" s="24" t="n"/>
      <c r="DD270" s="23" t="n"/>
      <c r="DE270" s="24" t="n"/>
      <c r="DF270" s="25" t="n"/>
      <c r="DG270" s="24" t="n"/>
      <c r="DH270" s="23" t="n">
        <v>3000</v>
      </c>
      <c r="DI270" s="24" t="n"/>
      <c r="DJ270" s="25" t="n">
        <v>0</v>
      </c>
      <c r="DK270" s="24" t="n"/>
      <c r="DL270" s="23" t="n"/>
      <c r="DM270" s="24" t="n"/>
      <c r="DN270" s="25" t="n"/>
      <c r="DO270" s="24" t="n"/>
      <c r="DP270" s="340" t="n"/>
      <c r="DQ270" s="803">
        <f>SUMPRODUCT(--(MOD(COLUMN(BT270:CQ270),4)=MOD(COLUMN(BT270),4)),BT270:CQ270)+SUMPRODUCT(--(MOD(COLUMN(CR270:DO270),4)=MOD(COLUMN(CR270),4)),CR270:DO270)</f>
        <v/>
      </c>
      <c r="DR270" s="803">
        <f>SUMPRODUCT(--(MOD(COLUMN(BT270:CQ270),4)=MOD(COLUMN(BT270),4)),BT270:CQ270)*$I270+SUMPRODUCT(--(MOD(COLUMN(CR270:DO270),4)=MOD(COLUMN(CR270),4)),CR270:DO270)*$I270</f>
        <v/>
      </c>
      <c r="DS270" s="801" t="n"/>
      <c r="DT270" s="819" t="n"/>
      <c r="DU270" s="23" t="n"/>
      <c r="DV270" s="24" t="n"/>
      <c r="DW270" s="25" t="n"/>
      <c r="DX270" s="24" t="n"/>
      <c r="DY270" s="23" t="n">
        <v>3000</v>
      </c>
      <c r="DZ270" s="24" t="n"/>
      <c r="EA270" s="25" t="n">
        <v>0</v>
      </c>
      <c r="EB270" s="24" t="n"/>
      <c r="EC270" s="23" t="n"/>
      <c r="ED270" s="24" t="n"/>
      <c r="EE270" s="25" t="n"/>
      <c r="EF270" s="24" t="n"/>
      <c r="EG270" s="23" t="n"/>
      <c r="EH270" s="24" t="n"/>
      <c r="EI270" s="25" t="n"/>
      <c r="EJ270" s="24" t="n"/>
      <c r="EK270" s="23" t="n">
        <v>3000</v>
      </c>
      <c r="EL270" s="24" t="n"/>
      <c r="EM270" s="25" t="n">
        <v>0</v>
      </c>
      <c r="EN270" s="24" t="n"/>
      <c r="EO270" s="23" t="n"/>
      <c r="EP270" s="24" t="n"/>
      <c r="EQ270" s="25" t="n"/>
      <c r="ER270" s="24" t="n"/>
      <c r="ES270" s="23" t="n"/>
      <c r="ET270" s="24" t="n"/>
      <c r="EU270" s="25" t="n"/>
      <c r="EV270" s="24" t="n"/>
      <c r="EW270" s="23" t="n">
        <v>3000</v>
      </c>
      <c r="EX270" s="24" t="n"/>
      <c r="EY270" s="25" t="n">
        <v>0</v>
      </c>
      <c r="EZ270" s="24" t="n"/>
      <c r="FA270" s="23" t="n"/>
      <c r="FB270" s="24" t="n"/>
      <c r="FC270" s="25" t="n"/>
      <c r="FD270" s="24" t="n"/>
      <c r="FE270" s="23" t="n"/>
      <c r="FF270" s="24" t="n"/>
      <c r="FG270" s="25" t="n"/>
      <c r="FH270" s="24" t="n"/>
      <c r="FI270" s="23" t="n">
        <v>3000</v>
      </c>
      <c r="FJ270" s="24" t="n"/>
      <c r="FK270" s="25" t="n">
        <v>0</v>
      </c>
      <c r="FL270" s="24" t="n"/>
      <c r="FM270" s="23" t="n"/>
      <c r="FN270" s="24" t="n"/>
      <c r="FO270" s="25" t="n"/>
      <c r="FP270" s="24" t="n"/>
      <c r="FQ270" s="340" t="n"/>
      <c r="FR270" s="803">
        <f>SUMPRODUCT(--(MOD(COLUMN(DU270:ER270),4)=MOD(COLUMN(DU270),4)),DU270:ER270)+SUMPRODUCT(--(MOD(COLUMN(ES270:FP270),4)=MOD(COLUMN(ES270),4)),ES270:FP270)</f>
        <v/>
      </c>
      <c r="FS270" s="803">
        <f>SUMPRODUCT(--(MOD(COLUMN(DU270:ER270),4)=MOD(COLUMN(DU270),4)),DU270:ER270)*$I270+SUMPRODUCT(--(MOD(COLUMN(ES270:FP270),4)=MOD(COLUMN(ES270),4)),ES270:FP270)*$I270</f>
        <v/>
      </c>
      <c r="FT270" s="361" t="n"/>
    </row>
    <row r="271" outlineLevel="2">
      <c r="A271" s="58" t="inlineStr">
        <is>
          <t>АВТОВИК ООО / AVTOVIK OOO</t>
        </is>
      </c>
      <c r="B271" s="387" t="inlineStr">
        <is>
          <t>Предоплата 100%</t>
        </is>
      </c>
      <c r="C271" s="173" t="inlineStr">
        <is>
          <t>ВБК РУС</t>
        </is>
      </c>
      <c r="D271" s="595" t="inlineStr">
        <is>
          <t>Прасолов, Соловьёв</t>
        </is>
      </c>
      <c r="E271" s="414">
        <f>IF(ISBLANK(G271),"",IF($A$6:$A$330=$A271,COUNTIF($A$6:A271,$A271),""))</f>
        <v/>
      </c>
      <c r="F271" s="10" t="n">
        <v>1</v>
      </c>
      <c r="G271" s="55" t="n">
        <v>8282510086</v>
      </c>
      <c r="H271" s="54" t="inlineStr">
        <is>
          <t>Трубка пластиковая 8x1, бухта 100м (м)</t>
        </is>
      </c>
      <c r="I271" s="617" t="n">
        <v>3.5</v>
      </c>
      <c r="J271" s="617" t="n"/>
      <c r="K271" s="872" t="n"/>
      <c r="L271" s="617">
        <f>IF(K271="RUB",J271/ЮАНЬ,IF(K271="EUR",J271*ЕВРО/ЮАНЬ,""))</f>
        <v/>
      </c>
      <c r="M271" s="873" t="n"/>
      <c r="N271" s="871">
        <f>IF(BP271&gt;0,1,IF(BN271&gt;0,2,))</f>
        <v/>
      </c>
      <c r="O271" s="23" t="n"/>
      <c r="P271" s="24" t="n"/>
      <c r="Q271" s="25" t="n"/>
      <c r="R271" s="24" t="n"/>
      <c r="S271" s="23" t="n"/>
      <c r="T271" s="24" t="n"/>
      <c r="U271" s="25" t="n"/>
      <c r="V271" s="24" t="n"/>
      <c r="W271" s="23" t="n"/>
      <c r="X271" s="26" t="n"/>
      <c r="Y271" s="25" t="n"/>
      <c r="Z271" s="24" t="n"/>
      <c r="AA271" s="23" t="n"/>
      <c r="AB271" s="26">
        <f>10000+400</f>
        <v/>
      </c>
      <c r="AC271" s="25" t="n">
        <v>10400</v>
      </c>
      <c r="AD271" s="599" t="n"/>
      <c r="AE271" s="23" t="n">
        <v>8000</v>
      </c>
      <c r="AF271" s="26" t="n"/>
      <c r="AG271" s="25" t="n">
        <v>0</v>
      </c>
      <c r="AH271" s="24" t="n"/>
      <c r="AI271" s="23" t="n"/>
      <c r="AJ271" s="24" t="n"/>
      <c r="AK271" s="25" t="n"/>
      <c r="AL271" s="24" t="n"/>
      <c r="AM271" s="23" t="n"/>
      <c r="AN271" s="24" t="n"/>
      <c r="AO271" s="25" t="n"/>
      <c r="AP271" s="24" t="n"/>
      <c r="AQ271" s="23" t="n">
        <v>8000</v>
      </c>
      <c r="AR271" s="24" t="n"/>
      <c r="AS271" s="25" t="n">
        <v>0</v>
      </c>
      <c r="AT271" s="24" t="n"/>
      <c r="AU271" s="23" t="n"/>
      <c r="AV271" s="24" t="n"/>
      <c r="AW271" s="25" t="n"/>
      <c r="AX271" s="24" t="n"/>
      <c r="AY271" s="23" t="n"/>
      <c r="AZ271" s="24" t="n"/>
      <c r="BA271" s="25" t="n"/>
      <c r="BB271" s="24" t="n"/>
      <c r="BC271" s="23" t="n">
        <v>8000</v>
      </c>
      <c r="BD271" s="24" t="n">
        <v>8000</v>
      </c>
      <c r="BE271" s="25" t="n">
        <v>0</v>
      </c>
      <c r="BF271" s="24" t="n"/>
      <c r="BG271" s="23" t="n"/>
      <c r="BH271" s="24" t="n"/>
      <c r="BI271" s="25" t="n"/>
      <c r="BJ271" s="24" t="n"/>
      <c r="BK271" s="340" t="n"/>
      <c r="BL271" s="803">
        <f>SUMPRODUCT(--(MOD(COLUMN($O271:$AL271),4)=MOD(COLUMN($O271)+0,4)),$O271:$AL271)
+SUMPRODUCT(--(MOD(COLUMN($AM271:$BJ271),4)=MOD(COLUMN($AM271)+0,4)),$AM271:$BJ271)</f>
        <v/>
      </c>
      <c r="BM271" s="803">
        <f>SUMPRODUCT(--(MOD(COLUMN($O271:$AL271),4)=MOD(COLUMN($O271)+0,4)),$O271:$AL271)*
$I271+SUMPRODUCT(--(MOD(COLUMN($AM271:$BJ271),4)=MOD(COLUMN($AM271)+0,4)),$AM271:$BJ271)*$I271</f>
        <v/>
      </c>
      <c r="BN271" s="805">
        <f>SUMPRODUCT(--(MOD(COLUMN($O271:$AL271),4)=MOD(COLUMN($O271)+1,4)),$O271:$AL271)
+SUMPRODUCT(--(MOD(COLUMN($AM271:$BJ271),4)=MOD(COLUMN($AM271)+1,4)),$AM271:$BJ271)</f>
        <v/>
      </c>
      <c r="BO271" s="806">
        <f>SUMPRODUCT(--(MOD(COLUMN($O271:$AL271),4)=MOD(COLUMN($O271)+1,4)),$O271:$AL271)*
$I271+SUMPRODUCT(--(MOD(COLUMN($AM271:$BJ271),4)=MOD(COLUMN($AM271)+1,4)),$AM271:$BJ271)*$I271</f>
        <v/>
      </c>
      <c r="BP271" s="807">
        <f>SUMPRODUCT(--(MOD(COLUMN($O271:$AL271),4)=MOD(COLUMN($O271)+2,4)),$O271:$AL271)
+SUMPRODUCT(--(MOD(COLUMN($AM271:$BJ271),4)=MOD(COLUMN($AM271)+2,4)),$AM271:$BJ271)</f>
        <v/>
      </c>
      <c r="BQ271" s="808">
        <f>SUMPRODUCT(--(MOD(COLUMN($O271:$AL271),4)=MOD(COLUMN($O271)+2,4)),$O271:$AL271)*
$I271+SUMPRODUCT(--(MOD(COLUMN($AM271:$BJ271),4)=MOD(COLUMN($AM271)+2,4)),$AM271:$BJ271)*$I271</f>
        <v/>
      </c>
      <c r="BR271" s="801" t="n"/>
      <c r="BS271" s="819" t="n"/>
      <c r="BT271" s="23" t="n"/>
      <c r="BU271" s="24" t="n"/>
      <c r="BV271" s="25" t="n"/>
      <c r="BW271" s="24" t="n"/>
      <c r="BX271" s="23" t="n">
        <v>8000</v>
      </c>
      <c r="BY271" s="24" t="n"/>
      <c r="BZ271" s="25" t="n">
        <v>0</v>
      </c>
      <c r="CA271" s="24" t="n"/>
      <c r="CB271" s="23" t="n"/>
      <c r="CC271" s="24" t="n"/>
      <c r="CD271" s="25" t="n"/>
      <c r="CE271" s="24" t="n"/>
      <c r="CF271" s="23" t="n"/>
      <c r="CG271" s="24" t="n"/>
      <c r="CH271" s="25" t="n"/>
      <c r="CI271" s="24" t="n"/>
      <c r="CJ271" s="23" t="n">
        <v>8000</v>
      </c>
      <c r="CK271" s="24" t="n"/>
      <c r="CL271" s="25" t="n">
        <v>0</v>
      </c>
      <c r="CM271" s="24" t="n"/>
      <c r="CN271" s="23" t="n"/>
      <c r="CO271" s="24" t="n"/>
      <c r="CP271" s="25" t="n"/>
      <c r="CQ271" s="24" t="n"/>
      <c r="CR271" s="23" t="n"/>
      <c r="CS271" s="24" t="n"/>
      <c r="CT271" s="25" t="n"/>
      <c r="CU271" s="24" t="n"/>
      <c r="CV271" s="23" t="n">
        <v>8000</v>
      </c>
      <c r="CW271" s="24" t="n"/>
      <c r="CX271" s="25" t="n">
        <v>0</v>
      </c>
      <c r="CY271" s="24" t="n"/>
      <c r="CZ271" s="23" t="n"/>
      <c r="DA271" s="24" t="n"/>
      <c r="DB271" s="25" t="n"/>
      <c r="DC271" s="24" t="n"/>
      <c r="DD271" s="23" t="n"/>
      <c r="DE271" s="24" t="n"/>
      <c r="DF271" s="25" t="n"/>
      <c r="DG271" s="24" t="n"/>
      <c r="DH271" s="23" t="n">
        <v>8000</v>
      </c>
      <c r="DI271" s="24" t="n"/>
      <c r="DJ271" s="25" t="n">
        <v>0</v>
      </c>
      <c r="DK271" s="24" t="n"/>
      <c r="DL271" s="23" t="n"/>
      <c r="DM271" s="24" t="n"/>
      <c r="DN271" s="25" t="n"/>
      <c r="DO271" s="24" t="n"/>
      <c r="DP271" s="340" t="n"/>
      <c r="DQ271" s="803">
        <f>SUMPRODUCT(--(MOD(COLUMN(BT271:CQ271),4)=MOD(COLUMN(BT271),4)),BT271:CQ271)+SUMPRODUCT(--(MOD(COLUMN(CR271:DO271),4)=MOD(COLUMN(CR271),4)),CR271:DO271)</f>
        <v/>
      </c>
      <c r="DR271" s="803">
        <f>SUMPRODUCT(--(MOD(COLUMN(BT271:CQ271),4)=MOD(COLUMN(BT271),4)),BT271:CQ271)*$I271+SUMPRODUCT(--(MOD(COLUMN(CR271:DO271),4)=MOD(COLUMN(CR271),4)),CR271:DO271)*$I271</f>
        <v/>
      </c>
      <c r="DS271" s="801" t="n"/>
      <c r="DT271" s="819" t="n"/>
      <c r="DU271" s="23" t="n"/>
      <c r="DV271" s="24" t="n"/>
      <c r="DW271" s="25" t="n"/>
      <c r="DX271" s="24" t="n"/>
      <c r="DY271" s="23" t="n">
        <v>8000</v>
      </c>
      <c r="DZ271" s="24" t="n"/>
      <c r="EA271" s="25" t="n">
        <v>0</v>
      </c>
      <c r="EB271" s="24" t="n"/>
      <c r="EC271" s="23" t="n"/>
      <c r="ED271" s="24" t="n"/>
      <c r="EE271" s="25" t="n"/>
      <c r="EF271" s="24" t="n"/>
      <c r="EG271" s="23" t="n"/>
      <c r="EH271" s="24" t="n"/>
      <c r="EI271" s="25" t="n"/>
      <c r="EJ271" s="24" t="n"/>
      <c r="EK271" s="23" t="n">
        <v>8000</v>
      </c>
      <c r="EL271" s="24" t="n"/>
      <c r="EM271" s="25" t="n">
        <v>0</v>
      </c>
      <c r="EN271" s="24" t="n"/>
      <c r="EO271" s="23" t="n"/>
      <c r="EP271" s="24" t="n"/>
      <c r="EQ271" s="25" t="n"/>
      <c r="ER271" s="24" t="n"/>
      <c r="ES271" s="23" t="n"/>
      <c r="ET271" s="24" t="n"/>
      <c r="EU271" s="25" t="n"/>
      <c r="EV271" s="24" t="n"/>
      <c r="EW271" s="23" t="n">
        <v>8000</v>
      </c>
      <c r="EX271" s="24" t="n"/>
      <c r="EY271" s="25" t="n">
        <v>0</v>
      </c>
      <c r="EZ271" s="24" t="n"/>
      <c r="FA271" s="23" t="n"/>
      <c r="FB271" s="24" t="n"/>
      <c r="FC271" s="25" t="n"/>
      <c r="FD271" s="24" t="n"/>
      <c r="FE271" s="23" t="n"/>
      <c r="FF271" s="24" t="n"/>
      <c r="FG271" s="25" t="n"/>
      <c r="FH271" s="24" t="n"/>
      <c r="FI271" s="23" t="n">
        <v>8000</v>
      </c>
      <c r="FJ271" s="24" t="n"/>
      <c r="FK271" s="25" t="n">
        <v>0</v>
      </c>
      <c r="FL271" s="24" t="n"/>
      <c r="FM271" s="23" t="n"/>
      <c r="FN271" s="24" t="n"/>
      <c r="FO271" s="25" t="n"/>
      <c r="FP271" s="24" t="n"/>
      <c r="FQ271" s="340" t="n"/>
      <c r="FR271" s="803">
        <f>SUMPRODUCT(--(MOD(COLUMN(DU271:ER271),4)=MOD(COLUMN(DU271),4)),DU271:ER271)+SUMPRODUCT(--(MOD(COLUMN(ES271:FP271),4)=MOD(COLUMN(ES271),4)),ES271:FP271)</f>
        <v/>
      </c>
      <c r="FS271" s="803">
        <f>SUMPRODUCT(--(MOD(COLUMN(DU271:ER271),4)=MOD(COLUMN(DU271),4)),DU271:ER271)*$I271+SUMPRODUCT(--(MOD(COLUMN(ES271:FP271),4)=MOD(COLUMN(ES271),4)),ES271:FP271)*$I271</f>
        <v/>
      </c>
      <c r="FT271" s="361" t="n"/>
    </row>
    <row r="272" outlineLevel="2">
      <c r="A272" s="58" t="inlineStr">
        <is>
          <t>АВТОВИК ООО / AVTOVIK OOO</t>
        </is>
      </c>
      <c r="B272" s="387" t="inlineStr">
        <is>
          <t>Предоплата 100%</t>
        </is>
      </c>
      <c r="C272" s="173" t="inlineStr">
        <is>
          <t>ВБК РУС</t>
        </is>
      </c>
      <c r="D272" s="595" t="inlineStr">
        <is>
          <t>Прасолов, Соловьёв</t>
        </is>
      </c>
      <c r="E272" s="414">
        <f>IF(ISBLANK(G272),"",IF($A$6:$A$330=$A272,COUNTIF($A$6:A272,$A272),""))</f>
        <v/>
      </c>
      <c r="F272" s="10" t="n">
        <v>1</v>
      </c>
      <c r="G272" s="55" t="n">
        <v>8282510106</v>
      </c>
      <c r="H272" s="54" t="inlineStr">
        <is>
          <t>Трубка пластиковая 10x1, бухта 100м (м)</t>
        </is>
      </c>
      <c r="I272" s="617" t="n">
        <v>4.4</v>
      </c>
      <c r="J272" s="617" t="n"/>
      <c r="K272" s="872" t="n"/>
      <c r="L272" s="617">
        <f>IF(K272="RUB",J272/ЮАНЬ,IF(K272="EUR",J272*ЕВРО/ЮАНЬ,""))</f>
        <v/>
      </c>
      <c r="M272" s="873" t="n"/>
      <c r="N272" s="871">
        <f>IF(BP272&gt;0,1,IF(BN272&gt;0,2,))</f>
        <v/>
      </c>
      <c r="O272" s="23" t="n"/>
      <c r="P272" s="24" t="n"/>
      <c r="Q272" s="25" t="n"/>
      <c r="R272" s="24" t="n"/>
      <c r="S272" s="23" t="n"/>
      <c r="T272" s="24" t="n"/>
      <c r="U272" s="25" t="n"/>
      <c r="V272" s="24" t="n"/>
      <c r="W272" s="23" t="n"/>
      <c r="X272" s="26" t="n"/>
      <c r="Y272" s="25" t="n"/>
      <c r="Z272" s="24" t="n"/>
      <c r="AA272" s="23" t="n"/>
      <c r="AB272" s="26" t="n"/>
      <c r="AC272" s="25" t="n"/>
      <c r="AD272" s="24" t="n"/>
      <c r="AE272" s="23" t="n">
        <v>16000</v>
      </c>
      <c r="AF272" s="26" t="n"/>
      <c r="AG272" s="25" t="n">
        <v>0</v>
      </c>
      <c r="AH272" s="24" t="n"/>
      <c r="AI272" s="23" t="n"/>
      <c r="AJ272" s="24" t="n"/>
      <c r="AK272" s="25" t="n"/>
      <c r="AL272" s="24" t="n"/>
      <c r="AM272" s="23" t="n"/>
      <c r="AN272" s="24" t="n"/>
      <c r="AO272" s="25" t="n"/>
      <c r="AP272" s="24" t="n"/>
      <c r="AQ272" s="23" t="n">
        <v>16000</v>
      </c>
      <c r="AR272" s="24" t="n"/>
      <c r="AS272" s="25" t="n">
        <v>0</v>
      </c>
      <c r="AT272" s="24" t="n"/>
      <c r="AU272" s="23" t="n"/>
      <c r="AV272" s="24" t="n">
        <v>10000</v>
      </c>
      <c r="AW272" s="25" t="n">
        <v>0</v>
      </c>
      <c r="AX272" s="24" t="n"/>
      <c r="AY272" s="23" t="n"/>
      <c r="AZ272" s="24" t="n"/>
      <c r="BA272" s="25" t="n"/>
      <c r="BB272" s="24" t="n"/>
      <c r="BC272" s="23" t="n">
        <v>16000</v>
      </c>
      <c r="BD272" s="24" t="n">
        <v>16000</v>
      </c>
      <c r="BE272" s="25" t="n">
        <v>0</v>
      </c>
      <c r="BF272" s="24" t="n"/>
      <c r="BG272" s="23" t="n"/>
      <c r="BH272" s="24" t="n"/>
      <c r="BI272" s="25" t="n"/>
      <c r="BJ272" s="24" t="n"/>
      <c r="BK272" s="340" t="n"/>
      <c r="BL272" s="803">
        <f>SUMPRODUCT(--(MOD(COLUMN($O272:$AL272),4)=MOD(COLUMN($O272)+0,4)),$O272:$AL272)
+SUMPRODUCT(--(MOD(COLUMN($AM272:$BJ272),4)=MOD(COLUMN($AM272)+0,4)),$AM272:$BJ272)</f>
        <v/>
      </c>
      <c r="BM272" s="803">
        <f>SUMPRODUCT(--(MOD(COLUMN($O272:$AL272),4)=MOD(COLUMN($O272)+0,4)),$O272:$AL272)*
$I272+SUMPRODUCT(--(MOD(COLUMN($AM272:$BJ272),4)=MOD(COLUMN($AM272)+0,4)),$AM272:$BJ272)*$I272</f>
        <v/>
      </c>
      <c r="BN272" s="805">
        <f>SUMPRODUCT(--(MOD(COLUMN($O272:$AL272),4)=MOD(COLUMN($O272)+1,4)),$O272:$AL272)
+SUMPRODUCT(--(MOD(COLUMN($AM272:$BJ272),4)=MOD(COLUMN($AM272)+1,4)),$AM272:$BJ272)</f>
        <v/>
      </c>
      <c r="BO272" s="806">
        <f>SUMPRODUCT(--(MOD(COLUMN($O272:$AL272),4)=MOD(COLUMN($O272)+1,4)),$O272:$AL272)*
$I272+SUMPRODUCT(--(MOD(COLUMN($AM272:$BJ272),4)=MOD(COLUMN($AM272)+1,4)),$AM272:$BJ272)*$I272</f>
        <v/>
      </c>
      <c r="BP272" s="807">
        <f>SUMPRODUCT(--(MOD(COLUMN($O272:$AL272),4)=MOD(COLUMN($O272)+2,4)),$O272:$AL272)
+SUMPRODUCT(--(MOD(COLUMN($AM272:$BJ272),4)=MOD(COLUMN($AM272)+2,4)),$AM272:$BJ272)</f>
        <v/>
      </c>
      <c r="BQ272" s="808">
        <f>SUMPRODUCT(--(MOD(COLUMN($O272:$AL272),4)=MOD(COLUMN($O272)+2,4)),$O272:$AL272)*
$I272+SUMPRODUCT(--(MOD(COLUMN($AM272:$BJ272),4)=MOD(COLUMN($AM272)+2,4)),$AM272:$BJ272)*$I272</f>
        <v/>
      </c>
      <c r="BR272" s="801" t="n"/>
      <c r="BS272" s="819" t="n"/>
      <c r="BT272" s="23" t="n"/>
      <c r="BU272" s="24" t="n"/>
      <c r="BV272" s="25" t="n"/>
      <c r="BW272" s="24" t="n"/>
      <c r="BX272" s="23" t="n">
        <v>16000</v>
      </c>
      <c r="BY272" s="24" t="n"/>
      <c r="BZ272" s="25" t="n">
        <v>0</v>
      </c>
      <c r="CA272" s="24" t="n"/>
      <c r="CB272" s="23" t="n"/>
      <c r="CC272" s="24" t="n"/>
      <c r="CD272" s="25" t="n"/>
      <c r="CE272" s="24" t="n"/>
      <c r="CF272" s="23" t="n"/>
      <c r="CG272" s="24" t="n"/>
      <c r="CH272" s="25" t="n"/>
      <c r="CI272" s="24" t="n"/>
      <c r="CJ272" s="23" t="n">
        <v>16000</v>
      </c>
      <c r="CK272" s="24" t="n"/>
      <c r="CL272" s="25" t="n">
        <v>0</v>
      </c>
      <c r="CM272" s="24" t="n"/>
      <c r="CN272" s="23" t="n"/>
      <c r="CO272" s="24" t="n"/>
      <c r="CP272" s="25" t="n"/>
      <c r="CQ272" s="24" t="n"/>
      <c r="CR272" s="23" t="n"/>
      <c r="CS272" s="24" t="n"/>
      <c r="CT272" s="25" t="n"/>
      <c r="CU272" s="24" t="n"/>
      <c r="CV272" s="23" t="n">
        <v>16000</v>
      </c>
      <c r="CW272" s="24" t="n"/>
      <c r="CX272" s="25" t="n">
        <v>0</v>
      </c>
      <c r="CY272" s="24" t="n"/>
      <c r="CZ272" s="23" t="n"/>
      <c r="DA272" s="24" t="n"/>
      <c r="DB272" s="25" t="n"/>
      <c r="DC272" s="24" t="n"/>
      <c r="DD272" s="23" t="n"/>
      <c r="DE272" s="24" t="n"/>
      <c r="DF272" s="25" t="n"/>
      <c r="DG272" s="24" t="n"/>
      <c r="DH272" s="23" t="n">
        <v>16000</v>
      </c>
      <c r="DI272" s="24" t="n"/>
      <c r="DJ272" s="25" t="n">
        <v>0</v>
      </c>
      <c r="DK272" s="24" t="n"/>
      <c r="DL272" s="23" t="n"/>
      <c r="DM272" s="24" t="n"/>
      <c r="DN272" s="25" t="n"/>
      <c r="DO272" s="24" t="n"/>
      <c r="DP272" s="340" t="n"/>
      <c r="DQ272" s="803">
        <f>SUMPRODUCT(--(MOD(COLUMN(BT272:CQ272),4)=MOD(COLUMN(BT272),4)),BT272:CQ272)+SUMPRODUCT(--(MOD(COLUMN(CR272:DO272),4)=MOD(COLUMN(CR272),4)),CR272:DO272)</f>
        <v/>
      </c>
      <c r="DR272" s="803">
        <f>SUMPRODUCT(--(MOD(COLUMN(BT272:CQ272),4)=MOD(COLUMN(BT272),4)),BT272:CQ272)*$I272+SUMPRODUCT(--(MOD(COLUMN(CR272:DO272),4)=MOD(COLUMN(CR272),4)),CR272:DO272)*$I272</f>
        <v/>
      </c>
      <c r="DS272" s="801" t="n"/>
      <c r="DT272" s="819" t="n"/>
      <c r="DU272" s="23" t="n"/>
      <c r="DV272" s="24" t="n"/>
      <c r="DW272" s="25" t="n"/>
      <c r="DX272" s="24" t="n"/>
      <c r="DY272" s="23" t="n">
        <v>16000</v>
      </c>
      <c r="DZ272" s="24" t="n"/>
      <c r="EA272" s="25" t="n">
        <v>0</v>
      </c>
      <c r="EB272" s="24" t="n"/>
      <c r="EC272" s="23" t="n"/>
      <c r="ED272" s="24" t="n"/>
      <c r="EE272" s="25" t="n"/>
      <c r="EF272" s="24" t="n"/>
      <c r="EG272" s="23" t="n"/>
      <c r="EH272" s="24" t="n"/>
      <c r="EI272" s="25" t="n"/>
      <c r="EJ272" s="24" t="n"/>
      <c r="EK272" s="23" t="n">
        <v>16000</v>
      </c>
      <c r="EL272" s="24" t="n"/>
      <c r="EM272" s="25" t="n">
        <v>0</v>
      </c>
      <c r="EN272" s="24" t="n"/>
      <c r="EO272" s="23" t="n"/>
      <c r="EP272" s="24" t="n"/>
      <c r="EQ272" s="25" t="n"/>
      <c r="ER272" s="24" t="n"/>
      <c r="ES272" s="23" t="n"/>
      <c r="ET272" s="24" t="n"/>
      <c r="EU272" s="25" t="n"/>
      <c r="EV272" s="24" t="n"/>
      <c r="EW272" s="23" t="n">
        <v>16000</v>
      </c>
      <c r="EX272" s="24" t="n"/>
      <c r="EY272" s="25" t="n">
        <v>0</v>
      </c>
      <c r="EZ272" s="24" t="n"/>
      <c r="FA272" s="23" t="n"/>
      <c r="FB272" s="24" t="n"/>
      <c r="FC272" s="25" t="n"/>
      <c r="FD272" s="24" t="n"/>
      <c r="FE272" s="23" t="n"/>
      <c r="FF272" s="24" t="n"/>
      <c r="FG272" s="25" t="n"/>
      <c r="FH272" s="24" t="n"/>
      <c r="FI272" s="23" t="n">
        <v>16000</v>
      </c>
      <c r="FJ272" s="24" t="n"/>
      <c r="FK272" s="25" t="n">
        <v>0</v>
      </c>
      <c r="FL272" s="24" t="n"/>
      <c r="FM272" s="23" t="n"/>
      <c r="FN272" s="24" t="n"/>
      <c r="FO272" s="25" t="n"/>
      <c r="FP272" s="24" t="n"/>
      <c r="FQ272" s="340" t="n"/>
      <c r="FR272" s="803">
        <f>SUMPRODUCT(--(MOD(COLUMN(DU272:ER272),4)=MOD(COLUMN(DU272),4)),DU272:ER272)+SUMPRODUCT(--(MOD(COLUMN(ES272:FP272),4)=MOD(COLUMN(ES272),4)),ES272:FP272)</f>
        <v/>
      </c>
      <c r="FS272" s="803">
        <f>SUMPRODUCT(--(MOD(COLUMN(DU272:ER272),4)=MOD(COLUMN(DU272),4)),DU272:ER272)*$I272+SUMPRODUCT(--(MOD(COLUMN(ES272:FP272),4)=MOD(COLUMN(ES272),4)),ES272:FP272)*$I272</f>
        <v/>
      </c>
      <c r="FT272" s="361" t="n"/>
    </row>
    <row r="273" outlineLevel="2">
      <c r="A273" s="58" t="inlineStr">
        <is>
          <t>АВТОВИК ООО / AVTOVIK OOO</t>
        </is>
      </c>
      <c r="B273" s="387" t="inlineStr">
        <is>
          <t>Предоплата 100%</t>
        </is>
      </c>
      <c r="C273" s="173" t="inlineStr">
        <is>
          <t>ВБК РУС</t>
        </is>
      </c>
      <c r="D273" s="595" t="inlineStr">
        <is>
          <t>Прасолов, Соловьёв</t>
        </is>
      </c>
      <c r="E273" s="414">
        <f>IF(ISBLANK(G273),"",IF($A$6:$A$330=$A273,COUNTIF($A$6:A273,$A273),""))</f>
        <v/>
      </c>
      <c r="F273" s="10" t="n">
        <v>1</v>
      </c>
      <c r="G273" s="55" t="n">
        <v>8282510126</v>
      </c>
      <c r="H273" s="54" t="inlineStr">
        <is>
          <t>Трубка пластиковая 12x1,5, бухта 100м (м)</t>
        </is>
      </c>
      <c r="I273" s="617" t="n">
        <v>6.7</v>
      </c>
      <c r="J273" s="617" t="n"/>
      <c r="K273" s="872" t="n"/>
      <c r="L273" s="617">
        <f>IF(K273="RUB",J273/ЮАНЬ,IF(K273="EUR",J273*ЕВРО/ЮАНЬ,""))</f>
        <v/>
      </c>
      <c r="M273" s="873" t="n"/>
      <c r="N273" s="871">
        <f>IF(BP273&gt;0,1,IF(BN273&gt;0,2,))</f>
        <v/>
      </c>
      <c r="O273" s="23" t="n"/>
      <c r="P273" s="24" t="n"/>
      <c r="Q273" s="25" t="n"/>
      <c r="R273" s="24" t="n"/>
      <c r="S273" s="23" t="n"/>
      <c r="T273" s="24" t="n"/>
      <c r="U273" s="25" t="n"/>
      <c r="V273" s="24" t="n"/>
      <c r="W273" s="23" t="n"/>
      <c r="X273" s="26" t="n"/>
      <c r="Y273" s="25" t="n"/>
      <c r="Z273" s="24" t="n"/>
      <c r="AA273" s="23" t="n"/>
      <c r="AB273" s="26" t="n"/>
      <c r="AC273" s="25" t="n"/>
      <c r="AD273" s="24" t="n"/>
      <c r="AE273" s="23" t="n">
        <v>10000</v>
      </c>
      <c r="AF273" s="26" t="n"/>
      <c r="AG273" s="25" t="n">
        <v>0</v>
      </c>
      <c r="AH273" s="24" t="n"/>
      <c r="AI273" s="23" t="n"/>
      <c r="AJ273" s="24" t="n"/>
      <c r="AK273" s="25" t="n"/>
      <c r="AL273" s="24" t="n"/>
      <c r="AM273" s="23" t="n"/>
      <c r="AN273" s="24" t="n"/>
      <c r="AO273" s="25" t="n"/>
      <c r="AP273" s="24" t="n"/>
      <c r="AQ273" s="23" t="n">
        <v>10000</v>
      </c>
      <c r="AR273" s="24" t="n"/>
      <c r="AS273" s="25" t="n">
        <v>0</v>
      </c>
      <c r="AT273" s="24" t="n"/>
      <c r="AU273" s="23" t="n"/>
      <c r="AV273" s="24" t="n">
        <v>10000</v>
      </c>
      <c r="AW273" s="25" t="n">
        <v>0</v>
      </c>
      <c r="AX273" s="24" t="n"/>
      <c r="AY273" s="23" t="n"/>
      <c r="AZ273" s="24" t="n"/>
      <c r="BA273" s="25" t="n"/>
      <c r="BB273" s="24" t="n"/>
      <c r="BC273" s="23" t="n">
        <v>10000</v>
      </c>
      <c r="BD273" s="24" t="n">
        <v>10000</v>
      </c>
      <c r="BE273" s="25" t="n">
        <v>0</v>
      </c>
      <c r="BF273" s="24" t="n"/>
      <c r="BG273" s="23" t="n"/>
      <c r="BH273" s="24" t="n"/>
      <c r="BI273" s="25" t="n"/>
      <c r="BJ273" s="24" t="n"/>
      <c r="BK273" s="340" t="n"/>
      <c r="BL273" s="803">
        <f>SUMPRODUCT(--(MOD(COLUMN($O273:$AL273),4)=MOD(COLUMN($O273)+0,4)),$O273:$AL273)
+SUMPRODUCT(--(MOD(COLUMN($AM273:$BJ273),4)=MOD(COLUMN($AM273)+0,4)),$AM273:$BJ273)</f>
        <v/>
      </c>
      <c r="BM273" s="803">
        <f>SUMPRODUCT(--(MOD(COLUMN($O273:$AL273),4)=MOD(COLUMN($O273)+0,4)),$O273:$AL273)*
$I273+SUMPRODUCT(--(MOD(COLUMN($AM273:$BJ273),4)=MOD(COLUMN($AM273)+0,4)),$AM273:$BJ273)*$I273</f>
        <v/>
      </c>
      <c r="BN273" s="805">
        <f>SUMPRODUCT(--(MOD(COLUMN($O273:$AL273),4)=MOD(COLUMN($O273)+1,4)),$O273:$AL273)
+SUMPRODUCT(--(MOD(COLUMN($AM273:$BJ273),4)=MOD(COLUMN($AM273)+1,4)),$AM273:$BJ273)</f>
        <v/>
      </c>
      <c r="BO273" s="806">
        <f>SUMPRODUCT(--(MOD(COLUMN($O273:$AL273),4)=MOD(COLUMN($O273)+1,4)),$O273:$AL273)*
$I273+SUMPRODUCT(--(MOD(COLUMN($AM273:$BJ273),4)=MOD(COLUMN($AM273)+1,4)),$AM273:$BJ273)*$I273</f>
        <v/>
      </c>
      <c r="BP273" s="807">
        <f>SUMPRODUCT(--(MOD(COLUMN($O273:$AL273),4)=MOD(COLUMN($O273)+2,4)),$O273:$AL273)
+SUMPRODUCT(--(MOD(COLUMN($AM273:$BJ273),4)=MOD(COLUMN($AM273)+2,4)),$AM273:$BJ273)</f>
        <v/>
      </c>
      <c r="BQ273" s="808">
        <f>SUMPRODUCT(--(MOD(COLUMN($O273:$AL273),4)=MOD(COLUMN($O273)+2,4)),$O273:$AL273)*
$I273+SUMPRODUCT(--(MOD(COLUMN($AM273:$BJ273),4)=MOD(COLUMN($AM273)+2,4)),$AM273:$BJ273)*$I273</f>
        <v/>
      </c>
      <c r="BR273" s="801" t="n"/>
      <c r="BS273" s="819" t="n"/>
      <c r="BT273" s="23" t="n"/>
      <c r="BU273" s="24" t="n"/>
      <c r="BV273" s="25" t="n"/>
      <c r="BW273" s="24" t="n"/>
      <c r="BX273" s="23" t="n">
        <v>10000</v>
      </c>
      <c r="BY273" s="24" t="n"/>
      <c r="BZ273" s="25" t="n">
        <v>0</v>
      </c>
      <c r="CA273" s="24" t="n"/>
      <c r="CB273" s="23" t="n"/>
      <c r="CC273" s="24" t="n"/>
      <c r="CD273" s="25" t="n"/>
      <c r="CE273" s="24" t="n"/>
      <c r="CF273" s="23" t="n"/>
      <c r="CG273" s="24" t="n"/>
      <c r="CH273" s="25" t="n"/>
      <c r="CI273" s="24" t="n"/>
      <c r="CJ273" s="23" t="n">
        <v>10000</v>
      </c>
      <c r="CK273" s="24" t="n"/>
      <c r="CL273" s="25" t="n">
        <v>0</v>
      </c>
      <c r="CM273" s="24" t="n"/>
      <c r="CN273" s="23" t="n"/>
      <c r="CO273" s="24" t="n"/>
      <c r="CP273" s="25" t="n"/>
      <c r="CQ273" s="24" t="n"/>
      <c r="CR273" s="23" t="n"/>
      <c r="CS273" s="24" t="n"/>
      <c r="CT273" s="25" t="n"/>
      <c r="CU273" s="24" t="n"/>
      <c r="CV273" s="23" t="n">
        <v>10000</v>
      </c>
      <c r="CW273" s="24" t="n"/>
      <c r="CX273" s="25" t="n">
        <v>0</v>
      </c>
      <c r="CY273" s="24" t="n"/>
      <c r="CZ273" s="23" t="n"/>
      <c r="DA273" s="24" t="n"/>
      <c r="DB273" s="25" t="n"/>
      <c r="DC273" s="24" t="n"/>
      <c r="DD273" s="23" t="n"/>
      <c r="DE273" s="24" t="n"/>
      <c r="DF273" s="25" t="n"/>
      <c r="DG273" s="24" t="n"/>
      <c r="DH273" s="23" t="n">
        <v>10000</v>
      </c>
      <c r="DI273" s="24" t="n"/>
      <c r="DJ273" s="25" t="n">
        <v>0</v>
      </c>
      <c r="DK273" s="24" t="n"/>
      <c r="DL273" s="23" t="n"/>
      <c r="DM273" s="24" t="n"/>
      <c r="DN273" s="25" t="n"/>
      <c r="DO273" s="24" t="n"/>
      <c r="DP273" s="340" t="n"/>
      <c r="DQ273" s="803">
        <f>SUMPRODUCT(--(MOD(COLUMN(BT273:CQ273),4)=MOD(COLUMN(BT273),4)),BT273:CQ273)+SUMPRODUCT(--(MOD(COLUMN(CR273:DO273),4)=MOD(COLUMN(CR273),4)),CR273:DO273)</f>
        <v/>
      </c>
      <c r="DR273" s="803">
        <f>SUMPRODUCT(--(MOD(COLUMN(BT273:CQ273),4)=MOD(COLUMN(BT273),4)),BT273:CQ273)*$I273+SUMPRODUCT(--(MOD(COLUMN(CR273:DO273),4)=MOD(COLUMN(CR273),4)),CR273:DO273)*$I273</f>
        <v/>
      </c>
      <c r="DS273" s="801" t="n"/>
      <c r="DT273" s="819" t="n"/>
      <c r="DU273" s="23" t="n"/>
      <c r="DV273" s="24" t="n"/>
      <c r="DW273" s="25" t="n"/>
      <c r="DX273" s="24" t="n"/>
      <c r="DY273" s="23" t="n">
        <v>10000</v>
      </c>
      <c r="DZ273" s="24" t="n"/>
      <c r="EA273" s="25" t="n">
        <v>0</v>
      </c>
      <c r="EB273" s="24" t="n"/>
      <c r="EC273" s="23" t="n"/>
      <c r="ED273" s="24" t="n"/>
      <c r="EE273" s="25" t="n"/>
      <c r="EF273" s="24" t="n"/>
      <c r="EG273" s="23" t="n"/>
      <c r="EH273" s="24" t="n"/>
      <c r="EI273" s="25" t="n"/>
      <c r="EJ273" s="24" t="n"/>
      <c r="EK273" s="23" t="n">
        <v>10000</v>
      </c>
      <c r="EL273" s="24" t="n"/>
      <c r="EM273" s="25" t="n">
        <v>0</v>
      </c>
      <c r="EN273" s="24" t="n"/>
      <c r="EO273" s="23" t="n"/>
      <c r="EP273" s="24" t="n"/>
      <c r="EQ273" s="25" t="n"/>
      <c r="ER273" s="24" t="n"/>
      <c r="ES273" s="23" t="n"/>
      <c r="ET273" s="24" t="n"/>
      <c r="EU273" s="25" t="n"/>
      <c r="EV273" s="24" t="n"/>
      <c r="EW273" s="23" t="n">
        <v>10000</v>
      </c>
      <c r="EX273" s="24" t="n"/>
      <c r="EY273" s="25" t="n">
        <v>0</v>
      </c>
      <c r="EZ273" s="24" t="n"/>
      <c r="FA273" s="23" t="n"/>
      <c r="FB273" s="24" t="n"/>
      <c r="FC273" s="25" t="n"/>
      <c r="FD273" s="24" t="n"/>
      <c r="FE273" s="23" t="n"/>
      <c r="FF273" s="24" t="n"/>
      <c r="FG273" s="25" t="n"/>
      <c r="FH273" s="24" t="n"/>
      <c r="FI273" s="23" t="n">
        <v>10000</v>
      </c>
      <c r="FJ273" s="24" t="n"/>
      <c r="FK273" s="25" t="n">
        <v>0</v>
      </c>
      <c r="FL273" s="24" t="n"/>
      <c r="FM273" s="23" t="n"/>
      <c r="FN273" s="24" t="n"/>
      <c r="FO273" s="25" t="n"/>
      <c r="FP273" s="24" t="n"/>
      <c r="FQ273" s="340" t="n"/>
      <c r="FR273" s="803">
        <f>SUMPRODUCT(--(MOD(COLUMN(DU273:ER273),4)=MOD(COLUMN(DU273),4)),DU273:ER273)+SUMPRODUCT(--(MOD(COLUMN(ES273:FP273),4)=MOD(COLUMN(ES273),4)),ES273:FP273)</f>
        <v/>
      </c>
      <c r="FS273" s="803">
        <f>SUMPRODUCT(--(MOD(COLUMN(DU273:ER273),4)=MOD(COLUMN(DU273),4)),DU273:ER273)*$I273+SUMPRODUCT(--(MOD(COLUMN(ES273:FP273),4)=MOD(COLUMN(ES273),4)),ES273:FP273)*$I273</f>
        <v/>
      </c>
      <c r="FT273" s="361" t="n"/>
    </row>
    <row r="274" outlineLevel="2">
      <c r="A274" s="58" t="inlineStr">
        <is>
          <t>АВТОВИК ООО / AVTOVIK OOO</t>
        </is>
      </c>
      <c r="B274" s="387" t="inlineStr">
        <is>
          <t>Предоплата 100%</t>
        </is>
      </c>
      <c r="C274" s="173" t="inlineStr">
        <is>
          <t>ВБК РУС</t>
        </is>
      </c>
      <c r="D274" s="595" t="inlineStr">
        <is>
          <t>Прасолов, Соловьёв</t>
        </is>
      </c>
      <c r="E274" s="414">
        <f>IF(ISBLANK(G274),"",IF($A$6:$A$330=$A274,COUNTIF($A$6:A274,$A274),""))</f>
        <v/>
      </c>
      <c r="F274" s="10" t="n">
        <v>1</v>
      </c>
      <c r="G274" s="55" t="n">
        <v>8282519726</v>
      </c>
      <c r="H274" s="54" t="inlineStr">
        <is>
          <t>Трубка пластиковая 15x1,5, бухта 50м (м)</t>
        </is>
      </c>
      <c r="I274" s="617" t="n">
        <v>10.6</v>
      </c>
      <c r="J274" s="617" t="n"/>
      <c r="K274" s="872" t="n"/>
      <c r="L274" s="617">
        <f>IF(K274="RUB",J274/ЮАНЬ,IF(K274="EUR",J274*ЕВРО/ЮАНЬ,""))</f>
        <v/>
      </c>
      <c r="M274" s="873" t="n"/>
      <c r="N274" s="871">
        <f>IF(BP274&gt;0,1,IF(BN274&gt;0,2,))</f>
        <v/>
      </c>
      <c r="O274" s="23" t="n"/>
      <c r="P274" s="24" t="n"/>
      <c r="Q274" s="25" t="n"/>
      <c r="R274" s="24" t="n"/>
      <c r="S274" s="23" t="n"/>
      <c r="T274" s="24" t="n"/>
      <c r="U274" s="25" t="n"/>
      <c r="V274" s="24" t="n"/>
      <c r="W274" s="23" t="n"/>
      <c r="X274" s="26" t="n"/>
      <c r="Y274" s="25" t="n"/>
      <c r="Z274" s="24" t="n"/>
      <c r="AA274" s="23" t="n"/>
      <c r="AB274" s="26" t="n"/>
      <c r="AC274" s="25" t="n"/>
      <c r="AD274" s="24" t="n"/>
      <c r="AE274" s="23" t="n">
        <v>5000</v>
      </c>
      <c r="AF274" s="26" t="n"/>
      <c r="AG274" s="25" t="n">
        <v>0</v>
      </c>
      <c r="AH274" s="24" t="n"/>
      <c r="AI274" s="23" t="n"/>
      <c r="AJ274" s="24" t="n"/>
      <c r="AK274" s="25" t="n"/>
      <c r="AL274" s="24" t="n"/>
      <c r="AM274" s="23" t="n"/>
      <c r="AN274" s="24" t="n"/>
      <c r="AO274" s="25" t="n"/>
      <c r="AP274" s="24" t="n"/>
      <c r="AQ274" s="23" t="n">
        <v>5000</v>
      </c>
      <c r="AR274" s="24" t="n"/>
      <c r="AS274" s="25" t="n">
        <v>0</v>
      </c>
      <c r="AT274" s="24" t="n"/>
      <c r="AU274" s="23" t="n"/>
      <c r="AV274" s="24" t="n">
        <v>5000</v>
      </c>
      <c r="AW274" s="25" t="n">
        <v>0</v>
      </c>
      <c r="AX274" s="24" t="n"/>
      <c r="AY274" s="23" t="n"/>
      <c r="AZ274" s="24" t="n"/>
      <c r="BA274" s="25" t="n"/>
      <c r="BB274" s="24" t="n"/>
      <c r="BC274" s="23" t="n">
        <v>5000</v>
      </c>
      <c r="BD274" s="24" t="n">
        <v>5000</v>
      </c>
      <c r="BE274" s="25" t="n">
        <v>0</v>
      </c>
      <c r="BF274" s="24" t="n"/>
      <c r="BG274" s="23" t="n"/>
      <c r="BH274" s="24" t="n"/>
      <c r="BI274" s="25" t="n"/>
      <c r="BJ274" s="24" t="n"/>
      <c r="BK274" s="340" t="n"/>
      <c r="BL274" s="803">
        <f>SUMPRODUCT(--(MOD(COLUMN($O274:$AL274),4)=MOD(COLUMN($O274)+0,4)),$O274:$AL274)
+SUMPRODUCT(--(MOD(COLUMN($AM274:$BJ274),4)=MOD(COLUMN($AM274)+0,4)),$AM274:$BJ274)</f>
        <v/>
      </c>
      <c r="BM274" s="803">
        <f>SUMPRODUCT(--(MOD(COLUMN($O274:$AL274),4)=MOD(COLUMN($O274)+0,4)),$O274:$AL274)*
$I274+SUMPRODUCT(--(MOD(COLUMN($AM274:$BJ274),4)=MOD(COLUMN($AM274)+0,4)),$AM274:$BJ274)*$I274</f>
        <v/>
      </c>
      <c r="BN274" s="805">
        <f>SUMPRODUCT(--(MOD(COLUMN($O274:$AL274),4)=MOD(COLUMN($O274)+1,4)),$O274:$AL274)
+SUMPRODUCT(--(MOD(COLUMN($AM274:$BJ274),4)=MOD(COLUMN($AM274)+1,4)),$AM274:$BJ274)</f>
        <v/>
      </c>
      <c r="BO274" s="806">
        <f>SUMPRODUCT(--(MOD(COLUMN($O274:$AL274),4)=MOD(COLUMN($O274)+1,4)),$O274:$AL274)*
$I274+SUMPRODUCT(--(MOD(COLUMN($AM274:$BJ274),4)=MOD(COLUMN($AM274)+1,4)),$AM274:$BJ274)*$I274</f>
        <v/>
      </c>
      <c r="BP274" s="807">
        <f>SUMPRODUCT(--(MOD(COLUMN($O274:$AL274),4)=MOD(COLUMN($O274)+2,4)),$O274:$AL274)
+SUMPRODUCT(--(MOD(COLUMN($AM274:$BJ274),4)=MOD(COLUMN($AM274)+2,4)),$AM274:$BJ274)</f>
        <v/>
      </c>
      <c r="BQ274" s="808">
        <f>SUMPRODUCT(--(MOD(COLUMN($O274:$AL274),4)=MOD(COLUMN($O274)+2,4)),$O274:$AL274)*
$I274+SUMPRODUCT(--(MOD(COLUMN($AM274:$BJ274),4)=MOD(COLUMN($AM274)+2,4)),$AM274:$BJ274)*$I274</f>
        <v/>
      </c>
      <c r="BR274" s="801" t="n"/>
      <c r="BS274" s="819" t="n"/>
      <c r="BT274" s="23" t="n"/>
      <c r="BU274" s="24" t="n"/>
      <c r="BV274" s="25" t="n"/>
      <c r="BW274" s="24" t="n"/>
      <c r="BX274" s="23" t="n">
        <v>5000</v>
      </c>
      <c r="BY274" s="24" t="n"/>
      <c r="BZ274" s="25" t="n">
        <v>0</v>
      </c>
      <c r="CA274" s="24" t="n"/>
      <c r="CB274" s="23" t="n"/>
      <c r="CC274" s="24" t="n"/>
      <c r="CD274" s="25" t="n"/>
      <c r="CE274" s="24" t="n"/>
      <c r="CF274" s="23" t="n"/>
      <c r="CG274" s="24" t="n"/>
      <c r="CH274" s="25" t="n"/>
      <c r="CI274" s="24" t="n"/>
      <c r="CJ274" s="23" t="n">
        <v>5000</v>
      </c>
      <c r="CK274" s="24" t="n"/>
      <c r="CL274" s="25" t="n">
        <v>0</v>
      </c>
      <c r="CM274" s="24" t="n"/>
      <c r="CN274" s="23" t="n"/>
      <c r="CO274" s="24" t="n"/>
      <c r="CP274" s="25" t="n"/>
      <c r="CQ274" s="24" t="n"/>
      <c r="CR274" s="23" t="n"/>
      <c r="CS274" s="24" t="n"/>
      <c r="CT274" s="25" t="n"/>
      <c r="CU274" s="24" t="n"/>
      <c r="CV274" s="23" t="n">
        <v>5000</v>
      </c>
      <c r="CW274" s="24" t="n"/>
      <c r="CX274" s="25" t="n">
        <v>0</v>
      </c>
      <c r="CY274" s="24" t="n"/>
      <c r="CZ274" s="23" t="n"/>
      <c r="DA274" s="24" t="n"/>
      <c r="DB274" s="25" t="n"/>
      <c r="DC274" s="24" t="n"/>
      <c r="DD274" s="23" t="n"/>
      <c r="DE274" s="24" t="n"/>
      <c r="DF274" s="25" t="n"/>
      <c r="DG274" s="24" t="n"/>
      <c r="DH274" s="23" t="n">
        <v>5000</v>
      </c>
      <c r="DI274" s="24" t="n"/>
      <c r="DJ274" s="25" t="n">
        <v>0</v>
      </c>
      <c r="DK274" s="24" t="n"/>
      <c r="DL274" s="23" t="n"/>
      <c r="DM274" s="24" t="n"/>
      <c r="DN274" s="25" t="n"/>
      <c r="DO274" s="24" t="n"/>
      <c r="DP274" s="340" t="n"/>
      <c r="DQ274" s="803">
        <f>SUMPRODUCT(--(MOD(COLUMN(BT274:CQ274),4)=MOD(COLUMN(BT274),4)),BT274:CQ274)+SUMPRODUCT(--(MOD(COLUMN(CR274:DO274),4)=MOD(COLUMN(CR274),4)),CR274:DO274)</f>
        <v/>
      </c>
      <c r="DR274" s="803">
        <f>SUMPRODUCT(--(MOD(COLUMN(BT274:CQ274),4)=MOD(COLUMN(BT274),4)),BT274:CQ274)*$I274+SUMPRODUCT(--(MOD(COLUMN(CR274:DO274),4)=MOD(COLUMN(CR274),4)),CR274:DO274)*$I274</f>
        <v/>
      </c>
      <c r="DS274" s="801" t="n"/>
      <c r="DT274" s="819" t="n"/>
      <c r="DU274" s="23" t="n"/>
      <c r="DV274" s="24" t="n"/>
      <c r="DW274" s="25" t="n"/>
      <c r="DX274" s="24" t="n"/>
      <c r="DY274" s="23" t="n">
        <v>5000</v>
      </c>
      <c r="DZ274" s="24" t="n"/>
      <c r="EA274" s="25" t="n">
        <v>0</v>
      </c>
      <c r="EB274" s="24" t="n"/>
      <c r="EC274" s="23" t="n"/>
      <c r="ED274" s="24" t="n"/>
      <c r="EE274" s="25" t="n"/>
      <c r="EF274" s="24" t="n"/>
      <c r="EG274" s="23" t="n"/>
      <c r="EH274" s="24" t="n"/>
      <c r="EI274" s="25" t="n"/>
      <c r="EJ274" s="24" t="n"/>
      <c r="EK274" s="23" t="n">
        <v>5000</v>
      </c>
      <c r="EL274" s="24" t="n"/>
      <c r="EM274" s="25" t="n">
        <v>0</v>
      </c>
      <c r="EN274" s="24" t="n"/>
      <c r="EO274" s="23" t="n"/>
      <c r="EP274" s="24" t="n"/>
      <c r="EQ274" s="25" t="n"/>
      <c r="ER274" s="24" t="n"/>
      <c r="ES274" s="23" t="n"/>
      <c r="ET274" s="24" t="n"/>
      <c r="EU274" s="25" t="n"/>
      <c r="EV274" s="24" t="n"/>
      <c r="EW274" s="23" t="n">
        <v>5000</v>
      </c>
      <c r="EX274" s="24" t="n"/>
      <c r="EY274" s="25" t="n">
        <v>0</v>
      </c>
      <c r="EZ274" s="24" t="n"/>
      <c r="FA274" s="23" t="n"/>
      <c r="FB274" s="24" t="n"/>
      <c r="FC274" s="25" t="n"/>
      <c r="FD274" s="24" t="n"/>
      <c r="FE274" s="23" t="n"/>
      <c r="FF274" s="24" t="n"/>
      <c r="FG274" s="25" t="n"/>
      <c r="FH274" s="24" t="n"/>
      <c r="FI274" s="23" t="n">
        <v>5000</v>
      </c>
      <c r="FJ274" s="24" t="n"/>
      <c r="FK274" s="25" t="n">
        <v>0</v>
      </c>
      <c r="FL274" s="24" t="n"/>
      <c r="FM274" s="23" t="n"/>
      <c r="FN274" s="24" t="n"/>
      <c r="FO274" s="25" t="n"/>
      <c r="FP274" s="24" t="n"/>
      <c r="FQ274" s="340" t="n"/>
      <c r="FR274" s="803">
        <f>SUMPRODUCT(--(MOD(COLUMN(DU274:ER274),4)=MOD(COLUMN(DU274),4)),DU274:ER274)+SUMPRODUCT(--(MOD(COLUMN(ES274:FP274),4)=MOD(COLUMN(ES274),4)),ES274:FP274)</f>
        <v/>
      </c>
      <c r="FS274" s="803">
        <f>SUMPRODUCT(--(MOD(COLUMN(DU274:ER274),4)=MOD(COLUMN(DU274),4)),DU274:ER274)*$I274+SUMPRODUCT(--(MOD(COLUMN(ES274:FP274),4)=MOD(COLUMN(ES274),4)),ES274:FP274)*$I274</f>
        <v/>
      </c>
      <c r="FT274" s="361" t="n"/>
    </row>
    <row r="275" outlineLevel="2">
      <c r="A275" s="420" t="inlineStr">
        <is>
          <t>АВТОВИК ООО / AVTOVIK OOO</t>
        </is>
      </c>
      <c r="B275" s="444" t="inlineStr">
        <is>
          <t>Предоплата 100%</t>
        </is>
      </c>
      <c r="C275" s="592" t="inlineStr">
        <is>
          <t>ВБК РУС</t>
        </is>
      </c>
      <c r="D275" s="586" t="inlineStr">
        <is>
          <t>Прасолов, Соловьёв</t>
        </is>
      </c>
      <c r="E275" s="414">
        <f>IF(ISBLANK(G275),"",IF($A$6:$A$330=$A275,COUNTIF($A$6:A275,$A275),""))</f>
        <v/>
      </c>
      <c r="F275" s="284" t="n">
        <v>1</v>
      </c>
      <c r="G275" s="304" t="n">
        <v>828877016</v>
      </c>
      <c r="H275" s="602" t="inlineStr">
        <is>
          <t>Шланг тормозной (м)</t>
        </is>
      </c>
      <c r="I275" s="616">
        <f>J275/ЮАНЬ_2025_08_29</f>
        <v/>
      </c>
      <c r="J275" s="616">
        <f>285/НДС</f>
        <v/>
      </c>
      <c r="K275" s="870" t="inlineStr">
        <is>
          <t>RUB</t>
        </is>
      </c>
      <c r="L275" s="616">
        <f>IF(K275="RUB",J275/ЮАНЬ,IF(K275="EUR",J275*ЕВРО/ЮАНЬ,""))</f>
        <v/>
      </c>
      <c r="M275" s="871" t="n"/>
      <c r="N275" s="871">
        <f>IF(BP275&gt;0,1,IF(BN275&gt;0,2,))</f>
        <v/>
      </c>
      <c r="O275" s="322" t="n"/>
      <c r="P275" s="408" t="n"/>
      <c r="Q275" s="307" t="n"/>
      <c r="R275" s="408" t="n"/>
      <c r="S275" s="322" t="n"/>
      <c r="T275" s="408" t="n"/>
      <c r="U275" s="307" t="n"/>
      <c r="V275" s="408" t="n"/>
      <c r="W275" s="322" t="n"/>
      <c r="X275" s="386">
        <f>600</f>
        <v/>
      </c>
      <c r="Y275" s="307" t="n">
        <v>600</v>
      </c>
      <c r="Z275" s="675" t="n">
        <v>600</v>
      </c>
      <c r="AA275" s="322" t="n"/>
      <c r="AB275" s="386">
        <f>1900</f>
        <v/>
      </c>
      <c r="AC275" s="579" t="n">
        <v>1900</v>
      </c>
      <c r="AD275" s="675" t="n">
        <v>1900</v>
      </c>
      <c r="AE275" s="322" t="n"/>
      <c r="AF275" s="386" t="n"/>
      <c r="AG275" s="307" t="n">
        <v>0</v>
      </c>
      <c r="AH275" s="24" t="n"/>
      <c r="AI275" s="322" t="n"/>
      <c r="AJ275" s="408">
        <f>1800+200</f>
        <v/>
      </c>
      <c r="AK275" s="307" t="n">
        <v>0</v>
      </c>
      <c r="AL275" s="675" t="n">
        <v>1800</v>
      </c>
      <c r="AM275" s="322" t="n"/>
      <c r="AN275" s="408" t="n"/>
      <c r="AO275" s="307" t="n"/>
      <c r="AP275" s="408" t="n"/>
      <c r="AQ275" s="322" t="n"/>
      <c r="AR275" s="408" t="n"/>
      <c r="AS275" s="307" t="n"/>
      <c r="AT275" s="408" t="n"/>
      <c r="AU275" s="322" t="n"/>
      <c r="AV275" s="408" t="n"/>
      <c r="AW275" s="307" t="n"/>
      <c r="AX275" s="408" t="n"/>
      <c r="AY275" s="322" t="n"/>
      <c r="AZ275" s="408" t="n"/>
      <c r="BA275" s="307" t="n"/>
      <c r="BB275" s="408" t="n"/>
      <c r="BC275" s="322" t="n"/>
      <c r="BD275" s="408" t="n"/>
      <c r="BE275" s="307" t="n"/>
      <c r="BF275" s="408" t="n"/>
      <c r="BG275" s="322" t="n"/>
      <c r="BH275" s="408" t="n"/>
      <c r="BI275" s="307" t="n"/>
      <c r="BJ275" s="408" t="n"/>
      <c r="BK275" s="340" t="n"/>
      <c r="BL275" s="820">
        <f>SUMPRODUCT(--(MOD(COLUMN($O275:$AL275),4)=MOD(COLUMN($O275)+0,4)),$O275:$AL275)
+SUMPRODUCT(--(MOD(COLUMN($AM275:$BJ275),4)=MOD(COLUMN($AM275)+0,4)),$AM275:$BJ275)</f>
        <v/>
      </c>
      <c r="BM275" s="820">
        <f>SUMPRODUCT(--(MOD(COLUMN($O275:$AL275),4)=MOD(COLUMN($O275)+0,4)),$O275:$AL275)*$I275
+SUMPRODUCT(--(MOD(COLUMN($AM275:$BJ275),4)=MOD(COLUMN($AM275)+0,4)),$AM275:$BJ275)*$I275</f>
        <v/>
      </c>
      <c r="BN275" s="822">
        <f>SUMPRODUCT(--(MOD(COLUMN($O275:$AL275),4)=MOD(COLUMN($O275)+1,4)),$O275:$AL275)
+SUMPRODUCT(--(MOD(COLUMN($AM275:$BJ275),4)=MOD(COLUMN($AM275)+1,4)),$AM275:$BJ275)</f>
        <v/>
      </c>
      <c r="BO275" s="823">
        <f>SUMPRODUCT(--(MOD(COLUMN($O275:$AL275),4)=MOD(COLUMN($O275)+1,4)),$O275:$AL275)*$I275
+SUMPRODUCT(--(MOD(COLUMN($AM275:$BJ275),4)=MOD(COLUMN($AM275)+1,4)),$AM275:$BJ275)*$I275</f>
        <v/>
      </c>
      <c r="BP275" s="824">
        <f>SUMPRODUCT(--(MOD(COLUMN($O275:$AL275),4)=MOD(COLUMN($O275)+2,4)),$O275:$AL275)
+SUMPRODUCT(--(MOD(COLUMN($AM275:$BJ275),4)=MOD(COLUMN($AM275)+2,4)),$AM275:$BJ275)</f>
        <v/>
      </c>
      <c r="BQ275" s="825">
        <f>SUMPRODUCT(--(MOD(COLUMN($O275:$AL275),4)=MOD(COLUMN($O275)+2,4)),$O275:$AL275)*$I275
+SUMPRODUCT(--(MOD(COLUMN($AM275:$BJ275),4)=MOD(COLUMN($AM275)+2,4)),$AM275:$BJ275)*$I275</f>
        <v/>
      </c>
      <c r="BR275" s="819" t="n"/>
      <c r="BS275" s="819" t="n"/>
      <c r="BT275" s="322" t="n"/>
      <c r="BU275" s="408" t="n"/>
      <c r="BV275" s="307" t="n"/>
      <c r="BW275" s="408" t="n"/>
      <c r="BX275" s="322" t="n"/>
      <c r="BY275" s="408" t="n"/>
      <c r="BZ275" s="307" t="n"/>
      <c r="CA275" s="408" t="n"/>
      <c r="CB275" s="322" t="n"/>
      <c r="CC275" s="408" t="n"/>
      <c r="CD275" s="307" t="n"/>
      <c r="CE275" s="408" t="n"/>
      <c r="CF275" s="322" t="n"/>
      <c r="CG275" s="408" t="n"/>
      <c r="CH275" s="307" t="n"/>
      <c r="CI275" s="408" t="n"/>
      <c r="CJ275" s="322" t="n"/>
      <c r="CK275" s="408" t="n"/>
      <c r="CL275" s="307" t="n"/>
      <c r="CM275" s="408" t="n"/>
      <c r="CN275" s="322" t="n"/>
      <c r="CO275" s="408" t="n"/>
      <c r="CP275" s="307" t="n"/>
      <c r="CQ275" s="408" t="n"/>
      <c r="CR275" s="322" t="n"/>
      <c r="CS275" s="408" t="n"/>
      <c r="CT275" s="307" t="n"/>
      <c r="CU275" s="408" t="n"/>
      <c r="CV275" s="322" t="n"/>
      <c r="CW275" s="408" t="n"/>
      <c r="CX275" s="307" t="n"/>
      <c r="CY275" s="408" t="n"/>
      <c r="CZ275" s="322" t="n"/>
      <c r="DA275" s="408" t="n"/>
      <c r="DB275" s="307" t="n"/>
      <c r="DC275" s="408" t="n"/>
      <c r="DD275" s="322" t="n"/>
      <c r="DE275" s="408" t="n"/>
      <c r="DF275" s="307" t="n"/>
      <c r="DG275" s="408" t="n"/>
      <c r="DH275" s="322" t="n"/>
      <c r="DI275" s="408" t="n"/>
      <c r="DJ275" s="307" t="n"/>
      <c r="DK275" s="408" t="n"/>
      <c r="DL275" s="322" t="n"/>
      <c r="DM275" s="408" t="n"/>
      <c r="DN275" s="307" t="n"/>
      <c r="DO275" s="408" t="n"/>
      <c r="DP275" s="340" t="n"/>
      <c r="DQ275" s="820" t="n"/>
      <c r="DR275" s="820" t="n"/>
      <c r="DS275" s="819" t="n"/>
      <c r="DT275" s="819" t="n"/>
      <c r="DU275" s="322" t="n"/>
      <c r="DV275" s="408" t="n"/>
      <c r="DW275" s="307" t="n"/>
      <c r="DX275" s="408" t="n"/>
      <c r="DY275" s="322" t="n"/>
      <c r="DZ275" s="408" t="n"/>
      <c r="EA275" s="307" t="n"/>
      <c r="EB275" s="408" t="n"/>
      <c r="EC275" s="322" t="n"/>
      <c r="ED275" s="408" t="n"/>
      <c r="EE275" s="307" t="n"/>
      <c r="EF275" s="408" t="n"/>
      <c r="EG275" s="322" t="n"/>
      <c r="EH275" s="408" t="n"/>
      <c r="EI275" s="307" t="n"/>
      <c r="EJ275" s="408" t="n"/>
      <c r="EK275" s="322" t="n"/>
      <c r="EL275" s="408" t="n"/>
      <c r="EM275" s="307" t="n"/>
      <c r="EN275" s="408" t="n"/>
      <c r="EO275" s="322" t="n"/>
      <c r="EP275" s="408" t="n"/>
      <c r="EQ275" s="307" t="n"/>
      <c r="ER275" s="408" t="n"/>
      <c r="ES275" s="322" t="n"/>
      <c r="ET275" s="408" t="n"/>
      <c r="EU275" s="307" t="n"/>
      <c r="EV275" s="408" t="n"/>
      <c r="EW275" s="322" t="n"/>
      <c r="EX275" s="408" t="n"/>
      <c r="EY275" s="307" t="n"/>
      <c r="EZ275" s="408" t="n"/>
      <c r="FA275" s="322" t="n"/>
      <c r="FB275" s="408" t="n"/>
      <c r="FC275" s="307" t="n"/>
      <c r="FD275" s="408" t="n"/>
      <c r="FE275" s="322" t="n"/>
      <c r="FF275" s="408" t="n"/>
      <c r="FG275" s="307" t="n"/>
      <c r="FH275" s="408" t="n"/>
      <c r="FI275" s="322" t="n"/>
      <c r="FJ275" s="408" t="n"/>
      <c r="FK275" s="307" t="n"/>
      <c r="FL275" s="408" t="n"/>
      <c r="FM275" s="322" t="n"/>
      <c r="FN275" s="408" t="n"/>
      <c r="FO275" s="307" t="n"/>
      <c r="FP275" s="408" t="n"/>
      <c r="FQ275" s="340" t="n"/>
      <c r="FR275" s="820" t="n"/>
      <c r="FS275" s="820" t="n"/>
      <c r="FT275" s="361" t="n"/>
    </row>
    <row r="276" outlineLevel="2">
      <c r="A276" s="58" t="inlineStr">
        <is>
          <t>АВТОВИК ООО / AVTOVIK OOO</t>
        </is>
      </c>
      <c r="B276" s="387" t="inlineStr">
        <is>
          <t>Предоплата 100%</t>
        </is>
      </c>
      <c r="C276" s="173" t="inlineStr">
        <is>
          <t>ВБК РУС</t>
        </is>
      </c>
      <c r="D276" s="595" t="inlineStr">
        <is>
          <t>Прасолов, Соловьёв</t>
        </is>
      </c>
      <c r="E276" s="10">
        <f>IF(ISBLANK(G276),"",IF($A$6:$A$330=$A276,COUNTIF($A$6:A276,$A276),""))</f>
        <v/>
      </c>
      <c r="F276" s="10" t="n">
        <v>1</v>
      </c>
      <c r="G276" s="55" t="n">
        <v>9522010010</v>
      </c>
      <c r="H276" s="54" t="inlineStr">
        <is>
          <t>Головка соединительная (управляющая)</t>
        </is>
      </c>
      <c r="I276" s="617">
        <f>91.11/НДС</f>
        <v/>
      </c>
      <c r="J276" s="617" t="n"/>
      <c r="K276" s="872" t="n"/>
      <c r="L276" s="617">
        <f>IF(K276="RUB",J276/ЮАНЬ,IF(K276="EUR",J276*ЕВРО/ЮАНЬ,""))</f>
        <v/>
      </c>
      <c r="M276" s="873" t="n"/>
      <c r="N276" s="871">
        <f>IF(BP276&gt;0,1,IF(BN276&gt;0,2,))</f>
        <v/>
      </c>
      <c r="O276" s="23" t="n"/>
      <c r="P276" s="24" t="n"/>
      <c r="Q276" s="25" t="n">
        <v>0</v>
      </c>
      <c r="R276" s="24" t="n"/>
      <c r="S276" s="23" t="n"/>
      <c r="T276" s="24" t="n"/>
      <c r="U276" s="25" t="n">
        <v>50</v>
      </c>
      <c r="V276" s="24" t="n"/>
      <c r="W276" s="23" t="n"/>
      <c r="X276" s="26" t="n"/>
      <c r="Y276" s="25" t="n">
        <v>20</v>
      </c>
      <c r="Z276" s="24" t="n"/>
      <c r="AA276" s="23" t="n"/>
      <c r="AB276" s="26" t="n"/>
      <c r="AC276" s="25" t="n">
        <v>0</v>
      </c>
      <c r="AD276" s="24" t="n"/>
      <c r="AE276" s="23" t="n"/>
      <c r="AF276" s="26" t="n"/>
      <c r="AG276" s="25" t="n">
        <v>0</v>
      </c>
      <c r="AH276" s="24" t="n"/>
      <c r="AI276" s="23" t="n"/>
      <c r="AJ276" s="24">
        <f>30</f>
        <v/>
      </c>
      <c r="AK276" s="25" t="n">
        <v>0</v>
      </c>
      <c r="AL276" s="24" t="n"/>
      <c r="AM276" s="23" t="n"/>
      <c r="AN276" s="24" t="n"/>
      <c r="AO276" s="25" t="n">
        <v>0</v>
      </c>
      <c r="AP276" s="24" t="n"/>
      <c r="AQ276" s="23" t="n"/>
      <c r="AR276" s="24" t="n"/>
      <c r="AS276" s="25" t="n">
        <v>0</v>
      </c>
      <c r="AT276" s="24" t="n"/>
      <c r="AU276" s="23" t="n"/>
      <c r="AV276" s="24" t="n"/>
      <c r="AW276" s="25" t="n">
        <v>0</v>
      </c>
      <c r="AX276" s="24" t="n"/>
      <c r="AY276" s="23" t="n"/>
      <c r="AZ276" s="24" t="n"/>
      <c r="BA276" s="25" t="n">
        <v>0</v>
      </c>
      <c r="BB276" s="24" t="n"/>
      <c r="BC276" s="23" t="n"/>
      <c r="BD276" s="24" t="n"/>
      <c r="BE276" s="25" t="n">
        <v>0</v>
      </c>
      <c r="BF276" s="24" t="n"/>
      <c r="BG276" s="23" t="n"/>
      <c r="BH276" s="24" t="n"/>
      <c r="BI276" s="25" t="n">
        <v>0</v>
      </c>
      <c r="BJ276" s="24" t="n"/>
      <c r="BK276" s="340" t="n"/>
      <c r="BL276" s="803">
        <f>SUMPRODUCT(--(MOD(COLUMN($O276:$AL276),4)=MOD(COLUMN($O276)+0,4)),$O276:$AL276)
+SUMPRODUCT(--(MOD(COLUMN($AM276:$BJ276),4)=MOD(COLUMN($AM276)+0,4)),$AM276:$BJ276)</f>
        <v/>
      </c>
      <c r="BM276" s="803">
        <f>SUMPRODUCT(--(MOD(COLUMN($O276:$AL276),4)=MOD(COLUMN($O276)+0,4)),$O276:$AL276)*
$I276+SUMPRODUCT(--(MOD(COLUMN($AM276:$BJ276),4)=MOD(COLUMN($AM276)+0,4)),$AM276:$BJ276)*$I276</f>
        <v/>
      </c>
      <c r="BN276" s="805">
        <f>SUMPRODUCT(--(MOD(COLUMN($O276:$AL276),4)=MOD(COLUMN($O276)+1,4)),$O276:$AL276)
+SUMPRODUCT(--(MOD(COLUMN($AM276:$BJ276),4)=MOD(COLUMN($AM276)+1,4)),$AM276:$BJ276)</f>
        <v/>
      </c>
      <c r="BO276" s="806">
        <f>SUMPRODUCT(--(MOD(COLUMN($O276:$AL276),4)=MOD(COLUMN($O276)+1,4)),$O276:$AL276)*
$I276+SUMPRODUCT(--(MOD(COLUMN($AM276:$BJ276),4)=MOD(COLUMN($AM276)+1,4)),$AM276:$BJ276)*$I276</f>
        <v/>
      </c>
      <c r="BP276" s="807">
        <f>SUMPRODUCT(--(MOD(COLUMN($O276:$AL276),4)=MOD(COLUMN($O276)+2,4)),$O276:$AL276)
+SUMPRODUCT(--(MOD(COLUMN($AM276:$BJ276),4)=MOD(COLUMN($AM276)+2,4)),$AM276:$BJ276)</f>
        <v/>
      </c>
      <c r="BQ276" s="808">
        <f>SUMPRODUCT(--(MOD(COLUMN($O276:$AL276),4)=MOD(COLUMN($O276)+2,4)),$O276:$AL276)*
$I276+SUMPRODUCT(--(MOD(COLUMN($AM276:$BJ276),4)=MOD(COLUMN($AM276)+2,4)),$AM276:$BJ276)*$I276</f>
        <v/>
      </c>
      <c r="BR276" s="801" t="n"/>
      <c r="BS276" s="819" t="n"/>
      <c r="BT276" s="23" t="n"/>
      <c r="BU276" s="24" t="n"/>
      <c r="BV276" s="25" t="n">
        <v>0</v>
      </c>
      <c r="BW276" s="24" t="n"/>
      <c r="BX276" s="23" t="n"/>
      <c r="BY276" s="24" t="n"/>
      <c r="BZ276" s="25" t="n">
        <v>0</v>
      </c>
      <c r="CA276" s="24" t="n"/>
      <c r="CB276" s="23" t="n"/>
      <c r="CC276" s="24" t="n"/>
      <c r="CD276" s="25" t="n">
        <v>0</v>
      </c>
      <c r="CE276" s="24" t="n"/>
      <c r="CF276" s="23" t="n"/>
      <c r="CG276" s="24" t="n"/>
      <c r="CH276" s="25" t="n">
        <v>0</v>
      </c>
      <c r="CI276" s="24" t="n"/>
      <c r="CJ276" s="23" t="n"/>
      <c r="CK276" s="24" t="n"/>
      <c r="CL276" s="25" t="n">
        <v>0</v>
      </c>
      <c r="CM276" s="24" t="n"/>
      <c r="CN276" s="23" t="n"/>
      <c r="CO276" s="24" t="n"/>
      <c r="CP276" s="25" t="n">
        <v>0</v>
      </c>
      <c r="CQ276" s="24" t="n"/>
      <c r="CR276" s="23" t="n"/>
      <c r="CS276" s="24" t="n"/>
      <c r="CT276" s="25" t="n">
        <v>0</v>
      </c>
      <c r="CU276" s="24" t="n"/>
      <c r="CV276" s="23" t="n"/>
      <c r="CW276" s="24" t="n"/>
      <c r="CX276" s="25" t="n">
        <v>0</v>
      </c>
      <c r="CY276" s="24" t="n"/>
      <c r="CZ276" s="23" t="n"/>
      <c r="DA276" s="24" t="n"/>
      <c r="DB276" s="25" t="n">
        <v>0</v>
      </c>
      <c r="DC276" s="24" t="n"/>
      <c r="DD276" s="23" t="n"/>
      <c r="DE276" s="24" t="n"/>
      <c r="DF276" s="25" t="n">
        <v>0</v>
      </c>
      <c r="DG276" s="24" t="n"/>
      <c r="DH276" s="23" t="n"/>
      <c r="DI276" s="24" t="n"/>
      <c r="DJ276" s="25" t="n">
        <v>0</v>
      </c>
      <c r="DK276" s="24" t="n"/>
      <c r="DL276" s="23" t="n"/>
      <c r="DM276" s="24" t="n"/>
      <c r="DN276" s="25" t="n">
        <v>0</v>
      </c>
      <c r="DO276" s="24" t="n"/>
      <c r="DP276" s="340" t="n"/>
      <c r="DQ276" s="803">
        <f>SUMPRODUCT(--(MOD(COLUMN(BT276:CQ276),4)=MOD(COLUMN(BT276),4)),BT276:CQ276)+SUMPRODUCT(--(MOD(COLUMN(CR276:DO276),4)=MOD(COLUMN(CR276),4)),CR276:DO276)</f>
        <v/>
      </c>
      <c r="DR276" s="803">
        <f>SUMPRODUCT(--(MOD(COLUMN(BT276:CQ276),4)=MOD(COLUMN(BT276),4)),BT276:CQ276)*$I276+SUMPRODUCT(--(MOD(COLUMN(CR276:DO276),4)=MOD(COLUMN(CR276),4)),CR276:DO276)*$I276</f>
        <v/>
      </c>
      <c r="DS276" s="801" t="n"/>
      <c r="DT276" s="819" t="n"/>
      <c r="DU276" s="23" t="n"/>
      <c r="DV276" s="24" t="n"/>
      <c r="DW276" s="25" t="n">
        <v>0</v>
      </c>
      <c r="DX276" s="24" t="n"/>
      <c r="DY276" s="23" t="n"/>
      <c r="DZ276" s="24" t="n"/>
      <c r="EA276" s="25" t="n">
        <v>0</v>
      </c>
      <c r="EB276" s="24" t="n"/>
      <c r="EC276" s="23" t="n"/>
      <c r="ED276" s="24" t="n"/>
      <c r="EE276" s="25" t="n">
        <v>0</v>
      </c>
      <c r="EF276" s="24" t="n"/>
      <c r="EG276" s="23" t="n"/>
      <c r="EH276" s="24" t="n"/>
      <c r="EI276" s="25" t="n">
        <v>0</v>
      </c>
      <c r="EJ276" s="24" t="n"/>
      <c r="EK276" s="23" t="n"/>
      <c r="EL276" s="24" t="n"/>
      <c r="EM276" s="25" t="n">
        <v>0</v>
      </c>
      <c r="EN276" s="24" t="n"/>
      <c r="EO276" s="23" t="n"/>
      <c r="EP276" s="24" t="n"/>
      <c r="EQ276" s="25" t="n">
        <v>0</v>
      </c>
      <c r="ER276" s="24" t="n"/>
      <c r="ES276" s="23" t="n"/>
      <c r="ET276" s="24" t="n"/>
      <c r="EU276" s="25" t="n">
        <v>0</v>
      </c>
      <c r="EV276" s="24" t="n"/>
      <c r="EW276" s="23" t="n"/>
      <c r="EX276" s="24" t="n"/>
      <c r="EY276" s="25" t="n">
        <v>0</v>
      </c>
      <c r="EZ276" s="24" t="n"/>
      <c r="FA276" s="23" t="n"/>
      <c r="FB276" s="24" t="n"/>
      <c r="FC276" s="25" t="n">
        <v>0</v>
      </c>
      <c r="FD276" s="24" t="n"/>
      <c r="FE276" s="23" t="n"/>
      <c r="FF276" s="24" t="n"/>
      <c r="FG276" s="25" t="n">
        <v>0</v>
      </c>
      <c r="FH276" s="24" t="n"/>
      <c r="FI276" s="23" t="n"/>
      <c r="FJ276" s="24" t="n"/>
      <c r="FK276" s="25" t="n">
        <v>0</v>
      </c>
      <c r="FL276" s="24" t="n"/>
      <c r="FM276" s="23" t="n"/>
      <c r="FN276" s="24" t="n"/>
      <c r="FO276" s="25" t="n">
        <v>0</v>
      </c>
      <c r="FP276" s="24" t="n"/>
      <c r="FQ276" s="340" t="n"/>
      <c r="FR276" s="803">
        <f>SUMPRODUCT(--(MOD(COLUMN(DU276:ER276),4)=MOD(COLUMN(DU276),4)),DU276:ER276)+SUMPRODUCT(--(MOD(COLUMN(ES276:FP276),4)=MOD(COLUMN(ES276),4)),ES276:FP276)</f>
        <v/>
      </c>
      <c r="FS276" s="803">
        <f>SUMPRODUCT(--(MOD(COLUMN(DU276:ER276),4)=MOD(COLUMN(DU276),4)),DU276:ER276)*$I276+SUMPRODUCT(--(MOD(COLUMN(ES276:FP276),4)=MOD(COLUMN(ES276),4)),ES276:FP276)*$I276</f>
        <v/>
      </c>
      <c r="FT276" s="361" t="n"/>
    </row>
    <row r="277" outlineLevel="2">
      <c r="A277" s="58" t="inlineStr">
        <is>
          <t>АВТОВИК ООО / AVTOVIK OOO</t>
        </is>
      </c>
      <c r="B277" s="387" t="inlineStr">
        <is>
          <t>Предоплата 100%</t>
        </is>
      </c>
      <c r="C277" s="173" t="inlineStr">
        <is>
          <t>ВБК РУС</t>
        </is>
      </c>
      <c r="D277" s="595" t="inlineStr">
        <is>
          <t>Прасолов, Соловьёв</t>
        </is>
      </c>
      <c r="E277" s="10">
        <f>IF(ISBLANK(G277),"",IF($A$6:$A$330=$A277,COUNTIF($A$6:A277,$A277),""))</f>
        <v/>
      </c>
      <c r="F277" s="10" t="n">
        <v>1</v>
      </c>
      <c r="G277" s="55" t="n">
        <v>9522010020</v>
      </c>
      <c r="H277" s="54" t="inlineStr">
        <is>
          <t>Головка соединительная (питающая)</t>
        </is>
      </c>
      <c r="I277" s="617">
        <f>91.11/НДС</f>
        <v/>
      </c>
      <c r="J277" s="617" t="n"/>
      <c r="K277" s="872" t="n"/>
      <c r="L277" s="617">
        <f>IF(K277="RUB",J277/ЮАНЬ,IF(K277="EUR",J277*ЕВРО/ЮАНЬ,""))</f>
        <v/>
      </c>
      <c r="M277" s="873" t="n"/>
      <c r="N277" s="871">
        <f>IF(BP277&gt;0,1,IF(BN277&gt;0,2,))</f>
        <v/>
      </c>
      <c r="O277" s="23" t="n"/>
      <c r="P277" s="24" t="n"/>
      <c r="Q277" s="25" t="n">
        <v>0</v>
      </c>
      <c r="R277" s="24" t="n"/>
      <c r="S277" s="23" t="n"/>
      <c r="T277" s="24" t="n"/>
      <c r="U277" s="25" t="n">
        <v>50</v>
      </c>
      <c r="V277" s="24" t="n"/>
      <c r="W277" s="23" t="n"/>
      <c r="X277" s="26" t="n"/>
      <c r="Y277" s="25" t="n">
        <v>20</v>
      </c>
      <c r="Z277" s="24" t="n"/>
      <c r="AA277" s="23" t="n"/>
      <c r="AB277" s="26" t="n"/>
      <c r="AC277" s="25" t="n">
        <v>0</v>
      </c>
      <c r="AD277" s="24" t="n"/>
      <c r="AE277" s="23" t="n"/>
      <c r="AF277" s="26" t="n"/>
      <c r="AG277" s="25" t="n">
        <v>0</v>
      </c>
      <c r="AH277" s="24" t="n"/>
      <c r="AI277" s="23" t="n"/>
      <c r="AJ277" s="24">
        <f>30</f>
        <v/>
      </c>
      <c r="AK277" s="25" t="n">
        <v>0</v>
      </c>
      <c r="AL277" s="24" t="n"/>
      <c r="AM277" s="23" t="n"/>
      <c r="AN277" s="24" t="n"/>
      <c r="AO277" s="25" t="n">
        <v>0</v>
      </c>
      <c r="AP277" s="24" t="n"/>
      <c r="AQ277" s="23" t="n"/>
      <c r="AR277" s="24" t="n"/>
      <c r="AS277" s="25" t="n">
        <v>0</v>
      </c>
      <c r="AT277" s="24" t="n"/>
      <c r="AU277" s="23" t="n"/>
      <c r="AV277" s="24" t="n"/>
      <c r="AW277" s="25" t="n">
        <v>0</v>
      </c>
      <c r="AX277" s="24" t="n"/>
      <c r="AY277" s="23" t="n"/>
      <c r="AZ277" s="24" t="n"/>
      <c r="BA277" s="25" t="n">
        <v>0</v>
      </c>
      <c r="BB277" s="24" t="n"/>
      <c r="BC277" s="23" t="n"/>
      <c r="BD277" s="24" t="n"/>
      <c r="BE277" s="25" t="n">
        <v>0</v>
      </c>
      <c r="BF277" s="24" t="n"/>
      <c r="BG277" s="23" t="n"/>
      <c r="BH277" s="24" t="n"/>
      <c r="BI277" s="25" t="n">
        <v>0</v>
      </c>
      <c r="BJ277" s="24" t="n"/>
      <c r="BK277" s="340" t="n"/>
      <c r="BL277" s="803">
        <f>SUMPRODUCT(--(MOD(COLUMN($O277:$AL277),4)=MOD(COLUMN($O277)+0,4)),$O277:$AL277)
+SUMPRODUCT(--(MOD(COLUMN($AM277:$BJ277),4)=MOD(COLUMN($AM277)+0,4)),$AM277:$BJ277)</f>
        <v/>
      </c>
      <c r="BM277" s="803">
        <f>SUMPRODUCT(--(MOD(COLUMN($O277:$AL277),4)=MOD(COLUMN($O277)+0,4)),$O277:$AL277)*
$I277+SUMPRODUCT(--(MOD(COLUMN($AM277:$BJ277),4)=MOD(COLUMN($AM277)+0,4)),$AM277:$BJ277)*$I277</f>
        <v/>
      </c>
      <c r="BN277" s="805">
        <f>SUMPRODUCT(--(MOD(COLUMN($O277:$AL277),4)=MOD(COLUMN($O277)+1,4)),$O277:$AL277)
+SUMPRODUCT(--(MOD(COLUMN($AM277:$BJ277),4)=MOD(COLUMN($AM277)+1,4)),$AM277:$BJ277)</f>
        <v/>
      </c>
      <c r="BO277" s="806">
        <f>SUMPRODUCT(--(MOD(COLUMN($O277:$AL277),4)=MOD(COLUMN($O277)+1,4)),$O277:$AL277)*
$I277+SUMPRODUCT(--(MOD(COLUMN($AM277:$BJ277),4)=MOD(COLUMN($AM277)+1,4)),$AM277:$BJ277)*$I277</f>
        <v/>
      </c>
      <c r="BP277" s="807">
        <f>SUMPRODUCT(--(MOD(COLUMN($O277:$AL277),4)=MOD(COLUMN($O277)+2,4)),$O277:$AL277)
+SUMPRODUCT(--(MOD(COLUMN($AM277:$BJ277),4)=MOD(COLUMN($AM277)+2,4)),$AM277:$BJ277)</f>
        <v/>
      </c>
      <c r="BQ277" s="808">
        <f>SUMPRODUCT(--(MOD(COLUMN($O277:$AL277),4)=MOD(COLUMN($O277)+2,4)),$O277:$AL277)*
$I277+SUMPRODUCT(--(MOD(COLUMN($AM277:$BJ277),4)=MOD(COLUMN($AM277)+2,4)),$AM277:$BJ277)*$I277</f>
        <v/>
      </c>
      <c r="BR277" s="801" t="n"/>
      <c r="BS277" s="819" t="n"/>
      <c r="BT277" s="23" t="n"/>
      <c r="BU277" s="24" t="n"/>
      <c r="BV277" s="25" t="n">
        <v>0</v>
      </c>
      <c r="BW277" s="24" t="n"/>
      <c r="BX277" s="23" t="n"/>
      <c r="BY277" s="24" t="n"/>
      <c r="BZ277" s="25" t="n">
        <v>0</v>
      </c>
      <c r="CA277" s="24" t="n"/>
      <c r="CB277" s="23" t="n"/>
      <c r="CC277" s="24" t="n"/>
      <c r="CD277" s="25" t="n">
        <v>0</v>
      </c>
      <c r="CE277" s="24" t="n"/>
      <c r="CF277" s="23" t="n"/>
      <c r="CG277" s="24" t="n"/>
      <c r="CH277" s="25" t="n">
        <v>0</v>
      </c>
      <c r="CI277" s="24" t="n"/>
      <c r="CJ277" s="23" t="n"/>
      <c r="CK277" s="24" t="n"/>
      <c r="CL277" s="25" t="n">
        <v>0</v>
      </c>
      <c r="CM277" s="24" t="n"/>
      <c r="CN277" s="23" t="n"/>
      <c r="CO277" s="24" t="n"/>
      <c r="CP277" s="25" t="n">
        <v>0</v>
      </c>
      <c r="CQ277" s="24" t="n"/>
      <c r="CR277" s="23" t="n"/>
      <c r="CS277" s="24" t="n"/>
      <c r="CT277" s="25" t="n">
        <v>0</v>
      </c>
      <c r="CU277" s="24" t="n"/>
      <c r="CV277" s="23" t="n"/>
      <c r="CW277" s="24" t="n"/>
      <c r="CX277" s="25" t="n">
        <v>0</v>
      </c>
      <c r="CY277" s="24" t="n"/>
      <c r="CZ277" s="23" t="n"/>
      <c r="DA277" s="24" t="n"/>
      <c r="DB277" s="25" t="n">
        <v>0</v>
      </c>
      <c r="DC277" s="24" t="n"/>
      <c r="DD277" s="23" t="n"/>
      <c r="DE277" s="24" t="n"/>
      <c r="DF277" s="25" t="n">
        <v>0</v>
      </c>
      <c r="DG277" s="24" t="n"/>
      <c r="DH277" s="23" t="n"/>
      <c r="DI277" s="24" t="n"/>
      <c r="DJ277" s="25" t="n">
        <v>0</v>
      </c>
      <c r="DK277" s="24" t="n"/>
      <c r="DL277" s="23" t="n"/>
      <c r="DM277" s="24" t="n"/>
      <c r="DN277" s="25" t="n">
        <v>0</v>
      </c>
      <c r="DO277" s="24" t="n"/>
      <c r="DP277" s="340" t="n"/>
      <c r="DQ277" s="803">
        <f>SUMPRODUCT(--(MOD(COLUMN(BT277:CQ277),4)=MOD(COLUMN(BT277),4)),BT277:CQ277)+SUMPRODUCT(--(MOD(COLUMN(CR277:DO277),4)=MOD(COLUMN(CR277),4)),CR277:DO277)</f>
        <v/>
      </c>
      <c r="DR277" s="803">
        <f>SUMPRODUCT(--(MOD(COLUMN(BT277:CQ277),4)=MOD(COLUMN(BT277),4)),BT277:CQ277)*$I277+SUMPRODUCT(--(MOD(COLUMN(CR277:DO277),4)=MOD(COLUMN(CR277),4)),CR277:DO277)*$I277</f>
        <v/>
      </c>
      <c r="DS277" s="801" t="n"/>
      <c r="DT277" s="819" t="n"/>
      <c r="DU277" s="23" t="n"/>
      <c r="DV277" s="24" t="n"/>
      <c r="DW277" s="25" t="n">
        <v>0</v>
      </c>
      <c r="DX277" s="24" t="n"/>
      <c r="DY277" s="23" t="n"/>
      <c r="DZ277" s="24" t="n"/>
      <c r="EA277" s="25" t="n">
        <v>0</v>
      </c>
      <c r="EB277" s="24" t="n"/>
      <c r="EC277" s="23" t="n"/>
      <c r="ED277" s="24" t="n"/>
      <c r="EE277" s="25" t="n">
        <v>0</v>
      </c>
      <c r="EF277" s="24" t="n"/>
      <c r="EG277" s="23" t="n"/>
      <c r="EH277" s="24" t="n"/>
      <c r="EI277" s="25" t="n">
        <v>0</v>
      </c>
      <c r="EJ277" s="24" t="n"/>
      <c r="EK277" s="23" t="n"/>
      <c r="EL277" s="24" t="n"/>
      <c r="EM277" s="25" t="n">
        <v>0</v>
      </c>
      <c r="EN277" s="24" t="n"/>
      <c r="EO277" s="23" t="n"/>
      <c r="EP277" s="24" t="n"/>
      <c r="EQ277" s="25" t="n">
        <v>0</v>
      </c>
      <c r="ER277" s="24" t="n"/>
      <c r="ES277" s="23" t="n"/>
      <c r="ET277" s="24" t="n"/>
      <c r="EU277" s="25" t="n">
        <v>0</v>
      </c>
      <c r="EV277" s="24" t="n"/>
      <c r="EW277" s="23" t="n"/>
      <c r="EX277" s="24" t="n"/>
      <c r="EY277" s="25" t="n">
        <v>0</v>
      </c>
      <c r="EZ277" s="24" t="n"/>
      <c r="FA277" s="23" t="n"/>
      <c r="FB277" s="24" t="n"/>
      <c r="FC277" s="25" t="n">
        <v>0</v>
      </c>
      <c r="FD277" s="24" t="n"/>
      <c r="FE277" s="23" t="n"/>
      <c r="FF277" s="24" t="n"/>
      <c r="FG277" s="25" t="n">
        <v>0</v>
      </c>
      <c r="FH277" s="24" t="n"/>
      <c r="FI277" s="23" t="n"/>
      <c r="FJ277" s="24" t="n"/>
      <c r="FK277" s="25" t="n">
        <v>0</v>
      </c>
      <c r="FL277" s="24" t="n"/>
      <c r="FM277" s="23" t="n"/>
      <c r="FN277" s="24" t="n"/>
      <c r="FO277" s="25" t="n">
        <v>0</v>
      </c>
      <c r="FP277" s="24" t="n"/>
      <c r="FQ277" s="340" t="n"/>
      <c r="FR277" s="803">
        <f>SUMPRODUCT(--(MOD(COLUMN(DU277:ER277),4)=MOD(COLUMN(DU277),4)),DU277:ER277)+SUMPRODUCT(--(MOD(COLUMN(ES277:FP277),4)=MOD(COLUMN(ES277),4)),ES277:FP277)</f>
        <v/>
      </c>
      <c r="FS277" s="803">
        <f>SUMPRODUCT(--(MOD(COLUMN(DU277:ER277),4)=MOD(COLUMN(DU277),4)),DU277:ER277)*$I277+SUMPRODUCT(--(MOD(COLUMN(ES277:FP277),4)=MOD(COLUMN(ES277),4)),ES277:FP277)*$I277</f>
        <v/>
      </c>
      <c r="FT277" s="361" t="n"/>
    </row>
    <row r="278" outlineLevel="2">
      <c r="A278" s="58" t="inlineStr">
        <is>
          <t>АВТОВИК ООО / AVTOVIK OOO</t>
        </is>
      </c>
      <c r="B278" s="387" t="inlineStr">
        <is>
          <t>Предоплата 100%</t>
        </is>
      </c>
      <c r="C278" s="173" t="inlineStr">
        <is>
          <t>ВБК РУС</t>
        </is>
      </c>
      <c r="D278" s="595" t="inlineStr">
        <is>
          <t>Прасолов, Соловьёв</t>
        </is>
      </c>
      <c r="E278" s="10">
        <f>IF(ISBLANK(G278),"",IF($A$6:$A$330=$A278,COUNTIF($A$6:A278,$A278),""))</f>
        <v/>
      </c>
      <c r="F278" s="10" t="n">
        <v>1</v>
      </c>
      <c r="G278" s="55" t="n">
        <v>9710029000</v>
      </c>
      <c r="H278" s="54" t="inlineStr">
        <is>
          <t>Воздухораспределитель с клапаном растормаживания</t>
        </is>
      </c>
      <c r="I278" s="617">
        <f>639/НДС_20</f>
        <v/>
      </c>
      <c r="J278" s="617" t="n"/>
      <c r="K278" s="872" t="n"/>
      <c r="L278" s="617">
        <f>IF(K278="RUB",J278/ЮАНЬ,IF(K278="EUR",J278*ЕВРО/ЮАНЬ,""))</f>
        <v/>
      </c>
      <c r="M278" s="873" t="n"/>
      <c r="N278" s="871">
        <f>IF(BP278&gt;0,1,IF(BN278&gt;0,2,))</f>
        <v/>
      </c>
      <c r="O278" s="23" t="n"/>
      <c r="P278" s="24" t="n"/>
      <c r="Q278" s="25" t="n">
        <v>0</v>
      </c>
      <c r="R278" s="24" t="n"/>
      <c r="S278" s="23" t="n"/>
      <c r="T278" s="24" t="n"/>
      <c r="U278" s="25" t="n">
        <v>50</v>
      </c>
      <c r="V278" s="24" t="n"/>
      <c r="W278" s="23" t="n"/>
      <c r="X278" s="26" t="n"/>
      <c r="Y278" s="25" t="n">
        <v>0</v>
      </c>
      <c r="Z278" s="24" t="n"/>
      <c r="AA278" s="23" t="n"/>
      <c r="AB278" s="26" t="n"/>
      <c r="AC278" s="25" t="n">
        <v>0</v>
      </c>
      <c r="AD278" s="24" t="n"/>
      <c r="AE278" s="23" t="n"/>
      <c r="AF278" s="26" t="n"/>
      <c r="AG278" s="25" t="n">
        <v>0</v>
      </c>
      <c r="AH278" s="24" t="n"/>
      <c r="AI278" s="23" t="n"/>
      <c r="AJ278" s="24" t="n"/>
      <c r="AK278" s="25" t="n">
        <v>0</v>
      </c>
      <c r="AL278" s="24" t="n"/>
      <c r="AM278" s="23" t="n"/>
      <c r="AN278" s="24" t="n"/>
      <c r="AO278" s="25" t="n">
        <v>0</v>
      </c>
      <c r="AP278" s="24" t="n"/>
      <c r="AQ278" s="23" t="n"/>
      <c r="AR278" s="24" t="n"/>
      <c r="AS278" s="25" t="n">
        <v>0</v>
      </c>
      <c r="AT278" s="24" t="n"/>
      <c r="AU278" s="23" t="n"/>
      <c r="AV278" s="24" t="n"/>
      <c r="AW278" s="25" t="n">
        <v>0</v>
      </c>
      <c r="AX278" s="24" t="n"/>
      <c r="AY278" s="23" t="n"/>
      <c r="AZ278" s="24" t="n"/>
      <c r="BA278" s="25" t="n">
        <v>0</v>
      </c>
      <c r="BB278" s="24" t="n"/>
      <c r="BC278" s="23" t="n"/>
      <c r="BD278" s="24" t="n"/>
      <c r="BE278" s="25" t="n">
        <v>0</v>
      </c>
      <c r="BF278" s="24" t="n"/>
      <c r="BG278" s="23" t="n"/>
      <c r="BH278" s="24" t="n"/>
      <c r="BI278" s="25" t="n">
        <v>0</v>
      </c>
      <c r="BJ278" s="24" t="n"/>
      <c r="BK278" s="340" t="n"/>
      <c r="BL278" s="803">
        <f>SUMPRODUCT(--(MOD(COLUMN($O278:$AL278),4)=MOD(COLUMN($O278)+0,4)),$O278:$AL278)
+SUMPRODUCT(--(MOD(COLUMN($AM278:$BJ278),4)=MOD(COLUMN($AM278)+0,4)),$AM278:$BJ278)</f>
        <v/>
      </c>
      <c r="BM278" s="803">
        <f>SUMPRODUCT(--(MOD(COLUMN($O278:$AL278),4)=MOD(COLUMN($O278)+0,4)),$O278:$AL278)*
$I278+SUMPRODUCT(--(MOD(COLUMN($AM278:$BJ278),4)=MOD(COLUMN($AM278)+0,4)),$AM278:$BJ278)*$I278</f>
        <v/>
      </c>
      <c r="BN278" s="805">
        <f>SUMPRODUCT(--(MOD(COLUMN($O278:$AL278),4)=MOD(COLUMN($O278)+1,4)),$O278:$AL278)
+SUMPRODUCT(--(MOD(COLUMN($AM278:$BJ278),4)=MOD(COLUMN($AM278)+1,4)),$AM278:$BJ278)</f>
        <v/>
      </c>
      <c r="BO278" s="806">
        <f>SUMPRODUCT(--(MOD(COLUMN($O278:$AL278),4)=MOD(COLUMN($O278)+1,4)),$O278:$AL278)*
$I278+SUMPRODUCT(--(MOD(COLUMN($AM278:$BJ278),4)=MOD(COLUMN($AM278)+1,4)),$AM278:$BJ278)*$I278</f>
        <v/>
      </c>
      <c r="BP278" s="807">
        <f>SUMPRODUCT(--(MOD(COLUMN($O278:$AL278),4)=MOD(COLUMN($O278)+2,4)),$O278:$AL278)
+SUMPRODUCT(--(MOD(COLUMN($AM278:$BJ278),4)=MOD(COLUMN($AM278)+2,4)),$AM278:$BJ278)</f>
        <v/>
      </c>
      <c r="BQ278" s="808">
        <f>SUMPRODUCT(--(MOD(COLUMN($O278:$AL278),4)=MOD(COLUMN($O278)+2,4)),$O278:$AL278)*
$I278+SUMPRODUCT(--(MOD(COLUMN($AM278:$BJ278),4)=MOD(COLUMN($AM278)+2,4)),$AM278:$BJ278)*$I278</f>
        <v/>
      </c>
      <c r="BR278" s="801" t="n"/>
      <c r="BS278" s="819" t="n"/>
      <c r="BT278" s="23" t="n"/>
      <c r="BU278" s="24" t="n"/>
      <c r="BV278" s="25" t="n">
        <v>0</v>
      </c>
      <c r="BW278" s="24" t="n"/>
      <c r="BX278" s="23" t="n"/>
      <c r="BY278" s="24" t="n"/>
      <c r="BZ278" s="25" t="n">
        <v>0</v>
      </c>
      <c r="CA278" s="24" t="n"/>
      <c r="CB278" s="23" t="n"/>
      <c r="CC278" s="24" t="n"/>
      <c r="CD278" s="25" t="n">
        <v>0</v>
      </c>
      <c r="CE278" s="24" t="n"/>
      <c r="CF278" s="23" t="n"/>
      <c r="CG278" s="24" t="n"/>
      <c r="CH278" s="25" t="n">
        <v>0</v>
      </c>
      <c r="CI278" s="24" t="n"/>
      <c r="CJ278" s="23" t="n"/>
      <c r="CK278" s="24" t="n"/>
      <c r="CL278" s="25" t="n">
        <v>0</v>
      </c>
      <c r="CM278" s="24" t="n"/>
      <c r="CN278" s="23" t="n"/>
      <c r="CO278" s="24" t="n"/>
      <c r="CP278" s="25" t="n">
        <v>0</v>
      </c>
      <c r="CQ278" s="24" t="n"/>
      <c r="CR278" s="23" t="n"/>
      <c r="CS278" s="24" t="n"/>
      <c r="CT278" s="25" t="n">
        <v>0</v>
      </c>
      <c r="CU278" s="24" t="n"/>
      <c r="CV278" s="23" t="n"/>
      <c r="CW278" s="24" t="n"/>
      <c r="CX278" s="25" t="n">
        <v>0</v>
      </c>
      <c r="CY278" s="24" t="n"/>
      <c r="CZ278" s="23" t="n"/>
      <c r="DA278" s="24" t="n"/>
      <c r="DB278" s="25" t="n">
        <v>0</v>
      </c>
      <c r="DC278" s="24" t="n"/>
      <c r="DD278" s="23" t="n"/>
      <c r="DE278" s="24" t="n"/>
      <c r="DF278" s="25" t="n">
        <v>0</v>
      </c>
      <c r="DG278" s="24" t="n"/>
      <c r="DH278" s="23" t="n"/>
      <c r="DI278" s="24" t="n"/>
      <c r="DJ278" s="25" t="n">
        <v>0</v>
      </c>
      <c r="DK278" s="24" t="n"/>
      <c r="DL278" s="23" t="n"/>
      <c r="DM278" s="24" t="n"/>
      <c r="DN278" s="25" t="n">
        <v>0</v>
      </c>
      <c r="DO278" s="24" t="n"/>
      <c r="DP278" s="340" t="n"/>
      <c r="DQ278" s="803">
        <f>SUMPRODUCT(--(MOD(COLUMN(BT278:CQ278),4)=MOD(COLUMN(BT278),4)),BT278:CQ278)+SUMPRODUCT(--(MOD(COLUMN(CR278:DO278),4)=MOD(COLUMN(CR278),4)),CR278:DO278)</f>
        <v/>
      </c>
      <c r="DR278" s="803">
        <f>SUMPRODUCT(--(MOD(COLUMN(BT278:CQ278),4)=MOD(COLUMN(BT278),4)),BT278:CQ278)*$I278+SUMPRODUCT(--(MOD(COLUMN(CR278:DO278),4)=MOD(COLUMN(CR278),4)),CR278:DO278)*$I278</f>
        <v/>
      </c>
      <c r="DS278" s="801" t="n"/>
      <c r="DT278" s="819" t="n"/>
      <c r="DU278" s="23" t="n"/>
      <c r="DV278" s="24" t="n"/>
      <c r="DW278" s="25" t="n">
        <v>0</v>
      </c>
      <c r="DX278" s="24" t="n"/>
      <c r="DY278" s="23" t="n"/>
      <c r="DZ278" s="24" t="n"/>
      <c r="EA278" s="25" t="n">
        <v>0</v>
      </c>
      <c r="EB278" s="24" t="n"/>
      <c r="EC278" s="23" t="n"/>
      <c r="ED278" s="24" t="n"/>
      <c r="EE278" s="25" t="n">
        <v>0</v>
      </c>
      <c r="EF278" s="24" t="n"/>
      <c r="EG278" s="23" t="n"/>
      <c r="EH278" s="24" t="n"/>
      <c r="EI278" s="25" t="n">
        <v>0</v>
      </c>
      <c r="EJ278" s="24" t="n"/>
      <c r="EK278" s="23" t="n"/>
      <c r="EL278" s="24" t="n"/>
      <c r="EM278" s="25" t="n">
        <v>0</v>
      </c>
      <c r="EN278" s="24" t="n"/>
      <c r="EO278" s="23" t="n"/>
      <c r="EP278" s="24" t="n"/>
      <c r="EQ278" s="25" t="n">
        <v>0</v>
      </c>
      <c r="ER278" s="24" t="n"/>
      <c r="ES278" s="23" t="n"/>
      <c r="ET278" s="24" t="n"/>
      <c r="EU278" s="25" t="n">
        <v>0</v>
      </c>
      <c r="EV278" s="24" t="n"/>
      <c r="EW278" s="23" t="n"/>
      <c r="EX278" s="24" t="n"/>
      <c r="EY278" s="25" t="n">
        <v>0</v>
      </c>
      <c r="EZ278" s="24" t="n"/>
      <c r="FA278" s="23" t="n"/>
      <c r="FB278" s="24" t="n"/>
      <c r="FC278" s="25" t="n">
        <v>0</v>
      </c>
      <c r="FD278" s="24" t="n"/>
      <c r="FE278" s="23" t="n"/>
      <c r="FF278" s="24" t="n"/>
      <c r="FG278" s="25" t="n">
        <v>0</v>
      </c>
      <c r="FH278" s="24" t="n"/>
      <c r="FI278" s="23" t="n"/>
      <c r="FJ278" s="24" t="n"/>
      <c r="FK278" s="25" t="n">
        <v>0</v>
      </c>
      <c r="FL278" s="24" t="n"/>
      <c r="FM278" s="23" t="n"/>
      <c r="FN278" s="24" t="n"/>
      <c r="FO278" s="25" t="n">
        <v>0</v>
      </c>
      <c r="FP278" s="24" t="n"/>
      <c r="FQ278" s="340" t="n"/>
      <c r="FR278" s="803">
        <f>SUMPRODUCT(--(MOD(COLUMN(DU278:ER278),4)=MOD(COLUMN(DU278),4)),DU278:ER278)+SUMPRODUCT(--(MOD(COLUMN(ES278:FP278),4)=MOD(COLUMN(ES278),4)),ES278:FP278)</f>
        <v/>
      </c>
      <c r="FS278" s="803">
        <f>SUMPRODUCT(--(MOD(COLUMN(DU278:ER278),4)=MOD(COLUMN(DU278),4)),DU278:ER278)*$I278+SUMPRODUCT(--(MOD(COLUMN(ES278:FP278),4)=MOD(COLUMN(ES278),4)),ES278:FP278)*$I278</f>
        <v/>
      </c>
      <c r="FT278" s="361" t="n"/>
    </row>
    <row r="279" outlineLevel="2">
      <c r="A279" s="58" t="inlineStr">
        <is>
          <t>АВТОВИК ООО / AVTOVIK OOO</t>
        </is>
      </c>
      <c r="B279" s="387" t="inlineStr">
        <is>
          <t>Предоплата 100%</t>
        </is>
      </c>
      <c r="C279" s="173" t="inlineStr">
        <is>
          <t>ВБК РУС</t>
        </is>
      </c>
      <c r="D279" s="595" t="inlineStr">
        <is>
          <t>Прасолов, Соловьёв</t>
        </is>
      </c>
      <c r="E279" s="10">
        <f>IF(ISBLANK(G279),"",IF($A$6:$A$330=$A279,COUNTIF($A$6:A279,$A279),""))</f>
        <v/>
      </c>
      <c r="F279" s="10" t="n">
        <v>1</v>
      </c>
      <c r="G279" s="55" t="n">
        <v>4721950310</v>
      </c>
      <c r="H279" s="54" t="inlineStr">
        <is>
          <t>Ускорительный клапан ABS</t>
        </is>
      </c>
      <c r="I279" s="617" t="n">
        <v>446.3333333333334</v>
      </c>
      <c r="J279" s="617" t="n"/>
      <c r="K279" s="872" t="n"/>
      <c r="L279" s="617">
        <f>IF(K279="RUB",J279/ЮАНЬ,IF(K279="EUR",J279*ЕВРО/ЮАНЬ,""))</f>
        <v/>
      </c>
      <c r="M279" s="873" t="n"/>
      <c r="N279" s="871">
        <f>IF(BP279&gt;0,1,IF(BN279&gt;0,2,))</f>
        <v/>
      </c>
      <c r="O279" s="23" t="n"/>
      <c r="P279" s="24" t="n"/>
      <c r="Q279" s="25" t="n"/>
      <c r="R279" s="24" t="n"/>
      <c r="S279" s="23" t="n"/>
      <c r="T279" s="24" t="n"/>
      <c r="U279" s="25" t="n">
        <v>10</v>
      </c>
      <c r="V279" s="24" t="n"/>
      <c r="W279" s="23" t="n"/>
      <c r="X279" s="26" t="n"/>
      <c r="Y279" s="25" t="n"/>
      <c r="Z279" s="24" t="n"/>
      <c r="AA279" s="23" t="n"/>
      <c r="AB279" s="26" t="n"/>
      <c r="AC279" s="25" t="n"/>
      <c r="AD279" s="24" t="n"/>
      <c r="AE279" s="23" t="n"/>
      <c r="AF279" s="26" t="n"/>
      <c r="AG279" s="25" t="n"/>
      <c r="AH279" s="24" t="n"/>
      <c r="AI279" s="23" t="n"/>
      <c r="AJ279" s="24" t="n"/>
      <c r="AK279" s="25" t="n"/>
      <c r="AL279" s="24" t="n"/>
      <c r="AM279" s="23" t="n"/>
      <c r="AN279" s="24" t="n"/>
      <c r="AO279" s="25" t="n"/>
      <c r="AP279" s="24" t="n"/>
      <c r="AQ279" s="23" t="n"/>
      <c r="AR279" s="24" t="n"/>
      <c r="AS279" s="25" t="n"/>
      <c r="AT279" s="24" t="n"/>
      <c r="AU279" s="23" t="n"/>
      <c r="AV279" s="24" t="n"/>
      <c r="AW279" s="25" t="n"/>
      <c r="AX279" s="24" t="n"/>
      <c r="AY279" s="23" t="n"/>
      <c r="AZ279" s="24" t="n"/>
      <c r="BA279" s="25" t="n"/>
      <c r="BB279" s="24" t="n"/>
      <c r="BC279" s="23" t="n"/>
      <c r="BD279" s="24" t="n"/>
      <c r="BE279" s="25" t="n"/>
      <c r="BF279" s="24" t="n"/>
      <c r="BG279" s="23" t="n"/>
      <c r="BH279" s="24" t="n"/>
      <c r="BI279" s="25" t="n"/>
      <c r="BJ279" s="24" t="n"/>
      <c r="BK279" s="340" t="n"/>
      <c r="BL279" s="803">
        <f>SUMPRODUCT(--(MOD(COLUMN($O279:$AL279),4)=MOD(COLUMN($O279)+0,4)),$O279:$AL279)
+SUMPRODUCT(--(MOD(COLUMN($AM279:$BJ279),4)=MOD(COLUMN($AM279)+0,4)),$AM279:$BJ279)</f>
        <v/>
      </c>
      <c r="BM279" s="803">
        <f>SUMPRODUCT(--(MOD(COLUMN($O279:$AL279),4)=MOD(COLUMN($O279)+0,4)),$O279:$AL279)*
$I279+SUMPRODUCT(--(MOD(COLUMN($AM279:$BJ279),4)=MOD(COLUMN($AM279)+0,4)),$AM279:$BJ279)*$I279</f>
        <v/>
      </c>
      <c r="BN279" s="805">
        <f>SUMPRODUCT(--(MOD(COLUMN($O279:$AL279),4)=MOD(COLUMN($O279)+1,4)),$O279:$AL279)
+SUMPRODUCT(--(MOD(COLUMN($AM279:$BJ279),4)=MOD(COLUMN($AM279)+1,4)),$AM279:$BJ279)</f>
        <v/>
      </c>
      <c r="BO279" s="806">
        <f>SUMPRODUCT(--(MOD(COLUMN($O279:$AL279),4)=MOD(COLUMN($O279)+1,4)),$O279:$AL279)*
$I279+SUMPRODUCT(--(MOD(COLUMN($AM279:$BJ279),4)=MOD(COLUMN($AM279)+1,4)),$AM279:$BJ279)*$I279</f>
        <v/>
      </c>
      <c r="BP279" s="807">
        <f>SUMPRODUCT(--(MOD(COLUMN($O279:$AL279),4)=MOD(COLUMN($O279)+2,4)),$O279:$AL279)
+SUMPRODUCT(--(MOD(COLUMN($AM279:$BJ279),4)=MOD(COLUMN($AM279)+2,4)),$AM279:$BJ279)</f>
        <v/>
      </c>
      <c r="BQ279" s="808">
        <f>SUMPRODUCT(--(MOD(COLUMN($O279:$AL279),4)=MOD(COLUMN($O279)+2,4)),$O279:$AL279)*
$I279+SUMPRODUCT(--(MOD(COLUMN($AM279:$BJ279),4)=MOD(COLUMN($AM279)+2,4)),$AM279:$BJ279)*$I279</f>
        <v/>
      </c>
      <c r="BR279" s="801" t="n"/>
      <c r="BS279" s="819" t="n"/>
      <c r="BT279" s="23" t="n"/>
      <c r="BU279" s="24" t="n"/>
      <c r="BV279" s="25" t="n"/>
      <c r="BW279" s="24" t="n"/>
      <c r="BX279" s="23" t="n"/>
      <c r="BY279" s="24" t="n"/>
      <c r="BZ279" s="25" t="n"/>
      <c r="CA279" s="24" t="n"/>
      <c r="CB279" s="23" t="n"/>
      <c r="CC279" s="24" t="n"/>
      <c r="CD279" s="25" t="n"/>
      <c r="CE279" s="24" t="n"/>
      <c r="CF279" s="23" t="n"/>
      <c r="CG279" s="24" t="n"/>
      <c r="CH279" s="25" t="n"/>
      <c r="CI279" s="24" t="n"/>
      <c r="CJ279" s="23" t="n"/>
      <c r="CK279" s="24" t="n"/>
      <c r="CL279" s="25" t="n"/>
      <c r="CM279" s="24" t="n"/>
      <c r="CN279" s="23" t="n"/>
      <c r="CO279" s="24" t="n"/>
      <c r="CP279" s="25" t="n"/>
      <c r="CQ279" s="24" t="n"/>
      <c r="CR279" s="23" t="n"/>
      <c r="CS279" s="24" t="n"/>
      <c r="CT279" s="25" t="n"/>
      <c r="CU279" s="24" t="n"/>
      <c r="CV279" s="23" t="n"/>
      <c r="CW279" s="24" t="n"/>
      <c r="CX279" s="25" t="n"/>
      <c r="CY279" s="24" t="n"/>
      <c r="CZ279" s="23" t="n"/>
      <c r="DA279" s="24" t="n"/>
      <c r="DB279" s="25" t="n"/>
      <c r="DC279" s="24" t="n"/>
      <c r="DD279" s="23" t="n"/>
      <c r="DE279" s="24" t="n"/>
      <c r="DF279" s="25" t="n"/>
      <c r="DG279" s="24" t="n"/>
      <c r="DH279" s="23" t="n"/>
      <c r="DI279" s="24" t="n"/>
      <c r="DJ279" s="25" t="n"/>
      <c r="DK279" s="24" t="n"/>
      <c r="DL279" s="23" t="n"/>
      <c r="DM279" s="24" t="n"/>
      <c r="DN279" s="25" t="n"/>
      <c r="DO279" s="24" t="n"/>
      <c r="DP279" s="340" t="n"/>
      <c r="DQ279" s="803">
        <f>SUMPRODUCT(--(MOD(COLUMN(BT279:CQ279),4)=MOD(COLUMN(BT279),4)),BT279:CQ279)+SUMPRODUCT(--(MOD(COLUMN(CR279:DO279),4)=MOD(COLUMN(CR279),4)),CR279:DO279)</f>
        <v/>
      </c>
      <c r="DR279" s="803">
        <f>SUMPRODUCT(--(MOD(COLUMN(BT279:CQ279),4)=MOD(COLUMN(BT279),4)),BT279:CQ279)*$I279+SUMPRODUCT(--(MOD(COLUMN(CR279:DO279),4)=MOD(COLUMN(CR279),4)),CR279:DO279)*$I279</f>
        <v/>
      </c>
      <c r="DS279" s="801" t="n"/>
      <c r="DT279" s="819" t="n"/>
      <c r="DU279" s="23" t="n"/>
      <c r="DV279" s="24" t="n"/>
      <c r="DW279" s="25" t="n"/>
      <c r="DX279" s="24" t="n"/>
      <c r="DY279" s="23" t="n"/>
      <c r="DZ279" s="24" t="n"/>
      <c r="EA279" s="25" t="n"/>
      <c r="EB279" s="24" t="n"/>
      <c r="EC279" s="23" t="n"/>
      <c r="ED279" s="24" t="n"/>
      <c r="EE279" s="25" t="n"/>
      <c r="EF279" s="24" t="n"/>
      <c r="EG279" s="23" t="n"/>
      <c r="EH279" s="24" t="n"/>
      <c r="EI279" s="25" t="n"/>
      <c r="EJ279" s="24" t="n"/>
      <c r="EK279" s="23" t="n"/>
      <c r="EL279" s="24" t="n"/>
      <c r="EM279" s="25" t="n"/>
      <c r="EN279" s="24" t="n"/>
      <c r="EO279" s="23" t="n"/>
      <c r="EP279" s="24" t="n"/>
      <c r="EQ279" s="25" t="n"/>
      <c r="ER279" s="24" t="n"/>
      <c r="ES279" s="23" t="n"/>
      <c r="ET279" s="24" t="n"/>
      <c r="EU279" s="25" t="n"/>
      <c r="EV279" s="24" t="n"/>
      <c r="EW279" s="23" t="n"/>
      <c r="EX279" s="24" t="n"/>
      <c r="EY279" s="25" t="n"/>
      <c r="EZ279" s="24" t="n"/>
      <c r="FA279" s="23" t="n"/>
      <c r="FB279" s="24" t="n"/>
      <c r="FC279" s="25" t="n"/>
      <c r="FD279" s="24" t="n"/>
      <c r="FE279" s="23" t="n"/>
      <c r="FF279" s="24" t="n"/>
      <c r="FG279" s="25" t="n"/>
      <c r="FH279" s="24" t="n"/>
      <c r="FI279" s="23" t="n"/>
      <c r="FJ279" s="24" t="n"/>
      <c r="FK279" s="25" t="n"/>
      <c r="FL279" s="24" t="n"/>
      <c r="FM279" s="23" t="n"/>
      <c r="FN279" s="24" t="n"/>
      <c r="FO279" s="25" t="n"/>
      <c r="FP279" s="24" t="n"/>
      <c r="FQ279" s="340" t="n"/>
      <c r="FR279" s="803">
        <f>SUMPRODUCT(--(MOD(COLUMN(DU279:ER279),4)=MOD(COLUMN(DU279),4)),DU279:ER279)+SUMPRODUCT(--(MOD(COLUMN(ES279:FP279),4)=MOD(COLUMN(ES279),4)),ES279:FP279)</f>
        <v/>
      </c>
      <c r="FS279" s="803">
        <f>SUMPRODUCT(--(MOD(COLUMN(DU279:ER279),4)=MOD(COLUMN(DU279),4)),DU279:ER279)*$I279+SUMPRODUCT(--(MOD(COLUMN(ES279:FP279),4)=MOD(COLUMN(ES279),4)),ES279:FP279)*$I279</f>
        <v/>
      </c>
      <c r="FT279" s="361" t="n"/>
    </row>
    <row r="280" outlineLevel="2">
      <c r="A280" s="58" t="inlineStr">
        <is>
          <t>АВТОВИК ООО / AVTOVIK OOO</t>
        </is>
      </c>
      <c r="B280" s="387" t="inlineStr">
        <is>
          <t>Предоплата 100%</t>
        </is>
      </c>
      <c r="C280" s="173" t="inlineStr">
        <is>
          <t>ВБК РУС</t>
        </is>
      </c>
      <c r="D280" s="595" t="inlineStr">
        <is>
          <t>Прасолов, Соловьёв</t>
        </is>
      </c>
      <c r="E280" s="10">
        <f>IF(ISBLANK(G280),"",IF($A$6:$A$330=$A280,COUNTIF($A$6:A280,$A280),""))</f>
        <v/>
      </c>
      <c r="F280" s="10" t="n">
        <v>1</v>
      </c>
      <c r="G280" s="55" t="n">
        <v>4496161560</v>
      </c>
      <c r="H280" s="54" t="inlineStr">
        <is>
          <t>Кабель ускорительного клапана ABS / диа., 10 м / 3 м</t>
        </is>
      </c>
      <c r="I280" s="617">
        <f>301.2/НДС_20</f>
        <v/>
      </c>
      <c r="J280" s="617" t="n"/>
      <c r="K280" s="872" t="n"/>
      <c r="L280" s="617">
        <f>IF(K280="RUB",J280/ЮАНЬ,IF(K280="EUR",J280*ЕВРО/ЮАНЬ,""))</f>
        <v/>
      </c>
      <c r="M280" s="873" t="n"/>
      <c r="N280" s="871">
        <f>IF(BP280&gt;0,1,IF(BN280&gt;0,2,))</f>
        <v/>
      </c>
      <c r="O280" s="23" t="n"/>
      <c r="P280" s="24" t="n"/>
      <c r="Q280" s="25" t="n"/>
      <c r="R280" s="24" t="n"/>
      <c r="S280" s="23" t="n"/>
      <c r="T280" s="24" t="n"/>
      <c r="U280" s="25" t="n">
        <v>10</v>
      </c>
      <c r="V280" s="24" t="n"/>
      <c r="W280" s="23" t="n"/>
      <c r="X280" s="26" t="n"/>
      <c r="Y280" s="25" t="n"/>
      <c r="Z280" s="24" t="n"/>
      <c r="AA280" s="23" t="n"/>
      <c r="AB280" s="26" t="n"/>
      <c r="AC280" s="25" t="n"/>
      <c r="AD280" s="24" t="n"/>
      <c r="AE280" s="23" t="n"/>
      <c r="AF280" s="26" t="n"/>
      <c r="AG280" s="25" t="n"/>
      <c r="AH280" s="24" t="n"/>
      <c r="AI280" s="23" t="n"/>
      <c r="AJ280" s="24" t="n"/>
      <c r="AK280" s="25" t="n"/>
      <c r="AL280" s="24" t="n"/>
      <c r="AM280" s="23" t="n"/>
      <c r="AN280" s="24" t="n"/>
      <c r="AO280" s="25" t="n"/>
      <c r="AP280" s="24" t="n"/>
      <c r="AQ280" s="23" t="n"/>
      <c r="AR280" s="24" t="n"/>
      <c r="AS280" s="25" t="n"/>
      <c r="AT280" s="24" t="n"/>
      <c r="AU280" s="23" t="n"/>
      <c r="AV280" s="24" t="n"/>
      <c r="AW280" s="25" t="n"/>
      <c r="AX280" s="24" t="n"/>
      <c r="AY280" s="23" t="n"/>
      <c r="AZ280" s="24" t="n"/>
      <c r="BA280" s="25" t="n"/>
      <c r="BB280" s="24" t="n"/>
      <c r="BC280" s="23" t="n"/>
      <c r="BD280" s="24" t="n"/>
      <c r="BE280" s="25" t="n"/>
      <c r="BF280" s="24" t="n"/>
      <c r="BG280" s="23" t="n"/>
      <c r="BH280" s="24" t="n"/>
      <c r="BI280" s="25" t="n"/>
      <c r="BJ280" s="24" t="n"/>
      <c r="BK280" s="340" t="n"/>
      <c r="BL280" s="803">
        <f>SUMPRODUCT(--(MOD(COLUMN($O280:$AL280),4)=MOD(COLUMN($O280)+0,4)),$O280:$AL280)
+SUMPRODUCT(--(MOD(COLUMN($AM280:$BJ280),4)=MOD(COLUMN($AM280)+0,4)),$AM280:$BJ280)</f>
        <v/>
      </c>
      <c r="BM280" s="803">
        <f>SUMPRODUCT(--(MOD(COLUMN($O280:$AL280),4)=MOD(COLUMN($O280)+0,4)),$O280:$AL280)*
$I280+SUMPRODUCT(--(MOD(COLUMN($AM280:$BJ280),4)=MOD(COLUMN($AM280)+0,4)),$AM280:$BJ280)*$I280</f>
        <v/>
      </c>
      <c r="BN280" s="805">
        <f>SUMPRODUCT(--(MOD(COLUMN($O280:$AL280),4)=MOD(COLUMN($O280)+1,4)),$O280:$AL280)
+SUMPRODUCT(--(MOD(COLUMN($AM280:$BJ280),4)=MOD(COLUMN($AM280)+1,4)),$AM280:$BJ280)</f>
        <v/>
      </c>
      <c r="BO280" s="806">
        <f>SUMPRODUCT(--(MOD(COLUMN($O280:$AL280),4)=MOD(COLUMN($O280)+1,4)),$O280:$AL280)*
$I280+SUMPRODUCT(--(MOD(COLUMN($AM280:$BJ280),4)=MOD(COLUMN($AM280)+1,4)),$AM280:$BJ280)*$I280</f>
        <v/>
      </c>
      <c r="BP280" s="807">
        <f>SUMPRODUCT(--(MOD(COLUMN($O280:$AL280),4)=MOD(COLUMN($O280)+2,4)),$O280:$AL280)
+SUMPRODUCT(--(MOD(COLUMN($AM280:$BJ280),4)=MOD(COLUMN($AM280)+2,4)),$AM280:$BJ280)</f>
        <v/>
      </c>
      <c r="BQ280" s="808">
        <f>SUMPRODUCT(--(MOD(COLUMN($O280:$AL280),4)=MOD(COLUMN($O280)+2,4)),$O280:$AL280)*
$I280+SUMPRODUCT(--(MOD(COLUMN($AM280:$BJ280),4)=MOD(COLUMN($AM280)+2,4)),$AM280:$BJ280)*$I280</f>
        <v/>
      </c>
      <c r="BR280" s="801" t="n"/>
      <c r="BS280" s="819" t="n"/>
      <c r="BT280" s="23" t="n"/>
      <c r="BU280" s="24" t="n"/>
      <c r="BV280" s="25" t="n"/>
      <c r="BW280" s="24" t="n"/>
      <c r="BX280" s="23" t="n"/>
      <c r="BY280" s="24" t="n"/>
      <c r="BZ280" s="25" t="n"/>
      <c r="CA280" s="24" t="n"/>
      <c r="CB280" s="23" t="n"/>
      <c r="CC280" s="24" t="n"/>
      <c r="CD280" s="25" t="n"/>
      <c r="CE280" s="24" t="n"/>
      <c r="CF280" s="23" t="n"/>
      <c r="CG280" s="24" t="n"/>
      <c r="CH280" s="25" t="n"/>
      <c r="CI280" s="24" t="n"/>
      <c r="CJ280" s="23" t="n"/>
      <c r="CK280" s="24" t="n"/>
      <c r="CL280" s="25" t="n"/>
      <c r="CM280" s="24" t="n"/>
      <c r="CN280" s="23" t="n"/>
      <c r="CO280" s="24" t="n"/>
      <c r="CP280" s="25" t="n"/>
      <c r="CQ280" s="24" t="n"/>
      <c r="CR280" s="23" t="n"/>
      <c r="CS280" s="24" t="n"/>
      <c r="CT280" s="25" t="n"/>
      <c r="CU280" s="24" t="n"/>
      <c r="CV280" s="23" t="n"/>
      <c r="CW280" s="24" t="n"/>
      <c r="CX280" s="25" t="n"/>
      <c r="CY280" s="24" t="n"/>
      <c r="CZ280" s="23" t="n"/>
      <c r="DA280" s="24" t="n"/>
      <c r="DB280" s="25" t="n"/>
      <c r="DC280" s="24" t="n"/>
      <c r="DD280" s="23" t="n"/>
      <c r="DE280" s="24" t="n"/>
      <c r="DF280" s="25" t="n"/>
      <c r="DG280" s="24" t="n"/>
      <c r="DH280" s="23" t="n"/>
      <c r="DI280" s="24" t="n"/>
      <c r="DJ280" s="25" t="n"/>
      <c r="DK280" s="24" t="n"/>
      <c r="DL280" s="23" t="n"/>
      <c r="DM280" s="24" t="n"/>
      <c r="DN280" s="25" t="n"/>
      <c r="DO280" s="24" t="n"/>
      <c r="DP280" s="340" t="n"/>
      <c r="DQ280" s="803">
        <f>SUMPRODUCT(--(MOD(COLUMN(BT280:CQ280),4)=MOD(COLUMN(BT280),4)),BT280:CQ280)+SUMPRODUCT(--(MOD(COLUMN(CR280:DO280),4)=MOD(COLUMN(CR280),4)),CR280:DO280)</f>
        <v/>
      </c>
      <c r="DR280" s="803">
        <f>SUMPRODUCT(--(MOD(COLUMN(BT280:CQ280),4)=MOD(COLUMN(BT280),4)),BT280:CQ280)*$I280+SUMPRODUCT(--(MOD(COLUMN(CR280:DO280),4)=MOD(COLUMN(CR280),4)),CR280:DO280)*$I280</f>
        <v/>
      </c>
      <c r="DS280" s="801" t="n"/>
      <c r="DT280" s="819" t="n"/>
      <c r="DU280" s="23" t="n"/>
      <c r="DV280" s="24" t="n"/>
      <c r="DW280" s="25" t="n"/>
      <c r="DX280" s="24" t="n"/>
      <c r="DY280" s="23" t="n"/>
      <c r="DZ280" s="24" t="n"/>
      <c r="EA280" s="25" t="n"/>
      <c r="EB280" s="24" t="n"/>
      <c r="EC280" s="23" t="n"/>
      <c r="ED280" s="24" t="n"/>
      <c r="EE280" s="25" t="n"/>
      <c r="EF280" s="24" t="n"/>
      <c r="EG280" s="23" t="n"/>
      <c r="EH280" s="24" t="n"/>
      <c r="EI280" s="25" t="n"/>
      <c r="EJ280" s="24" t="n"/>
      <c r="EK280" s="23" t="n"/>
      <c r="EL280" s="24" t="n"/>
      <c r="EM280" s="25" t="n"/>
      <c r="EN280" s="24" t="n"/>
      <c r="EO280" s="23" t="n"/>
      <c r="EP280" s="24" t="n"/>
      <c r="EQ280" s="25" t="n"/>
      <c r="ER280" s="24" t="n"/>
      <c r="ES280" s="23" t="n"/>
      <c r="ET280" s="24" t="n"/>
      <c r="EU280" s="25" t="n"/>
      <c r="EV280" s="24" t="n"/>
      <c r="EW280" s="23" t="n"/>
      <c r="EX280" s="24" t="n"/>
      <c r="EY280" s="25" t="n"/>
      <c r="EZ280" s="24" t="n"/>
      <c r="FA280" s="23" t="n"/>
      <c r="FB280" s="24" t="n"/>
      <c r="FC280" s="25" t="n"/>
      <c r="FD280" s="24" t="n"/>
      <c r="FE280" s="23" t="n"/>
      <c r="FF280" s="24" t="n"/>
      <c r="FG280" s="25" t="n"/>
      <c r="FH280" s="24" t="n"/>
      <c r="FI280" s="23" t="n"/>
      <c r="FJ280" s="24" t="n"/>
      <c r="FK280" s="25" t="n"/>
      <c r="FL280" s="24" t="n"/>
      <c r="FM280" s="23" t="n"/>
      <c r="FN280" s="24" t="n"/>
      <c r="FO280" s="25" t="n"/>
      <c r="FP280" s="24" t="n"/>
      <c r="FQ280" s="340" t="n"/>
      <c r="FR280" s="803">
        <f>SUMPRODUCT(--(MOD(COLUMN(DU280:ER280),4)=MOD(COLUMN(DU280),4)),DU280:ER280)+SUMPRODUCT(--(MOD(COLUMN(ES280:FP280),4)=MOD(COLUMN(ES280),4)),ES280:FP280)</f>
        <v/>
      </c>
      <c r="FS280" s="803">
        <f>SUMPRODUCT(--(MOD(COLUMN(DU280:ER280),4)=MOD(COLUMN(DU280),4)),DU280:ER280)*$I280+SUMPRODUCT(--(MOD(COLUMN(ES280:FP280),4)=MOD(COLUMN(ES280),4)),ES280:FP280)*$I280</f>
        <v/>
      </c>
      <c r="FT280" s="361" t="n"/>
    </row>
    <row r="281" outlineLevel="2">
      <c r="A281" s="58" t="inlineStr">
        <is>
          <t>АВТОВИК ООО / AVTOVIK OOO</t>
        </is>
      </c>
      <c r="B281" s="387" t="inlineStr">
        <is>
          <t>Предоплата 100%</t>
        </is>
      </c>
      <c r="C281" s="173" t="inlineStr">
        <is>
          <t>ВБК РУС</t>
        </is>
      </c>
      <c r="D281" s="595" t="inlineStr">
        <is>
          <t>Прасолов, Соловьёв</t>
        </is>
      </c>
      <c r="E281" s="10">
        <f>IF(ISBLANK(G281),"",IF($A$6:$A$330=$A281,COUNTIF($A$6:A281,$A281),""))</f>
        <v/>
      </c>
      <c r="F281" s="10" t="n">
        <v>1</v>
      </c>
      <c r="G281" s="55" t="n">
        <v>9735000510</v>
      </c>
      <c r="H281" s="54" t="inlineStr">
        <is>
          <t>Клапан быстрого растормаживания энергоакк.</t>
        </is>
      </c>
      <c r="I281" s="617">
        <f>126/НДС_20</f>
        <v/>
      </c>
      <c r="J281" s="617" t="n"/>
      <c r="K281" s="872" t="n"/>
      <c r="L281" s="617">
        <f>IF(K281="RUB",J281/ЮАНЬ,IF(K281="EUR",J281*ЕВРО/ЮАНЬ,""))</f>
        <v/>
      </c>
      <c r="M281" s="873" t="n"/>
      <c r="N281" s="871">
        <f>IF(BP281&gt;0,1,IF(BN281&gt;0,2,))</f>
        <v/>
      </c>
      <c r="O281" s="23" t="n"/>
      <c r="P281" s="24" t="n"/>
      <c r="Q281" s="25" t="n"/>
      <c r="R281" s="24" t="n"/>
      <c r="S281" s="23" t="n">
        <v>15</v>
      </c>
      <c r="T281" s="24" t="n"/>
      <c r="U281" s="25" t="n">
        <v>0</v>
      </c>
      <c r="V281" s="24" t="n"/>
      <c r="W281" s="23" t="n"/>
      <c r="X281" s="26" t="n"/>
      <c r="Y281" s="25" t="n"/>
      <c r="Z281" s="24" t="n"/>
      <c r="AA281" s="23" t="n">
        <v>15</v>
      </c>
      <c r="AB281" s="26" t="n"/>
      <c r="AC281" s="25" t="n">
        <v>0</v>
      </c>
      <c r="AD281" s="24" t="n"/>
      <c r="AE281" s="23" t="n"/>
      <c r="AF281" s="26" t="n"/>
      <c r="AG281" s="25" t="n"/>
      <c r="AH281" s="24" t="n"/>
      <c r="AI281" s="23" t="n">
        <v>15</v>
      </c>
      <c r="AJ281" s="24" t="n">
        <v>15</v>
      </c>
      <c r="AK281" s="25" t="n">
        <v>0</v>
      </c>
      <c r="AL281" s="24" t="n"/>
      <c r="AM281" s="23" t="n"/>
      <c r="AN281" s="24" t="n"/>
      <c r="AO281" s="25" t="n"/>
      <c r="AP281" s="24" t="n"/>
      <c r="AQ281" s="23" t="n">
        <v>15</v>
      </c>
      <c r="AR281" s="24" t="n">
        <v>15</v>
      </c>
      <c r="AS281" s="25" t="n">
        <v>0</v>
      </c>
      <c r="AT281" s="24" t="n"/>
      <c r="AU281" s="23" t="n"/>
      <c r="AV281" s="24" t="n"/>
      <c r="AW281" s="25" t="n"/>
      <c r="AX281" s="24" t="n"/>
      <c r="AY281" s="23" t="n">
        <v>15</v>
      </c>
      <c r="AZ281" s="24" t="n">
        <v>15</v>
      </c>
      <c r="BA281" s="25" t="n">
        <v>0</v>
      </c>
      <c r="BB281" s="24" t="n"/>
      <c r="BC281" s="23" t="n"/>
      <c r="BD281" s="24" t="n"/>
      <c r="BE281" s="25" t="n"/>
      <c r="BF281" s="24" t="n"/>
      <c r="BG281" s="23" t="n">
        <v>15</v>
      </c>
      <c r="BH281" s="24" t="n">
        <v>15</v>
      </c>
      <c r="BI281" s="25" t="n">
        <v>0</v>
      </c>
      <c r="BJ281" s="24" t="n"/>
      <c r="BK281" s="340" t="n"/>
      <c r="BL281" s="803">
        <f>SUMPRODUCT(--(MOD(COLUMN($O281:$AL281),4)=MOD(COLUMN($O281)+0,4)),$O281:$AL281)
+SUMPRODUCT(--(MOD(COLUMN($AM281:$BJ281),4)=MOD(COLUMN($AM281)+0,4)),$AM281:$BJ281)</f>
        <v/>
      </c>
      <c r="BM281" s="803">
        <f>SUMPRODUCT(--(MOD(COLUMN($O281:$AL281),4)=MOD(COLUMN($O281)+0,4)),$O281:$AL281)*
$I281+SUMPRODUCT(--(MOD(COLUMN($AM281:$BJ281),4)=MOD(COLUMN($AM281)+0,4)),$AM281:$BJ281)*$I281</f>
        <v/>
      </c>
      <c r="BN281" s="805">
        <f>SUMPRODUCT(--(MOD(COLUMN($O281:$AL281),4)=MOD(COLUMN($O281)+1,4)),$O281:$AL281)
+SUMPRODUCT(--(MOD(COLUMN($AM281:$BJ281),4)=MOD(COLUMN($AM281)+1,4)),$AM281:$BJ281)</f>
        <v/>
      </c>
      <c r="BO281" s="806">
        <f>SUMPRODUCT(--(MOD(COLUMN($O281:$AL281),4)=MOD(COLUMN($O281)+1,4)),$O281:$AL281)*
$I281+SUMPRODUCT(--(MOD(COLUMN($AM281:$BJ281),4)=MOD(COLUMN($AM281)+1,4)),$AM281:$BJ281)*$I281</f>
        <v/>
      </c>
      <c r="BP281" s="807">
        <f>SUMPRODUCT(--(MOD(COLUMN($O281:$AL281),4)=MOD(COLUMN($O281)+2,4)),$O281:$AL281)
+SUMPRODUCT(--(MOD(COLUMN($AM281:$BJ281),4)=MOD(COLUMN($AM281)+2,4)),$AM281:$BJ281)</f>
        <v/>
      </c>
      <c r="BQ281" s="808">
        <f>SUMPRODUCT(--(MOD(COLUMN($O281:$AL281),4)=MOD(COLUMN($O281)+2,4)),$O281:$AL281)*
$I281+SUMPRODUCT(--(MOD(COLUMN($AM281:$BJ281),4)=MOD(COLUMN($AM281)+2,4)),$AM281:$BJ281)*$I281</f>
        <v/>
      </c>
      <c r="BR281" s="801" t="n"/>
      <c r="BS281" s="819" t="n"/>
      <c r="BT281" s="23" t="n"/>
      <c r="BU281" s="24" t="n"/>
      <c r="BV281" s="25" t="n"/>
      <c r="BW281" s="24" t="n"/>
      <c r="BX281" s="23" t="n"/>
      <c r="BY281" s="24" t="n"/>
      <c r="BZ281" s="25" t="n"/>
      <c r="CA281" s="24" t="n"/>
      <c r="CB281" s="23" t="n"/>
      <c r="CC281" s="24" t="n"/>
      <c r="CD281" s="25" t="n"/>
      <c r="CE281" s="24" t="n"/>
      <c r="CF281" s="23" t="n"/>
      <c r="CG281" s="24" t="n"/>
      <c r="CH281" s="25" t="n"/>
      <c r="CI281" s="24" t="n"/>
      <c r="CJ281" s="23" t="n"/>
      <c r="CK281" s="24" t="n"/>
      <c r="CL281" s="25" t="n"/>
      <c r="CM281" s="24" t="n"/>
      <c r="CN281" s="23" t="n"/>
      <c r="CO281" s="24" t="n"/>
      <c r="CP281" s="25" t="n"/>
      <c r="CQ281" s="24" t="n"/>
      <c r="CR281" s="23" t="n"/>
      <c r="CS281" s="24" t="n"/>
      <c r="CT281" s="25" t="n"/>
      <c r="CU281" s="24" t="n"/>
      <c r="CV281" s="23" t="n"/>
      <c r="CW281" s="24" t="n"/>
      <c r="CX281" s="25" t="n"/>
      <c r="CY281" s="24" t="n"/>
      <c r="CZ281" s="23" t="n"/>
      <c r="DA281" s="24" t="n"/>
      <c r="DB281" s="25" t="n"/>
      <c r="DC281" s="24" t="n"/>
      <c r="DD281" s="23" t="n"/>
      <c r="DE281" s="24" t="n"/>
      <c r="DF281" s="25" t="n"/>
      <c r="DG281" s="24" t="n"/>
      <c r="DH281" s="23" t="n"/>
      <c r="DI281" s="24" t="n"/>
      <c r="DJ281" s="25" t="n"/>
      <c r="DK281" s="24" t="n"/>
      <c r="DL281" s="23" t="n"/>
      <c r="DM281" s="24" t="n"/>
      <c r="DN281" s="25" t="n"/>
      <c r="DO281" s="24" t="n"/>
      <c r="DP281" s="340" t="n"/>
      <c r="DQ281" s="803">
        <f>SUMPRODUCT(--(MOD(COLUMN(BT281:CQ281),4)=MOD(COLUMN(BT281),4)),BT281:CQ281)+SUMPRODUCT(--(MOD(COLUMN(CR281:DO281),4)=MOD(COLUMN(CR281),4)),CR281:DO281)</f>
        <v/>
      </c>
      <c r="DR281" s="803">
        <f>SUMPRODUCT(--(MOD(COLUMN(BT281:CQ281),4)=MOD(COLUMN(BT281),4)),BT281:CQ281)*$I281+SUMPRODUCT(--(MOD(COLUMN(CR281:DO281),4)=MOD(COLUMN(CR281),4)),CR281:DO281)*$I281</f>
        <v/>
      </c>
      <c r="DS281" s="801" t="n"/>
      <c r="DT281" s="819" t="n"/>
      <c r="DU281" s="23" t="n"/>
      <c r="DV281" s="24" t="n"/>
      <c r="DW281" s="25" t="n"/>
      <c r="DX281" s="24" t="n"/>
      <c r="DY281" s="23" t="n"/>
      <c r="DZ281" s="24" t="n"/>
      <c r="EA281" s="25" t="n"/>
      <c r="EB281" s="24" t="n"/>
      <c r="EC281" s="23" t="n"/>
      <c r="ED281" s="24" t="n"/>
      <c r="EE281" s="25" t="n"/>
      <c r="EF281" s="24" t="n"/>
      <c r="EG281" s="23" t="n"/>
      <c r="EH281" s="24" t="n"/>
      <c r="EI281" s="25" t="n"/>
      <c r="EJ281" s="24" t="n"/>
      <c r="EK281" s="23" t="n"/>
      <c r="EL281" s="24" t="n"/>
      <c r="EM281" s="25" t="n"/>
      <c r="EN281" s="24" t="n"/>
      <c r="EO281" s="23" t="n"/>
      <c r="EP281" s="24" t="n"/>
      <c r="EQ281" s="25" t="n"/>
      <c r="ER281" s="24" t="n"/>
      <c r="ES281" s="23" t="n"/>
      <c r="ET281" s="24" t="n"/>
      <c r="EU281" s="25" t="n"/>
      <c r="EV281" s="24" t="n"/>
      <c r="EW281" s="23" t="n"/>
      <c r="EX281" s="24" t="n"/>
      <c r="EY281" s="25" t="n"/>
      <c r="EZ281" s="24" t="n"/>
      <c r="FA281" s="23" t="n"/>
      <c r="FB281" s="24" t="n"/>
      <c r="FC281" s="25" t="n"/>
      <c r="FD281" s="24" t="n"/>
      <c r="FE281" s="23" t="n"/>
      <c r="FF281" s="24" t="n"/>
      <c r="FG281" s="25" t="n"/>
      <c r="FH281" s="24" t="n"/>
      <c r="FI281" s="23" t="n"/>
      <c r="FJ281" s="24" t="n"/>
      <c r="FK281" s="25" t="n"/>
      <c r="FL281" s="24" t="n"/>
      <c r="FM281" s="23" t="n"/>
      <c r="FN281" s="24" t="n"/>
      <c r="FO281" s="25" t="n"/>
      <c r="FP281" s="24" t="n"/>
      <c r="FQ281" s="340" t="n"/>
      <c r="FR281" s="803">
        <f>SUMPRODUCT(--(MOD(COLUMN(DU281:ER281),4)=MOD(COLUMN(DU281),4)),DU281:ER281)+SUMPRODUCT(--(MOD(COLUMN(ES281:FP281),4)=MOD(COLUMN(ES281),4)),ES281:FP281)</f>
        <v/>
      </c>
      <c r="FS281" s="803">
        <f>SUMPRODUCT(--(MOD(COLUMN(DU281:ER281),4)=MOD(COLUMN(DU281),4)),DU281:ER281)*$I281+SUMPRODUCT(--(MOD(COLUMN(ES281:FP281),4)=MOD(COLUMN(ES281),4)),ES281:FP281)*$I281</f>
        <v/>
      </c>
      <c r="FT281" s="361" t="n"/>
    </row>
    <row r="282" outlineLevel="2">
      <c r="A282" s="58" t="inlineStr">
        <is>
          <t>АВТОВИК ООО / AVTOVIK OOO</t>
        </is>
      </c>
      <c r="B282" s="387" t="inlineStr">
        <is>
          <t>Предоплата 100%</t>
        </is>
      </c>
      <c r="C282" s="173" t="inlineStr">
        <is>
          <t>ВБК РУС</t>
        </is>
      </c>
      <c r="D282" s="595" t="inlineStr">
        <is>
          <t>Прасолов, Соловьёв</t>
        </is>
      </c>
      <c r="E282" s="10">
        <f>IF(ISBLANK(G282),"",IF($A$6:$A$330=$A282,COUNTIF($A$6:A282,$A282),""))</f>
        <v/>
      </c>
      <c r="F282" s="10" t="n">
        <v>1</v>
      </c>
      <c r="G282" s="55" t="n">
        <v>4341001250</v>
      </c>
      <c r="H282" s="54" t="inlineStr">
        <is>
          <t>Клапан перепускной</t>
        </is>
      </c>
      <c r="I282" s="663">
        <f>120/НДС</f>
        <v/>
      </c>
      <c r="J282" s="617" t="n"/>
      <c r="K282" s="872" t="n"/>
      <c r="L282" s="617">
        <f>IF(K282="RUB",J282/ЮАНЬ,IF(K282="EUR",J282*ЕВРО/ЮАНЬ,""))</f>
        <v/>
      </c>
      <c r="M282" s="873" t="n"/>
      <c r="N282" s="871">
        <f>IF(BP282&gt;0,1,IF(BN282&gt;0,2,))</f>
        <v/>
      </c>
      <c r="O282" s="23" t="n"/>
      <c r="P282" s="24" t="n"/>
      <c r="Q282" s="25" t="n"/>
      <c r="R282" s="24" t="n"/>
      <c r="S282" s="23" t="n"/>
      <c r="T282" s="24" t="n"/>
      <c r="U282" s="25" t="n"/>
      <c r="V282" s="24" t="n"/>
      <c r="W282" s="23" t="n"/>
      <c r="X282" s="26">
        <f>20</f>
        <v/>
      </c>
      <c r="Y282" s="25" t="n">
        <v>20</v>
      </c>
      <c r="Z282" s="674" t="n">
        <v>20</v>
      </c>
      <c r="AA282" s="23" t="n"/>
      <c r="AB282" s="26">
        <f>60</f>
        <v/>
      </c>
      <c r="AC282" s="579" t="n">
        <v>60</v>
      </c>
      <c r="AD282" s="674" t="n">
        <v>60</v>
      </c>
      <c r="AE282" s="23" t="n"/>
      <c r="AF282" s="386" t="n"/>
      <c r="AG282" s="25" t="n"/>
      <c r="AH282" s="24" t="n"/>
      <c r="AI282" s="23" t="n"/>
      <c r="AJ282" s="24">
        <f>60</f>
        <v/>
      </c>
      <c r="AK282" s="25" t="n">
        <v>0</v>
      </c>
      <c r="AL282" s="674" t="n">
        <v>60</v>
      </c>
      <c r="AM282" s="23" t="n"/>
      <c r="AN282" s="24" t="n"/>
      <c r="AO282" s="25" t="n"/>
      <c r="AP282" s="24" t="n"/>
      <c r="AQ282" s="23" t="n"/>
      <c r="AR282" s="24" t="n"/>
      <c r="AS282" s="25" t="n"/>
      <c r="AT282" s="24" t="n"/>
      <c r="AU282" s="23" t="n"/>
      <c r="AV282" s="24" t="n"/>
      <c r="AW282" s="25" t="n"/>
      <c r="AX282" s="24" t="n"/>
      <c r="AY282" s="23" t="n"/>
      <c r="AZ282" s="24" t="n"/>
      <c r="BA282" s="25" t="n"/>
      <c r="BB282" s="24" t="n"/>
      <c r="BC282" s="23" t="n"/>
      <c r="BD282" s="24" t="n"/>
      <c r="BE282" s="25" t="n"/>
      <c r="BF282" s="24" t="n"/>
      <c r="BG282" s="23" t="n"/>
      <c r="BH282" s="24" t="n"/>
      <c r="BI282" s="25" t="n"/>
      <c r="BJ282" s="24" t="n"/>
      <c r="BK282" s="340" t="n"/>
      <c r="BL282" s="803">
        <f>SUMPRODUCT(--(MOD(COLUMN($O282:$AL282),4)=MOD(COLUMN($O282)+0,4)),$O282:$AL282)
+SUMPRODUCT(--(MOD(COLUMN($AM282:$BJ282),4)=MOD(COLUMN($AM282)+0,4)),$AM282:$BJ282)</f>
        <v/>
      </c>
      <c r="BM282" s="803">
        <f>SUMPRODUCT(--(MOD(COLUMN($O282:$AL282),4)=MOD(COLUMN($O282)+0,4)),$O282:$AL282)*
$I282+SUMPRODUCT(--(MOD(COLUMN($AM282:$BJ282),4)=MOD(COLUMN($AM282)+0,4)),$AM282:$BJ282)*$I282</f>
        <v/>
      </c>
      <c r="BN282" s="805">
        <f>SUMPRODUCT(--(MOD(COLUMN($O282:$AL282),4)=MOD(COLUMN($O282)+1,4)),$O282:$AL282)
+SUMPRODUCT(--(MOD(COLUMN($AM282:$BJ282),4)=MOD(COLUMN($AM282)+1,4)),$AM282:$BJ282)</f>
        <v/>
      </c>
      <c r="BO282" s="806">
        <f>SUMPRODUCT(--(MOD(COLUMN($O282:$AL282),4)=MOD(COLUMN($O282)+1,4)),$O282:$AL282)*
$I282+SUMPRODUCT(--(MOD(COLUMN($AM282:$BJ282),4)=MOD(COLUMN($AM282)+1,4)),$AM282:$BJ282)*$I282</f>
        <v/>
      </c>
      <c r="BP282" s="807">
        <f>SUMPRODUCT(--(MOD(COLUMN($O282:$AL282),4)=MOD(COLUMN($O282)+2,4)),$O282:$AL282)
+SUMPRODUCT(--(MOD(COLUMN($AM282:$BJ282),4)=MOD(COLUMN($AM282)+2,4)),$AM282:$BJ282)</f>
        <v/>
      </c>
      <c r="BQ282" s="808">
        <f>SUMPRODUCT(--(MOD(COLUMN($O282:$AL282),4)=MOD(COLUMN($O282)+2,4)),$O282:$AL282)*
$I282+SUMPRODUCT(--(MOD(COLUMN($AM282:$BJ282),4)=MOD(COLUMN($AM282)+2,4)),$AM282:$BJ282)*$I282</f>
        <v/>
      </c>
      <c r="BR282" s="801" t="n"/>
      <c r="BS282" s="819" t="n"/>
      <c r="BT282" s="23" t="n"/>
      <c r="BU282" s="24" t="n"/>
      <c r="BV282" s="25" t="n"/>
      <c r="BW282" s="24" t="n"/>
      <c r="BX282" s="23" t="n"/>
      <c r="BY282" s="24" t="n"/>
      <c r="BZ282" s="25" t="n"/>
      <c r="CA282" s="24" t="n"/>
      <c r="CB282" s="23" t="n"/>
      <c r="CC282" s="24" t="n"/>
      <c r="CD282" s="25" t="n"/>
      <c r="CE282" s="24" t="n"/>
      <c r="CF282" s="23" t="n"/>
      <c r="CG282" s="24" t="n"/>
      <c r="CH282" s="25" t="n"/>
      <c r="CI282" s="24" t="n"/>
      <c r="CJ282" s="23" t="n"/>
      <c r="CK282" s="24" t="n"/>
      <c r="CL282" s="25" t="n"/>
      <c r="CM282" s="24" t="n"/>
      <c r="CN282" s="23" t="n"/>
      <c r="CO282" s="24" t="n"/>
      <c r="CP282" s="25" t="n"/>
      <c r="CQ282" s="24" t="n"/>
      <c r="CR282" s="23" t="n"/>
      <c r="CS282" s="24" t="n"/>
      <c r="CT282" s="25" t="n"/>
      <c r="CU282" s="24" t="n"/>
      <c r="CV282" s="23" t="n"/>
      <c r="CW282" s="24" t="n"/>
      <c r="CX282" s="25" t="n"/>
      <c r="CY282" s="24" t="n"/>
      <c r="CZ282" s="23" t="n"/>
      <c r="DA282" s="24" t="n"/>
      <c r="DB282" s="25" t="n"/>
      <c r="DC282" s="24" t="n"/>
      <c r="DD282" s="23" t="n"/>
      <c r="DE282" s="24" t="n"/>
      <c r="DF282" s="25" t="n"/>
      <c r="DG282" s="24" t="n"/>
      <c r="DH282" s="23" t="n"/>
      <c r="DI282" s="24" t="n"/>
      <c r="DJ282" s="25" t="n"/>
      <c r="DK282" s="24" t="n"/>
      <c r="DL282" s="23" t="n"/>
      <c r="DM282" s="24" t="n"/>
      <c r="DN282" s="25" t="n"/>
      <c r="DO282" s="24" t="n"/>
      <c r="DP282" s="340" t="n"/>
      <c r="DQ282" s="803">
        <f>SUMPRODUCT(--(MOD(COLUMN(BT282:CQ282),4)=MOD(COLUMN(BT282),4)),BT282:CQ282)+SUMPRODUCT(--(MOD(COLUMN(CR282:DO282),4)=MOD(COLUMN(CR282),4)),CR282:DO282)</f>
        <v/>
      </c>
      <c r="DR282" s="803">
        <f>SUMPRODUCT(--(MOD(COLUMN(BT282:CQ282),4)=MOD(COLUMN(BT282),4)),BT282:CQ282)*$I282+SUMPRODUCT(--(MOD(COLUMN(CR282:DO282),4)=MOD(COLUMN(CR282),4)),CR282:DO282)*$I282</f>
        <v/>
      </c>
      <c r="DS282" s="801" t="n"/>
      <c r="DT282" s="819" t="n"/>
      <c r="DU282" s="23" t="n"/>
      <c r="DV282" s="24" t="n"/>
      <c r="DW282" s="25" t="n"/>
      <c r="DX282" s="24" t="n"/>
      <c r="DY282" s="23" t="n"/>
      <c r="DZ282" s="24" t="n"/>
      <c r="EA282" s="25" t="n"/>
      <c r="EB282" s="24" t="n"/>
      <c r="EC282" s="23" t="n"/>
      <c r="ED282" s="24" t="n"/>
      <c r="EE282" s="25" t="n"/>
      <c r="EF282" s="24" t="n"/>
      <c r="EG282" s="23" t="n"/>
      <c r="EH282" s="24" t="n"/>
      <c r="EI282" s="25" t="n"/>
      <c r="EJ282" s="24" t="n"/>
      <c r="EK282" s="23" t="n"/>
      <c r="EL282" s="24" t="n"/>
      <c r="EM282" s="25" t="n"/>
      <c r="EN282" s="24" t="n"/>
      <c r="EO282" s="23" t="n"/>
      <c r="EP282" s="24" t="n"/>
      <c r="EQ282" s="25" t="n"/>
      <c r="ER282" s="24" t="n"/>
      <c r="ES282" s="23" t="n"/>
      <c r="ET282" s="24" t="n"/>
      <c r="EU282" s="25" t="n"/>
      <c r="EV282" s="24" t="n"/>
      <c r="EW282" s="23" t="n"/>
      <c r="EX282" s="24" t="n"/>
      <c r="EY282" s="25" t="n"/>
      <c r="EZ282" s="24" t="n"/>
      <c r="FA282" s="23" t="n"/>
      <c r="FB282" s="24" t="n"/>
      <c r="FC282" s="25" t="n"/>
      <c r="FD282" s="24" t="n"/>
      <c r="FE282" s="23" t="n"/>
      <c r="FF282" s="24" t="n"/>
      <c r="FG282" s="25" t="n"/>
      <c r="FH282" s="24" t="n"/>
      <c r="FI282" s="23" t="n"/>
      <c r="FJ282" s="24" t="n"/>
      <c r="FK282" s="25" t="n"/>
      <c r="FL282" s="24" t="n"/>
      <c r="FM282" s="23" t="n"/>
      <c r="FN282" s="24" t="n"/>
      <c r="FO282" s="25" t="n"/>
      <c r="FP282" s="24" t="n"/>
      <c r="FQ282" s="340" t="n"/>
      <c r="FR282" s="803">
        <f>SUMPRODUCT(--(MOD(COLUMN(DU282:ER282),4)=MOD(COLUMN(DU282),4)),DU282:ER282)+SUMPRODUCT(--(MOD(COLUMN(ES282:FP282),4)=MOD(COLUMN(ES282),4)),ES282:FP282)</f>
        <v/>
      </c>
      <c r="FS282" s="803">
        <f>SUMPRODUCT(--(MOD(COLUMN(DU282:ER282),4)=MOD(COLUMN(DU282),4)),DU282:ER282)*$I282+SUMPRODUCT(--(MOD(COLUMN(ES282:FP282),4)=MOD(COLUMN(ES282),4)),ES282:FP282)*$I282</f>
        <v/>
      </c>
      <c r="FT282" s="361" t="n"/>
    </row>
    <row r="283" outlineLevel="2">
      <c r="A283" s="421" t="inlineStr">
        <is>
          <t>АВТОВИК ООО / AVTOVIK OOO</t>
        </is>
      </c>
      <c r="B283" s="389" t="inlineStr">
        <is>
          <t>Предоплата 100%</t>
        </is>
      </c>
      <c r="C283" s="311" t="inlineStr">
        <is>
          <t>ВБК РУС</t>
        </is>
      </c>
      <c r="D283" s="399" t="inlineStr">
        <is>
          <t>Прасолов, Соловьёв</t>
        </is>
      </c>
      <c r="E283" s="284">
        <f>IF(ISBLANK(G283),"",IF($A$6:$A$330=$A283,COUNTIF($A$6:A283,$A283),""))</f>
        <v/>
      </c>
      <c r="F283" s="284" t="n">
        <v>1</v>
      </c>
      <c r="G283" s="304" t="n">
        <v>4640060020</v>
      </c>
      <c r="H283" s="602" t="inlineStr">
        <is>
          <t>Кран уровня пола</t>
        </is>
      </c>
      <c r="I283" s="616">
        <f>317.2/НДС</f>
        <v/>
      </c>
      <c r="J283" s="616" t="n"/>
      <c r="K283" s="870" t="n"/>
      <c r="L283" s="616" t="n"/>
      <c r="M283" s="871" t="n"/>
      <c r="N283" s="871">
        <f>IF(BP283&gt;0,1,IF(BN283&gt;0,2,))</f>
        <v/>
      </c>
      <c r="O283" s="322" t="n"/>
      <c r="P283" s="408" t="n"/>
      <c r="Q283" s="307" t="n"/>
      <c r="R283" s="408" t="n"/>
      <c r="S283" s="322" t="n"/>
      <c r="T283" s="408" t="n"/>
      <c r="U283" s="307" t="n"/>
      <c r="V283" s="408" t="n"/>
      <c r="W283" s="322" t="n"/>
      <c r="X283" s="386" t="n"/>
      <c r="Y283" s="307" t="n">
        <v>20</v>
      </c>
      <c r="Z283" s="386" t="n"/>
      <c r="AA283" s="322" t="n"/>
      <c r="AB283" s="386">
        <f>15</f>
        <v/>
      </c>
      <c r="AC283" s="579" t="n">
        <v>15</v>
      </c>
      <c r="AD283" s="386" t="n"/>
      <c r="AE283" s="322" t="n"/>
      <c r="AF283" s="386" t="n"/>
      <c r="AG283" s="307" t="n"/>
      <c r="AH283" s="24" t="n"/>
      <c r="AI283" s="322" t="n"/>
      <c r="AJ283" s="408" t="n"/>
      <c r="AK283" s="307" t="n">
        <v>0</v>
      </c>
      <c r="AL283" s="386" t="n"/>
      <c r="AM283" s="322" t="n"/>
      <c r="AN283" s="408" t="n"/>
      <c r="AO283" s="307" t="n"/>
      <c r="AP283" s="408" t="n"/>
      <c r="AQ283" s="322" t="n"/>
      <c r="AR283" s="408" t="n"/>
      <c r="AS283" s="307" t="n"/>
      <c r="AT283" s="408" t="n"/>
      <c r="AU283" s="322" t="n"/>
      <c r="AV283" s="408" t="n"/>
      <c r="AW283" s="307" t="n"/>
      <c r="AX283" s="408" t="n"/>
      <c r="AY283" s="322" t="n"/>
      <c r="AZ283" s="408" t="n"/>
      <c r="BA283" s="307" t="n"/>
      <c r="BB283" s="408" t="n"/>
      <c r="BC283" s="322" t="n"/>
      <c r="BD283" s="408" t="n"/>
      <c r="BE283" s="307" t="n"/>
      <c r="BF283" s="408" t="n"/>
      <c r="BG283" s="322" t="n"/>
      <c r="BH283" s="408" t="n"/>
      <c r="BI283" s="307" t="n"/>
      <c r="BJ283" s="408" t="n"/>
      <c r="BK283" s="340" t="n"/>
      <c r="BL283" s="820">
        <f>SUMPRODUCT(--(MOD(COLUMN($O283:$AL283),4)=MOD(COLUMN($O283)+0,4)),$O283:$AL283)
+SUMPRODUCT(--(MOD(COLUMN($AM283:$BJ283),4)=MOD(COLUMN($AM283)+0,4)),$AM283:$BJ283)</f>
        <v/>
      </c>
      <c r="BM283" s="820">
        <f>SUMPRODUCT(--(MOD(COLUMN($O283:$AL283),4)=MOD(COLUMN($O283)+0,4)),$O283:$AL283)*
$I283+SUMPRODUCT(--(MOD(COLUMN($AM283:$BJ283),4)=MOD(COLUMN($AM283)+0,4)),$AM283:$BJ283)*$I283</f>
        <v/>
      </c>
      <c r="BN283" s="822">
        <f>SUMPRODUCT(--(MOD(COLUMN($O283:$AL283),4)=MOD(COLUMN($O283)+1,4)),$O283:$AL283)
+SUMPRODUCT(--(MOD(COLUMN($AM283:$BJ283),4)=MOD(COLUMN($AM283)+1,4)),$AM283:$BJ283)</f>
        <v/>
      </c>
      <c r="BO283" s="823">
        <f>SUMPRODUCT(--(MOD(COLUMN($O283:$AL283),4)=MOD(COLUMN($O283)+1,4)),$O283:$AL283)*
$I283+SUMPRODUCT(--(MOD(COLUMN($AM283:$BJ283),4)=MOD(COLUMN($AM283)+1,4)),$AM283:$BJ283)*$I283</f>
        <v/>
      </c>
      <c r="BP283" s="824">
        <f>SUMPRODUCT(--(MOD(COLUMN($O283:$AL283),4)=MOD(COLUMN($O283)+2,4)),$O283:$AL283)
+SUMPRODUCT(--(MOD(COLUMN($AM283:$BJ283),4)=MOD(COLUMN($AM283)+2,4)),$AM283:$BJ283)</f>
        <v/>
      </c>
      <c r="BQ283" s="825">
        <f>SUMPRODUCT(--(MOD(COLUMN($O283:$AL283),4)=MOD(COLUMN($O283)+2,4)),$O283:$AL283)*
$I283+SUMPRODUCT(--(MOD(COLUMN($AM283:$BJ283),4)=MOD(COLUMN($AM283)+2,4)),$AM283:$BJ283)*$I283</f>
        <v/>
      </c>
      <c r="BR283" s="819" t="n"/>
      <c r="BS283" s="819" t="n"/>
      <c r="BT283" s="322" t="n"/>
      <c r="BU283" s="408" t="n"/>
      <c r="BV283" s="307" t="n"/>
      <c r="BW283" s="408" t="n"/>
      <c r="BX283" s="322" t="n"/>
      <c r="BY283" s="408" t="n"/>
      <c r="BZ283" s="307" t="n"/>
      <c r="CA283" s="408" t="n"/>
      <c r="CB283" s="322" t="n"/>
      <c r="CC283" s="408" t="n"/>
      <c r="CD283" s="307" t="n"/>
      <c r="CE283" s="408" t="n"/>
      <c r="CF283" s="322" t="n"/>
      <c r="CG283" s="408" t="n"/>
      <c r="CH283" s="307" t="n"/>
      <c r="CI283" s="408" t="n"/>
      <c r="CJ283" s="322" t="n"/>
      <c r="CK283" s="408" t="n"/>
      <c r="CL283" s="307" t="n"/>
      <c r="CM283" s="408" t="n"/>
      <c r="CN283" s="322" t="n"/>
      <c r="CO283" s="408" t="n"/>
      <c r="CP283" s="307" t="n"/>
      <c r="CQ283" s="408" t="n"/>
      <c r="CR283" s="322" t="n"/>
      <c r="CS283" s="408" t="n"/>
      <c r="CT283" s="307" t="n"/>
      <c r="CU283" s="408" t="n"/>
      <c r="CV283" s="322" t="n"/>
      <c r="CW283" s="408" t="n"/>
      <c r="CX283" s="307" t="n"/>
      <c r="CY283" s="408" t="n"/>
      <c r="CZ283" s="322" t="n"/>
      <c r="DA283" s="408" t="n"/>
      <c r="DB283" s="307" t="n"/>
      <c r="DC283" s="408" t="n"/>
      <c r="DD283" s="322" t="n"/>
      <c r="DE283" s="408" t="n"/>
      <c r="DF283" s="307" t="n"/>
      <c r="DG283" s="408" t="n"/>
      <c r="DH283" s="322" t="n"/>
      <c r="DI283" s="408" t="n"/>
      <c r="DJ283" s="307" t="n"/>
      <c r="DK283" s="408" t="n"/>
      <c r="DL283" s="322" t="n"/>
      <c r="DM283" s="408" t="n"/>
      <c r="DN283" s="307" t="n"/>
      <c r="DO283" s="408" t="n"/>
      <c r="DP283" s="340" t="n"/>
      <c r="DQ283" s="820" t="n"/>
      <c r="DR283" s="820" t="n"/>
      <c r="DS283" s="819" t="n"/>
      <c r="DT283" s="819" t="n"/>
      <c r="DU283" s="322" t="n"/>
      <c r="DV283" s="408" t="n"/>
      <c r="DW283" s="307" t="n"/>
      <c r="DX283" s="408" t="n"/>
      <c r="DY283" s="322" t="n"/>
      <c r="DZ283" s="408" t="n"/>
      <c r="EA283" s="307" t="n"/>
      <c r="EB283" s="408" t="n"/>
      <c r="EC283" s="322" t="n"/>
      <c r="ED283" s="408" t="n"/>
      <c r="EE283" s="307" t="n"/>
      <c r="EF283" s="408" t="n"/>
      <c r="EG283" s="322" t="n"/>
      <c r="EH283" s="408" t="n"/>
      <c r="EI283" s="307" t="n"/>
      <c r="EJ283" s="408" t="n"/>
      <c r="EK283" s="322" t="n"/>
      <c r="EL283" s="408" t="n"/>
      <c r="EM283" s="307" t="n"/>
      <c r="EN283" s="408" t="n"/>
      <c r="EO283" s="322" t="n"/>
      <c r="EP283" s="408" t="n"/>
      <c r="EQ283" s="307" t="n"/>
      <c r="ER283" s="408" t="n"/>
      <c r="ES283" s="322" t="n"/>
      <c r="ET283" s="408" t="n"/>
      <c r="EU283" s="307" t="n"/>
      <c r="EV283" s="408" t="n"/>
      <c r="EW283" s="322" t="n"/>
      <c r="EX283" s="408" t="n"/>
      <c r="EY283" s="307" t="n"/>
      <c r="EZ283" s="408" t="n"/>
      <c r="FA283" s="322" t="n"/>
      <c r="FB283" s="408" t="n"/>
      <c r="FC283" s="307" t="n"/>
      <c r="FD283" s="408" t="n"/>
      <c r="FE283" s="322" t="n"/>
      <c r="FF283" s="408" t="n"/>
      <c r="FG283" s="307" t="n"/>
      <c r="FH283" s="408" t="n"/>
      <c r="FI283" s="322" t="n"/>
      <c r="FJ283" s="408" t="n"/>
      <c r="FK283" s="307" t="n"/>
      <c r="FL283" s="408" t="n"/>
      <c r="FM283" s="322" t="n"/>
      <c r="FN283" s="408" t="n"/>
      <c r="FO283" s="307" t="n"/>
      <c r="FP283" s="408" t="n"/>
      <c r="FQ283" s="340" t="n"/>
      <c r="FR283" s="820" t="n"/>
      <c r="FS283" s="820" t="n"/>
      <c r="FT283" s="361" t="n"/>
    </row>
    <row r="284" outlineLevel="2">
      <c r="A284" s="58" t="inlineStr">
        <is>
          <t>АВТОВИК ООО / AVTOVIK OOO</t>
        </is>
      </c>
      <c r="B284" s="387" t="inlineStr">
        <is>
          <t>Предоплата 100%</t>
        </is>
      </c>
      <c r="C284" s="173" t="inlineStr">
        <is>
          <t>ВБК РУС</t>
        </is>
      </c>
      <c r="D284" s="595" t="inlineStr">
        <is>
          <t>Прасолов, Соловьёв</t>
        </is>
      </c>
      <c r="E284" s="10">
        <f>IF(ISBLANK(G284),"",IF($A$6:$A$330=$A284,COUNTIF($A$6:A284,$A284),""))</f>
        <v/>
      </c>
      <c r="F284" s="10" t="n">
        <v>1</v>
      </c>
      <c r="G284" s="55" t="n">
        <v>4640061000</v>
      </c>
      <c r="H284" s="54" t="inlineStr">
        <is>
          <t>Кран уровня пола</t>
        </is>
      </c>
      <c r="I284" s="617">
        <f>326.35/НДС</f>
        <v/>
      </c>
      <c r="J284" s="617" t="n"/>
      <c r="K284" s="872" t="n"/>
      <c r="L284" s="617">
        <f>IF(K284="RUB",J284/ЮАНЬ,IF(K284="EUR",J284*ЕВРО/ЮАНЬ,""))</f>
        <v/>
      </c>
      <c r="M284" s="873" t="n"/>
      <c r="N284" s="871">
        <f>IF(BP284&gt;0,1,IF(BN284&gt;0,2,))</f>
        <v/>
      </c>
      <c r="O284" s="23" t="n"/>
      <c r="P284" s="24" t="n"/>
      <c r="Q284" s="25" t="n">
        <v>0</v>
      </c>
      <c r="R284" s="24" t="n"/>
      <c r="S284" s="23" t="n">
        <v>20</v>
      </c>
      <c r="T284" s="24" t="n"/>
      <c r="U284" s="25" t="n">
        <v>50</v>
      </c>
      <c r="V284" s="24" t="n"/>
      <c r="W284" s="23" t="n"/>
      <c r="X284" s="26" t="n"/>
      <c r="Y284" s="25" t="n">
        <v>0</v>
      </c>
      <c r="Z284" s="24" t="n"/>
      <c r="AA284" s="23" t="n">
        <v>20</v>
      </c>
      <c r="AB284" s="26" t="n"/>
      <c r="AC284" s="25" t="n">
        <v>0</v>
      </c>
      <c r="AD284" s="24" t="n"/>
      <c r="AE284" s="23" t="n"/>
      <c r="AF284" s="26" t="n"/>
      <c r="AG284" s="25" t="n">
        <v>0</v>
      </c>
      <c r="AH284" s="24" t="n"/>
      <c r="AI284" s="23" t="n">
        <v>20</v>
      </c>
      <c r="AJ284" s="24">
        <f>30+30</f>
        <v/>
      </c>
      <c r="AK284" s="25" t="n">
        <v>0</v>
      </c>
      <c r="AL284" s="24" t="n"/>
      <c r="AM284" s="23" t="n"/>
      <c r="AN284" s="24" t="n"/>
      <c r="AO284" s="25" t="n">
        <v>0</v>
      </c>
      <c r="AP284" s="24" t="n"/>
      <c r="AQ284" s="23" t="n">
        <v>20</v>
      </c>
      <c r="AR284" s="24" t="n">
        <v>20</v>
      </c>
      <c r="AS284" s="25" t="n">
        <v>0</v>
      </c>
      <c r="AT284" s="24" t="n"/>
      <c r="AU284" s="23" t="n"/>
      <c r="AV284" s="24" t="n"/>
      <c r="AW284" s="25" t="n">
        <v>0</v>
      </c>
      <c r="AX284" s="24" t="n"/>
      <c r="AY284" s="23" t="n">
        <v>20</v>
      </c>
      <c r="AZ284" s="24" t="n">
        <v>20</v>
      </c>
      <c r="BA284" s="25" t="n">
        <v>0</v>
      </c>
      <c r="BB284" s="24" t="n"/>
      <c r="BC284" s="23" t="n"/>
      <c r="BD284" s="24" t="n"/>
      <c r="BE284" s="25" t="n">
        <v>0</v>
      </c>
      <c r="BF284" s="24" t="n"/>
      <c r="BG284" s="23" t="n">
        <v>20</v>
      </c>
      <c r="BH284" s="24" t="n">
        <v>20</v>
      </c>
      <c r="BI284" s="25" t="n">
        <v>0</v>
      </c>
      <c r="BJ284" s="24" t="n"/>
      <c r="BK284" s="340" t="n"/>
      <c r="BL284" s="803">
        <f>SUMPRODUCT(--(MOD(COLUMN($O284:$AL284),4)=MOD(COLUMN($O284)+0,4)),$O284:$AL284)
+SUMPRODUCT(--(MOD(COLUMN($AM284:$BJ284),4)=MOD(COLUMN($AM284)+0,4)),$AM284:$BJ284)</f>
        <v/>
      </c>
      <c r="BM284" s="803">
        <f>SUMPRODUCT(--(MOD(COLUMN($O284:$AL284),4)=MOD(COLUMN($O284)+0,4)),$O284:$AL284)*
$I284+SUMPRODUCT(--(MOD(COLUMN($AM284:$BJ284),4)=MOD(COLUMN($AM284)+0,4)),$AM284:$BJ284)*$I284</f>
        <v/>
      </c>
      <c r="BN284" s="805">
        <f>SUMPRODUCT(--(MOD(COLUMN($O284:$AL284),4)=MOD(COLUMN($O284)+1,4)),$O284:$AL284)
+SUMPRODUCT(--(MOD(COLUMN($AM284:$BJ284),4)=MOD(COLUMN($AM284)+1,4)),$AM284:$BJ284)</f>
        <v/>
      </c>
      <c r="BO284" s="806">
        <f>SUMPRODUCT(--(MOD(COLUMN($O284:$AL284),4)=MOD(COLUMN($O284)+1,4)),$O284:$AL284)*
$I284+SUMPRODUCT(--(MOD(COLUMN($AM284:$BJ284),4)=MOD(COLUMN($AM284)+1,4)),$AM284:$BJ284)*$I284</f>
        <v/>
      </c>
      <c r="BP284" s="807">
        <f>SUMPRODUCT(--(MOD(COLUMN($O284:$AL284),4)=MOD(COLUMN($O284)+2,4)),$O284:$AL284)
+SUMPRODUCT(--(MOD(COLUMN($AM284:$BJ284),4)=MOD(COLUMN($AM284)+2,4)),$AM284:$BJ284)</f>
        <v/>
      </c>
      <c r="BQ284" s="808">
        <f>SUMPRODUCT(--(MOD(COLUMN($O284:$AL284),4)=MOD(COLUMN($O284)+2,4)),$O284:$AL284)*
$I284+SUMPRODUCT(--(MOD(COLUMN($AM284:$BJ284),4)=MOD(COLUMN($AM284)+2,4)),$AM284:$BJ284)*$I284</f>
        <v/>
      </c>
      <c r="BR284" s="801" t="n"/>
      <c r="BS284" s="819" t="n"/>
      <c r="BT284" s="23" t="n"/>
      <c r="BU284" s="24" t="n"/>
      <c r="BV284" s="25" t="n">
        <v>0</v>
      </c>
      <c r="BW284" s="24" t="n"/>
      <c r="BX284" s="23" t="n"/>
      <c r="BY284" s="24" t="n"/>
      <c r="BZ284" s="25" t="n">
        <v>0</v>
      </c>
      <c r="CA284" s="24" t="n"/>
      <c r="CB284" s="23" t="n"/>
      <c r="CC284" s="24" t="n"/>
      <c r="CD284" s="25" t="n">
        <v>0</v>
      </c>
      <c r="CE284" s="24" t="n"/>
      <c r="CF284" s="23" t="n"/>
      <c r="CG284" s="24" t="n"/>
      <c r="CH284" s="25" t="n">
        <v>0</v>
      </c>
      <c r="CI284" s="24" t="n"/>
      <c r="CJ284" s="23" t="n"/>
      <c r="CK284" s="24" t="n"/>
      <c r="CL284" s="25" t="n">
        <v>0</v>
      </c>
      <c r="CM284" s="24" t="n"/>
      <c r="CN284" s="23" t="n"/>
      <c r="CO284" s="24" t="n"/>
      <c r="CP284" s="25" t="n">
        <v>0</v>
      </c>
      <c r="CQ284" s="24" t="n"/>
      <c r="CR284" s="23" t="n"/>
      <c r="CS284" s="24" t="n"/>
      <c r="CT284" s="25" t="n">
        <v>0</v>
      </c>
      <c r="CU284" s="24" t="n"/>
      <c r="CV284" s="23" t="n"/>
      <c r="CW284" s="24" t="n"/>
      <c r="CX284" s="25" t="n">
        <v>0</v>
      </c>
      <c r="CY284" s="24" t="n"/>
      <c r="CZ284" s="23" t="n"/>
      <c r="DA284" s="24" t="n"/>
      <c r="DB284" s="25" t="n">
        <v>0</v>
      </c>
      <c r="DC284" s="24" t="n"/>
      <c r="DD284" s="23" t="n"/>
      <c r="DE284" s="24" t="n"/>
      <c r="DF284" s="25" t="n">
        <v>0</v>
      </c>
      <c r="DG284" s="24" t="n"/>
      <c r="DH284" s="23" t="n"/>
      <c r="DI284" s="24" t="n"/>
      <c r="DJ284" s="25" t="n">
        <v>0</v>
      </c>
      <c r="DK284" s="24" t="n"/>
      <c r="DL284" s="23" t="n"/>
      <c r="DM284" s="24" t="n"/>
      <c r="DN284" s="25" t="n">
        <v>0</v>
      </c>
      <c r="DO284" s="24" t="n"/>
      <c r="DP284" s="340" t="n"/>
      <c r="DQ284" s="803">
        <f>SUMPRODUCT(--(MOD(COLUMN(BT284:CQ284),4)=MOD(COLUMN(BT284),4)),BT284:CQ284)+SUMPRODUCT(--(MOD(COLUMN(CR284:DO284),4)=MOD(COLUMN(CR284),4)),CR284:DO284)</f>
        <v/>
      </c>
      <c r="DR284" s="803">
        <f>SUMPRODUCT(--(MOD(COLUMN(BT284:CQ284),4)=MOD(COLUMN(BT284),4)),BT284:CQ284)*$I284+SUMPRODUCT(--(MOD(COLUMN(CR284:DO284),4)=MOD(COLUMN(CR284),4)),CR284:DO284)*$I284</f>
        <v/>
      </c>
      <c r="DS284" s="801" t="n"/>
      <c r="DT284" s="819" t="n"/>
      <c r="DU284" s="23" t="n"/>
      <c r="DV284" s="24" t="n"/>
      <c r="DW284" s="25" t="n">
        <v>0</v>
      </c>
      <c r="DX284" s="24" t="n"/>
      <c r="DY284" s="23" t="n"/>
      <c r="DZ284" s="24" t="n"/>
      <c r="EA284" s="25" t="n">
        <v>0</v>
      </c>
      <c r="EB284" s="24" t="n"/>
      <c r="EC284" s="23" t="n"/>
      <c r="ED284" s="24" t="n"/>
      <c r="EE284" s="25" t="n">
        <v>0</v>
      </c>
      <c r="EF284" s="24" t="n"/>
      <c r="EG284" s="23" t="n"/>
      <c r="EH284" s="24" t="n"/>
      <c r="EI284" s="25" t="n">
        <v>0</v>
      </c>
      <c r="EJ284" s="24" t="n"/>
      <c r="EK284" s="23" t="n"/>
      <c r="EL284" s="24" t="n"/>
      <c r="EM284" s="25" t="n">
        <v>0</v>
      </c>
      <c r="EN284" s="24" t="n"/>
      <c r="EO284" s="23" t="n"/>
      <c r="EP284" s="24" t="n"/>
      <c r="EQ284" s="25" t="n">
        <v>0</v>
      </c>
      <c r="ER284" s="24" t="n"/>
      <c r="ES284" s="23" t="n"/>
      <c r="ET284" s="24" t="n"/>
      <c r="EU284" s="25" t="n">
        <v>0</v>
      </c>
      <c r="EV284" s="24" t="n"/>
      <c r="EW284" s="23" t="n"/>
      <c r="EX284" s="24" t="n"/>
      <c r="EY284" s="25" t="n">
        <v>0</v>
      </c>
      <c r="EZ284" s="24" t="n"/>
      <c r="FA284" s="23" t="n"/>
      <c r="FB284" s="24" t="n"/>
      <c r="FC284" s="25" t="n">
        <v>0</v>
      </c>
      <c r="FD284" s="24" t="n"/>
      <c r="FE284" s="23" t="n"/>
      <c r="FF284" s="24" t="n"/>
      <c r="FG284" s="25" t="n">
        <v>0</v>
      </c>
      <c r="FH284" s="24" t="n"/>
      <c r="FI284" s="23" t="n"/>
      <c r="FJ284" s="24" t="n"/>
      <c r="FK284" s="25" t="n">
        <v>0</v>
      </c>
      <c r="FL284" s="24" t="n"/>
      <c r="FM284" s="23" t="n"/>
      <c r="FN284" s="24" t="n"/>
      <c r="FO284" s="25" t="n">
        <v>0</v>
      </c>
      <c r="FP284" s="24" t="n"/>
      <c r="FQ284" s="340" t="n"/>
      <c r="FR284" s="803">
        <f>SUMPRODUCT(--(MOD(COLUMN(DU284:ER284),4)=MOD(COLUMN(DU284),4)),DU284:ER284)+SUMPRODUCT(--(MOD(COLUMN(ES284:FP284),4)=MOD(COLUMN(ES284),4)),ES284:FP284)</f>
        <v/>
      </c>
      <c r="FS284" s="803">
        <f>SUMPRODUCT(--(MOD(COLUMN(DU284:ER284),4)=MOD(COLUMN(DU284),4)),DU284:ER284)*$I284+SUMPRODUCT(--(MOD(COLUMN(ES284:FP284),4)=MOD(COLUMN(ES284),4)),ES284:FP284)*$I284</f>
        <v/>
      </c>
      <c r="FT284" s="361" t="n"/>
    </row>
    <row r="285" outlineLevel="2">
      <c r="A285" s="58" t="inlineStr">
        <is>
          <t>АВТОВИК ООО / AVTOVIK OOO</t>
        </is>
      </c>
      <c r="B285" s="387" t="inlineStr">
        <is>
          <t>Предоплата 100%</t>
        </is>
      </c>
      <c r="C285" s="173" t="inlineStr">
        <is>
          <t>ВБК РУС</t>
        </is>
      </c>
      <c r="D285" s="595" t="inlineStr">
        <is>
          <t>Прасолов, Соловьёв</t>
        </is>
      </c>
      <c r="E285" s="10">
        <f>IF(ISBLANK(G285),"",IF($A$6:$A$330=$A285,COUNTIF($A$6:A285,$A285),""))</f>
        <v/>
      </c>
      <c r="F285" s="10" t="n">
        <v>1</v>
      </c>
      <c r="G285" s="55" t="n">
        <v>4630320200</v>
      </c>
      <c r="H285" s="54" t="inlineStr">
        <is>
          <t>Кран ручного управления</t>
        </is>
      </c>
      <c r="I285" s="617">
        <f>324.24/НДС</f>
        <v/>
      </c>
      <c r="J285" s="617" t="n"/>
      <c r="K285" s="872" t="n"/>
      <c r="L285" s="617">
        <f>IF(K285="RUB",J285/ЮАНЬ,IF(K285="EUR",J285*ЕВРО/ЮАНЬ,""))</f>
        <v/>
      </c>
      <c r="M285" s="873" t="n"/>
      <c r="N285" s="871">
        <f>IF(BP285&gt;0,1,IF(BN285&gt;0,2,))</f>
        <v/>
      </c>
      <c r="O285" s="23" t="n"/>
      <c r="P285" s="24" t="n"/>
      <c r="Q285" s="25" t="n">
        <v>0</v>
      </c>
      <c r="R285" s="24" t="n"/>
      <c r="S285" s="23" t="n">
        <v>20</v>
      </c>
      <c r="T285" s="24" t="n"/>
      <c r="U285" s="25" t="n">
        <v>50</v>
      </c>
      <c r="V285" s="24" t="n"/>
      <c r="W285" s="23" t="n"/>
      <c r="X285" s="26" t="n"/>
      <c r="Y285" s="25" t="n">
        <v>20</v>
      </c>
      <c r="Z285" s="24" t="n"/>
      <c r="AA285" s="23" t="n">
        <v>20</v>
      </c>
      <c r="AB285" s="26" t="n"/>
      <c r="AC285" s="25" t="n">
        <v>0</v>
      </c>
      <c r="AD285" s="24" t="n"/>
      <c r="AE285" s="23" t="n"/>
      <c r="AF285" s="26" t="n"/>
      <c r="AG285" s="25" t="n">
        <v>0</v>
      </c>
      <c r="AH285" s="24" t="n"/>
      <c r="AI285" s="23" t="n">
        <v>20</v>
      </c>
      <c r="AJ285" s="24">
        <f>30+30</f>
        <v/>
      </c>
      <c r="AK285" s="25" t="n">
        <v>0</v>
      </c>
      <c r="AL285" s="24" t="n"/>
      <c r="AM285" s="23" t="n"/>
      <c r="AN285" s="24" t="n"/>
      <c r="AO285" s="25" t="n">
        <v>0</v>
      </c>
      <c r="AP285" s="24" t="n"/>
      <c r="AQ285" s="23" t="n">
        <v>20</v>
      </c>
      <c r="AR285" s="24" t="n">
        <v>20</v>
      </c>
      <c r="AS285" s="25" t="n">
        <v>0</v>
      </c>
      <c r="AT285" s="24" t="n"/>
      <c r="AU285" s="23" t="n"/>
      <c r="AV285" s="24" t="n"/>
      <c r="AW285" s="25" t="n">
        <v>0</v>
      </c>
      <c r="AX285" s="24" t="n"/>
      <c r="AY285" s="23" t="n">
        <v>20</v>
      </c>
      <c r="AZ285" s="24" t="n">
        <v>20</v>
      </c>
      <c r="BA285" s="25" t="n">
        <v>0</v>
      </c>
      <c r="BB285" s="24" t="n"/>
      <c r="BC285" s="23" t="n"/>
      <c r="BD285" s="24" t="n"/>
      <c r="BE285" s="25" t="n">
        <v>0</v>
      </c>
      <c r="BF285" s="24" t="n"/>
      <c r="BG285" s="23" t="n">
        <v>20</v>
      </c>
      <c r="BH285" s="24" t="n">
        <v>20</v>
      </c>
      <c r="BI285" s="25" t="n">
        <v>0</v>
      </c>
      <c r="BJ285" s="24" t="n"/>
      <c r="BK285" s="340" t="n"/>
      <c r="BL285" s="803">
        <f>SUMPRODUCT(--(MOD(COLUMN($O285:$AL285),4)=MOD(COLUMN($O285)+0,4)),$O285:$AL285)
+SUMPRODUCT(--(MOD(COLUMN($AM285:$BJ285),4)=MOD(COLUMN($AM285)+0,4)),$AM285:$BJ285)</f>
        <v/>
      </c>
      <c r="BM285" s="803">
        <f>SUMPRODUCT(--(MOD(COLUMN($O285:$AL285),4)=MOD(COLUMN($O285)+0,4)),$O285:$AL285)*
$I285+SUMPRODUCT(--(MOD(COLUMN($AM285:$BJ285),4)=MOD(COLUMN($AM285)+0,4)),$AM285:$BJ285)*$I285</f>
        <v/>
      </c>
      <c r="BN285" s="805">
        <f>SUMPRODUCT(--(MOD(COLUMN($O285:$AL285),4)=MOD(COLUMN($O285)+1,4)),$O285:$AL285)
+SUMPRODUCT(--(MOD(COLUMN($AM285:$BJ285),4)=MOD(COLUMN($AM285)+1,4)),$AM285:$BJ285)</f>
        <v/>
      </c>
      <c r="BO285" s="806">
        <f>SUMPRODUCT(--(MOD(COLUMN($O285:$AL285),4)=MOD(COLUMN($O285)+1,4)),$O285:$AL285)*
$I285+SUMPRODUCT(--(MOD(COLUMN($AM285:$BJ285),4)=MOD(COLUMN($AM285)+1,4)),$AM285:$BJ285)*$I285</f>
        <v/>
      </c>
      <c r="BP285" s="807">
        <f>SUMPRODUCT(--(MOD(COLUMN($O285:$AL285),4)=MOD(COLUMN($O285)+2,4)),$O285:$AL285)
+SUMPRODUCT(--(MOD(COLUMN($AM285:$BJ285),4)=MOD(COLUMN($AM285)+2,4)),$AM285:$BJ285)</f>
        <v/>
      </c>
      <c r="BQ285" s="808">
        <f>SUMPRODUCT(--(MOD(COLUMN($O285:$AL285),4)=MOD(COLUMN($O285)+2,4)),$O285:$AL285)*
$I285+SUMPRODUCT(--(MOD(COLUMN($AM285:$BJ285),4)=MOD(COLUMN($AM285)+2,4)),$AM285:$BJ285)*$I285</f>
        <v/>
      </c>
      <c r="BR285" s="801" t="n"/>
      <c r="BS285" s="819" t="n"/>
      <c r="BT285" s="23" t="n"/>
      <c r="BU285" s="24" t="n"/>
      <c r="BV285" s="25" t="n">
        <v>0</v>
      </c>
      <c r="BW285" s="24" t="n"/>
      <c r="BX285" s="23" t="n"/>
      <c r="BY285" s="24" t="n"/>
      <c r="BZ285" s="25" t="n">
        <v>0</v>
      </c>
      <c r="CA285" s="24" t="n"/>
      <c r="CB285" s="23" t="n"/>
      <c r="CC285" s="24" t="n"/>
      <c r="CD285" s="25" t="n">
        <v>0</v>
      </c>
      <c r="CE285" s="24" t="n"/>
      <c r="CF285" s="23" t="n"/>
      <c r="CG285" s="24" t="n"/>
      <c r="CH285" s="25" t="n">
        <v>0</v>
      </c>
      <c r="CI285" s="24" t="n"/>
      <c r="CJ285" s="23" t="n"/>
      <c r="CK285" s="24" t="n"/>
      <c r="CL285" s="25" t="n">
        <v>0</v>
      </c>
      <c r="CM285" s="24" t="n"/>
      <c r="CN285" s="23" t="n"/>
      <c r="CO285" s="24" t="n"/>
      <c r="CP285" s="25" t="n">
        <v>0</v>
      </c>
      <c r="CQ285" s="24" t="n"/>
      <c r="CR285" s="23" t="n"/>
      <c r="CS285" s="24" t="n"/>
      <c r="CT285" s="25" t="n">
        <v>0</v>
      </c>
      <c r="CU285" s="24" t="n"/>
      <c r="CV285" s="23" t="n"/>
      <c r="CW285" s="24" t="n"/>
      <c r="CX285" s="25" t="n">
        <v>0</v>
      </c>
      <c r="CY285" s="24" t="n"/>
      <c r="CZ285" s="23" t="n"/>
      <c r="DA285" s="24" t="n"/>
      <c r="DB285" s="25" t="n">
        <v>0</v>
      </c>
      <c r="DC285" s="24" t="n"/>
      <c r="DD285" s="23" t="n"/>
      <c r="DE285" s="24" t="n"/>
      <c r="DF285" s="25" t="n">
        <v>0</v>
      </c>
      <c r="DG285" s="24" t="n"/>
      <c r="DH285" s="23" t="n"/>
      <c r="DI285" s="24" t="n"/>
      <c r="DJ285" s="25" t="n">
        <v>0</v>
      </c>
      <c r="DK285" s="24" t="n"/>
      <c r="DL285" s="23" t="n"/>
      <c r="DM285" s="24" t="n"/>
      <c r="DN285" s="25" t="n">
        <v>0</v>
      </c>
      <c r="DO285" s="24" t="n"/>
      <c r="DP285" s="340" t="n"/>
      <c r="DQ285" s="803">
        <f>SUMPRODUCT(--(MOD(COLUMN(BT285:CQ285),4)=MOD(COLUMN(BT285),4)),BT285:CQ285)+SUMPRODUCT(--(MOD(COLUMN(CR285:DO285),4)=MOD(COLUMN(CR285),4)),CR285:DO285)</f>
        <v/>
      </c>
      <c r="DR285" s="803">
        <f>SUMPRODUCT(--(MOD(COLUMN(BT285:CQ285),4)=MOD(COLUMN(BT285),4)),BT285:CQ285)*$I285+SUMPRODUCT(--(MOD(COLUMN(CR285:DO285),4)=MOD(COLUMN(CR285),4)),CR285:DO285)*$I285</f>
        <v/>
      </c>
      <c r="DS285" s="801" t="n"/>
      <c r="DT285" s="819" t="n"/>
      <c r="DU285" s="23" t="n"/>
      <c r="DV285" s="24" t="n"/>
      <c r="DW285" s="25" t="n">
        <v>0</v>
      </c>
      <c r="DX285" s="24" t="n"/>
      <c r="DY285" s="23" t="n"/>
      <c r="DZ285" s="24" t="n"/>
      <c r="EA285" s="25" t="n">
        <v>0</v>
      </c>
      <c r="EB285" s="24" t="n"/>
      <c r="EC285" s="23" t="n"/>
      <c r="ED285" s="24" t="n"/>
      <c r="EE285" s="25" t="n">
        <v>0</v>
      </c>
      <c r="EF285" s="24" t="n"/>
      <c r="EG285" s="23" t="n"/>
      <c r="EH285" s="24" t="n"/>
      <c r="EI285" s="25" t="n">
        <v>0</v>
      </c>
      <c r="EJ285" s="24" t="n"/>
      <c r="EK285" s="23" t="n"/>
      <c r="EL285" s="24" t="n"/>
      <c r="EM285" s="25" t="n">
        <v>0</v>
      </c>
      <c r="EN285" s="24" t="n"/>
      <c r="EO285" s="23" t="n"/>
      <c r="EP285" s="24" t="n"/>
      <c r="EQ285" s="25" t="n">
        <v>0</v>
      </c>
      <c r="ER285" s="24" t="n"/>
      <c r="ES285" s="23" t="n"/>
      <c r="ET285" s="24" t="n"/>
      <c r="EU285" s="25" t="n">
        <v>0</v>
      </c>
      <c r="EV285" s="24" t="n"/>
      <c r="EW285" s="23" t="n"/>
      <c r="EX285" s="24" t="n"/>
      <c r="EY285" s="25" t="n">
        <v>0</v>
      </c>
      <c r="EZ285" s="24" t="n"/>
      <c r="FA285" s="23" t="n"/>
      <c r="FB285" s="24" t="n"/>
      <c r="FC285" s="25" t="n">
        <v>0</v>
      </c>
      <c r="FD285" s="24" t="n"/>
      <c r="FE285" s="23" t="n"/>
      <c r="FF285" s="24" t="n"/>
      <c r="FG285" s="25" t="n">
        <v>0</v>
      </c>
      <c r="FH285" s="24" t="n"/>
      <c r="FI285" s="23" t="n"/>
      <c r="FJ285" s="24" t="n"/>
      <c r="FK285" s="25" t="n">
        <v>0</v>
      </c>
      <c r="FL285" s="24" t="n"/>
      <c r="FM285" s="23" t="n"/>
      <c r="FN285" s="24" t="n"/>
      <c r="FO285" s="25" t="n">
        <v>0</v>
      </c>
      <c r="FP285" s="24" t="n"/>
      <c r="FQ285" s="340" t="n"/>
      <c r="FR285" s="803">
        <f>SUMPRODUCT(--(MOD(COLUMN(DU285:ER285),4)=MOD(COLUMN(DU285),4)),DU285:ER285)+SUMPRODUCT(--(MOD(COLUMN(ES285:FP285),4)=MOD(COLUMN(ES285),4)),ES285:FP285)</f>
        <v/>
      </c>
      <c r="FS285" s="803">
        <f>SUMPRODUCT(--(MOD(COLUMN(DU285:ER285),4)=MOD(COLUMN(DU285),4)),DU285:ER285)*$I285+SUMPRODUCT(--(MOD(COLUMN(ES285:FP285),4)=MOD(COLUMN(ES285),4)),ES285:FP285)*$I285</f>
        <v/>
      </c>
      <c r="FT285" s="361" t="n"/>
    </row>
    <row r="286" outlineLevel="2">
      <c r="A286" s="58" t="inlineStr">
        <is>
          <t>АВТОВИК ООО / AVTOVIK OOO</t>
        </is>
      </c>
      <c r="B286" s="387" t="inlineStr">
        <is>
          <t>Предоплата 100%</t>
        </is>
      </c>
      <c r="C286" s="173" t="inlineStr">
        <is>
          <t>ВБК РУС</t>
        </is>
      </c>
      <c r="D286" s="595" t="inlineStr">
        <is>
          <t>Прасолов, Соловьёв</t>
        </is>
      </c>
      <c r="E286" s="10">
        <f>IF(ISBLANK(G286),"",IF($A$6:$A$330=$A286,COUNTIF($A$6:A286,$A286),""))</f>
        <v/>
      </c>
      <c r="F286" s="10" t="n">
        <v>1</v>
      </c>
      <c r="G286" s="55" t="n">
        <v>4334010030</v>
      </c>
      <c r="H286" s="54" t="inlineStr">
        <is>
          <t>Упругий элемент</t>
        </is>
      </c>
      <c r="I286" s="617">
        <f>50.85/НДС</f>
        <v/>
      </c>
      <c r="J286" s="617" t="n"/>
      <c r="K286" s="872" t="n"/>
      <c r="L286" s="617">
        <f>IF(K286="RUB",J286/ЮАНЬ,IF(K286="EUR",J286*ЕВРО/ЮАНЬ,""))</f>
        <v/>
      </c>
      <c r="M286" s="873" t="n"/>
      <c r="N286" s="871">
        <f>IF(BP286&gt;0,1,IF(BN286&gt;0,2,))</f>
        <v/>
      </c>
      <c r="O286" s="23" t="n"/>
      <c r="P286" s="24" t="n"/>
      <c r="Q286" s="25" t="n">
        <v>0</v>
      </c>
      <c r="R286" s="24" t="n"/>
      <c r="S286" s="23" t="n">
        <v>10</v>
      </c>
      <c r="T286" s="24" t="n"/>
      <c r="U286" s="25" t="n">
        <v>50</v>
      </c>
      <c r="V286" s="24" t="n"/>
      <c r="W286" s="23" t="n"/>
      <c r="X286" s="26" t="n"/>
      <c r="Y286" s="25" t="n">
        <v>20</v>
      </c>
      <c r="Z286" s="24" t="n"/>
      <c r="AA286" s="23" t="n">
        <v>10</v>
      </c>
      <c r="AB286" s="26" t="n"/>
      <c r="AC286" s="25" t="n">
        <v>0</v>
      </c>
      <c r="AD286" s="24" t="n"/>
      <c r="AE286" s="23" t="n"/>
      <c r="AF286" s="26" t="n"/>
      <c r="AG286" s="25" t="n">
        <v>0</v>
      </c>
      <c r="AH286" s="24" t="n"/>
      <c r="AI286" s="23" t="n">
        <v>10</v>
      </c>
      <c r="AJ286" s="24">
        <f>40</f>
        <v/>
      </c>
      <c r="AK286" s="25" t="n">
        <v>0</v>
      </c>
      <c r="AL286" s="24" t="n"/>
      <c r="AM286" s="23" t="n"/>
      <c r="AN286" s="24" t="n"/>
      <c r="AO286" s="25" t="n">
        <v>0</v>
      </c>
      <c r="AP286" s="24" t="n"/>
      <c r="AQ286" s="23" t="n">
        <v>10</v>
      </c>
      <c r="AR286" s="24" t="n">
        <v>10</v>
      </c>
      <c r="AS286" s="25" t="n">
        <v>0</v>
      </c>
      <c r="AT286" s="24" t="n"/>
      <c r="AU286" s="23" t="n"/>
      <c r="AV286" s="24" t="n"/>
      <c r="AW286" s="25" t="n">
        <v>0</v>
      </c>
      <c r="AX286" s="24" t="n"/>
      <c r="AY286" s="23" t="n">
        <v>10</v>
      </c>
      <c r="AZ286" s="24" t="n">
        <v>10</v>
      </c>
      <c r="BA286" s="25" t="n">
        <v>0</v>
      </c>
      <c r="BB286" s="24" t="n"/>
      <c r="BC286" s="23" t="n"/>
      <c r="BD286" s="24" t="n"/>
      <c r="BE286" s="25" t="n">
        <v>0</v>
      </c>
      <c r="BF286" s="24" t="n"/>
      <c r="BG286" s="23" t="n">
        <v>10</v>
      </c>
      <c r="BH286" s="24" t="n">
        <v>10</v>
      </c>
      <c r="BI286" s="25" t="n">
        <v>0</v>
      </c>
      <c r="BJ286" s="24" t="n"/>
      <c r="BK286" s="340" t="n"/>
      <c r="BL286" s="803">
        <f>SUMPRODUCT(--(MOD(COLUMN($O286:$AL286),4)=MOD(COLUMN($O286)+0,4)),$O286:$AL286)
+SUMPRODUCT(--(MOD(COLUMN($AM286:$BJ286),4)=MOD(COLUMN($AM286)+0,4)),$AM286:$BJ286)</f>
        <v/>
      </c>
      <c r="BM286" s="803">
        <f>SUMPRODUCT(--(MOD(COLUMN($O286:$AL286),4)=MOD(COLUMN($O286)+0,4)),$O286:$AL286)*
$I286+SUMPRODUCT(--(MOD(COLUMN($AM286:$BJ286),4)=MOD(COLUMN($AM286)+0,4)),$AM286:$BJ286)*$I286</f>
        <v/>
      </c>
      <c r="BN286" s="805">
        <f>SUMPRODUCT(--(MOD(COLUMN($O286:$AL286),4)=MOD(COLUMN($O286)+1,4)),$O286:$AL286)
+SUMPRODUCT(--(MOD(COLUMN($AM286:$BJ286),4)=MOD(COLUMN($AM286)+1,4)),$AM286:$BJ286)</f>
        <v/>
      </c>
      <c r="BO286" s="806">
        <f>SUMPRODUCT(--(MOD(COLUMN($O286:$AL286),4)=MOD(COLUMN($O286)+1,4)),$O286:$AL286)*
$I286+SUMPRODUCT(--(MOD(COLUMN($AM286:$BJ286),4)=MOD(COLUMN($AM286)+1,4)),$AM286:$BJ286)*$I286</f>
        <v/>
      </c>
      <c r="BP286" s="807">
        <f>SUMPRODUCT(--(MOD(COLUMN($O286:$AL286),4)=MOD(COLUMN($O286)+2,4)),$O286:$AL286)
+SUMPRODUCT(--(MOD(COLUMN($AM286:$BJ286),4)=MOD(COLUMN($AM286)+2,4)),$AM286:$BJ286)</f>
        <v/>
      </c>
      <c r="BQ286" s="808">
        <f>SUMPRODUCT(--(MOD(COLUMN($O286:$AL286),4)=MOD(COLUMN($O286)+2,4)),$O286:$AL286)*
$I286+SUMPRODUCT(--(MOD(COLUMN($AM286:$BJ286),4)=MOD(COLUMN($AM286)+2,4)),$AM286:$BJ286)*$I286</f>
        <v/>
      </c>
      <c r="BR286" s="801" t="n"/>
      <c r="BS286" s="819" t="n"/>
      <c r="BT286" s="23" t="n"/>
      <c r="BU286" s="24" t="n"/>
      <c r="BV286" s="25" t="n">
        <v>0</v>
      </c>
      <c r="BW286" s="24" t="n"/>
      <c r="BX286" s="23" t="n"/>
      <c r="BY286" s="24" t="n"/>
      <c r="BZ286" s="25" t="n">
        <v>0</v>
      </c>
      <c r="CA286" s="24" t="n"/>
      <c r="CB286" s="23" t="n"/>
      <c r="CC286" s="24" t="n"/>
      <c r="CD286" s="25" t="n">
        <v>0</v>
      </c>
      <c r="CE286" s="24" t="n"/>
      <c r="CF286" s="23" t="n"/>
      <c r="CG286" s="24" t="n"/>
      <c r="CH286" s="25" t="n">
        <v>0</v>
      </c>
      <c r="CI286" s="24" t="n"/>
      <c r="CJ286" s="23" t="n"/>
      <c r="CK286" s="24" t="n"/>
      <c r="CL286" s="25" t="n">
        <v>0</v>
      </c>
      <c r="CM286" s="24" t="n"/>
      <c r="CN286" s="23" t="n"/>
      <c r="CO286" s="24" t="n"/>
      <c r="CP286" s="25" t="n">
        <v>0</v>
      </c>
      <c r="CQ286" s="24" t="n"/>
      <c r="CR286" s="23" t="n"/>
      <c r="CS286" s="24" t="n"/>
      <c r="CT286" s="25" t="n">
        <v>0</v>
      </c>
      <c r="CU286" s="24" t="n"/>
      <c r="CV286" s="23" t="n"/>
      <c r="CW286" s="24" t="n"/>
      <c r="CX286" s="25" t="n">
        <v>0</v>
      </c>
      <c r="CY286" s="24" t="n"/>
      <c r="CZ286" s="23" t="n"/>
      <c r="DA286" s="24" t="n"/>
      <c r="DB286" s="25" t="n">
        <v>0</v>
      </c>
      <c r="DC286" s="24" t="n"/>
      <c r="DD286" s="23" t="n"/>
      <c r="DE286" s="24" t="n"/>
      <c r="DF286" s="25" t="n">
        <v>0</v>
      </c>
      <c r="DG286" s="24" t="n"/>
      <c r="DH286" s="23" t="n"/>
      <c r="DI286" s="24" t="n"/>
      <c r="DJ286" s="25" t="n">
        <v>0</v>
      </c>
      <c r="DK286" s="24" t="n"/>
      <c r="DL286" s="23" t="n"/>
      <c r="DM286" s="24" t="n"/>
      <c r="DN286" s="25" t="n">
        <v>0</v>
      </c>
      <c r="DO286" s="24" t="n"/>
      <c r="DP286" s="340" t="n"/>
      <c r="DQ286" s="803">
        <f>SUMPRODUCT(--(MOD(COLUMN(BT286:CQ286),4)=MOD(COLUMN(BT286),4)),BT286:CQ286)+SUMPRODUCT(--(MOD(COLUMN(CR286:DO286),4)=MOD(COLUMN(CR286),4)),CR286:DO286)</f>
        <v/>
      </c>
      <c r="DR286" s="803">
        <f>SUMPRODUCT(--(MOD(COLUMN(BT286:CQ286),4)=MOD(COLUMN(BT286),4)),BT286:CQ286)*$I286+SUMPRODUCT(--(MOD(COLUMN(CR286:DO286),4)=MOD(COLUMN(CR286),4)),CR286:DO286)*$I286</f>
        <v/>
      </c>
      <c r="DS286" s="801" t="n"/>
      <c r="DT286" s="819" t="n"/>
      <c r="DU286" s="23" t="n"/>
      <c r="DV286" s="24" t="n"/>
      <c r="DW286" s="25" t="n">
        <v>0</v>
      </c>
      <c r="DX286" s="24" t="n"/>
      <c r="DY286" s="23" t="n"/>
      <c r="DZ286" s="24" t="n"/>
      <c r="EA286" s="25" t="n">
        <v>0</v>
      </c>
      <c r="EB286" s="24" t="n"/>
      <c r="EC286" s="23" t="n"/>
      <c r="ED286" s="24" t="n"/>
      <c r="EE286" s="25" t="n">
        <v>0</v>
      </c>
      <c r="EF286" s="24" t="n"/>
      <c r="EG286" s="23" t="n"/>
      <c r="EH286" s="24" t="n"/>
      <c r="EI286" s="25" t="n">
        <v>0</v>
      </c>
      <c r="EJ286" s="24" t="n"/>
      <c r="EK286" s="23" t="n"/>
      <c r="EL286" s="24" t="n"/>
      <c r="EM286" s="25" t="n">
        <v>0</v>
      </c>
      <c r="EN286" s="24" t="n"/>
      <c r="EO286" s="23" t="n"/>
      <c r="EP286" s="24" t="n"/>
      <c r="EQ286" s="25" t="n">
        <v>0</v>
      </c>
      <c r="ER286" s="24" t="n"/>
      <c r="ES286" s="23" t="n"/>
      <c r="ET286" s="24" t="n"/>
      <c r="EU286" s="25" t="n">
        <v>0</v>
      </c>
      <c r="EV286" s="24" t="n"/>
      <c r="EW286" s="23" t="n"/>
      <c r="EX286" s="24" t="n"/>
      <c r="EY286" s="25" t="n">
        <v>0</v>
      </c>
      <c r="EZ286" s="24" t="n"/>
      <c r="FA286" s="23" t="n"/>
      <c r="FB286" s="24" t="n"/>
      <c r="FC286" s="25" t="n">
        <v>0</v>
      </c>
      <c r="FD286" s="24" t="n"/>
      <c r="FE286" s="23" t="n"/>
      <c r="FF286" s="24" t="n"/>
      <c r="FG286" s="25" t="n">
        <v>0</v>
      </c>
      <c r="FH286" s="24" t="n"/>
      <c r="FI286" s="23" t="n"/>
      <c r="FJ286" s="24" t="n"/>
      <c r="FK286" s="25" t="n">
        <v>0</v>
      </c>
      <c r="FL286" s="24" t="n"/>
      <c r="FM286" s="23" t="n"/>
      <c r="FN286" s="24" t="n"/>
      <c r="FO286" s="25" t="n">
        <v>0</v>
      </c>
      <c r="FP286" s="24" t="n"/>
      <c r="FQ286" s="340" t="n"/>
      <c r="FR286" s="803">
        <f>SUMPRODUCT(--(MOD(COLUMN(DU286:ER286),4)=MOD(COLUMN(DU286),4)),DU286:ER286)+SUMPRODUCT(--(MOD(COLUMN(ES286:FP286),4)=MOD(COLUMN(ES286),4)),ES286:FP286)</f>
        <v/>
      </c>
      <c r="FS286" s="803">
        <f>SUMPRODUCT(--(MOD(COLUMN(DU286:ER286),4)=MOD(COLUMN(DU286),4)),DU286:ER286)*$I286+SUMPRODUCT(--(MOD(COLUMN(ES286:FP286),4)=MOD(COLUMN(ES286),4)),ES286:FP286)*$I286</f>
        <v/>
      </c>
      <c r="FT286" s="361" t="n"/>
    </row>
    <row r="287" outlineLevel="2">
      <c r="A287" s="58" t="inlineStr">
        <is>
          <t>АВТОВИК ООО / AVTOVIK OOO</t>
        </is>
      </c>
      <c r="B287" s="387" t="inlineStr">
        <is>
          <t>Предоплата 100%</t>
        </is>
      </c>
      <c r="C287" s="173" t="inlineStr">
        <is>
          <t>ВБК РУС</t>
        </is>
      </c>
      <c r="D287" s="595" t="inlineStr">
        <is>
          <t>Прасолов, Соловьёв</t>
        </is>
      </c>
      <c r="E287" s="10">
        <f>IF(ISBLANK(G287),"",IF($A$6:$A$330=$A287,COUNTIF($A$6:A287,$A287),""))</f>
        <v/>
      </c>
      <c r="F287" s="10" t="n">
        <v>1</v>
      </c>
      <c r="G287" s="55" t="n">
        <v>4757145000</v>
      </c>
      <c r="H287" s="54" t="inlineStr">
        <is>
          <t>Регулятор тормозных сил</t>
        </is>
      </c>
      <c r="I287" s="617">
        <f>633/НДС_20</f>
        <v/>
      </c>
      <c r="J287" s="617" t="n"/>
      <c r="K287" s="872" t="n"/>
      <c r="L287" s="617">
        <f>IF(K287="RUB",J287/ЮАНЬ,IF(K287="EUR",J287*ЕВРО/ЮАНЬ,""))</f>
        <v/>
      </c>
      <c r="M287" s="873" t="n"/>
      <c r="N287" s="871">
        <f>IF(BP287&gt;0,1,IF(BN287&gt;0,2,))</f>
        <v/>
      </c>
      <c r="O287" s="23" t="n"/>
      <c r="P287" s="24" t="n"/>
      <c r="Q287" s="25" t="n"/>
      <c r="R287" s="24" t="n"/>
      <c r="S287" s="23" t="n">
        <v>40</v>
      </c>
      <c r="T287" s="24" t="n"/>
      <c r="U287" s="25" t="n">
        <v>0</v>
      </c>
      <c r="V287" s="24" t="n"/>
      <c r="W287" s="23" t="n"/>
      <c r="X287" s="26" t="n"/>
      <c r="Y287" s="25" t="n"/>
      <c r="Z287" s="24" t="n"/>
      <c r="AA287" s="23" t="n">
        <v>40</v>
      </c>
      <c r="AB287" s="26" t="n"/>
      <c r="AC287" s="25" t="n">
        <v>0</v>
      </c>
      <c r="AD287" s="24" t="n"/>
      <c r="AE287" s="23" t="n"/>
      <c r="AF287" s="26" t="n"/>
      <c r="AG287" s="25" t="n"/>
      <c r="AH287" s="24" t="n"/>
      <c r="AI287" s="23" t="n">
        <v>40</v>
      </c>
      <c r="AJ287" s="24" t="n">
        <v>40</v>
      </c>
      <c r="AK287" s="25" t="n">
        <v>0</v>
      </c>
      <c r="AL287" s="24" t="n"/>
      <c r="AM287" s="23" t="n"/>
      <c r="AN287" s="24" t="n"/>
      <c r="AO287" s="25" t="n"/>
      <c r="AP287" s="24" t="n"/>
      <c r="AQ287" s="23" t="n">
        <v>40</v>
      </c>
      <c r="AR287" s="24" t="n">
        <v>40</v>
      </c>
      <c r="AS287" s="25" t="n">
        <v>0</v>
      </c>
      <c r="AT287" s="24" t="n"/>
      <c r="AU287" s="23" t="n"/>
      <c r="AV287" s="24" t="n"/>
      <c r="AW287" s="25" t="n"/>
      <c r="AX287" s="24" t="n"/>
      <c r="AY287" s="23" t="n">
        <v>40</v>
      </c>
      <c r="AZ287" s="24" t="n">
        <v>40</v>
      </c>
      <c r="BA287" s="25" t="n">
        <v>0</v>
      </c>
      <c r="BB287" s="24" t="n"/>
      <c r="BC287" s="23" t="n"/>
      <c r="BD287" s="24" t="n"/>
      <c r="BE287" s="25" t="n"/>
      <c r="BF287" s="24" t="n"/>
      <c r="BG287" s="23" t="n">
        <v>40</v>
      </c>
      <c r="BH287" s="24" t="n">
        <v>40</v>
      </c>
      <c r="BI287" s="25" t="n">
        <v>0</v>
      </c>
      <c r="BJ287" s="24" t="n"/>
      <c r="BK287" s="340" t="n"/>
      <c r="BL287" s="803">
        <f>SUMPRODUCT(--(MOD(COLUMN($O287:$AL287),4)=MOD(COLUMN($O287)+0,4)),$O287:$AL287)
+SUMPRODUCT(--(MOD(COLUMN($AM287:$BJ287),4)=MOD(COLUMN($AM287)+0,4)),$AM287:$BJ287)</f>
        <v/>
      </c>
      <c r="BM287" s="803">
        <f>SUMPRODUCT(--(MOD(COLUMN($O287:$AL287),4)=MOD(COLUMN($O287)+0,4)),$O287:$AL287)*
$I287+SUMPRODUCT(--(MOD(COLUMN($AM287:$BJ287),4)=MOD(COLUMN($AM287)+0,4)),$AM287:$BJ287)*$I287</f>
        <v/>
      </c>
      <c r="BN287" s="805">
        <f>SUMPRODUCT(--(MOD(COLUMN($O287:$AL287),4)=MOD(COLUMN($O287)+1,4)),$O287:$AL287)
+SUMPRODUCT(--(MOD(COLUMN($AM287:$BJ287),4)=MOD(COLUMN($AM287)+1,4)),$AM287:$BJ287)</f>
        <v/>
      </c>
      <c r="BO287" s="806">
        <f>SUMPRODUCT(--(MOD(COLUMN($O287:$AL287),4)=MOD(COLUMN($O287)+1,4)),$O287:$AL287)*
$I287+SUMPRODUCT(--(MOD(COLUMN($AM287:$BJ287),4)=MOD(COLUMN($AM287)+1,4)),$AM287:$BJ287)*$I287</f>
        <v/>
      </c>
      <c r="BP287" s="807">
        <f>SUMPRODUCT(--(MOD(COLUMN($O287:$AL287),4)=MOD(COLUMN($O287)+2,4)),$O287:$AL287)
+SUMPRODUCT(--(MOD(COLUMN($AM287:$BJ287),4)=MOD(COLUMN($AM287)+2,4)),$AM287:$BJ287)</f>
        <v/>
      </c>
      <c r="BQ287" s="808">
        <f>SUMPRODUCT(--(MOD(COLUMN($O287:$AL287),4)=MOD(COLUMN($O287)+2,4)),$O287:$AL287)*
$I287+SUMPRODUCT(--(MOD(COLUMN($AM287:$BJ287),4)=MOD(COLUMN($AM287)+2,4)),$AM287:$BJ287)*$I287</f>
        <v/>
      </c>
      <c r="BR287" s="801" t="n"/>
      <c r="BS287" s="819" t="n"/>
      <c r="BT287" s="23" t="n">
        <v>25</v>
      </c>
      <c r="BU287" s="24" t="n"/>
      <c r="BV287" s="25" t="n">
        <v>0</v>
      </c>
      <c r="BW287" s="24" t="n"/>
      <c r="BX287" s="23" t="n">
        <v>25</v>
      </c>
      <c r="BY287" s="24" t="n"/>
      <c r="BZ287" s="25" t="n">
        <v>0</v>
      </c>
      <c r="CA287" s="24" t="n"/>
      <c r="CB287" s="23" t="n">
        <v>25</v>
      </c>
      <c r="CC287" s="24" t="n"/>
      <c r="CD287" s="25" t="n">
        <v>0</v>
      </c>
      <c r="CE287" s="24" t="n"/>
      <c r="CF287" s="23" t="n">
        <v>25</v>
      </c>
      <c r="CG287" s="24" t="n"/>
      <c r="CH287" s="25" t="n">
        <v>0</v>
      </c>
      <c r="CI287" s="24" t="n"/>
      <c r="CJ287" s="23" t="n">
        <v>25</v>
      </c>
      <c r="CK287" s="24" t="n"/>
      <c r="CL287" s="25" t="n">
        <v>0</v>
      </c>
      <c r="CM287" s="24" t="n"/>
      <c r="CN287" s="23" t="n">
        <v>25</v>
      </c>
      <c r="CO287" s="24" t="n"/>
      <c r="CP287" s="25" t="n">
        <v>0</v>
      </c>
      <c r="CQ287" s="24" t="n"/>
      <c r="CR287" s="23" t="n">
        <v>25</v>
      </c>
      <c r="CS287" s="24" t="n"/>
      <c r="CT287" s="25" t="n">
        <v>0</v>
      </c>
      <c r="CU287" s="24" t="n"/>
      <c r="CV287" s="23" t="n">
        <v>25</v>
      </c>
      <c r="CW287" s="24" t="n"/>
      <c r="CX287" s="25" t="n">
        <v>0</v>
      </c>
      <c r="CY287" s="24" t="n"/>
      <c r="CZ287" s="23" t="n">
        <v>25</v>
      </c>
      <c r="DA287" s="24" t="n"/>
      <c r="DB287" s="25" t="n">
        <v>0</v>
      </c>
      <c r="DC287" s="24" t="n"/>
      <c r="DD287" s="23" t="n">
        <v>25</v>
      </c>
      <c r="DE287" s="24" t="n"/>
      <c r="DF287" s="25" t="n">
        <v>0</v>
      </c>
      <c r="DG287" s="24" t="n"/>
      <c r="DH287" s="23" t="n">
        <v>25</v>
      </c>
      <c r="DI287" s="24" t="n"/>
      <c r="DJ287" s="25" t="n">
        <v>0</v>
      </c>
      <c r="DK287" s="24" t="n"/>
      <c r="DL287" s="23" t="n">
        <v>25</v>
      </c>
      <c r="DM287" s="24" t="n"/>
      <c r="DN287" s="25" t="n">
        <v>0</v>
      </c>
      <c r="DO287" s="24" t="n"/>
      <c r="DP287" s="340" t="n"/>
      <c r="DQ287" s="803">
        <f>SUMPRODUCT(--(MOD(COLUMN(BT287:CQ287),4)=MOD(COLUMN(BT287),4)),BT287:CQ287)+SUMPRODUCT(--(MOD(COLUMN(CR287:DO287),4)=MOD(COLUMN(CR287),4)),CR287:DO287)</f>
        <v/>
      </c>
      <c r="DR287" s="803">
        <f>SUMPRODUCT(--(MOD(COLUMN(BT287:CQ287),4)=MOD(COLUMN(BT287),4)),BT287:CQ287)*$I287+SUMPRODUCT(--(MOD(COLUMN(CR287:DO287),4)=MOD(COLUMN(CR287),4)),CR287:DO287)*$I287</f>
        <v/>
      </c>
      <c r="DS287" s="801" t="n"/>
      <c r="DT287" s="819" t="n"/>
      <c r="DU287" s="23" t="n">
        <v>30</v>
      </c>
      <c r="DV287" s="24" t="n"/>
      <c r="DW287" s="25" t="n">
        <v>0</v>
      </c>
      <c r="DX287" s="24" t="n"/>
      <c r="DY287" s="23" t="n">
        <v>30</v>
      </c>
      <c r="DZ287" s="24" t="n"/>
      <c r="EA287" s="25" t="n">
        <v>0</v>
      </c>
      <c r="EB287" s="24" t="n"/>
      <c r="EC287" s="23" t="n">
        <v>30</v>
      </c>
      <c r="ED287" s="24" t="n"/>
      <c r="EE287" s="25" t="n">
        <v>0</v>
      </c>
      <c r="EF287" s="24" t="n"/>
      <c r="EG287" s="23" t="n">
        <v>30</v>
      </c>
      <c r="EH287" s="24" t="n"/>
      <c r="EI287" s="25" t="n">
        <v>0</v>
      </c>
      <c r="EJ287" s="24" t="n"/>
      <c r="EK287" s="23" t="n">
        <v>30</v>
      </c>
      <c r="EL287" s="24" t="n"/>
      <c r="EM287" s="25" t="n">
        <v>0</v>
      </c>
      <c r="EN287" s="24" t="n"/>
      <c r="EO287" s="23" t="n">
        <v>30</v>
      </c>
      <c r="EP287" s="24" t="n"/>
      <c r="EQ287" s="25" t="n">
        <v>0</v>
      </c>
      <c r="ER287" s="24" t="n"/>
      <c r="ES287" s="23" t="n">
        <v>30</v>
      </c>
      <c r="ET287" s="24" t="n"/>
      <c r="EU287" s="25" t="n">
        <v>0</v>
      </c>
      <c r="EV287" s="24" t="n"/>
      <c r="EW287" s="23" t="n">
        <v>30</v>
      </c>
      <c r="EX287" s="24" t="n"/>
      <c r="EY287" s="25" t="n">
        <v>0</v>
      </c>
      <c r="EZ287" s="24" t="n"/>
      <c r="FA287" s="23" t="n">
        <v>30</v>
      </c>
      <c r="FB287" s="24" t="n"/>
      <c r="FC287" s="25" t="n">
        <v>0</v>
      </c>
      <c r="FD287" s="24" t="n"/>
      <c r="FE287" s="23" t="n">
        <v>30</v>
      </c>
      <c r="FF287" s="24" t="n"/>
      <c r="FG287" s="25" t="n">
        <v>0</v>
      </c>
      <c r="FH287" s="24" t="n"/>
      <c r="FI287" s="23" t="n">
        <v>30</v>
      </c>
      <c r="FJ287" s="24" t="n"/>
      <c r="FK287" s="25" t="n">
        <v>0</v>
      </c>
      <c r="FL287" s="24" t="n"/>
      <c r="FM287" s="23" t="n">
        <v>30</v>
      </c>
      <c r="FN287" s="24" t="n"/>
      <c r="FO287" s="25" t="n">
        <v>0</v>
      </c>
      <c r="FP287" s="24" t="n"/>
      <c r="FQ287" s="340" t="n"/>
      <c r="FR287" s="803">
        <f>SUMPRODUCT(--(MOD(COLUMN(DU287:ER287),4)=MOD(COLUMN(DU287),4)),DU287:ER287)+SUMPRODUCT(--(MOD(COLUMN(ES287:FP287),4)=MOD(COLUMN(ES287),4)),ES287:FP287)</f>
        <v/>
      </c>
      <c r="FS287" s="803">
        <f>SUMPRODUCT(--(MOD(COLUMN(DU287:ER287),4)=MOD(COLUMN(DU287),4)),DU287:ER287)*$I287+SUMPRODUCT(--(MOD(COLUMN(ES287:FP287),4)=MOD(COLUMN(ES287),4)),ES287:FP287)*$I287</f>
        <v/>
      </c>
      <c r="FT287" s="361" t="n"/>
    </row>
    <row r="288" outlineLevel="2">
      <c r="A288" s="58" t="inlineStr">
        <is>
          <t>АВТОВИК ООО / AVTOVIK OOO</t>
        </is>
      </c>
      <c r="B288" s="387" t="inlineStr">
        <is>
          <t>Предоплата 100%</t>
        </is>
      </c>
      <c r="C288" s="173" t="inlineStr">
        <is>
          <t>ВБК РУС</t>
        </is>
      </c>
      <c r="D288" s="595" t="inlineStr">
        <is>
          <t>Прасолов, Соловьёв</t>
        </is>
      </c>
      <c r="E288" s="10">
        <f>IF(ISBLANK(G288),"",IF($A$6:$A$330=$A288,COUNTIF($A$6:A288,$A288),""))</f>
        <v/>
      </c>
      <c r="F288" s="10" t="n">
        <v>1</v>
      </c>
      <c r="G288" s="55" t="n">
        <v>4750103050</v>
      </c>
      <c r="H288" s="54" t="inlineStr">
        <is>
          <t>Клапан ограничения давления</t>
        </is>
      </c>
      <c r="I288" s="617">
        <f>102/НДС_20</f>
        <v/>
      </c>
      <c r="J288" s="617" t="n"/>
      <c r="K288" s="872" t="n"/>
      <c r="L288" s="617">
        <f>IF(K288="RUB",J288/ЮАНЬ,IF(K288="EUR",J288*ЕВРО/ЮАНЬ,""))</f>
        <v/>
      </c>
      <c r="M288" s="873" t="n"/>
      <c r="N288" s="871">
        <f>IF(BP288&gt;0,1,IF(BN288&gt;0,2,))</f>
        <v/>
      </c>
      <c r="O288" s="23" t="n"/>
      <c r="P288" s="24" t="n"/>
      <c r="Q288" s="25" t="n"/>
      <c r="R288" s="24" t="n"/>
      <c r="S288" s="23" t="n">
        <v>20</v>
      </c>
      <c r="T288" s="24" t="n"/>
      <c r="U288" s="25" t="n">
        <v>0</v>
      </c>
      <c r="V288" s="24" t="n"/>
      <c r="W288" s="23" t="n"/>
      <c r="X288" s="26" t="n"/>
      <c r="Y288" s="25" t="n"/>
      <c r="Z288" s="24" t="n"/>
      <c r="AA288" s="23" t="n">
        <v>20</v>
      </c>
      <c r="AB288" s="26" t="n"/>
      <c r="AC288" s="25" t="n">
        <v>0</v>
      </c>
      <c r="AD288" s="24" t="n"/>
      <c r="AE288" s="23" t="n"/>
      <c r="AF288" s="26" t="n"/>
      <c r="AG288" s="25" t="n"/>
      <c r="AH288" s="24" t="n"/>
      <c r="AI288" s="23" t="n">
        <v>20</v>
      </c>
      <c r="AJ288" s="24" t="n">
        <v>20</v>
      </c>
      <c r="AK288" s="25" t="n">
        <v>0</v>
      </c>
      <c r="AL288" s="24" t="n"/>
      <c r="AM288" s="23" t="n"/>
      <c r="AN288" s="24" t="n"/>
      <c r="AO288" s="25" t="n"/>
      <c r="AP288" s="24" t="n"/>
      <c r="AQ288" s="23" t="n">
        <v>20</v>
      </c>
      <c r="AR288" s="24" t="n">
        <v>20</v>
      </c>
      <c r="AS288" s="25" t="n">
        <v>0</v>
      </c>
      <c r="AT288" s="24" t="n"/>
      <c r="AU288" s="23" t="n"/>
      <c r="AV288" s="24" t="n"/>
      <c r="AW288" s="25" t="n"/>
      <c r="AX288" s="24" t="n"/>
      <c r="AY288" s="23" t="n">
        <v>20</v>
      </c>
      <c r="AZ288" s="24" t="n">
        <v>20</v>
      </c>
      <c r="BA288" s="25" t="n">
        <v>0</v>
      </c>
      <c r="BB288" s="24" t="n"/>
      <c r="BC288" s="23" t="n"/>
      <c r="BD288" s="24" t="n"/>
      <c r="BE288" s="25" t="n"/>
      <c r="BF288" s="24" t="n"/>
      <c r="BG288" s="23" t="n">
        <v>20</v>
      </c>
      <c r="BH288" s="24" t="n">
        <v>20</v>
      </c>
      <c r="BI288" s="25" t="n">
        <v>0</v>
      </c>
      <c r="BJ288" s="24" t="n"/>
      <c r="BK288" s="340" t="n"/>
      <c r="BL288" s="803">
        <f>SUMPRODUCT(--(MOD(COLUMN($O288:$AL288),4)=MOD(COLUMN($O288)+0,4)),$O288:$AL288)
+SUMPRODUCT(--(MOD(COLUMN($AM288:$BJ288),4)=MOD(COLUMN($AM288)+0,4)),$AM288:$BJ288)</f>
        <v/>
      </c>
      <c r="BM288" s="803">
        <f>SUMPRODUCT(--(MOD(COLUMN($O288:$AL288),4)=MOD(COLUMN($O288)+0,4)),$O288:$AL288)*
$I288+SUMPRODUCT(--(MOD(COLUMN($AM288:$BJ288),4)=MOD(COLUMN($AM288)+0,4)),$AM288:$BJ288)*$I288</f>
        <v/>
      </c>
      <c r="BN288" s="805">
        <f>SUMPRODUCT(--(MOD(COLUMN($O288:$AL288),4)=MOD(COLUMN($O288)+1,4)),$O288:$AL288)
+SUMPRODUCT(--(MOD(COLUMN($AM288:$BJ288),4)=MOD(COLUMN($AM288)+1,4)),$AM288:$BJ288)</f>
        <v/>
      </c>
      <c r="BO288" s="806">
        <f>SUMPRODUCT(--(MOD(COLUMN($O288:$AL288),4)=MOD(COLUMN($O288)+1,4)),$O288:$AL288)*
$I288+SUMPRODUCT(--(MOD(COLUMN($AM288:$BJ288),4)=MOD(COLUMN($AM288)+1,4)),$AM288:$BJ288)*$I288</f>
        <v/>
      </c>
      <c r="BP288" s="807">
        <f>SUMPRODUCT(--(MOD(COLUMN($O288:$AL288),4)=MOD(COLUMN($O288)+2,4)),$O288:$AL288)
+SUMPRODUCT(--(MOD(COLUMN($AM288:$BJ288),4)=MOD(COLUMN($AM288)+2,4)),$AM288:$BJ288)</f>
        <v/>
      </c>
      <c r="BQ288" s="808">
        <f>SUMPRODUCT(--(MOD(COLUMN($O288:$AL288),4)=MOD(COLUMN($O288)+2,4)),$O288:$AL288)*
$I288+SUMPRODUCT(--(MOD(COLUMN($AM288:$BJ288),4)=MOD(COLUMN($AM288)+2,4)),$AM288:$BJ288)*$I288</f>
        <v/>
      </c>
      <c r="BR288" s="801" t="n"/>
      <c r="BS288" s="819" t="n"/>
      <c r="BT288" s="23" t="n">
        <v>15</v>
      </c>
      <c r="BU288" s="24" t="n"/>
      <c r="BV288" s="25" t="n">
        <v>0</v>
      </c>
      <c r="BW288" s="24" t="n"/>
      <c r="BX288" s="23" t="n">
        <v>15</v>
      </c>
      <c r="BY288" s="24" t="n"/>
      <c r="BZ288" s="25" t="n">
        <v>0</v>
      </c>
      <c r="CA288" s="24" t="n"/>
      <c r="CB288" s="23" t="n">
        <v>15</v>
      </c>
      <c r="CC288" s="24" t="n"/>
      <c r="CD288" s="25" t="n">
        <v>0</v>
      </c>
      <c r="CE288" s="24" t="n"/>
      <c r="CF288" s="23" t="n">
        <v>15</v>
      </c>
      <c r="CG288" s="24" t="n"/>
      <c r="CH288" s="25" t="n">
        <v>0</v>
      </c>
      <c r="CI288" s="24" t="n"/>
      <c r="CJ288" s="23" t="n">
        <v>15</v>
      </c>
      <c r="CK288" s="24" t="n"/>
      <c r="CL288" s="25" t="n">
        <v>0</v>
      </c>
      <c r="CM288" s="24" t="n"/>
      <c r="CN288" s="23" t="n">
        <v>25</v>
      </c>
      <c r="CO288" s="24" t="n"/>
      <c r="CP288" s="25" t="n">
        <v>0</v>
      </c>
      <c r="CQ288" s="24" t="n"/>
      <c r="CR288" s="23" t="n">
        <v>25</v>
      </c>
      <c r="CS288" s="24" t="n"/>
      <c r="CT288" s="25" t="n">
        <v>0</v>
      </c>
      <c r="CU288" s="24" t="n"/>
      <c r="CV288" s="23" t="n">
        <v>25</v>
      </c>
      <c r="CW288" s="24" t="n"/>
      <c r="CX288" s="25" t="n">
        <v>0</v>
      </c>
      <c r="CY288" s="24" t="n"/>
      <c r="CZ288" s="23" t="n">
        <v>25</v>
      </c>
      <c r="DA288" s="24" t="n"/>
      <c r="DB288" s="25" t="n">
        <v>0</v>
      </c>
      <c r="DC288" s="24" t="n"/>
      <c r="DD288" s="23" t="n">
        <v>25</v>
      </c>
      <c r="DE288" s="24" t="n"/>
      <c r="DF288" s="25" t="n">
        <v>0</v>
      </c>
      <c r="DG288" s="24" t="n"/>
      <c r="DH288" s="23" t="n">
        <v>25</v>
      </c>
      <c r="DI288" s="24" t="n"/>
      <c r="DJ288" s="25" t="n">
        <v>0</v>
      </c>
      <c r="DK288" s="24" t="n"/>
      <c r="DL288" s="23" t="n">
        <v>25</v>
      </c>
      <c r="DM288" s="24" t="n"/>
      <c r="DN288" s="25" t="n">
        <v>0</v>
      </c>
      <c r="DO288" s="24" t="n"/>
      <c r="DP288" s="340" t="n"/>
      <c r="DQ288" s="803">
        <f>SUMPRODUCT(--(MOD(COLUMN(BT288:CQ288),4)=MOD(COLUMN(BT288),4)),BT288:CQ288)+SUMPRODUCT(--(MOD(COLUMN(CR288:DO288),4)=MOD(COLUMN(CR288),4)),CR288:DO288)</f>
        <v/>
      </c>
      <c r="DR288" s="803">
        <f>SUMPRODUCT(--(MOD(COLUMN(BT288:CQ288),4)=MOD(COLUMN(BT288),4)),BT288:CQ288)*$I288+SUMPRODUCT(--(MOD(COLUMN(CR288:DO288),4)=MOD(COLUMN(CR288),4)),CR288:DO288)*$I288</f>
        <v/>
      </c>
      <c r="DS288" s="801" t="n"/>
      <c r="DT288" s="819" t="n"/>
      <c r="DU288" s="23" t="n">
        <v>25</v>
      </c>
      <c r="DV288" s="24" t="n"/>
      <c r="DW288" s="25" t="n">
        <v>0</v>
      </c>
      <c r="DX288" s="24" t="n"/>
      <c r="DY288" s="23" t="n">
        <v>25</v>
      </c>
      <c r="DZ288" s="24" t="n"/>
      <c r="EA288" s="25" t="n">
        <v>0</v>
      </c>
      <c r="EB288" s="24" t="n"/>
      <c r="EC288" s="23" t="n">
        <v>25</v>
      </c>
      <c r="ED288" s="24" t="n"/>
      <c r="EE288" s="25" t="n">
        <v>0</v>
      </c>
      <c r="EF288" s="24" t="n"/>
      <c r="EG288" s="23" t="n">
        <v>25</v>
      </c>
      <c r="EH288" s="24" t="n"/>
      <c r="EI288" s="25" t="n">
        <v>0</v>
      </c>
      <c r="EJ288" s="24" t="n"/>
      <c r="EK288" s="23" t="n">
        <v>25</v>
      </c>
      <c r="EL288" s="24" t="n"/>
      <c r="EM288" s="25" t="n">
        <v>0</v>
      </c>
      <c r="EN288" s="24" t="n"/>
      <c r="EO288" s="23" t="n">
        <v>40</v>
      </c>
      <c r="EP288" s="24" t="n"/>
      <c r="EQ288" s="25" t="n">
        <v>0</v>
      </c>
      <c r="ER288" s="24" t="n"/>
      <c r="ES288" s="23" t="n">
        <v>40</v>
      </c>
      <c r="ET288" s="24" t="n"/>
      <c r="EU288" s="25" t="n">
        <v>0</v>
      </c>
      <c r="EV288" s="24" t="n"/>
      <c r="EW288" s="23" t="n">
        <v>40</v>
      </c>
      <c r="EX288" s="24" t="n"/>
      <c r="EY288" s="25" t="n">
        <v>0</v>
      </c>
      <c r="EZ288" s="24" t="n"/>
      <c r="FA288" s="23" t="n">
        <v>40</v>
      </c>
      <c r="FB288" s="24" t="n"/>
      <c r="FC288" s="25" t="n">
        <v>0</v>
      </c>
      <c r="FD288" s="24" t="n"/>
      <c r="FE288" s="23" t="n">
        <v>40</v>
      </c>
      <c r="FF288" s="24" t="n"/>
      <c r="FG288" s="25" t="n">
        <v>0</v>
      </c>
      <c r="FH288" s="24" t="n"/>
      <c r="FI288" s="23" t="n">
        <v>60</v>
      </c>
      <c r="FJ288" s="24" t="n"/>
      <c r="FK288" s="25" t="n">
        <v>0</v>
      </c>
      <c r="FL288" s="24" t="n"/>
      <c r="FM288" s="23" t="n">
        <v>60</v>
      </c>
      <c r="FN288" s="24" t="n"/>
      <c r="FO288" s="25" t="n">
        <v>0</v>
      </c>
      <c r="FP288" s="24" t="n"/>
      <c r="FQ288" s="340" t="n"/>
      <c r="FR288" s="803">
        <f>SUMPRODUCT(--(MOD(COLUMN(DU288:ER288),4)=MOD(COLUMN(DU288),4)),DU288:ER288)+SUMPRODUCT(--(MOD(COLUMN(ES288:FP288),4)=MOD(COLUMN(ES288),4)),ES288:FP288)</f>
        <v/>
      </c>
      <c r="FS288" s="803">
        <f>SUMPRODUCT(--(MOD(COLUMN(DU288:ER288),4)=MOD(COLUMN(DU288),4)),DU288:ER288)*$I288+SUMPRODUCT(--(MOD(COLUMN(ES288:FP288),4)=MOD(COLUMN(ES288),4)),ES288:FP288)*$I288</f>
        <v/>
      </c>
      <c r="FT288" s="361" t="n"/>
    </row>
    <row r="289" outlineLevel="2">
      <c r="A289" s="420" t="inlineStr">
        <is>
          <t>АВТОВИК ООО / AVTOVIK OOO</t>
        </is>
      </c>
      <c r="B289" s="444" t="inlineStr">
        <is>
          <t>Предоплата 100%</t>
        </is>
      </c>
      <c r="C289" s="592" t="inlineStr">
        <is>
          <t>ВБК РУС</t>
        </is>
      </c>
      <c r="D289" s="586" t="inlineStr">
        <is>
          <t>Прасолов, Соловьёв</t>
        </is>
      </c>
      <c r="E289" s="414">
        <f>IF(ISBLANK(G289),"",IF($A$6:$A$330=$A289,COUNTIF($A$6:A289,$A289),""))</f>
        <v/>
      </c>
      <c r="F289" s="284" t="n">
        <v>1</v>
      </c>
      <c r="G289" s="304" t="n">
        <v>9630010510</v>
      </c>
      <c r="H289" s="602" t="inlineStr">
        <is>
          <t>Клапан растормаживания сдвоенный</t>
        </is>
      </c>
      <c r="I289" s="616">
        <f>325/НДС</f>
        <v/>
      </c>
      <c r="J289" s="616" t="n"/>
      <c r="K289" s="870" t="n"/>
      <c r="L289" s="616" t="n"/>
      <c r="M289" s="871" t="n"/>
      <c r="N289" s="871">
        <f>IF(BP289&gt;0,1,IF(BN289&gt;0,2,))</f>
        <v/>
      </c>
      <c r="O289" s="322" t="n"/>
      <c r="P289" s="408" t="n"/>
      <c r="Q289" s="307" t="n"/>
      <c r="R289" s="408" t="n"/>
      <c r="S289" s="322" t="n"/>
      <c r="T289" s="408" t="n"/>
      <c r="U289" s="307" t="n"/>
      <c r="V289" s="408" t="n"/>
      <c r="W289" s="322" t="n"/>
      <c r="X289" s="26">
        <f>20</f>
        <v/>
      </c>
      <c r="Y289" s="307" t="n">
        <v>20</v>
      </c>
      <c r="Z289" s="675" t="n">
        <v>20</v>
      </c>
      <c r="AA289" s="322" t="n"/>
      <c r="AB289" s="386">
        <f>60</f>
        <v/>
      </c>
      <c r="AC289" s="579" t="n">
        <v>60</v>
      </c>
      <c r="AD289" s="675" t="n">
        <v>60</v>
      </c>
      <c r="AE289" s="322" t="n"/>
      <c r="AF289" s="386" t="n"/>
      <c r="AG289" s="307" t="n"/>
      <c r="AH289" s="24" t="n"/>
      <c r="AI289" s="322" t="n"/>
      <c r="AJ289" s="408">
        <f>60</f>
        <v/>
      </c>
      <c r="AK289" s="307" t="n">
        <v>0</v>
      </c>
      <c r="AL289" s="675" t="n">
        <v>60</v>
      </c>
      <c r="AM289" s="322" t="n"/>
      <c r="AN289" s="408" t="n"/>
      <c r="AO289" s="307" t="n"/>
      <c r="AP289" s="408" t="n"/>
      <c r="AQ289" s="322" t="n"/>
      <c r="AR289" s="408" t="n"/>
      <c r="AS289" s="307" t="n"/>
      <c r="AT289" s="408" t="n"/>
      <c r="AU289" s="322" t="n"/>
      <c r="AV289" s="408" t="n"/>
      <c r="AW289" s="307" t="n"/>
      <c r="AX289" s="408" t="n"/>
      <c r="AY289" s="322" t="n"/>
      <c r="AZ289" s="408" t="n"/>
      <c r="BA289" s="307" t="n"/>
      <c r="BB289" s="408" t="n"/>
      <c r="BC289" s="322" t="n"/>
      <c r="BD289" s="408" t="n"/>
      <c r="BE289" s="307" t="n"/>
      <c r="BF289" s="408" t="n"/>
      <c r="BG289" s="322" t="n"/>
      <c r="BH289" s="408" t="n"/>
      <c r="BI289" s="307" t="n"/>
      <c r="BJ289" s="408" t="n"/>
      <c r="BK289" s="340" t="n"/>
      <c r="BL289" s="820">
        <f>SUMPRODUCT(--(MOD(COLUMN($O289:$AL289),4)=MOD(COLUMN($O289)+0,4)),$O289:$AL289)
+SUMPRODUCT(--(MOD(COLUMN($AM289:$BJ289),4)=MOD(COLUMN($AM289)+0,4)),$AM289:$BJ289)</f>
        <v/>
      </c>
      <c r="BM289" s="820">
        <f>SUMPRODUCT(--(MOD(COLUMN($O289:$AL289),4)=MOD(COLUMN($O289)+0,4)),$O289:$AL289)*
$I289+SUMPRODUCT(--(MOD(COLUMN($AM289:$BJ289),4)=MOD(COLUMN($AM289)+0,4)),$AM289:$BJ289)*$I289</f>
        <v/>
      </c>
      <c r="BN289" s="822">
        <f>SUMPRODUCT(--(MOD(COLUMN($O289:$AL289),4)=MOD(COLUMN($O289)+1,4)),$O289:$AL289)
+SUMPRODUCT(--(MOD(COLUMN($AM289:$BJ289),4)=MOD(COLUMN($AM289)+1,4)),$AM289:$BJ289)</f>
        <v/>
      </c>
      <c r="BO289" s="823">
        <f>SUMPRODUCT(--(MOD(COLUMN($O289:$AL289),4)=MOD(COLUMN($O289)+1,4)),$O289:$AL289)*
$I289+SUMPRODUCT(--(MOD(COLUMN($AM289:$BJ289),4)=MOD(COLUMN($AM289)+1,4)),$AM289:$BJ289)*$I289</f>
        <v/>
      </c>
      <c r="BP289" s="824">
        <f>SUMPRODUCT(--(MOD(COLUMN($O289:$AL289),4)=MOD(COLUMN($O289)+2,4)),$O289:$AL289)
+SUMPRODUCT(--(MOD(COLUMN($AM289:$BJ289),4)=MOD(COLUMN($AM289)+2,4)),$AM289:$BJ289)</f>
        <v/>
      </c>
      <c r="BQ289" s="825">
        <f>SUMPRODUCT(--(MOD(COLUMN($O289:$AL289),4)=MOD(COLUMN($O289)+2,4)),$O289:$AL289)*
$I289+SUMPRODUCT(--(MOD(COLUMN($AM289:$BJ289),4)=MOD(COLUMN($AM289)+2,4)),$AM289:$BJ289)*$I289</f>
        <v/>
      </c>
      <c r="BR289" s="819" t="n"/>
      <c r="BS289" s="819" t="n"/>
      <c r="BT289" s="322" t="n"/>
      <c r="BU289" s="408" t="n"/>
      <c r="BV289" s="307" t="n"/>
      <c r="BW289" s="408" t="n"/>
      <c r="BX289" s="322" t="n"/>
      <c r="BY289" s="408" t="n"/>
      <c r="BZ289" s="307" t="n"/>
      <c r="CA289" s="408" t="n"/>
      <c r="CB289" s="322" t="n"/>
      <c r="CC289" s="408" t="n"/>
      <c r="CD289" s="307" t="n"/>
      <c r="CE289" s="408" t="n"/>
      <c r="CF289" s="322" t="n"/>
      <c r="CG289" s="408" t="n"/>
      <c r="CH289" s="307" t="n"/>
      <c r="CI289" s="408" t="n"/>
      <c r="CJ289" s="322" t="n"/>
      <c r="CK289" s="408" t="n"/>
      <c r="CL289" s="307" t="n"/>
      <c r="CM289" s="408" t="n"/>
      <c r="CN289" s="322" t="n"/>
      <c r="CO289" s="408" t="n"/>
      <c r="CP289" s="307" t="n"/>
      <c r="CQ289" s="408" t="n"/>
      <c r="CR289" s="322" t="n"/>
      <c r="CS289" s="408" t="n"/>
      <c r="CT289" s="307" t="n"/>
      <c r="CU289" s="408" t="n"/>
      <c r="CV289" s="322" t="n"/>
      <c r="CW289" s="408" t="n"/>
      <c r="CX289" s="307" t="n"/>
      <c r="CY289" s="408" t="n"/>
      <c r="CZ289" s="322" t="n"/>
      <c r="DA289" s="408" t="n"/>
      <c r="DB289" s="307" t="n"/>
      <c r="DC289" s="408" t="n"/>
      <c r="DD289" s="322" t="n"/>
      <c r="DE289" s="408" t="n"/>
      <c r="DF289" s="307" t="n"/>
      <c r="DG289" s="408" t="n"/>
      <c r="DH289" s="322" t="n"/>
      <c r="DI289" s="408" t="n"/>
      <c r="DJ289" s="307" t="n"/>
      <c r="DK289" s="408" t="n"/>
      <c r="DL289" s="322" t="n"/>
      <c r="DM289" s="408" t="n"/>
      <c r="DN289" s="307" t="n"/>
      <c r="DO289" s="408" t="n"/>
      <c r="DP289" s="340" t="n"/>
      <c r="DQ289" s="820" t="n"/>
      <c r="DR289" s="820" t="n"/>
      <c r="DS289" s="819" t="n"/>
      <c r="DT289" s="819" t="n"/>
      <c r="DU289" s="322" t="n"/>
      <c r="DV289" s="408" t="n"/>
      <c r="DW289" s="307" t="n"/>
      <c r="DX289" s="408" t="n"/>
      <c r="DY289" s="322" t="n"/>
      <c r="DZ289" s="408" t="n"/>
      <c r="EA289" s="307" t="n"/>
      <c r="EB289" s="408" t="n"/>
      <c r="EC289" s="322" t="n"/>
      <c r="ED289" s="408" t="n"/>
      <c r="EE289" s="307" t="n"/>
      <c r="EF289" s="408" t="n"/>
      <c r="EG289" s="322" t="n"/>
      <c r="EH289" s="408" t="n"/>
      <c r="EI289" s="307" t="n"/>
      <c r="EJ289" s="408" t="n"/>
      <c r="EK289" s="322" t="n"/>
      <c r="EL289" s="408" t="n"/>
      <c r="EM289" s="307" t="n"/>
      <c r="EN289" s="408" t="n"/>
      <c r="EO289" s="322" t="n"/>
      <c r="EP289" s="408" t="n"/>
      <c r="EQ289" s="307" t="n"/>
      <c r="ER289" s="408" t="n"/>
      <c r="ES289" s="322" t="n"/>
      <c r="ET289" s="408" t="n"/>
      <c r="EU289" s="307" t="n"/>
      <c r="EV289" s="408" t="n"/>
      <c r="EW289" s="322" t="n"/>
      <c r="EX289" s="408" t="n"/>
      <c r="EY289" s="307" t="n"/>
      <c r="EZ289" s="408" t="n"/>
      <c r="FA289" s="322" t="n"/>
      <c r="FB289" s="408" t="n"/>
      <c r="FC289" s="307" t="n"/>
      <c r="FD289" s="408" t="n"/>
      <c r="FE289" s="322" t="n"/>
      <c r="FF289" s="408" t="n"/>
      <c r="FG289" s="307" t="n"/>
      <c r="FH289" s="408" t="n"/>
      <c r="FI289" s="322" t="n"/>
      <c r="FJ289" s="408" t="n"/>
      <c r="FK289" s="307" t="n"/>
      <c r="FL289" s="408" t="n"/>
      <c r="FM289" s="322" t="n"/>
      <c r="FN289" s="408" t="n"/>
      <c r="FO289" s="307" t="n"/>
      <c r="FP289" s="408" t="n"/>
      <c r="FQ289" s="340" t="n"/>
      <c r="FR289" s="820" t="n"/>
      <c r="FS289" s="820" t="n"/>
      <c r="FT289" s="361" t="n"/>
    </row>
    <row r="290" outlineLevel="2">
      <c r="A290" s="58" t="inlineStr">
        <is>
          <t>АВТОВИК ООО / AVTOVIK OOO</t>
        </is>
      </c>
      <c r="B290" s="387" t="inlineStr">
        <is>
          <t>Предоплата 100%</t>
        </is>
      </c>
      <c r="C290" s="173" t="inlineStr">
        <is>
          <t>ВБК РУС</t>
        </is>
      </c>
      <c r="D290" s="595" t="inlineStr">
        <is>
          <t>Прасолов, Соловьёв</t>
        </is>
      </c>
      <c r="E290" s="10">
        <f>IF(ISBLANK(G290),"",IF($A$6:$A$330=$A290,COUNTIF($A$6:A290,$A290),""))</f>
        <v/>
      </c>
      <c r="F290" s="10" t="n">
        <v>1</v>
      </c>
      <c r="G290" s="55" t="n">
        <v>9730010100</v>
      </c>
      <c r="H290" s="54" t="inlineStr">
        <is>
          <t>Клапан ускорительный</t>
        </is>
      </c>
      <c r="I290" s="617">
        <f>118.03/НДС</f>
        <v/>
      </c>
      <c r="J290" s="617" t="n"/>
      <c r="K290" s="872" t="n"/>
      <c r="L290" s="617">
        <f>IF(K290="RUB",J290/ЮАНЬ,IF(K290="EUR",J290*ЕВРО/ЮАНЬ,""))</f>
        <v/>
      </c>
      <c r="M290" s="873" t="n"/>
      <c r="N290" s="871">
        <f>IF(BP290&gt;0,1,IF(BN290&gt;0,2,))</f>
        <v/>
      </c>
      <c r="O290" s="23" t="n"/>
      <c r="P290" s="24" t="n"/>
      <c r="Q290" s="25" t="n"/>
      <c r="R290" s="24" t="n"/>
      <c r="S290" s="23" t="n">
        <v>40</v>
      </c>
      <c r="T290" s="24">
        <f>30</f>
        <v/>
      </c>
      <c r="U290" s="25" t="n">
        <v>30</v>
      </c>
      <c r="V290" s="24" t="n"/>
      <c r="W290" s="23" t="n"/>
      <c r="X290" s="26" t="n"/>
      <c r="Y290" s="25" t="n"/>
      <c r="Z290" s="24" t="n"/>
      <c r="AA290" s="23" t="n">
        <v>40</v>
      </c>
      <c r="AB290" s="26">
        <f>25</f>
        <v/>
      </c>
      <c r="AC290" s="25" t="n">
        <v>25</v>
      </c>
      <c r="AD290" s="24" t="n"/>
      <c r="AE290" s="23" t="n"/>
      <c r="AF290" s="26" t="n"/>
      <c r="AG290" s="25" t="n"/>
      <c r="AH290" s="24" t="n"/>
      <c r="AI290" s="23" t="n">
        <v>40</v>
      </c>
      <c r="AJ290" s="24" t="n">
        <v>40</v>
      </c>
      <c r="AK290" s="25" t="n">
        <v>0</v>
      </c>
      <c r="AL290" s="24" t="n"/>
      <c r="AM290" s="23" t="n"/>
      <c r="AN290" s="24" t="n"/>
      <c r="AO290" s="25" t="n"/>
      <c r="AP290" s="24" t="n"/>
      <c r="AQ290" s="23" t="n">
        <v>40</v>
      </c>
      <c r="AR290" s="24" t="n">
        <v>40</v>
      </c>
      <c r="AS290" s="25" t="n">
        <v>0</v>
      </c>
      <c r="AT290" s="24" t="n"/>
      <c r="AU290" s="23" t="n"/>
      <c r="AV290" s="24" t="n"/>
      <c r="AW290" s="25" t="n"/>
      <c r="AX290" s="24" t="n"/>
      <c r="AY290" s="23" t="n">
        <v>40</v>
      </c>
      <c r="AZ290" s="24" t="n">
        <v>40</v>
      </c>
      <c r="BA290" s="25" t="n">
        <v>0</v>
      </c>
      <c r="BB290" s="24" t="n"/>
      <c r="BC290" s="23" t="n"/>
      <c r="BD290" s="24" t="n"/>
      <c r="BE290" s="25" t="n"/>
      <c r="BF290" s="24" t="n"/>
      <c r="BG290" s="23" t="n">
        <v>40</v>
      </c>
      <c r="BH290" s="24" t="n">
        <v>40</v>
      </c>
      <c r="BI290" s="25" t="n">
        <v>0</v>
      </c>
      <c r="BJ290" s="24" t="n"/>
      <c r="BK290" s="340" t="n"/>
      <c r="BL290" s="803">
        <f>SUMPRODUCT(--(MOD(COLUMN($O290:$AL290),4)=MOD(COLUMN($O290)+0,4)),$O290:$AL290)
+SUMPRODUCT(--(MOD(COLUMN($AM290:$BJ290),4)=MOD(COLUMN($AM290)+0,4)),$AM290:$BJ290)</f>
        <v/>
      </c>
      <c r="BM290" s="803">
        <f>SUMPRODUCT(--(MOD(COLUMN($O290:$AL290),4)=MOD(COLUMN($O290)+0,4)),$O290:$AL290)*
$I290+SUMPRODUCT(--(MOD(COLUMN($AM290:$BJ290),4)=MOD(COLUMN($AM290)+0,4)),$AM290:$BJ290)*$I290</f>
        <v/>
      </c>
      <c r="BN290" s="805">
        <f>SUMPRODUCT(--(MOD(COLUMN($O290:$AL290),4)=MOD(COLUMN($O290)+1,4)),$O290:$AL290)
+SUMPRODUCT(--(MOD(COLUMN($AM290:$BJ290),4)=MOD(COLUMN($AM290)+1,4)),$AM290:$BJ290)</f>
        <v/>
      </c>
      <c r="BO290" s="806">
        <f>SUMPRODUCT(--(MOD(COLUMN($O290:$AL290),4)=MOD(COLUMN($O290)+1,4)),$O290:$AL290)*
$I290+SUMPRODUCT(--(MOD(COLUMN($AM290:$BJ290),4)=MOD(COLUMN($AM290)+1,4)),$AM290:$BJ290)*$I290</f>
        <v/>
      </c>
      <c r="BP290" s="807">
        <f>SUMPRODUCT(--(MOD(COLUMN($O290:$AL290),4)=MOD(COLUMN($O290)+2,4)),$O290:$AL290)
+SUMPRODUCT(--(MOD(COLUMN($AM290:$BJ290),4)=MOD(COLUMN($AM290)+2,4)),$AM290:$BJ290)</f>
        <v/>
      </c>
      <c r="BQ290" s="808">
        <f>SUMPRODUCT(--(MOD(COLUMN($O290:$AL290),4)=MOD(COLUMN($O290)+2,4)),$O290:$AL290)*
$I290+SUMPRODUCT(--(MOD(COLUMN($AM290:$BJ290),4)=MOD(COLUMN($AM290)+2,4)),$AM290:$BJ290)*$I290</f>
        <v/>
      </c>
      <c r="BR290" s="801" t="n"/>
      <c r="BS290" s="819" t="n"/>
      <c r="BT290" s="23" t="n">
        <v>50</v>
      </c>
      <c r="BU290" s="24" t="n"/>
      <c r="BV290" s="25" t="n">
        <v>0</v>
      </c>
      <c r="BW290" s="24" t="n"/>
      <c r="BX290" s="23" t="n">
        <v>50</v>
      </c>
      <c r="BY290" s="24" t="n"/>
      <c r="BZ290" s="25" t="n">
        <v>0</v>
      </c>
      <c r="CA290" s="24" t="n"/>
      <c r="CB290" s="23" t="n">
        <v>50</v>
      </c>
      <c r="CC290" s="24" t="n"/>
      <c r="CD290" s="25" t="n">
        <v>0</v>
      </c>
      <c r="CE290" s="24" t="n"/>
      <c r="CF290" s="23" t="n">
        <v>50</v>
      </c>
      <c r="CG290" s="24" t="n"/>
      <c r="CH290" s="25" t="n">
        <v>0</v>
      </c>
      <c r="CI290" s="24" t="n"/>
      <c r="CJ290" s="23" t="n">
        <v>50</v>
      </c>
      <c r="CK290" s="24" t="n"/>
      <c r="CL290" s="25" t="n">
        <v>0</v>
      </c>
      <c r="CM290" s="24" t="n"/>
      <c r="CN290" s="23" t="n">
        <v>50</v>
      </c>
      <c r="CO290" s="24" t="n"/>
      <c r="CP290" s="25" t="n">
        <v>0</v>
      </c>
      <c r="CQ290" s="24" t="n"/>
      <c r="CR290" s="23" t="n">
        <v>50</v>
      </c>
      <c r="CS290" s="24" t="n"/>
      <c r="CT290" s="25" t="n">
        <v>0</v>
      </c>
      <c r="CU290" s="24" t="n"/>
      <c r="CV290" s="23" t="n">
        <v>50</v>
      </c>
      <c r="CW290" s="24" t="n"/>
      <c r="CX290" s="25" t="n">
        <v>0</v>
      </c>
      <c r="CY290" s="24" t="n"/>
      <c r="CZ290" s="23" t="n">
        <v>50</v>
      </c>
      <c r="DA290" s="24" t="n"/>
      <c r="DB290" s="25" t="n">
        <v>0</v>
      </c>
      <c r="DC290" s="24" t="n"/>
      <c r="DD290" s="23" t="n">
        <v>50</v>
      </c>
      <c r="DE290" s="24" t="n"/>
      <c r="DF290" s="25" t="n">
        <v>0</v>
      </c>
      <c r="DG290" s="24" t="n"/>
      <c r="DH290" s="23" t="n">
        <v>50</v>
      </c>
      <c r="DI290" s="24" t="n"/>
      <c r="DJ290" s="25" t="n">
        <v>0</v>
      </c>
      <c r="DK290" s="24" t="n"/>
      <c r="DL290" s="23" t="n">
        <v>50</v>
      </c>
      <c r="DM290" s="24" t="n"/>
      <c r="DN290" s="25" t="n">
        <v>0</v>
      </c>
      <c r="DO290" s="24" t="n"/>
      <c r="DP290" s="340" t="n"/>
      <c r="DQ290" s="803">
        <f>SUMPRODUCT(--(MOD(COLUMN(BT290:CQ290),4)=MOD(COLUMN(BT290),4)),BT290:CQ290)+SUMPRODUCT(--(MOD(COLUMN(CR290:DO290),4)=MOD(COLUMN(CR290),4)),CR290:DO290)</f>
        <v/>
      </c>
      <c r="DR290" s="803">
        <f>SUMPRODUCT(--(MOD(COLUMN(BT290:CQ290),4)=MOD(COLUMN(BT290),4)),BT290:CQ290)*$I290+SUMPRODUCT(--(MOD(COLUMN(CR290:DO290),4)=MOD(COLUMN(CR290),4)),CR290:DO290)*$I290</f>
        <v/>
      </c>
      <c r="DS290" s="801" t="n"/>
      <c r="DT290" s="819" t="n"/>
      <c r="DU290" s="23" t="n">
        <v>80</v>
      </c>
      <c r="DV290" s="24" t="n"/>
      <c r="DW290" s="25" t="n">
        <v>0</v>
      </c>
      <c r="DX290" s="24" t="n"/>
      <c r="DY290" s="23" t="n">
        <v>80</v>
      </c>
      <c r="DZ290" s="24" t="n"/>
      <c r="EA290" s="25" t="n">
        <v>0</v>
      </c>
      <c r="EB290" s="24" t="n"/>
      <c r="EC290" s="23" t="n">
        <v>80</v>
      </c>
      <c r="ED290" s="24" t="n"/>
      <c r="EE290" s="25" t="n">
        <v>0</v>
      </c>
      <c r="EF290" s="24" t="n"/>
      <c r="EG290" s="23" t="n">
        <v>80</v>
      </c>
      <c r="EH290" s="24" t="n"/>
      <c r="EI290" s="25" t="n">
        <v>0</v>
      </c>
      <c r="EJ290" s="24" t="n"/>
      <c r="EK290" s="23" t="n">
        <v>80</v>
      </c>
      <c r="EL290" s="24" t="n"/>
      <c r="EM290" s="25" t="n">
        <v>0</v>
      </c>
      <c r="EN290" s="24" t="n"/>
      <c r="EO290" s="23" t="n">
        <v>80</v>
      </c>
      <c r="EP290" s="24" t="n"/>
      <c r="EQ290" s="25" t="n">
        <v>0</v>
      </c>
      <c r="ER290" s="24" t="n"/>
      <c r="ES290" s="23" t="n">
        <v>80</v>
      </c>
      <c r="ET290" s="24" t="n"/>
      <c r="EU290" s="25" t="n">
        <v>0</v>
      </c>
      <c r="EV290" s="24" t="n"/>
      <c r="EW290" s="23" t="n">
        <v>80</v>
      </c>
      <c r="EX290" s="24" t="n"/>
      <c r="EY290" s="25" t="n">
        <v>0</v>
      </c>
      <c r="EZ290" s="24" t="n"/>
      <c r="FA290" s="23" t="n">
        <v>80</v>
      </c>
      <c r="FB290" s="24" t="n"/>
      <c r="FC290" s="25" t="n">
        <v>0</v>
      </c>
      <c r="FD290" s="24" t="n"/>
      <c r="FE290" s="23" t="n">
        <v>80</v>
      </c>
      <c r="FF290" s="24" t="n"/>
      <c r="FG290" s="25" t="n">
        <v>0</v>
      </c>
      <c r="FH290" s="24" t="n"/>
      <c r="FI290" s="23" t="n">
        <v>80</v>
      </c>
      <c r="FJ290" s="24" t="n"/>
      <c r="FK290" s="25" t="n">
        <v>0</v>
      </c>
      <c r="FL290" s="24" t="n"/>
      <c r="FM290" s="23" t="n">
        <v>80</v>
      </c>
      <c r="FN290" s="24" t="n"/>
      <c r="FO290" s="25" t="n">
        <v>0</v>
      </c>
      <c r="FP290" s="24" t="n"/>
      <c r="FQ290" s="340" t="n"/>
      <c r="FR290" s="803">
        <f>SUMPRODUCT(--(MOD(COLUMN(DU290:ER290),4)=MOD(COLUMN(DU290),4)),DU290:ER290)+SUMPRODUCT(--(MOD(COLUMN(ES290:FP290),4)=MOD(COLUMN(ES290),4)),ES290:FP290)</f>
        <v/>
      </c>
      <c r="FS290" s="803">
        <f>SUMPRODUCT(--(MOD(COLUMN(DU290:ER290),4)=MOD(COLUMN(DU290),4)),DU290:ER290)*$I290+SUMPRODUCT(--(MOD(COLUMN(ES290:FP290),4)=MOD(COLUMN(ES290),4)),ES290:FP290)*$I290</f>
        <v/>
      </c>
      <c r="FT290" s="361" t="n"/>
    </row>
    <row r="291" outlineLevel="2">
      <c r="A291" s="420" t="inlineStr">
        <is>
          <t>АВТОВИК ООО / AVTOVIK OOO</t>
        </is>
      </c>
      <c r="B291" s="444" t="inlineStr">
        <is>
          <t>Предоплата 100%</t>
        </is>
      </c>
      <c r="C291" s="592" t="inlineStr">
        <is>
          <t>ВБК РУС</t>
        </is>
      </c>
      <c r="D291" s="586" t="inlineStr">
        <is>
          <t>Прасолов, Соловьёв</t>
        </is>
      </c>
      <c r="E291" s="414">
        <f>IF(ISBLANK(G291),"",IF($A$6:$A$330=$A291,COUNTIF($A$6:A291,$A291),""))</f>
        <v/>
      </c>
      <c r="F291" s="284" t="n">
        <v>1</v>
      </c>
      <c r="G291" s="304" t="n">
        <v>9730110000</v>
      </c>
      <c r="H291" s="602" t="inlineStr">
        <is>
          <t>Клапан ускорительный</t>
        </is>
      </c>
      <c r="I291" s="617">
        <f>160/НДС</f>
        <v/>
      </c>
      <c r="J291" s="616" t="n"/>
      <c r="K291" s="870" t="n"/>
      <c r="L291" s="616" t="n"/>
      <c r="M291" s="871" t="n"/>
      <c r="N291" s="871">
        <f>IF(BP291&gt;0,1,IF(BN291&gt;0,2,))</f>
        <v/>
      </c>
      <c r="O291" s="322" t="n"/>
      <c r="P291" s="408" t="n"/>
      <c r="Q291" s="307" t="n"/>
      <c r="R291" s="408" t="n"/>
      <c r="S291" s="322" t="n"/>
      <c r="T291" s="408" t="n"/>
      <c r="U291" s="307" t="n"/>
      <c r="V291" s="408" t="n"/>
      <c r="W291" s="322" t="n"/>
      <c r="X291" s="26">
        <f>20</f>
        <v/>
      </c>
      <c r="Y291" s="307" t="n">
        <v>20</v>
      </c>
      <c r="Z291" s="675" t="n">
        <v>20</v>
      </c>
      <c r="AA291" s="322" t="n"/>
      <c r="AB291" s="386">
        <f>60</f>
        <v/>
      </c>
      <c r="AC291" s="579" t="n">
        <v>60</v>
      </c>
      <c r="AD291" s="675" t="n">
        <v>60</v>
      </c>
      <c r="AE291" s="322" t="n"/>
      <c r="AF291" s="386" t="n"/>
      <c r="AG291" s="307" t="n"/>
      <c r="AH291" s="24" t="n"/>
      <c r="AI291" s="322" t="n"/>
      <c r="AJ291" s="408">
        <f>60</f>
        <v/>
      </c>
      <c r="AK291" s="307" t="n">
        <v>0</v>
      </c>
      <c r="AL291" s="675" t="n">
        <v>60</v>
      </c>
      <c r="AM291" s="322" t="n"/>
      <c r="AN291" s="408" t="n"/>
      <c r="AO291" s="307" t="n"/>
      <c r="AP291" s="408" t="n"/>
      <c r="AQ291" s="322" t="n"/>
      <c r="AR291" s="408" t="n"/>
      <c r="AS291" s="307" t="n"/>
      <c r="AT291" s="408" t="n"/>
      <c r="AU291" s="322" t="n"/>
      <c r="AV291" s="408" t="n"/>
      <c r="AW291" s="307" t="n"/>
      <c r="AX291" s="408" t="n"/>
      <c r="AY291" s="322" t="n"/>
      <c r="AZ291" s="408" t="n"/>
      <c r="BA291" s="307" t="n"/>
      <c r="BB291" s="408" t="n"/>
      <c r="BC291" s="322" t="n"/>
      <c r="BD291" s="408" t="n"/>
      <c r="BE291" s="307" t="n"/>
      <c r="BF291" s="408" t="n"/>
      <c r="BG291" s="322" t="n"/>
      <c r="BH291" s="408" t="n"/>
      <c r="BI291" s="307" t="n"/>
      <c r="BJ291" s="408" t="n"/>
      <c r="BK291" s="340" t="n"/>
      <c r="BL291" s="820">
        <f>SUMPRODUCT(--(MOD(COLUMN($O291:$AL291),4)=MOD(COLUMN($O291)+0,4)),$O291:$AL291)
+SUMPRODUCT(--(MOD(COLUMN($AM291:$BJ291),4)=MOD(COLUMN($AM291)+0,4)),$AM291:$BJ291)</f>
        <v/>
      </c>
      <c r="BM291" s="820">
        <f>SUMPRODUCT(--(MOD(COLUMN($O291:$AL291),4)=MOD(COLUMN($O291)+0,4)),$O291:$AL291)*
$I291+SUMPRODUCT(--(MOD(COLUMN($AM291:$BJ291),4)=MOD(COLUMN($AM291)+0,4)),$AM291:$BJ291)*$I291</f>
        <v/>
      </c>
      <c r="BN291" s="822">
        <f>SUMPRODUCT(--(MOD(COLUMN($O291:$AL291),4)=MOD(COLUMN($O291)+1,4)),$O291:$AL291)
+SUMPRODUCT(--(MOD(COLUMN($AM291:$BJ291),4)=MOD(COLUMN($AM291)+1,4)),$AM291:$BJ291)</f>
        <v/>
      </c>
      <c r="BO291" s="823">
        <f>SUMPRODUCT(--(MOD(COLUMN($O291:$AL291),4)=MOD(COLUMN($O291)+1,4)),$O291:$AL291)*
$I291+SUMPRODUCT(--(MOD(COLUMN($AM291:$BJ291),4)=MOD(COLUMN($AM291)+1,4)),$AM291:$BJ291)*$I291</f>
        <v/>
      </c>
      <c r="BP291" s="824">
        <f>SUMPRODUCT(--(MOD(COLUMN($O291:$AL291),4)=MOD(COLUMN($O291)+2,4)),$O291:$AL291)
+SUMPRODUCT(--(MOD(COLUMN($AM291:$BJ291),4)=MOD(COLUMN($AM291)+2,4)),$AM291:$BJ291)</f>
        <v/>
      </c>
      <c r="BQ291" s="825">
        <f>SUMPRODUCT(--(MOD(COLUMN($O291:$AL291),4)=MOD(COLUMN($O291)+2,4)),$O291:$AL291)*
$I291+SUMPRODUCT(--(MOD(COLUMN($AM291:$BJ291),4)=MOD(COLUMN($AM291)+2,4)),$AM291:$BJ291)*$I291</f>
        <v/>
      </c>
      <c r="BR291" s="819" t="n"/>
      <c r="BS291" s="819" t="n"/>
      <c r="BT291" s="322" t="n"/>
      <c r="BU291" s="408" t="n"/>
      <c r="BV291" s="307" t="n"/>
      <c r="BW291" s="408" t="n"/>
      <c r="BX291" s="322" t="n"/>
      <c r="BY291" s="408" t="n"/>
      <c r="BZ291" s="307" t="n"/>
      <c r="CA291" s="408" t="n"/>
      <c r="CB291" s="322" t="n"/>
      <c r="CC291" s="408" t="n"/>
      <c r="CD291" s="307" t="n"/>
      <c r="CE291" s="408" t="n"/>
      <c r="CF291" s="322" t="n"/>
      <c r="CG291" s="408" t="n"/>
      <c r="CH291" s="307" t="n"/>
      <c r="CI291" s="408" t="n"/>
      <c r="CJ291" s="322" t="n"/>
      <c r="CK291" s="408" t="n"/>
      <c r="CL291" s="307" t="n"/>
      <c r="CM291" s="408" t="n"/>
      <c r="CN291" s="322" t="n"/>
      <c r="CO291" s="408" t="n"/>
      <c r="CP291" s="307" t="n"/>
      <c r="CQ291" s="408" t="n"/>
      <c r="CR291" s="322" t="n"/>
      <c r="CS291" s="408" t="n"/>
      <c r="CT291" s="307" t="n"/>
      <c r="CU291" s="408" t="n"/>
      <c r="CV291" s="322" t="n"/>
      <c r="CW291" s="408" t="n"/>
      <c r="CX291" s="307" t="n"/>
      <c r="CY291" s="408" t="n"/>
      <c r="CZ291" s="322" t="n"/>
      <c r="DA291" s="408" t="n"/>
      <c r="DB291" s="307" t="n"/>
      <c r="DC291" s="408" t="n"/>
      <c r="DD291" s="322" t="n"/>
      <c r="DE291" s="408" t="n"/>
      <c r="DF291" s="307" t="n"/>
      <c r="DG291" s="408" t="n"/>
      <c r="DH291" s="322" t="n"/>
      <c r="DI291" s="408" t="n"/>
      <c r="DJ291" s="307" t="n"/>
      <c r="DK291" s="408" t="n"/>
      <c r="DL291" s="322" t="n"/>
      <c r="DM291" s="408" t="n"/>
      <c r="DN291" s="307" t="n"/>
      <c r="DO291" s="408" t="n"/>
      <c r="DP291" s="340" t="n"/>
      <c r="DQ291" s="820" t="n"/>
      <c r="DR291" s="820" t="n"/>
      <c r="DS291" s="819" t="n"/>
      <c r="DT291" s="819" t="n"/>
      <c r="DU291" s="322" t="n"/>
      <c r="DV291" s="408" t="n"/>
      <c r="DW291" s="307" t="n"/>
      <c r="DX291" s="408" t="n"/>
      <c r="DY291" s="322" t="n"/>
      <c r="DZ291" s="408" t="n"/>
      <c r="EA291" s="307" t="n"/>
      <c r="EB291" s="408" t="n"/>
      <c r="EC291" s="322" t="n"/>
      <c r="ED291" s="408" t="n"/>
      <c r="EE291" s="307" t="n"/>
      <c r="EF291" s="408" t="n"/>
      <c r="EG291" s="322" t="n"/>
      <c r="EH291" s="408" t="n"/>
      <c r="EI291" s="307" t="n"/>
      <c r="EJ291" s="408" t="n"/>
      <c r="EK291" s="322" t="n"/>
      <c r="EL291" s="408" t="n"/>
      <c r="EM291" s="307" t="n"/>
      <c r="EN291" s="408" t="n"/>
      <c r="EO291" s="322" t="n"/>
      <c r="EP291" s="408" t="n"/>
      <c r="EQ291" s="307" t="n"/>
      <c r="ER291" s="408" t="n"/>
      <c r="ES291" s="322" t="n"/>
      <c r="ET291" s="408" t="n"/>
      <c r="EU291" s="307" t="n"/>
      <c r="EV291" s="408" t="n"/>
      <c r="EW291" s="322" t="n"/>
      <c r="EX291" s="408" t="n"/>
      <c r="EY291" s="307" t="n"/>
      <c r="EZ291" s="408" t="n"/>
      <c r="FA291" s="322" t="n"/>
      <c r="FB291" s="408" t="n"/>
      <c r="FC291" s="307" t="n"/>
      <c r="FD291" s="408" t="n"/>
      <c r="FE291" s="322" t="n"/>
      <c r="FF291" s="408" t="n"/>
      <c r="FG291" s="307" t="n"/>
      <c r="FH291" s="408" t="n"/>
      <c r="FI291" s="322" t="n"/>
      <c r="FJ291" s="408" t="n"/>
      <c r="FK291" s="307" t="n"/>
      <c r="FL291" s="408" t="n"/>
      <c r="FM291" s="322" t="n"/>
      <c r="FN291" s="408" t="n"/>
      <c r="FO291" s="307" t="n"/>
      <c r="FP291" s="408" t="n"/>
      <c r="FQ291" s="340" t="n"/>
      <c r="FR291" s="820" t="n"/>
      <c r="FS291" s="820" t="n"/>
      <c r="FT291" s="361" t="n"/>
    </row>
    <row r="292" outlineLevel="2">
      <c r="A292" s="58" t="inlineStr">
        <is>
          <t>АВТОВИК ООО / AVTOVIK OOO</t>
        </is>
      </c>
      <c r="B292" s="387" t="inlineStr">
        <is>
          <t>Предоплата 100%</t>
        </is>
      </c>
      <c r="C292" s="173" t="inlineStr">
        <is>
          <t>ВБК РУС</t>
        </is>
      </c>
      <c r="D292" s="595" t="inlineStr">
        <is>
          <t>Прасолов, Соловьёв</t>
        </is>
      </c>
      <c r="E292" s="10">
        <f>IF(ISBLANK(G292),"",IF($A$6:$A$330=$A292,COUNTIF($A$6:A292,$A292),""))</f>
        <v/>
      </c>
      <c r="F292" s="10" t="n">
        <v>1</v>
      </c>
      <c r="G292" s="55" t="inlineStr">
        <is>
          <t>WA-3601400</t>
        </is>
      </c>
      <c r="H292" s="54" t="inlineStr">
        <is>
          <t>Комплект диагностики TEBS</t>
        </is>
      </c>
      <c r="I292" s="617">
        <f>2732.8/НДС</f>
        <v/>
      </c>
      <c r="J292" s="617" t="n"/>
      <c r="K292" s="872" t="n"/>
      <c r="L292" s="617">
        <f>IF(K292="RUB",J292/ЮАНЬ,IF(K292="EUR",J292*ЕВРО/ЮАНЬ,""))</f>
        <v/>
      </c>
      <c r="M292" s="873" t="n"/>
      <c r="N292" s="871">
        <f>IF(BP292&gt;0,1,IF(BN292&gt;0,2,))</f>
        <v/>
      </c>
      <c r="O292" s="23" t="n"/>
      <c r="P292" s="24" t="n"/>
      <c r="Q292" s="25" t="n"/>
      <c r="R292" s="24" t="n"/>
      <c r="S292" s="23" t="n"/>
      <c r="T292" s="24" t="n"/>
      <c r="U292" s="25" t="n"/>
      <c r="V292" s="24" t="n"/>
      <c r="W292" s="23" t="n"/>
      <c r="X292" s="26" t="n"/>
      <c r="Y292" s="25" t="n"/>
      <c r="Z292" s="24" t="n"/>
      <c r="AA292" s="23" t="n"/>
      <c r="AB292" s="26">
        <f>1</f>
        <v/>
      </c>
      <c r="AC292" s="25" t="n">
        <v>1</v>
      </c>
      <c r="AD292" s="24" t="n"/>
      <c r="AE292" s="23" t="n"/>
      <c r="AF292" s="26" t="n"/>
      <c r="AG292" s="25" t="n"/>
      <c r="AH292" s="24" t="n"/>
      <c r="AI292" s="23" t="n"/>
      <c r="AJ292" s="24" t="n"/>
      <c r="AK292" s="25" t="n"/>
      <c r="AL292" s="108" t="n"/>
      <c r="AM292" s="23" t="n"/>
      <c r="AN292" s="24" t="n"/>
      <c r="AO292" s="25" t="n"/>
      <c r="AP292" s="24" t="n"/>
      <c r="AQ292" s="23" t="n"/>
      <c r="AR292" s="24" t="n"/>
      <c r="AS292" s="25" t="n"/>
      <c r="AT292" s="24" t="n"/>
      <c r="AU292" s="23" t="n"/>
      <c r="AV292" s="24" t="n"/>
      <c r="AW292" s="25" t="n"/>
      <c r="AX292" s="24" t="n"/>
      <c r="AY292" s="23" t="n"/>
      <c r="AZ292" s="24" t="n"/>
      <c r="BA292" s="25" t="n"/>
      <c r="BB292" s="24" t="n"/>
      <c r="BC292" s="23" t="n"/>
      <c r="BD292" s="24" t="n"/>
      <c r="BE292" s="25" t="n"/>
      <c r="BF292" s="24" t="n"/>
      <c r="BG292" s="23" t="n"/>
      <c r="BH292" s="24" t="n"/>
      <c r="BI292" s="25" t="n"/>
      <c r="BJ292" s="24" t="n"/>
      <c r="BK292" s="340" t="n"/>
      <c r="BL292" s="803">
        <f>SUMPRODUCT(--(MOD(COLUMN($O292:$AL292),4)=MOD(COLUMN($O292)+0,4)),$O292:$AL292)
+SUMPRODUCT(--(MOD(COLUMN($AM292:$BJ292),4)=MOD(COLUMN($AM292)+0,4)),$AM292:$BJ292)</f>
        <v/>
      </c>
      <c r="BM292" s="803">
        <f>SUMPRODUCT(--(MOD(COLUMN($O292:$AL292),4)=MOD(COLUMN($O292)+0,4)),$O292:$AL292)*
$I292+SUMPRODUCT(--(MOD(COLUMN($AM292:$BJ292),4)=MOD(COLUMN($AM292)+0,4)),$AM292:$BJ292)*$I292</f>
        <v/>
      </c>
      <c r="BN292" s="805">
        <f>SUMPRODUCT(--(MOD(COLUMN($O292:$AL292),4)=MOD(COLUMN($O292)+1,4)),$O292:$AL292)
+SUMPRODUCT(--(MOD(COLUMN($AM292:$BJ292),4)=MOD(COLUMN($AM292)+1,4)),$AM292:$BJ292)</f>
        <v/>
      </c>
      <c r="BO292" s="806">
        <f>SUMPRODUCT(--(MOD(COLUMN($O292:$AL292),4)=MOD(COLUMN($O292)+1,4)),$O292:$AL292)*
$I292+SUMPRODUCT(--(MOD(COLUMN($AM292:$BJ292),4)=MOD(COLUMN($AM292)+1,4)),$AM292:$BJ292)*$I292</f>
        <v/>
      </c>
      <c r="BP292" s="807">
        <f>SUMPRODUCT(--(MOD(COLUMN($O292:$AL292),4)=MOD(COLUMN($O292)+2,4)),$O292:$AL292)
+SUMPRODUCT(--(MOD(COLUMN($AM292:$BJ292),4)=MOD(COLUMN($AM292)+2,4)),$AM292:$BJ292)</f>
        <v/>
      </c>
      <c r="BQ292" s="808">
        <f>SUMPRODUCT(--(MOD(COLUMN($O292:$AL292),4)=MOD(COLUMN($O292)+2,4)),$O292:$AL292)*
$I292+SUMPRODUCT(--(MOD(COLUMN($AM292:$BJ292),4)=MOD(COLUMN($AM292)+2,4)),$AM292:$BJ292)*$I292</f>
        <v/>
      </c>
      <c r="BR292" s="801" t="n"/>
      <c r="BS292" s="819" t="n"/>
      <c r="BT292" s="23" t="n"/>
      <c r="BU292" s="24" t="n"/>
      <c r="BV292" s="25" t="n"/>
      <c r="BW292" s="24" t="n"/>
      <c r="BX292" s="23" t="n"/>
      <c r="BY292" s="24" t="n"/>
      <c r="BZ292" s="25" t="n"/>
      <c r="CA292" s="24" t="n"/>
      <c r="CB292" s="23" t="n"/>
      <c r="CC292" s="24" t="n"/>
      <c r="CD292" s="25" t="n"/>
      <c r="CE292" s="24" t="n"/>
      <c r="CF292" s="23" t="n"/>
      <c r="CG292" s="24" t="n"/>
      <c r="CH292" s="25" t="n"/>
      <c r="CI292" s="24" t="n"/>
      <c r="CJ292" s="23" t="n"/>
      <c r="CK292" s="24" t="n"/>
      <c r="CL292" s="25" t="n"/>
      <c r="CM292" s="108" t="n"/>
      <c r="CN292" s="23" t="n"/>
      <c r="CO292" s="24" t="n"/>
      <c r="CP292" s="25" t="n"/>
      <c r="CQ292" s="24" t="n"/>
      <c r="CR292" s="23" t="n"/>
      <c r="CS292" s="24" t="n"/>
      <c r="CT292" s="25" t="n"/>
      <c r="CU292" s="24" t="n"/>
      <c r="CV292" s="23" t="n"/>
      <c r="CW292" s="24" t="n"/>
      <c r="CX292" s="25" t="n"/>
      <c r="CY292" s="24" t="n"/>
      <c r="CZ292" s="23" t="n"/>
      <c r="DA292" s="24" t="n"/>
      <c r="DB292" s="25" t="n"/>
      <c r="DC292" s="24" t="n"/>
      <c r="DD292" s="23" t="n"/>
      <c r="DE292" s="24" t="n"/>
      <c r="DF292" s="25" t="n"/>
      <c r="DG292" s="24" t="n"/>
      <c r="DH292" s="23" t="n"/>
      <c r="DI292" s="24" t="n"/>
      <c r="DJ292" s="25" t="n"/>
      <c r="DK292" s="24" t="n"/>
      <c r="DL292" s="23" t="n"/>
      <c r="DM292" s="24" t="n"/>
      <c r="DN292" s="25" t="n"/>
      <c r="DO292" s="24" t="n"/>
      <c r="DP292" s="340" t="n"/>
      <c r="DQ292" s="803">
        <f>SUMPRODUCT(--(MOD(COLUMN(BT292:CQ292),4)=MOD(COLUMN(BT292),4)),BT292:CQ292)+SUMPRODUCT(--(MOD(COLUMN(CR292:DO292),4)=MOD(COLUMN(CR292),4)),CR292:DO292)</f>
        <v/>
      </c>
      <c r="DR292" s="803">
        <f>SUMPRODUCT(--(MOD(COLUMN(BT292:CQ292),4)=MOD(COLUMN(BT292),4)),BT292:CQ292)*$I292+SUMPRODUCT(--(MOD(COLUMN(CR292:DO292),4)=MOD(COLUMN(CR292),4)),CR292:DO292)*$I292</f>
        <v/>
      </c>
      <c r="DS292" s="801" t="n"/>
      <c r="DT292" s="819" t="n"/>
      <c r="DU292" s="23" t="n"/>
      <c r="DV292" s="24" t="n"/>
      <c r="DW292" s="25" t="n"/>
      <c r="DX292" s="24" t="n"/>
      <c r="DY292" s="23" t="n"/>
      <c r="DZ292" s="24" t="n"/>
      <c r="EA292" s="25" t="n"/>
      <c r="EB292" s="24" t="n"/>
      <c r="EC292" s="23" t="n"/>
      <c r="ED292" s="24" t="n"/>
      <c r="EE292" s="25" t="n"/>
      <c r="EF292" s="24" t="n"/>
      <c r="EG292" s="23" t="n"/>
      <c r="EH292" s="24" t="n"/>
      <c r="EI292" s="25" t="n"/>
      <c r="EJ292" s="24" t="n"/>
      <c r="EK292" s="23" t="n"/>
      <c r="EL292" s="24" t="n"/>
      <c r="EM292" s="25" t="n"/>
      <c r="EN292" s="108" t="n"/>
      <c r="EO292" s="23" t="n"/>
      <c r="EP292" s="24" t="n"/>
      <c r="EQ292" s="25" t="n"/>
      <c r="ER292" s="24" t="n"/>
      <c r="ES292" s="23" t="n"/>
      <c r="ET292" s="24" t="n"/>
      <c r="EU292" s="25" t="n"/>
      <c r="EV292" s="24" t="n"/>
      <c r="EW292" s="23" t="n"/>
      <c r="EX292" s="24" t="n"/>
      <c r="EY292" s="25" t="n"/>
      <c r="EZ292" s="24" t="n"/>
      <c r="FA292" s="23" t="n"/>
      <c r="FB292" s="24" t="n"/>
      <c r="FC292" s="25" t="n"/>
      <c r="FD292" s="24" t="n"/>
      <c r="FE292" s="23" t="n"/>
      <c r="FF292" s="24" t="n"/>
      <c r="FG292" s="25" t="n"/>
      <c r="FH292" s="24" t="n"/>
      <c r="FI292" s="23" t="n"/>
      <c r="FJ292" s="24" t="n"/>
      <c r="FK292" s="25" t="n"/>
      <c r="FL292" s="24" t="n"/>
      <c r="FM292" s="23" t="n"/>
      <c r="FN292" s="24" t="n"/>
      <c r="FO292" s="25" t="n"/>
      <c r="FP292" s="24" t="n"/>
      <c r="FQ292" s="340" t="n"/>
      <c r="FR292" s="803">
        <f>SUMPRODUCT(--(MOD(COLUMN(DU292:ER292),4)=MOD(COLUMN(DU292),4)),DU292:ER292)+SUMPRODUCT(--(MOD(COLUMN(ES292:FP292),4)=MOD(COLUMN(ES292),4)),ES292:FP292)</f>
        <v/>
      </c>
      <c r="FS292" s="803">
        <f>SUMPRODUCT(--(MOD(COLUMN(DU292:ER292),4)=MOD(COLUMN(DU292),4)),DU292:ER292)*$I292+SUMPRODUCT(--(MOD(COLUMN(ES292:FP292),4)=MOD(COLUMN(ES292),4)),ES292:FP292)*$I292</f>
        <v/>
      </c>
      <c r="FT292" s="361" t="n"/>
    </row>
    <row r="293" outlineLevel="2">
      <c r="A293" s="58" t="inlineStr">
        <is>
          <t>АВТОВИК ООО / AVTOVIK OOO</t>
        </is>
      </c>
      <c r="B293" s="387" t="inlineStr">
        <is>
          <t>Предоплата 100%</t>
        </is>
      </c>
      <c r="C293" s="173" t="inlineStr">
        <is>
          <t>ВБК РУС</t>
        </is>
      </c>
      <c r="D293" s="595" t="inlineStr">
        <is>
          <t>Прасолов, Соловьёв</t>
        </is>
      </c>
      <c r="E293" s="10">
        <f>IF(ISBLANK(G293),"",IF($A$6:$A$330=$A293,COUNTIF($A$6:A293,$A293),""))</f>
        <v/>
      </c>
      <c r="F293" s="10" t="n">
        <v>1</v>
      </c>
      <c r="G293" s="55" t="n">
        <v>4463003700</v>
      </c>
      <c r="H293" s="54" t="inlineStr">
        <is>
          <t>Кабель диагностический TEBS, 5 м</t>
        </is>
      </c>
      <c r="I293" s="617">
        <f>408.7/НДС</f>
        <v/>
      </c>
      <c r="J293" s="617" t="n"/>
      <c r="K293" s="872" t="n"/>
      <c r="L293" s="617">
        <f>IF(K293="RUB",J293/ЮАНЬ,IF(K293="EUR",J293*ЕВРО/ЮАНЬ,""))</f>
        <v/>
      </c>
      <c r="M293" s="873" t="n"/>
      <c r="N293" s="871">
        <f>IF(BP293&gt;0,1,IF(BN293&gt;0,2,))</f>
        <v/>
      </c>
      <c r="O293" s="23" t="n"/>
      <c r="P293" s="24" t="n"/>
      <c r="Q293" s="25" t="n"/>
      <c r="R293" s="24" t="n"/>
      <c r="S293" s="23" t="n"/>
      <c r="T293" s="24" t="n"/>
      <c r="U293" s="25" t="n"/>
      <c r="V293" s="24" t="n"/>
      <c r="W293" s="23" t="n"/>
      <c r="X293" s="26" t="n"/>
      <c r="Y293" s="25" t="n"/>
      <c r="Z293" s="24" t="n"/>
      <c r="AA293" s="23" t="n"/>
      <c r="AB293" s="26">
        <f>1</f>
        <v/>
      </c>
      <c r="AC293" s="25" t="n">
        <v>1</v>
      </c>
      <c r="AD293" s="24" t="n"/>
      <c r="AE293" s="23" t="n"/>
      <c r="AF293" s="26" t="n"/>
      <c r="AG293" s="25" t="n"/>
      <c r="AH293" s="24" t="n"/>
      <c r="AI293" s="23" t="n"/>
      <c r="AJ293" s="24" t="n"/>
      <c r="AK293" s="25" t="n"/>
      <c r="AL293" s="108" t="n"/>
      <c r="AM293" s="23" t="n"/>
      <c r="AN293" s="24" t="n"/>
      <c r="AO293" s="25" t="n"/>
      <c r="AP293" s="24" t="n"/>
      <c r="AQ293" s="23" t="n"/>
      <c r="AR293" s="24" t="n"/>
      <c r="AS293" s="25" t="n"/>
      <c r="AT293" s="24" t="n"/>
      <c r="AU293" s="23" t="n"/>
      <c r="AV293" s="24" t="n"/>
      <c r="AW293" s="25" t="n"/>
      <c r="AX293" s="24" t="n"/>
      <c r="AY293" s="23" t="n"/>
      <c r="AZ293" s="24" t="n"/>
      <c r="BA293" s="25" t="n"/>
      <c r="BB293" s="24" t="n"/>
      <c r="BC293" s="23" t="n"/>
      <c r="BD293" s="24" t="n"/>
      <c r="BE293" s="25" t="n"/>
      <c r="BF293" s="24" t="n"/>
      <c r="BG293" s="23" t="n"/>
      <c r="BH293" s="24" t="n"/>
      <c r="BI293" s="25" t="n"/>
      <c r="BJ293" s="24" t="n"/>
      <c r="BK293" s="340" t="n"/>
      <c r="BL293" s="803">
        <f>SUMPRODUCT(--(MOD(COLUMN($O293:$AL293),4)=MOD(COLUMN($O293)+0,4)),$O293:$AL293)
+SUMPRODUCT(--(MOD(COLUMN($AM293:$BJ293),4)=MOD(COLUMN($AM293)+0,4)),$AM293:$BJ293)</f>
        <v/>
      </c>
      <c r="BM293" s="803">
        <f>SUMPRODUCT(--(MOD(COLUMN($O293:$AL293),4)=MOD(COLUMN($O293)+0,4)),$O293:$AL293)*
$I293+SUMPRODUCT(--(MOD(COLUMN($AM293:$BJ293),4)=MOD(COLUMN($AM293)+0,4)),$AM293:$BJ293)*$I293</f>
        <v/>
      </c>
      <c r="BN293" s="805">
        <f>SUMPRODUCT(--(MOD(COLUMN($O293:$AL293),4)=MOD(COLUMN($O293)+1,4)),$O293:$AL293)
+SUMPRODUCT(--(MOD(COLUMN($AM293:$BJ293),4)=MOD(COLUMN($AM293)+1,4)),$AM293:$BJ293)</f>
        <v/>
      </c>
      <c r="BO293" s="806">
        <f>SUMPRODUCT(--(MOD(COLUMN($O293:$AL293),4)=MOD(COLUMN($O293)+1,4)),$O293:$AL293)*
$I293+SUMPRODUCT(--(MOD(COLUMN($AM293:$BJ293),4)=MOD(COLUMN($AM293)+1,4)),$AM293:$BJ293)*$I293</f>
        <v/>
      </c>
      <c r="BP293" s="807">
        <f>SUMPRODUCT(--(MOD(COLUMN($O293:$AL293),4)=MOD(COLUMN($O293)+2,4)),$O293:$AL293)
+SUMPRODUCT(--(MOD(COLUMN($AM293:$BJ293),4)=MOD(COLUMN($AM293)+2,4)),$AM293:$BJ293)</f>
        <v/>
      </c>
      <c r="BQ293" s="808">
        <f>SUMPRODUCT(--(MOD(COLUMN($O293:$AL293),4)=MOD(COLUMN($O293)+2,4)),$O293:$AL293)*
$I293+SUMPRODUCT(--(MOD(COLUMN($AM293:$BJ293),4)=MOD(COLUMN($AM293)+2,4)),$AM293:$BJ293)*$I293</f>
        <v/>
      </c>
      <c r="BR293" s="801" t="n"/>
      <c r="BS293" s="819" t="n"/>
      <c r="BT293" s="23" t="n"/>
      <c r="BU293" s="24" t="n"/>
      <c r="BV293" s="25" t="n"/>
      <c r="BW293" s="24" t="n"/>
      <c r="BX293" s="23" t="n"/>
      <c r="BY293" s="24" t="n"/>
      <c r="BZ293" s="25" t="n"/>
      <c r="CA293" s="24" t="n"/>
      <c r="CB293" s="23" t="n"/>
      <c r="CC293" s="24" t="n"/>
      <c r="CD293" s="25" t="n"/>
      <c r="CE293" s="24" t="n"/>
      <c r="CF293" s="23" t="n"/>
      <c r="CG293" s="24" t="n"/>
      <c r="CH293" s="25" t="n"/>
      <c r="CI293" s="24" t="n"/>
      <c r="CJ293" s="23" t="n"/>
      <c r="CK293" s="24" t="n"/>
      <c r="CL293" s="25" t="n"/>
      <c r="CM293" s="108" t="n"/>
      <c r="CN293" s="23" t="n"/>
      <c r="CO293" s="24" t="n"/>
      <c r="CP293" s="25" t="n"/>
      <c r="CQ293" s="24" t="n"/>
      <c r="CR293" s="23" t="n"/>
      <c r="CS293" s="24" t="n"/>
      <c r="CT293" s="25" t="n"/>
      <c r="CU293" s="24" t="n"/>
      <c r="CV293" s="23" t="n"/>
      <c r="CW293" s="24" t="n"/>
      <c r="CX293" s="25" t="n"/>
      <c r="CY293" s="24" t="n"/>
      <c r="CZ293" s="23" t="n"/>
      <c r="DA293" s="24" t="n"/>
      <c r="DB293" s="25" t="n"/>
      <c r="DC293" s="24" t="n"/>
      <c r="DD293" s="23" t="n"/>
      <c r="DE293" s="24" t="n"/>
      <c r="DF293" s="25" t="n"/>
      <c r="DG293" s="24" t="n"/>
      <c r="DH293" s="23" t="n"/>
      <c r="DI293" s="24" t="n"/>
      <c r="DJ293" s="25" t="n"/>
      <c r="DK293" s="24" t="n"/>
      <c r="DL293" s="23" t="n"/>
      <c r="DM293" s="24" t="n"/>
      <c r="DN293" s="25" t="n"/>
      <c r="DO293" s="24" t="n"/>
      <c r="DP293" s="340" t="n"/>
      <c r="DQ293" s="803">
        <f>SUMPRODUCT(--(MOD(COLUMN(BT293:CQ293),4)=MOD(COLUMN(BT293),4)),BT293:CQ293)+SUMPRODUCT(--(MOD(COLUMN(CR293:DO293),4)=MOD(COLUMN(CR293),4)),CR293:DO293)</f>
        <v/>
      </c>
      <c r="DR293" s="803">
        <f>SUMPRODUCT(--(MOD(COLUMN(BT293:CQ293),4)=MOD(COLUMN(BT293),4)),BT293:CQ293)*$I293+SUMPRODUCT(--(MOD(COLUMN(CR293:DO293),4)=MOD(COLUMN(CR293),4)),CR293:DO293)*$I293</f>
        <v/>
      </c>
      <c r="DS293" s="801" t="n"/>
      <c r="DT293" s="819" t="n"/>
      <c r="DU293" s="23" t="n"/>
      <c r="DV293" s="24" t="n"/>
      <c r="DW293" s="25" t="n"/>
      <c r="DX293" s="24" t="n"/>
      <c r="DY293" s="23" t="n"/>
      <c r="DZ293" s="24" t="n"/>
      <c r="EA293" s="25" t="n"/>
      <c r="EB293" s="24" t="n"/>
      <c r="EC293" s="23" t="n"/>
      <c r="ED293" s="24" t="n"/>
      <c r="EE293" s="25" t="n"/>
      <c r="EF293" s="24" t="n"/>
      <c r="EG293" s="23" t="n"/>
      <c r="EH293" s="24" t="n"/>
      <c r="EI293" s="25" t="n"/>
      <c r="EJ293" s="24" t="n"/>
      <c r="EK293" s="23" t="n"/>
      <c r="EL293" s="24" t="n"/>
      <c r="EM293" s="25" t="n"/>
      <c r="EN293" s="108" t="n"/>
      <c r="EO293" s="23" t="n"/>
      <c r="EP293" s="24" t="n"/>
      <c r="EQ293" s="25" t="n"/>
      <c r="ER293" s="24" t="n"/>
      <c r="ES293" s="23" t="n"/>
      <c r="ET293" s="24" t="n"/>
      <c r="EU293" s="25" t="n"/>
      <c r="EV293" s="24" t="n"/>
      <c r="EW293" s="23" t="n"/>
      <c r="EX293" s="24" t="n"/>
      <c r="EY293" s="25" t="n"/>
      <c r="EZ293" s="24" t="n"/>
      <c r="FA293" s="23" t="n"/>
      <c r="FB293" s="24" t="n"/>
      <c r="FC293" s="25" t="n"/>
      <c r="FD293" s="24" t="n"/>
      <c r="FE293" s="23" t="n"/>
      <c r="FF293" s="24" t="n"/>
      <c r="FG293" s="25" t="n"/>
      <c r="FH293" s="24" t="n"/>
      <c r="FI293" s="23" t="n"/>
      <c r="FJ293" s="24" t="n"/>
      <c r="FK293" s="25" t="n"/>
      <c r="FL293" s="24" t="n"/>
      <c r="FM293" s="23" t="n"/>
      <c r="FN293" s="24" t="n"/>
      <c r="FO293" s="25" t="n"/>
      <c r="FP293" s="24" t="n"/>
      <c r="FQ293" s="340" t="n"/>
      <c r="FR293" s="803">
        <f>SUMPRODUCT(--(MOD(COLUMN(DU293:ER293),4)=MOD(COLUMN(DU293),4)),DU293:ER293)+SUMPRODUCT(--(MOD(COLUMN(ES293:FP293),4)=MOD(COLUMN(ES293),4)),ES293:FP293)</f>
        <v/>
      </c>
      <c r="FS293" s="803">
        <f>SUMPRODUCT(--(MOD(COLUMN(DU293:ER293),4)=MOD(COLUMN(DU293),4)),DU293:ER293)*$I293+SUMPRODUCT(--(MOD(COLUMN(ES293:FP293),4)=MOD(COLUMN(ES293),4)),ES293:FP293)*$I293</f>
        <v/>
      </c>
      <c r="FT293" s="361" t="n"/>
    </row>
    <row r="294" outlineLevel="2">
      <c r="A294" s="58" t="inlineStr">
        <is>
          <t>АВТОВИК ООО / AVTOVIK OOO</t>
        </is>
      </c>
      <c r="B294" s="390" t="inlineStr">
        <is>
          <t>Предоплата 100%</t>
        </is>
      </c>
      <c r="C294" s="173" t="inlineStr">
        <is>
          <t>ВБК РУС</t>
        </is>
      </c>
      <c r="D294" s="595" t="inlineStr">
        <is>
          <t>Прасолов, Соловьёв</t>
        </is>
      </c>
      <c r="E294" s="412">
        <f>IF(ISBLANK(G294),"",IF($A$6:$A$330=$A294,COUNTIF($A$6:A294,$A294),""))</f>
        <v/>
      </c>
      <c r="F294" s="10" t="n">
        <v>1</v>
      </c>
      <c r="G294" s="131" t="n">
        <v>4801020640</v>
      </c>
      <c r="H294" s="54" t="inlineStr">
        <is>
          <t>Электропневматический блок клапанов TEBS_4801020640</t>
        </is>
      </c>
      <c r="I294" s="617">
        <f>J294/ЮАНЬ_2025_08_29</f>
        <v/>
      </c>
      <c r="J294" s="617">
        <f>74400/НДС_20</f>
        <v/>
      </c>
      <c r="K294" s="800" t="inlineStr">
        <is>
          <t>RUB</t>
        </is>
      </c>
      <c r="L294" s="643">
        <f>IF(K294="RUB",J294/ЮАНЬ,IF(K294="EUR",J294*ЕВРО/ЮАНЬ,""))</f>
        <v/>
      </c>
      <c r="M294" s="873" t="n"/>
      <c r="N294" s="871">
        <f>IF(BP294&gt;0,1,IF(BN294&gt;0,2,))</f>
        <v/>
      </c>
      <c r="O294" s="23" t="n"/>
      <c r="P294" s="24" t="n"/>
      <c r="Q294" s="25" t="n">
        <v>0</v>
      </c>
      <c r="R294" s="24" t="n"/>
      <c r="S294" s="23" t="n"/>
      <c r="T294" s="24" t="n"/>
      <c r="U294" s="25" t="n">
        <v>50</v>
      </c>
      <c r="V294" s="24" t="n"/>
      <c r="W294" s="23" t="n"/>
      <c r="X294" s="26" t="n"/>
      <c r="Y294" s="25" t="n">
        <v>20</v>
      </c>
      <c r="Z294" s="24" t="n"/>
      <c r="AA294" s="23" t="n"/>
      <c r="AB294" s="26" t="n"/>
      <c r="AC294" s="25" t="n">
        <v>0</v>
      </c>
      <c r="AD294" s="24" t="n"/>
      <c r="AE294" s="23" t="n"/>
      <c r="AF294" s="26" t="n"/>
      <c r="AG294" s="25" t="n">
        <v>0</v>
      </c>
      <c r="AH294" s="24" t="n"/>
      <c r="AI294" s="23" t="n"/>
      <c r="AJ294" s="24" t="n"/>
      <c r="AK294" s="25" t="n">
        <v>0</v>
      </c>
      <c r="AL294" s="24" t="n"/>
      <c r="AM294" s="23" t="n"/>
      <c r="AN294" s="24" t="n"/>
      <c r="AO294" s="25" t="n">
        <v>0</v>
      </c>
      <c r="AP294" s="24" t="n"/>
      <c r="AQ294" s="23" t="n"/>
      <c r="AR294" s="24" t="n"/>
      <c r="AS294" s="25" t="n">
        <v>0</v>
      </c>
      <c r="AT294" s="24" t="n"/>
      <c r="AU294" s="23" t="n"/>
      <c r="AV294" s="24" t="n"/>
      <c r="AW294" s="25" t="n">
        <v>0</v>
      </c>
      <c r="AX294" s="24" t="n"/>
      <c r="AY294" s="23" t="n"/>
      <c r="AZ294" s="24" t="n"/>
      <c r="BA294" s="25" t="n">
        <v>0</v>
      </c>
      <c r="BB294" s="24" t="n"/>
      <c r="BC294" s="23" t="n"/>
      <c r="BD294" s="24" t="n"/>
      <c r="BE294" s="25" t="n">
        <v>0</v>
      </c>
      <c r="BF294" s="24" t="n"/>
      <c r="BG294" s="23" t="n"/>
      <c r="BH294" s="24" t="n"/>
      <c r="BI294" s="25" t="n">
        <v>0</v>
      </c>
      <c r="BJ294" s="24" t="n"/>
      <c r="BK294" s="340" t="n"/>
      <c r="BL294" s="803">
        <f>SUMPRODUCT(--(MOD(COLUMN($O294:$AL294),4)=MOD(COLUMN($O294)+0,4)),$O294:$AL294)
+SUMPRODUCT(--(MOD(COLUMN($AM294:$BJ294),4)=MOD(COLUMN($AM294)+0,4)),$AM294:$BJ294)</f>
        <v/>
      </c>
      <c r="BM294" s="803">
        <f>SUMPRODUCT(--(MOD(COLUMN($O294:$AL294),4)=MOD(COLUMN($O294)+0,4)),$O294:$AL294)*
$I294+SUMPRODUCT(--(MOD(COLUMN($AM294:$BJ294),4)=MOD(COLUMN($AM294)+0,4)),$AM294:$BJ294)*$I294</f>
        <v/>
      </c>
      <c r="BN294" s="805">
        <f>SUMPRODUCT(--(MOD(COLUMN($O294:$AL294),4)=MOD(COLUMN($O294)+1,4)),$O294:$AL294)
+SUMPRODUCT(--(MOD(COLUMN($AM294:$BJ294),4)=MOD(COLUMN($AM294)+1,4)),$AM294:$BJ294)</f>
        <v/>
      </c>
      <c r="BO294" s="806">
        <f>SUMPRODUCT(--(MOD(COLUMN($O294:$AL294),4)=MOD(COLUMN($O294)+1,4)),$O294:$AL294)*
$I294+SUMPRODUCT(--(MOD(COLUMN($AM294:$BJ294),4)=MOD(COLUMN($AM294)+1,4)),$AM294:$BJ294)*$I294</f>
        <v/>
      </c>
      <c r="BP294" s="807">
        <f>SUMPRODUCT(--(MOD(COLUMN($O294:$AL294),4)=MOD(COLUMN($O294)+2,4)),$O294:$AL294)
+SUMPRODUCT(--(MOD(COLUMN($AM294:$BJ294),4)=MOD(COLUMN($AM294)+2,4)),$AM294:$BJ294)</f>
        <v/>
      </c>
      <c r="BQ294" s="808">
        <f>SUMPRODUCT(--(MOD(COLUMN($O294:$AL294),4)=MOD(COLUMN($O294)+2,4)),$O294:$AL294)*
$I294+SUMPRODUCT(--(MOD(COLUMN($AM294:$BJ294),4)=MOD(COLUMN($AM294)+2,4)),$AM294:$BJ294)*$I294</f>
        <v/>
      </c>
      <c r="BR294" s="801" t="n"/>
      <c r="BS294" s="819" t="n"/>
      <c r="BT294" s="23" t="n"/>
      <c r="BU294" s="24" t="n"/>
      <c r="BV294" s="25" t="n">
        <v>0</v>
      </c>
      <c r="BW294" s="24" t="n"/>
      <c r="BX294" s="23" t="n"/>
      <c r="BY294" s="24" t="n"/>
      <c r="BZ294" s="25" t="n">
        <v>0</v>
      </c>
      <c r="CA294" s="24" t="n"/>
      <c r="CB294" s="23" t="n"/>
      <c r="CC294" s="24" t="n"/>
      <c r="CD294" s="25" t="n">
        <v>0</v>
      </c>
      <c r="CE294" s="24" t="n"/>
      <c r="CF294" s="23" t="n"/>
      <c r="CG294" s="24" t="n"/>
      <c r="CH294" s="25" t="n">
        <v>0</v>
      </c>
      <c r="CI294" s="24" t="n"/>
      <c r="CJ294" s="23" t="n"/>
      <c r="CK294" s="24" t="n"/>
      <c r="CL294" s="25" t="n">
        <v>0</v>
      </c>
      <c r="CM294" s="24" t="n"/>
      <c r="CN294" s="23" t="n"/>
      <c r="CO294" s="24" t="n"/>
      <c r="CP294" s="25" t="n">
        <v>0</v>
      </c>
      <c r="CQ294" s="24" t="n"/>
      <c r="CR294" s="23" t="n"/>
      <c r="CS294" s="24" t="n"/>
      <c r="CT294" s="25" t="n">
        <v>0</v>
      </c>
      <c r="CU294" s="24" t="n"/>
      <c r="CV294" s="23" t="n"/>
      <c r="CW294" s="24" t="n"/>
      <c r="CX294" s="25" t="n">
        <v>0</v>
      </c>
      <c r="CY294" s="24" t="n"/>
      <c r="CZ294" s="23" t="n"/>
      <c r="DA294" s="24" t="n"/>
      <c r="DB294" s="25" t="n">
        <v>0</v>
      </c>
      <c r="DC294" s="24" t="n"/>
      <c r="DD294" s="23" t="n"/>
      <c r="DE294" s="24" t="n"/>
      <c r="DF294" s="25" t="n">
        <v>0</v>
      </c>
      <c r="DG294" s="24" t="n"/>
      <c r="DH294" s="23" t="n"/>
      <c r="DI294" s="24" t="n"/>
      <c r="DJ294" s="25" t="n">
        <v>0</v>
      </c>
      <c r="DK294" s="24" t="n"/>
      <c r="DL294" s="23" t="n"/>
      <c r="DM294" s="24" t="n"/>
      <c r="DN294" s="25" t="n">
        <v>0</v>
      </c>
      <c r="DO294" s="24" t="n"/>
      <c r="DP294" s="340" t="n"/>
      <c r="DQ294" s="803">
        <f>SUMPRODUCT(--(MOD(COLUMN(BT294:CQ294),4)=MOD(COLUMN(BT294),4)),BT294:CQ294)+SUMPRODUCT(--(MOD(COLUMN(CR294:DO294),4)=MOD(COLUMN(CR294),4)),CR294:DO294)</f>
        <v/>
      </c>
      <c r="DR294" s="803">
        <f>SUMPRODUCT(--(MOD(COLUMN(BT294:CQ294),4)=MOD(COLUMN(BT294),4)),BT294:CQ294)*$I294+SUMPRODUCT(--(MOD(COLUMN(CR294:DO294),4)=MOD(COLUMN(CR294),4)),CR294:DO294)*$I294</f>
        <v/>
      </c>
      <c r="DS294" s="801" t="n"/>
      <c r="DT294" s="819" t="n"/>
      <c r="DU294" s="23" t="n"/>
      <c r="DV294" s="24" t="n"/>
      <c r="DW294" s="25" t="n">
        <v>0</v>
      </c>
      <c r="DX294" s="24" t="n"/>
      <c r="DY294" s="23" t="n"/>
      <c r="DZ294" s="24" t="n"/>
      <c r="EA294" s="25" t="n">
        <v>0</v>
      </c>
      <c r="EB294" s="24" t="n"/>
      <c r="EC294" s="23" t="n"/>
      <c r="ED294" s="24" t="n"/>
      <c r="EE294" s="25" t="n">
        <v>0</v>
      </c>
      <c r="EF294" s="24" t="n"/>
      <c r="EG294" s="23" t="n"/>
      <c r="EH294" s="24" t="n"/>
      <c r="EI294" s="25" t="n">
        <v>0</v>
      </c>
      <c r="EJ294" s="24" t="n"/>
      <c r="EK294" s="23" t="n"/>
      <c r="EL294" s="24" t="n"/>
      <c r="EM294" s="25" t="n">
        <v>0</v>
      </c>
      <c r="EN294" s="24" t="n"/>
      <c r="EO294" s="23" t="n"/>
      <c r="EP294" s="24" t="n"/>
      <c r="EQ294" s="25" t="n">
        <v>0</v>
      </c>
      <c r="ER294" s="24" t="n"/>
      <c r="ES294" s="23" t="n"/>
      <c r="ET294" s="24" t="n"/>
      <c r="EU294" s="25" t="n">
        <v>0</v>
      </c>
      <c r="EV294" s="24" t="n"/>
      <c r="EW294" s="23" t="n"/>
      <c r="EX294" s="24" t="n"/>
      <c r="EY294" s="25" t="n">
        <v>0</v>
      </c>
      <c r="EZ294" s="24" t="n"/>
      <c r="FA294" s="23" t="n"/>
      <c r="FB294" s="24" t="n"/>
      <c r="FC294" s="25" t="n">
        <v>0</v>
      </c>
      <c r="FD294" s="24" t="n"/>
      <c r="FE294" s="23" t="n"/>
      <c r="FF294" s="24" t="n"/>
      <c r="FG294" s="25" t="n">
        <v>0</v>
      </c>
      <c r="FH294" s="24" t="n"/>
      <c r="FI294" s="23" t="n"/>
      <c r="FJ294" s="24" t="n"/>
      <c r="FK294" s="25" t="n">
        <v>0</v>
      </c>
      <c r="FL294" s="24" t="n"/>
      <c r="FM294" s="23" t="n"/>
      <c r="FN294" s="24" t="n"/>
      <c r="FO294" s="25" t="n">
        <v>0</v>
      </c>
      <c r="FP294" s="24" t="n"/>
      <c r="FQ294" s="340" t="n"/>
      <c r="FR294" s="803">
        <f>SUMPRODUCT(--(MOD(COLUMN(DU294:ER294),4)=MOD(COLUMN(DU294),4)),DU294:ER294)+SUMPRODUCT(--(MOD(COLUMN(ES294:FP294),4)=MOD(COLUMN(ES294),4)),ES294:FP294)</f>
        <v/>
      </c>
      <c r="FS294" s="803">
        <f>SUMPRODUCT(--(MOD(COLUMN(DU294:ER294),4)=MOD(COLUMN(DU294),4)),DU294:ER294)*$I294+SUMPRODUCT(--(MOD(COLUMN(ES294:FP294),4)=MOD(COLUMN(ES294),4)),ES294:FP294)*$I294</f>
        <v/>
      </c>
      <c r="FT294" s="361" t="n"/>
    </row>
    <row r="295" outlineLevel="2">
      <c r="A295" s="58" t="inlineStr">
        <is>
          <t>АВТОВИК ООО / AVTOVIK OOO</t>
        </is>
      </c>
      <c r="B295" s="387" t="inlineStr">
        <is>
          <t>Предоплата 100%</t>
        </is>
      </c>
      <c r="C295" s="173" t="inlineStr">
        <is>
          <t>ВБК РУС</t>
        </is>
      </c>
      <c r="D295" s="595" t="inlineStr">
        <is>
          <t>Прасолов, Соловьёв</t>
        </is>
      </c>
      <c r="E295" s="10">
        <f>IF(ISBLANK(G295),"",IF($A$6:$A$330=$A295,COUNTIF($A$6:A295,$A295),""))</f>
        <v/>
      </c>
      <c r="F295" s="10" t="n">
        <v>1</v>
      </c>
      <c r="G295" s="55" t="n">
        <v>4491731500</v>
      </c>
      <c r="H295" s="54" t="inlineStr">
        <is>
          <t>Кабель питания, 15 м</t>
        </is>
      </c>
      <c r="I295" s="617">
        <f>IF(K295="RUB",J295/ЮАНЬ_2025_08_29,IF(K295="EUR",J295*ЕВРО_2025_08_29/ЮАНЬ_2025_08_29,""))</f>
        <v/>
      </c>
      <c r="J295" s="617">
        <f>13163.4/НДС_20</f>
        <v/>
      </c>
      <c r="K295" s="872" t="inlineStr">
        <is>
          <t>RUB</t>
        </is>
      </c>
      <c r="L295" s="617">
        <f>IF(K295="RUB",J295/ЮАНЬ,IF(K295="EUR",J295*ЕВРО/ЮАНЬ,""))</f>
        <v/>
      </c>
      <c r="M295" s="873" t="n"/>
      <c r="N295" s="871">
        <f>IF(BP295&gt;0,1,IF(BN295&gt;0,2,))</f>
        <v/>
      </c>
      <c r="O295" s="23" t="n">
        <v>30</v>
      </c>
      <c r="P295" s="24" t="n"/>
      <c r="Q295" s="25" t="n">
        <v>0</v>
      </c>
      <c r="R295" s="406" t="n"/>
      <c r="S295" s="23" t="n">
        <v>30</v>
      </c>
      <c r="T295" s="24" t="n"/>
      <c r="U295" s="25" t="n">
        <v>20</v>
      </c>
      <c r="V295" s="406" t="n"/>
      <c r="W295" s="23" t="n">
        <v>30</v>
      </c>
      <c r="X295" s="26" t="n"/>
      <c r="Y295" s="25" t="n">
        <v>20</v>
      </c>
      <c r="Z295" s="406" t="n"/>
      <c r="AA295" s="23" t="n">
        <v>30</v>
      </c>
      <c r="AB295" s="26" t="n"/>
      <c r="AC295" s="25" t="n">
        <v>0</v>
      </c>
      <c r="AD295" s="24" t="n"/>
      <c r="AE295" s="23" t="n">
        <v>30</v>
      </c>
      <c r="AF295" s="26" t="n"/>
      <c r="AG295" s="25" t="n">
        <v>0</v>
      </c>
      <c r="AH295" s="24" t="n"/>
      <c r="AI295" s="23" t="n">
        <v>30</v>
      </c>
      <c r="AJ295" s="24" t="n"/>
      <c r="AK295" s="25" t="n">
        <v>0</v>
      </c>
      <c r="AL295" s="24" t="n"/>
      <c r="AM295" s="23" t="n">
        <v>30</v>
      </c>
      <c r="AN295" s="24">
        <f>N(30)</f>
        <v/>
      </c>
      <c r="AO295" s="25" t="n">
        <v>0</v>
      </c>
      <c r="AP295" s="24" t="n"/>
      <c r="AQ295" s="23" t="n">
        <v>30</v>
      </c>
      <c r="AR295" s="24">
        <f>N(30)</f>
        <v/>
      </c>
      <c r="AS295" s="25" t="n">
        <v>0</v>
      </c>
      <c r="AT295" s="24" t="n"/>
      <c r="AU295" s="23" t="n">
        <v>30</v>
      </c>
      <c r="AV295" s="24">
        <f>N(30)</f>
        <v/>
      </c>
      <c r="AW295" s="25" t="n">
        <v>0</v>
      </c>
      <c r="AX295" s="24" t="n"/>
      <c r="AY295" s="23" t="n">
        <v>30</v>
      </c>
      <c r="AZ295" s="24">
        <f>N(30)</f>
        <v/>
      </c>
      <c r="BA295" s="25" t="n">
        <v>0</v>
      </c>
      <c r="BB295" s="24" t="n"/>
      <c r="BC295" s="23" t="n">
        <v>30</v>
      </c>
      <c r="BD295" s="24">
        <f>N(30)</f>
        <v/>
      </c>
      <c r="BE295" s="25" t="n">
        <v>0</v>
      </c>
      <c r="BF295" s="24" t="n"/>
      <c r="BG295" s="23" t="n">
        <v>30</v>
      </c>
      <c r="BH295" s="24">
        <f>N(30)</f>
        <v/>
      </c>
      <c r="BI295" s="25" t="n">
        <v>0</v>
      </c>
      <c r="BJ295" s="24" t="n"/>
      <c r="BK295" s="340" t="n"/>
      <c r="BL295" s="803">
        <f>SUMPRODUCT(--(MOD(COLUMN($O295:$AL295),4)=MOD(COLUMN($O295)+0,4)),$O295:$AL295)
+SUMPRODUCT(--(MOD(COLUMN($AM295:$BJ295),4)=MOD(COLUMN($AM295)+0,4)),$AM295:$BJ295)</f>
        <v/>
      </c>
      <c r="BM295" s="803">
        <f>SUMPRODUCT(--(MOD(COLUMN($O295:$AL295),4)=MOD(COLUMN($O295)+0,4)),$O295:$AL295)*
$I295+SUMPRODUCT(--(MOD(COLUMN($AM295:$BJ295),4)=MOD(COLUMN($AM295)+0,4)),$AM295:$BJ295)*$I295</f>
        <v/>
      </c>
      <c r="BN295" s="805">
        <f>SUMPRODUCT(--(MOD(COLUMN($O295:$AL295),4)=MOD(COLUMN($O295)+1,4)),$O295:$AL295)
+SUMPRODUCT(--(MOD(COLUMN($AM295:$BJ295),4)=MOD(COLUMN($AM295)+1,4)),$AM295:$BJ295)</f>
        <v/>
      </c>
      <c r="BO295" s="806">
        <f>SUMPRODUCT(--(MOD(COLUMN($O295:$AL295),4)=MOD(COLUMN($O295)+1,4)),$O295:$AL295)*
$I295+SUMPRODUCT(--(MOD(COLUMN($AM295:$BJ295),4)=MOD(COLUMN($AM295)+1,4)),$AM295:$BJ295)*$I295</f>
        <v/>
      </c>
      <c r="BP295" s="807">
        <f>SUMPRODUCT(--(MOD(COLUMN($O295:$AL295),4)=MOD(COLUMN($O295)+2,4)),$O295:$AL295)
+SUMPRODUCT(--(MOD(COLUMN($AM295:$BJ295),4)=MOD(COLUMN($AM295)+2,4)),$AM295:$BJ295)</f>
        <v/>
      </c>
      <c r="BQ295" s="808">
        <f>SUMPRODUCT(--(MOD(COLUMN($O295:$AL295),4)=MOD(COLUMN($O295)+2,4)),$O295:$AL295)*
$I295+SUMPRODUCT(--(MOD(COLUMN($AM295:$BJ295),4)=MOD(COLUMN($AM295)+2,4)),$AM295:$BJ295)*$I295</f>
        <v/>
      </c>
      <c r="BR295" s="801" t="n"/>
      <c r="BS295" s="819" t="n"/>
      <c r="BT295" s="23" t="n"/>
      <c r="BU295" s="24" t="n"/>
      <c r="BV295" s="25" t="n">
        <v>0</v>
      </c>
      <c r="BW295" s="24" t="n"/>
      <c r="BX295" s="23" t="n"/>
      <c r="BY295" s="24" t="n"/>
      <c r="BZ295" s="25" t="n">
        <v>0</v>
      </c>
      <c r="CA295" s="24" t="n"/>
      <c r="CB295" s="23" t="n"/>
      <c r="CC295" s="24" t="n"/>
      <c r="CD295" s="25" t="n">
        <v>0</v>
      </c>
      <c r="CE295" s="24" t="n"/>
      <c r="CF295" s="23" t="n"/>
      <c r="CG295" s="24" t="n"/>
      <c r="CH295" s="25" t="n">
        <v>0</v>
      </c>
      <c r="CI295" s="24" t="n"/>
      <c r="CJ295" s="23" t="n"/>
      <c r="CK295" s="24" t="n"/>
      <c r="CL295" s="25" t="n">
        <v>0</v>
      </c>
      <c r="CM295" s="24" t="n"/>
      <c r="CN295" s="23" t="n"/>
      <c r="CO295" s="24" t="n"/>
      <c r="CP295" s="25" t="n">
        <v>0</v>
      </c>
      <c r="CQ295" s="24" t="n"/>
      <c r="CR295" s="23" t="n"/>
      <c r="CS295" s="24" t="n"/>
      <c r="CT295" s="25" t="n">
        <v>0</v>
      </c>
      <c r="CU295" s="24" t="n"/>
      <c r="CV295" s="23" t="n"/>
      <c r="CW295" s="24" t="n"/>
      <c r="CX295" s="25" t="n">
        <v>0</v>
      </c>
      <c r="CY295" s="24" t="n"/>
      <c r="CZ295" s="23" t="n"/>
      <c r="DA295" s="24" t="n"/>
      <c r="DB295" s="25" t="n">
        <v>0</v>
      </c>
      <c r="DC295" s="24" t="n"/>
      <c r="DD295" s="23" t="n"/>
      <c r="DE295" s="24" t="n"/>
      <c r="DF295" s="25" t="n">
        <v>0</v>
      </c>
      <c r="DG295" s="24" t="n"/>
      <c r="DH295" s="23" t="n"/>
      <c r="DI295" s="24" t="n"/>
      <c r="DJ295" s="25" t="n">
        <v>0</v>
      </c>
      <c r="DK295" s="24" t="n"/>
      <c r="DL295" s="23" t="n"/>
      <c r="DM295" s="24" t="n"/>
      <c r="DN295" s="25" t="n">
        <v>0</v>
      </c>
      <c r="DO295" s="24" t="n"/>
      <c r="DP295" s="340" t="n"/>
      <c r="DQ295" s="803">
        <f>SUMPRODUCT(--(MOD(COLUMN(BT295:CQ295),4)=MOD(COLUMN(BT295),4)),BT295:CQ295)+SUMPRODUCT(--(MOD(COLUMN(CR295:DO295),4)=MOD(COLUMN(CR295),4)),CR295:DO295)</f>
        <v/>
      </c>
      <c r="DR295" s="803">
        <f>SUMPRODUCT(--(MOD(COLUMN(BT295:CQ295),4)=MOD(COLUMN(BT295),4)),BT295:CQ295)*$I295+SUMPRODUCT(--(MOD(COLUMN(CR295:DO295),4)=MOD(COLUMN(CR295),4)),CR295:DO295)*$I295</f>
        <v/>
      </c>
      <c r="DS295" s="801" t="n"/>
      <c r="DT295" s="819" t="n"/>
      <c r="DU295" s="23" t="n"/>
      <c r="DV295" s="24" t="n"/>
      <c r="DW295" s="25" t="n">
        <v>0</v>
      </c>
      <c r="DX295" s="24" t="n"/>
      <c r="DY295" s="23" t="n"/>
      <c r="DZ295" s="24" t="n"/>
      <c r="EA295" s="25" t="n">
        <v>0</v>
      </c>
      <c r="EB295" s="24" t="n"/>
      <c r="EC295" s="23" t="n"/>
      <c r="ED295" s="24" t="n"/>
      <c r="EE295" s="25" t="n">
        <v>0</v>
      </c>
      <c r="EF295" s="24" t="n"/>
      <c r="EG295" s="23" t="n"/>
      <c r="EH295" s="24" t="n"/>
      <c r="EI295" s="25" t="n">
        <v>0</v>
      </c>
      <c r="EJ295" s="24" t="n"/>
      <c r="EK295" s="23" t="n"/>
      <c r="EL295" s="24" t="n"/>
      <c r="EM295" s="25" t="n">
        <v>0</v>
      </c>
      <c r="EN295" s="24" t="n"/>
      <c r="EO295" s="23" t="n"/>
      <c r="EP295" s="24" t="n"/>
      <c r="EQ295" s="25" t="n">
        <v>0</v>
      </c>
      <c r="ER295" s="24" t="n"/>
      <c r="ES295" s="23" t="n"/>
      <c r="ET295" s="24" t="n"/>
      <c r="EU295" s="25" t="n">
        <v>0</v>
      </c>
      <c r="EV295" s="24" t="n"/>
      <c r="EW295" s="23" t="n"/>
      <c r="EX295" s="24" t="n"/>
      <c r="EY295" s="25" t="n">
        <v>0</v>
      </c>
      <c r="EZ295" s="24" t="n"/>
      <c r="FA295" s="23" t="n"/>
      <c r="FB295" s="24" t="n"/>
      <c r="FC295" s="25" t="n">
        <v>0</v>
      </c>
      <c r="FD295" s="24" t="n"/>
      <c r="FE295" s="23" t="n"/>
      <c r="FF295" s="24" t="n"/>
      <c r="FG295" s="25" t="n">
        <v>0</v>
      </c>
      <c r="FH295" s="24" t="n"/>
      <c r="FI295" s="23" t="n"/>
      <c r="FJ295" s="24" t="n"/>
      <c r="FK295" s="25" t="n">
        <v>0</v>
      </c>
      <c r="FL295" s="24" t="n"/>
      <c r="FM295" s="23" t="n"/>
      <c r="FN295" s="24" t="n"/>
      <c r="FO295" s="25" t="n">
        <v>0</v>
      </c>
      <c r="FP295" s="24" t="n"/>
      <c r="FQ295" s="340" t="n"/>
      <c r="FR295" s="803">
        <f>SUMPRODUCT(--(MOD(COLUMN(DU295:ER295),4)=MOD(COLUMN(DU295),4)),DU295:ER295)+SUMPRODUCT(--(MOD(COLUMN(ES295:FP295),4)=MOD(COLUMN(ES295),4)),ES295:FP295)</f>
        <v/>
      </c>
      <c r="FS295" s="803">
        <f>SUMPRODUCT(--(MOD(COLUMN(DU295:ER295),4)=MOD(COLUMN(DU295),4)),DU295:ER295)*$I295+SUMPRODUCT(--(MOD(COLUMN(ES295:FP295),4)=MOD(COLUMN(ES295),4)),ES295:FP295)*$I295</f>
        <v/>
      </c>
      <c r="FT295" s="361" t="n"/>
    </row>
    <row r="296" outlineLevel="2">
      <c r="A296" s="421" t="inlineStr">
        <is>
          <t>АВТОВИК ООО / AVTOVIK OOO</t>
        </is>
      </c>
      <c r="B296" s="444" t="inlineStr">
        <is>
          <t>Предоплата 100%</t>
        </is>
      </c>
      <c r="C296" s="592" t="inlineStr">
        <is>
          <t>ВБК РУС</t>
        </is>
      </c>
      <c r="D296" s="586" t="inlineStr">
        <is>
          <t>Прасолов, Соловьёв</t>
        </is>
      </c>
      <c r="E296" s="414">
        <f>IF(ISBLANK(G296),"",IF($A$6:$A$330=$A296,COUNTIF($A$6:A296,$A296),""))</f>
        <v/>
      </c>
      <c r="F296" s="414" t="n">
        <v>1</v>
      </c>
      <c r="G296" s="416" t="n">
        <v>4491731200</v>
      </c>
      <c r="H296" s="415" t="inlineStr">
        <is>
          <t>Кабель питания, 12 м</t>
        </is>
      </c>
      <c r="I296" s="623">
        <f>IF(K296="RUB",J296/ЮАНЬ_2025_08_29,IF(K296="EUR",J296*ЕВРО_2025_08_29/ЮАНЬ_2025_08_29,""))</f>
        <v/>
      </c>
      <c r="J296" s="623">
        <f>11270.97/НДС</f>
        <v/>
      </c>
      <c r="K296" s="877" t="inlineStr">
        <is>
          <t>RUB</t>
        </is>
      </c>
      <c r="L296" s="623">
        <f>IF(K296="RUB",J296/ЮАНЬ,IF(K296="EUR",J296*ЕВРО/ЮАНЬ,""))</f>
        <v/>
      </c>
      <c r="M296" s="871" t="n"/>
      <c r="N296" s="871">
        <f>IF(BP296&gt;0,1,IF(BN296&gt;0,2,))</f>
        <v/>
      </c>
      <c r="O296" s="322" t="n"/>
      <c r="P296" s="408" t="n"/>
      <c r="Q296" s="307" t="n">
        <v>0</v>
      </c>
      <c r="R296" s="464" t="n"/>
      <c r="S296" s="322" t="n"/>
      <c r="T296" s="408">
        <f>15</f>
        <v/>
      </c>
      <c r="U296" s="307" t="n">
        <v>15</v>
      </c>
      <c r="V296" s="464" t="n"/>
      <c r="W296" s="322" t="n"/>
      <c r="X296" s="386" t="n"/>
      <c r="Y296" s="307" t="n">
        <v>0</v>
      </c>
      <c r="Z296" s="464" t="n"/>
      <c r="AA296" s="322" t="n"/>
      <c r="AB296" s="386" t="n"/>
      <c r="AC296" s="307" t="n">
        <v>0</v>
      </c>
      <c r="AD296" s="408" t="n"/>
      <c r="AE296" s="322" t="n"/>
      <c r="AF296" s="386" t="n"/>
      <c r="AG296" s="307" t="n">
        <v>0</v>
      </c>
      <c r="AH296" s="24" t="n"/>
      <c r="AI296" s="322" t="n"/>
      <c r="AJ296" s="408" t="n"/>
      <c r="AK296" s="307" t="n">
        <v>0</v>
      </c>
      <c r="AL296" s="408" t="n"/>
      <c r="AM296" s="322" t="n"/>
      <c r="AN296" s="408" t="n"/>
      <c r="AO296" s="307" t="n">
        <v>0</v>
      </c>
      <c r="AP296" s="408" t="n"/>
      <c r="AQ296" s="322" t="n"/>
      <c r="AR296" s="408" t="n"/>
      <c r="AS296" s="307" t="n">
        <v>0</v>
      </c>
      <c r="AT296" s="408" t="n"/>
      <c r="AU296" s="322" t="n"/>
      <c r="AV296" s="408" t="n"/>
      <c r="AW296" s="307" t="n">
        <v>0</v>
      </c>
      <c r="AX296" s="408" t="n"/>
      <c r="AY296" s="322" t="n"/>
      <c r="AZ296" s="408" t="n"/>
      <c r="BA296" s="307" t="n">
        <v>0</v>
      </c>
      <c r="BB296" s="408" t="n"/>
      <c r="BC296" s="322" t="n"/>
      <c r="BD296" s="408" t="n"/>
      <c r="BE296" s="307" t="n">
        <v>0</v>
      </c>
      <c r="BF296" s="408" t="n"/>
      <c r="BG296" s="322" t="n"/>
      <c r="BH296" s="408" t="n"/>
      <c r="BI296" s="307" t="n">
        <v>0</v>
      </c>
      <c r="BJ296" s="408" t="n"/>
      <c r="BK296" s="340" t="n"/>
      <c r="BL296" s="820">
        <f>SUMPRODUCT(--(MOD(COLUMN($O296:$AL296),4)=MOD(COLUMN($O296)+0,4)),$O296:$AL296)
+SUMPRODUCT(--(MOD(COLUMN($AM296:$BJ296),4)=MOD(COLUMN($AM296)+0,4)),$AM296:$BJ296)</f>
        <v/>
      </c>
      <c r="BM296" s="820">
        <f>SUMPRODUCT(--(MOD(COLUMN($O296:$AL296),4)=MOD(COLUMN($O296)+0,4)),$O296:$AL296)*
$I296+SUMPRODUCT(--(MOD(COLUMN($AM296:$BJ296),4)=MOD(COLUMN($AM296)+0,4)),$AM296:$BJ296)*$I296</f>
        <v/>
      </c>
      <c r="BN296" s="822">
        <f>SUMPRODUCT(--(MOD(COLUMN($O296:$AL296),4)=MOD(COLUMN($O296)+1,4)),$O296:$AL296)
+SUMPRODUCT(--(MOD(COLUMN($AM296:$BJ296),4)=MOD(COLUMN($AM296)+1,4)),$AM296:$BJ296)</f>
        <v/>
      </c>
      <c r="BO296" s="823">
        <f>SUMPRODUCT(--(MOD(COLUMN($O296:$AL296),4)=MOD(COLUMN($O296)+1,4)),$O296:$AL296)*
$I296+SUMPRODUCT(--(MOD(COLUMN($AM296:$BJ296),4)=MOD(COLUMN($AM296)+1,4)),$AM296:$BJ296)*$I296</f>
        <v/>
      </c>
      <c r="BP296" s="824">
        <f>SUMPRODUCT(--(MOD(COLUMN($O296:$AL296),4)=MOD(COLUMN($O296)+2,4)),$O296:$AL296)
+SUMPRODUCT(--(MOD(COLUMN($AM296:$BJ296),4)=MOD(COLUMN($AM296)+2,4)),$AM296:$BJ296)</f>
        <v/>
      </c>
      <c r="BQ296" s="825">
        <f>SUMPRODUCT(--(MOD(COLUMN($O296:$AL296),4)=MOD(COLUMN($O296)+2,4)),$O296:$AL296)*
$I296+SUMPRODUCT(--(MOD(COLUMN($AM296:$BJ296),4)=MOD(COLUMN($AM296)+2,4)),$AM296:$BJ296)*$I296</f>
        <v/>
      </c>
      <c r="BR296" s="819" t="n"/>
      <c r="BS296" s="819" t="n"/>
      <c r="BT296" s="322" t="n"/>
      <c r="BU296" s="408" t="n"/>
      <c r="BV296" s="307" t="n"/>
      <c r="BW296" s="408" t="n"/>
      <c r="BX296" s="322" t="n"/>
      <c r="BY296" s="408" t="n"/>
      <c r="BZ296" s="307" t="n"/>
      <c r="CA296" s="408" t="n"/>
      <c r="CB296" s="322" t="n"/>
      <c r="CC296" s="408" t="n"/>
      <c r="CD296" s="307" t="n"/>
      <c r="CE296" s="408" t="n"/>
      <c r="CF296" s="322" t="n"/>
      <c r="CG296" s="408" t="n"/>
      <c r="CH296" s="307" t="n"/>
      <c r="CI296" s="408" t="n"/>
      <c r="CJ296" s="322" t="n"/>
      <c r="CK296" s="408" t="n"/>
      <c r="CL296" s="307" t="n"/>
      <c r="CM296" s="408" t="n"/>
      <c r="CN296" s="322" t="n"/>
      <c r="CO296" s="408" t="n"/>
      <c r="CP296" s="307" t="n"/>
      <c r="CQ296" s="408" t="n"/>
      <c r="CR296" s="322" t="n"/>
      <c r="CS296" s="408" t="n"/>
      <c r="CT296" s="307" t="n"/>
      <c r="CU296" s="408" t="n"/>
      <c r="CV296" s="322" t="n"/>
      <c r="CW296" s="408" t="n"/>
      <c r="CX296" s="307" t="n"/>
      <c r="CY296" s="408" t="n"/>
      <c r="CZ296" s="322" t="n"/>
      <c r="DA296" s="408" t="n"/>
      <c r="DB296" s="307" t="n"/>
      <c r="DC296" s="408" t="n"/>
      <c r="DD296" s="322" t="n"/>
      <c r="DE296" s="408" t="n"/>
      <c r="DF296" s="307" t="n"/>
      <c r="DG296" s="408" t="n"/>
      <c r="DH296" s="322" t="n"/>
      <c r="DI296" s="408" t="n"/>
      <c r="DJ296" s="307" t="n"/>
      <c r="DK296" s="408" t="n"/>
      <c r="DL296" s="322" t="n"/>
      <c r="DM296" s="408" t="n"/>
      <c r="DN296" s="307" t="n"/>
      <c r="DO296" s="408" t="n"/>
      <c r="DP296" s="340" t="n"/>
      <c r="DQ296" s="820" t="n"/>
      <c r="DR296" s="820">
        <f>SUMPRODUCT(--(MOD(COLUMN(BT296:CQ296),4)=MOD(COLUMN(BT296),4)),BT296:CQ296)*$I296+SUMPRODUCT(--(MOD(COLUMN(CR296:DO296),4)=MOD(COLUMN(CR296),4)),CR296:DO296)*$I296</f>
        <v/>
      </c>
      <c r="DS296" s="819" t="n"/>
      <c r="DT296" s="819" t="n"/>
      <c r="DU296" s="322" t="n"/>
      <c r="DV296" s="408" t="n"/>
      <c r="DW296" s="307" t="n"/>
      <c r="DX296" s="408" t="n"/>
      <c r="DY296" s="322" t="n"/>
      <c r="DZ296" s="408" t="n"/>
      <c r="EA296" s="307" t="n"/>
      <c r="EB296" s="408" t="n"/>
      <c r="EC296" s="322" t="n"/>
      <c r="ED296" s="408" t="n"/>
      <c r="EE296" s="307" t="n"/>
      <c r="EF296" s="408" t="n"/>
      <c r="EG296" s="322" t="n"/>
      <c r="EH296" s="408" t="n"/>
      <c r="EI296" s="307" t="n"/>
      <c r="EJ296" s="408" t="n"/>
      <c r="EK296" s="322" t="n"/>
      <c r="EL296" s="408" t="n"/>
      <c r="EM296" s="307" t="n"/>
      <c r="EN296" s="408" t="n"/>
      <c r="EO296" s="322" t="n"/>
      <c r="EP296" s="408" t="n"/>
      <c r="EQ296" s="307" t="n"/>
      <c r="ER296" s="408" t="n"/>
      <c r="ES296" s="322" t="n"/>
      <c r="ET296" s="408" t="n"/>
      <c r="EU296" s="307" t="n"/>
      <c r="EV296" s="408" t="n"/>
      <c r="EW296" s="322" t="n"/>
      <c r="EX296" s="408" t="n"/>
      <c r="EY296" s="307" t="n"/>
      <c r="EZ296" s="408" t="n"/>
      <c r="FA296" s="322" t="n"/>
      <c r="FB296" s="408" t="n"/>
      <c r="FC296" s="307" t="n"/>
      <c r="FD296" s="408" t="n"/>
      <c r="FE296" s="322" t="n"/>
      <c r="FF296" s="408" t="n"/>
      <c r="FG296" s="307" t="n"/>
      <c r="FH296" s="408" t="n"/>
      <c r="FI296" s="322" t="n"/>
      <c r="FJ296" s="408" t="n"/>
      <c r="FK296" s="307" t="n"/>
      <c r="FL296" s="408" t="n"/>
      <c r="FM296" s="322" t="n"/>
      <c r="FN296" s="408" t="n"/>
      <c r="FO296" s="307" t="n"/>
      <c r="FP296" s="408" t="n"/>
      <c r="FQ296" s="340" t="n"/>
      <c r="FR296" s="820" t="n"/>
      <c r="FS296" s="820">
        <f>SUMPRODUCT(--(MOD(COLUMN(DU296:ER296),4)=MOD(COLUMN(DU296),4)),DU296:ER296)*$I296+SUMPRODUCT(--(MOD(COLUMN(ES296:FP296),4)=MOD(COLUMN(ES296),4)),ES296:FP296)*$I296</f>
        <v/>
      </c>
      <c r="FT296" s="361" t="n"/>
    </row>
    <row r="297" outlineLevel="2">
      <c r="A297" s="58" t="inlineStr">
        <is>
          <t>АВТОВИК ООО / AVTOVIK OOO</t>
        </is>
      </c>
      <c r="B297" s="387" t="inlineStr">
        <is>
          <t>Предоплата 100%</t>
        </is>
      </c>
      <c r="C297" s="173" t="inlineStr">
        <is>
          <t>ВБК РУС</t>
        </is>
      </c>
      <c r="D297" s="595" t="inlineStr">
        <is>
          <t>Прасолов, Соловьёв</t>
        </is>
      </c>
      <c r="E297" s="412">
        <f>IF(ISBLANK(G297),"",IF($A$6:$A$330=$A297,COUNTIF($A$6:A297,$A297),""))</f>
        <v/>
      </c>
      <c r="F297" s="10" t="n">
        <v>2</v>
      </c>
      <c r="G297" s="55" t="n">
        <v>9710020400</v>
      </c>
      <c r="H297" s="54" t="inlineStr">
        <is>
          <t>Воздухораспределитель (без кл. растормаживания)</t>
        </is>
      </c>
      <c r="I297" s="617">
        <f>IF(K297="RUB",J297/ЮАНЬ_2025_08_29,IF(K297="EUR",J297*ЕВРО_2025_08_29/ЮАНЬ_2025_08_29,""))</f>
        <v/>
      </c>
      <c r="J297" s="617">
        <f>6502.6/НДС</f>
        <v/>
      </c>
      <c r="K297" s="800" t="inlineStr">
        <is>
          <t>RUB</t>
        </is>
      </c>
      <c r="L297" s="643">
        <f>IF(K297="RUB",J297/ЮАНЬ,IF(K297="EUR",J297*ЕВРО/ЮАНЬ,""))</f>
        <v/>
      </c>
      <c r="M297" s="873" t="n"/>
      <c r="N297" s="871">
        <f>IF(BP297&gt;0,1,IF(BN297&gt;0,2,))</f>
        <v/>
      </c>
      <c r="O297" s="23" t="n"/>
      <c r="P297" s="24" t="n"/>
      <c r="Q297" s="25" t="n"/>
      <c r="R297" s="24" t="n"/>
      <c r="S297" s="23" t="n">
        <v>40</v>
      </c>
      <c r="T297" s="24" t="n"/>
      <c r="U297" s="25" t="n">
        <v>0</v>
      </c>
      <c r="V297" s="24" t="n"/>
      <c r="W297" s="23" t="n"/>
      <c r="X297" s="26">
        <f>20</f>
        <v/>
      </c>
      <c r="Y297" s="25" t="n">
        <v>20</v>
      </c>
      <c r="Z297" s="674" t="n">
        <v>20</v>
      </c>
      <c r="AA297" s="23" t="n">
        <v>40</v>
      </c>
      <c r="AB297" s="26">
        <f>40</f>
        <v/>
      </c>
      <c r="AC297" s="579" t="n">
        <v>40</v>
      </c>
      <c r="AD297" s="674" t="n">
        <v>40</v>
      </c>
      <c r="AE297" s="23" t="n"/>
      <c r="AF297" s="26" t="n"/>
      <c r="AG297" s="25" t="n">
        <v>0</v>
      </c>
      <c r="AH297" s="24" t="n"/>
      <c r="AI297" s="23" t="n">
        <v>40</v>
      </c>
      <c r="AJ297" s="24">
        <f>50+30+20</f>
        <v/>
      </c>
      <c r="AK297" s="25" t="n">
        <v>0</v>
      </c>
      <c r="AL297" s="674" t="n">
        <v>50</v>
      </c>
      <c r="AM297" s="23" t="n"/>
      <c r="AN297" s="24">
        <f>N(30)</f>
        <v/>
      </c>
      <c r="AO297" s="25" t="n">
        <v>0</v>
      </c>
      <c r="AP297" s="24" t="n"/>
      <c r="AQ297" s="23" t="n">
        <v>40</v>
      </c>
      <c r="AR297" s="24" t="n">
        <v>40</v>
      </c>
      <c r="AS297" s="25" t="n">
        <v>0</v>
      </c>
      <c r="AT297" s="24" t="n"/>
      <c r="AU297" s="23" t="n"/>
      <c r="AV297" s="24" t="n"/>
      <c r="AW297" s="25" t="n"/>
      <c r="AX297" s="24" t="n"/>
      <c r="AY297" s="23" t="n">
        <v>40</v>
      </c>
      <c r="AZ297" s="24" t="n">
        <v>40</v>
      </c>
      <c r="BA297" s="25" t="n">
        <v>0</v>
      </c>
      <c r="BB297" s="24" t="n"/>
      <c r="BC297" s="23" t="n"/>
      <c r="BD297" s="24" t="n"/>
      <c r="BE297" s="25" t="n"/>
      <c r="BF297" s="24" t="n"/>
      <c r="BG297" s="23" t="n">
        <v>40</v>
      </c>
      <c r="BH297" s="24" t="n">
        <v>40</v>
      </c>
      <c r="BI297" s="25" t="n">
        <v>0</v>
      </c>
      <c r="BJ297" s="24" t="n"/>
      <c r="BK297" s="340" t="n"/>
      <c r="BL297" s="803">
        <f>SUMPRODUCT(--(MOD(COLUMN($O297:$AL297),4)=MOD(COLUMN($O297)+0,4)),$O297:$AL297)
+SUMPRODUCT(--(MOD(COLUMN($AM297:$BJ297),4)=MOD(COLUMN($AM297)+0,4)),$AM297:$BJ297)</f>
        <v/>
      </c>
      <c r="BM297" s="803">
        <f>SUMPRODUCT(--(MOD(COLUMN($O297:$AL297),4)=MOD(COLUMN($O297)+0,4)),$O297:$AL297)*
$I297+SUMPRODUCT(--(MOD(COLUMN($AM297:$BJ297),4)=MOD(COLUMN($AM297)+0,4)),$AM297:$BJ297)*$I297</f>
        <v/>
      </c>
      <c r="BN297" s="805">
        <f>SUMPRODUCT(--(MOD(COLUMN($O297:$AL297),4)=MOD(COLUMN($O297)+1,4)),$O297:$AL297)
+SUMPRODUCT(--(MOD(COLUMN($AM297:$BJ297),4)=MOD(COLUMN($AM297)+1,4)),$AM297:$BJ297)</f>
        <v/>
      </c>
      <c r="BO297" s="806">
        <f>SUMPRODUCT(--(MOD(COLUMN($O297:$AL297),4)=MOD(COLUMN($O297)+1,4)),$O297:$AL297)*
$I297+SUMPRODUCT(--(MOD(COLUMN($AM297:$BJ297),4)=MOD(COLUMN($AM297)+1,4)),$AM297:$BJ297)*$I297</f>
        <v/>
      </c>
      <c r="BP297" s="807">
        <f>SUMPRODUCT(--(MOD(COLUMN($O297:$AL297),4)=MOD(COLUMN($O297)+2,4)),$O297:$AL297)
+SUMPRODUCT(--(MOD(COLUMN($AM297:$BJ297),4)=MOD(COLUMN($AM297)+2,4)),$AM297:$BJ297)</f>
        <v/>
      </c>
      <c r="BQ297" s="808">
        <f>SUMPRODUCT(--(MOD(COLUMN($O297:$AL297),4)=MOD(COLUMN($O297)+2,4)),$O297:$AL297)*
$I297+SUMPRODUCT(--(MOD(COLUMN($AM297:$BJ297),4)=MOD(COLUMN($AM297)+2,4)),$AM297:$BJ297)*$I297</f>
        <v/>
      </c>
      <c r="BR297" s="801" t="n"/>
      <c r="BS297" s="819" t="n"/>
      <c r="BT297" s="23" t="n"/>
      <c r="BU297" s="24" t="n"/>
      <c r="BV297" s="25" t="n"/>
      <c r="BW297" s="24" t="n"/>
      <c r="BX297" s="23" t="n"/>
      <c r="BY297" s="24" t="n"/>
      <c r="BZ297" s="25" t="n"/>
      <c r="CA297" s="24" t="n"/>
      <c r="CB297" s="23" t="n"/>
      <c r="CC297" s="24" t="n"/>
      <c r="CD297" s="25" t="n"/>
      <c r="CE297" s="24" t="n"/>
      <c r="CF297" s="23" t="n"/>
      <c r="CG297" s="24" t="n"/>
      <c r="CH297" s="25" t="n"/>
      <c r="CI297" s="24" t="n"/>
      <c r="CJ297" s="23" t="n"/>
      <c r="CK297" s="24" t="n"/>
      <c r="CL297" s="25" t="n"/>
      <c r="CM297" s="24" t="n"/>
      <c r="CN297" s="23" t="n"/>
      <c r="CO297" s="24" t="n"/>
      <c r="CP297" s="25" t="n"/>
      <c r="CQ297" s="24" t="n"/>
      <c r="CR297" s="23" t="n"/>
      <c r="CS297" s="24" t="n"/>
      <c r="CT297" s="25" t="n"/>
      <c r="CU297" s="24" t="n"/>
      <c r="CV297" s="23" t="n"/>
      <c r="CW297" s="24" t="n"/>
      <c r="CX297" s="25" t="n"/>
      <c r="CY297" s="24" t="n"/>
      <c r="CZ297" s="23" t="n"/>
      <c r="DA297" s="24" t="n"/>
      <c r="DB297" s="25" t="n"/>
      <c r="DC297" s="24" t="n"/>
      <c r="DD297" s="23" t="n"/>
      <c r="DE297" s="24" t="n"/>
      <c r="DF297" s="25" t="n"/>
      <c r="DG297" s="24" t="n"/>
      <c r="DH297" s="23" t="n"/>
      <c r="DI297" s="24" t="n"/>
      <c r="DJ297" s="25" t="n"/>
      <c r="DK297" s="24" t="n"/>
      <c r="DL297" s="23" t="n"/>
      <c r="DM297" s="24" t="n"/>
      <c r="DN297" s="25" t="n"/>
      <c r="DO297" s="24" t="n"/>
      <c r="DP297" s="340" t="n"/>
      <c r="DQ297" s="803">
        <f>SUMPRODUCT(--(MOD(COLUMN(BT297:CQ297),4)=MOD(COLUMN(BT297),4)),BT297:CQ297)+SUMPRODUCT(--(MOD(COLUMN(CR297:DO297),4)=MOD(COLUMN(CR297),4)),CR297:DO297)</f>
        <v/>
      </c>
      <c r="DR297" s="803">
        <f>SUMPRODUCT(--(MOD(COLUMN(BT297:CQ297),4)=MOD(COLUMN(BT297),4)),BT297:CQ297)*$I297+SUMPRODUCT(--(MOD(COLUMN(CR297:DO297),4)=MOD(COLUMN(CR297),4)),CR297:DO297)*$I297</f>
        <v/>
      </c>
      <c r="DS297" s="801" t="n"/>
      <c r="DT297" s="819" t="n"/>
      <c r="DU297" s="23" t="n"/>
      <c r="DV297" s="24" t="n"/>
      <c r="DW297" s="25" t="n"/>
      <c r="DX297" s="24" t="n"/>
      <c r="DY297" s="23" t="n"/>
      <c r="DZ297" s="24" t="n"/>
      <c r="EA297" s="25" t="n"/>
      <c r="EB297" s="24" t="n"/>
      <c r="EC297" s="23" t="n"/>
      <c r="ED297" s="24" t="n"/>
      <c r="EE297" s="25" t="n"/>
      <c r="EF297" s="24" t="n"/>
      <c r="EG297" s="23" t="n"/>
      <c r="EH297" s="24" t="n"/>
      <c r="EI297" s="25" t="n"/>
      <c r="EJ297" s="24" t="n"/>
      <c r="EK297" s="23" t="n"/>
      <c r="EL297" s="24" t="n"/>
      <c r="EM297" s="25" t="n"/>
      <c r="EN297" s="24" t="n"/>
      <c r="EO297" s="23" t="n"/>
      <c r="EP297" s="24" t="n"/>
      <c r="EQ297" s="25" t="n"/>
      <c r="ER297" s="24" t="n"/>
      <c r="ES297" s="23" t="n"/>
      <c r="ET297" s="24" t="n"/>
      <c r="EU297" s="25" t="n"/>
      <c r="EV297" s="24" t="n"/>
      <c r="EW297" s="23" t="n"/>
      <c r="EX297" s="24" t="n"/>
      <c r="EY297" s="25" t="n"/>
      <c r="EZ297" s="24" t="n"/>
      <c r="FA297" s="23" t="n"/>
      <c r="FB297" s="24" t="n"/>
      <c r="FC297" s="25" t="n"/>
      <c r="FD297" s="24" t="n"/>
      <c r="FE297" s="23" t="n"/>
      <c r="FF297" s="24" t="n"/>
      <c r="FG297" s="25" t="n"/>
      <c r="FH297" s="24" t="n"/>
      <c r="FI297" s="23" t="n"/>
      <c r="FJ297" s="24" t="n"/>
      <c r="FK297" s="25" t="n"/>
      <c r="FL297" s="24" t="n"/>
      <c r="FM297" s="23" t="n"/>
      <c r="FN297" s="24" t="n"/>
      <c r="FO297" s="25" t="n"/>
      <c r="FP297" s="24" t="n"/>
      <c r="FQ297" s="340" t="n"/>
      <c r="FR297" s="803">
        <f>SUMPRODUCT(--(MOD(COLUMN(DU297:ER297),4)=MOD(COLUMN(DU297),4)),DU297:ER297)+SUMPRODUCT(--(MOD(COLUMN(ES297:FP297),4)=MOD(COLUMN(ES297),4)),ES297:FP297)</f>
        <v/>
      </c>
      <c r="FS297" s="803">
        <f>SUMPRODUCT(--(MOD(COLUMN(DU297:ER297),4)=MOD(COLUMN(DU297),4)),DU297:ER297)*$I297+SUMPRODUCT(--(MOD(COLUMN(ES297:FP297),4)=MOD(COLUMN(ES297),4)),ES297:FP297)*$I297</f>
        <v/>
      </c>
      <c r="FT297" s="361" t="n"/>
    </row>
    <row r="298" outlineLevel="2" customFormat="1" s="574">
      <c r="A298" s="595" t="inlineStr">
        <is>
          <t>АВТОВИК ООО / AVTOVIK OOO</t>
        </is>
      </c>
      <c r="B298" s="565" t="inlineStr">
        <is>
          <t>Предоплата 100%</t>
        </is>
      </c>
      <c r="C298" s="173" t="inlineStr">
        <is>
          <t>ВБК РУС</t>
        </is>
      </c>
      <c r="D298" s="595" t="inlineStr">
        <is>
          <t>Прасолов, Соловьёв</t>
        </is>
      </c>
      <c r="E298" s="584">
        <f>IF(ISBLANK(G298),"",IF($A$6:$A$330=$A298,COUNTIF($A$6:A298,$A298),""))</f>
        <v/>
      </c>
      <c r="F298" s="567" t="inlineStr">
        <is>
          <t>S</t>
        </is>
      </c>
      <c r="G298" s="128" t="n">
        <v>4441000380</v>
      </c>
      <c r="H298" s="611" t="inlineStr">
        <is>
          <t>Комплект базовый "TEBS 2S/2M (15 м)"</t>
        </is>
      </c>
      <c r="I298" s="618">
        <f>7780/НДС</f>
        <v/>
      </c>
      <c r="J298" s="618" t="n"/>
      <c r="K298" s="874" t="n"/>
      <c r="L298" s="618">
        <f>IF(K298="RUB",J298/ЮАНЬ,IF(K298="EUR",J298*ЕВРО/ЮАНЬ,""))</f>
        <v/>
      </c>
      <c r="M298" s="875" t="n"/>
      <c r="N298" s="813">
        <f>IF(BP298&gt;0,1,IF(BN298&gt;0,2,))</f>
        <v/>
      </c>
      <c r="O298" s="569" t="n">
        <v>50</v>
      </c>
      <c r="P298" s="570" t="n"/>
      <c r="Q298" s="571" t="n">
        <v>0</v>
      </c>
      <c r="R298" s="570" t="n"/>
      <c r="S298" s="569" t="n">
        <v>50</v>
      </c>
      <c r="T298" s="570">
        <f>20</f>
        <v/>
      </c>
      <c r="U298" s="571" t="n">
        <v>20</v>
      </c>
      <c r="V298" s="570" t="n"/>
      <c r="W298" s="569" t="n">
        <v>50</v>
      </c>
      <c r="X298" s="717" t="n"/>
      <c r="Y298" s="571" t="n">
        <v>0</v>
      </c>
      <c r="Z298" s="570" t="n"/>
      <c r="AA298" s="569" t="n">
        <v>50</v>
      </c>
      <c r="AB298" s="717">
        <f>30</f>
        <v/>
      </c>
      <c r="AC298" s="571" t="n">
        <v>30</v>
      </c>
      <c r="AD298" s="570" t="n"/>
      <c r="AE298" s="569" t="n">
        <v>50</v>
      </c>
      <c r="AF298" s="717" t="n"/>
      <c r="AG298" s="571" t="n">
        <v>0</v>
      </c>
      <c r="AH298" s="24" t="n"/>
      <c r="AI298" s="569" t="n">
        <v>60</v>
      </c>
      <c r="AJ298" s="570">
        <f>30+N(20)</f>
        <v/>
      </c>
      <c r="AK298" s="571" t="n">
        <v>0</v>
      </c>
      <c r="AL298" s="570" t="n"/>
      <c r="AM298" s="569" t="n">
        <v>60</v>
      </c>
      <c r="AN298" s="570" t="n">
        <v>30</v>
      </c>
      <c r="AO298" s="571" t="n">
        <v>0</v>
      </c>
      <c r="AP298" s="570" t="n"/>
      <c r="AQ298" s="569" t="n">
        <v>60</v>
      </c>
      <c r="AR298" s="570" t="n">
        <v>60</v>
      </c>
      <c r="AS298" s="571" t="n">
        <v>0</v>
      </c>
      <c r="AT298" s="570" t="n"/>
      <c r="AU298" s="569" t="n">
        <v>80</v>
      </c>
      <c r="AV298" s="570" t="n">
        <v>80</v>
      </c>
      <c r="AW298" s="571" t="n">
        <v>0</v>
      </c>
      <c r="AX298" s="570" t="n"/>
      <c r="AY298" s="569" t="n">
        <v>80</v>
      </c>
      <c r="AZ298" s="570" t="n">
        <v>80</v>
      </c>
      <c r="BA298" s="571" t="n">
        <v>0</v>
      </c>
      <c r="BB298" s="570" t="n"/>
      <c r="BC298" s="569" t="n">
        <v>100</v>
      </c>
      <c r="BD298" s="570" t="n">
        <v>100</v>
      </c>
      <c r="BE298" s="571" t="n">
        <v>0</v>
      </c>
      <c r="BF298" s="570" t="n"/>
      <c r="BG298" s="569" t="n">
        <v>100</v>
      </c>
      <c r="BH298" s="570" t="n">
        <v>100</v>
      </c>
      <c r="BI298" s="571" t="n">
        <v>0</v>
      </c>
      <c r="BJ298" s="570" t="n"/>
      <c r="BK298" s="572" t="n"/>
      <c r="BL298" s="803">
        <f>SUMPRODUCT(--(MOD(COLUMN($O298:$AL298),4)=MOD(COLUMN($O298)+0,4)),$O298:$AL298)
+SUMPRODUCT(--(MOD(COLUMN($AM298:$BJ298),4)=MOD(COLUMN($AM298)+0,4)),$AM298:$BJ298)</f>
        <v/>
      </c>
      <c r="BM298" s="803">
        <f>SUMPRODUCT(--(MOD(COLUMN($O298:$AL298),4)=MOD(COLUMN($O298)+0,4)),$O298:$AL298)*
$I298+SUMPRODUCT(--(MOD(COLUMN($AM298:$BJ298),4)=MOD(COLUMN($AM298)+0,4)),$AM298:$BJ298)*$I298</f>
        <v/>
      </c>
      <c r="BN298" s="805">
        <f>SUMPRODUCT(--(MOD(COLUMN($O298:$AL298),4)=MOD(COLUMN($O298)+1,4)),$O298:$AL298)
+SUMPRODUCT(--(MOD(COLUMN($AM298:$BJ298),4)=MOD(COLUMN($AM298)+1,4)),$AM298:$BJ298)</f>
        <v/>
      </c>
      <c r="BO298" s="806">
        <f>SUMPRODUCT(--(MOD(COLUMN($O298:$AL298),4)=MOD(COLUMN($O298)+1,4)),$O298:$AL298)*
$I298+SUMPRODUCT(--(MOD(COLUMN($AM298:$BJ298),4)=MOD(COLUMN($AM298)+1,4)),$AM298:$BJ298)*$I298</f>
        <v/>
      </c>
      <c r="BP298" s="807">
        <f>SUMPRODUCT(--(MOD(COLUMN($O298:$AL298),4)=MOD(COLUMN($O298)+2,4)),$O298:$AL298)
+SUMPRODUCT(--(MOD(COLUMN($AM298:$BJ298),4)=MOD(COLUMN($AM298)+2,4)),$AM298:$BJ298)</f>
        <v/>
      </c>
      <c r="BQ298" s="808">
        <f>SUMPRODUCT(--(MOD(COLUMN($O298:$AL298),4)=MOD(COLUMN($O298)+2,4)),$O298:$AL298)*
$I298+SUMPRODUCT(--(MOD(COLUMN($AM298:$BJ298),4)=MOD(COLUMN($AM298)+2,4)),$AM298:$BJ298)*$I298</f>
        <v/>
      </c>
      <c r="BR298" s="801" t="n"/>
      <c r="BS298" s="819" t="n"/>
      <c r="BT298" s="569" t="n">
        <v>70</v>
      </c>
      <c r="BU298" s="570" t="n"/>
      <c r="BV298" s="571" t="n">
        <v>0</v>
      </c>
      <c r="BW298" s="570" t="n"/>
      <c r="BX298" s="569" t="n">
        <v>70</v>
      </c>
      <c r="BY298" s="570" t="n"/>
      <c r="BZ298" s="571" t="n">
        <v>0</v>
      </c>
      <c r="CA298" s="570" t="n"/>
      <c r="CB298" s="569" t="n">
        <v>70</v>
      </c>
      <c r="CC298" s="570" t="n"/>
      <c r="CD298" s="571" t="n">
        <v>0</v>
      </c>
      <c r="CE298" s="570" t="n"/>
      <c r="CF298" s="569" t="n">
        <v>70</v>
      </c>
      <c r="CG298" s="570" t="n"/>
      <c r="CH298" s="571" t="n">
        <v>0</v>
      </c>
      <c r="CI298" s="570" t="n"/>
      <c r="CJ298" s="569" t="n">
        <v>70</v>
      </c>
      <c r="CK298" s="570" t="n"/>
      <c r="CL298" s="571" t="n">
        <v>0</v>
      </c>
      <c r="CM298" s="570" t="n"/>
      <c r="CN298" s="569" t="n">
        <v>100</v>
      </c>
      <c r="CO298" s="570" t="n"/>
      <c r="CP298" s="571" t="n">
        <v>0</v>
      </c>
      <c r="CQ298" s="570" t="n"/>
      <c r="CR298" s="569" t="n">
        <v>100</v>
      </c>
      <c r="CS298" s="570" t="n"/>
      <c r="CT298" s="571" t="n">
        <v>0</v>
      </c>
      <c r="CU298" s="570" t="n"/>
      <c r="CV298" s="569" t="n">
        <v>100</v>
      </c>
      <c r="CW298" s="570" t="n"/>
      <c r="CX298" s="571" t="n">
        <v>0</v>
      </c>
      <c r="CY298" s="570" t="n"/>
      <c r="CZ298" s="569" t="n">
        <v>100</v>
      </c>
      <c r="DA298" s="570" t="n"/>
      <c r="DB298" s="571" t="n">
        <v>0</v>
      </c>
      <c r="DC298" s="570" t="n"/>
      <c r="DD298" s="569" t="n">
        <v>100</v>
      </c>
      <c r="DE298" s="570" t="n"/>
      <c r="DF298" s="571" t="n">
        <v>0</v>
      </c>
      <c r="DG298" s="570" t="n"/>
      <c r="DH298" s="569" t="n">
        <v>120</v>
      </c>
      <c r="DI298" s="570" t="n"/>
      <c r="DJ298" s="571" t="n">
        <v>0</v>
      </c>
      <c r="DK298" s="570" t="n"/>
      <c r="DL298" s="569" t="n">
        <v>120</v>
      </c>
      <c r="DM298" s="570" t="n"/>
      <c r="DN298" s="571" t="n">
        <v>0</v>
      </c>
      <c r="DO298" s="570" t="n"/>
      <c r="DP298" s="572" t="n"/>
      <c r="DQ298" s="803">
        <f>SUMPRODUCT(--(MOD(COLUMN(BT298:CQ298),4)=MOD(COLUMN(BT298),4)),BT298:CQ298)+SUMPRODUCT(--(MOD(COLUMN(CR298:DO298),4)=MOD(COLUMN(CR298),4)),CR298:DO298)</f>
        <v/>
      </c>
      <c r="DR298" s="803">
        <f>SUMPRODUCT(--(MOD(COLUMN(BT298:CQ298),4)=MOD(COLUMN(BT298),4)),BT298:CQ298)*$I298+SUMPRODUCT(--(MOD(COLUMN(CR298:DO298),4)=MOD(COLUMN(CR298),4)),CR298:DO298)*$I298</f>
        <v/>
      </c>
      <c r="DS298" s="801" t="n"/>
      <c r="DT298" s="819" t="n"/>
      <c r="DU298" s="569" t="n">
        <v>120</v>
      </c>
      <c r="DV298" s="570" t="n"/>
      <c r="DW298" s="571" t="n">
        <v>0</v>
      </c>
      <c r="DX298" s="570" t="n"/>
      <c r="DY298" s="569" t="n">
        <v>120</v>
      </c>
      <c r="DZ298" s="570" t="n"/>
      <c r="EA298" s="571" t="n">
        <v>0</v>
      </c>
      <c r="EB298" s="570" t="n"/>
      <c r="EC298" s="569" t="n">
        <v>120</v>
      </c>
      <c r="ED298" s="570" t="n"/>
      <c r="EE298" s="571" t="n">
        <v>0</v>
      </c>
      <c r="EF298" s="570" t="n"/>
      <c r="EG298" s="569" t="n">
        <v>120</v>
      </c>
      <c r="EH298" s="570" t="n"/>
      <c r="EI298" s="571" t="n">
        <v>0</v>
      </c>
      <c r="EJ298" s="570" t="n"/>
      <c r="EK298" s="569" t="n">
        <v>120</v>
      </c>
      <c r="EL298" s="570" t="n"/>
      <c r="EM298" s="571" t="n">
        <v>0</v>
      </c>
      <c r="EN298" s="570" t="n"/>
      <c r="EO298" s="569" t="n">
        <v>150</v>
      </c>
      <c r="EP298" s="570" t="n"/>
      <c r="EQ298" s="571" t="n">
        <v>0</v>
      </c>
      <c r="ER298" s="570" t="n"/>
      <c r="ES298" s="569" t="n">
        <v>150</v>
      </c>
      <c r="ET298" s="570" t="n"/>
      <c r="EU298" s="571" t="n">
        <v>0</v>
      </c>
      <c r="EV298" s="570" t="n"/>
      <c r="EW298" s="569" t="n">
        <v>150</v>
      </c>
      <c r="EX298" s="570" t="n"/>
      <c r="EY298" s="571" t="n">
        <v>0</v>
      </c>
      <c r="EZ298" s="570" t="n"/>
      <c r="FA298" s="569" t="n">
        <v>150</v>
      </c>
      <c r="FB298" s="570" t="n"/>
      <c r="FC298" s="571" t="n">
        <v>0</v>
      </c>
      <c r="FD298" s="570" t="n"/>
      <c r="FE298" s="569" t="n">
        <v>150</v>
      </c>
      <c r="FF298" s="570" t="n"/>
      <c r="FG298" s="571" t="n">
        <v>0</v>
      </c>
      <c r="FH298" s="570" t="n"/>
      <c r="FI298" s="569" t="n">
        <v>180</v>
      </c>
      <c r="FJ298" s="570" t="n"/>
      <c r="FK298" s="571" t="n">
        <v>0</v>
      </c>
      <c r="FL298" s="570" t="n"/>
      <c r="FM298" s="569" t="n">
        <v>180</v>
      </c>
      <c r="FN298" s="570" t="n"/>
      <c r="FO298" s="571" t="n">
        <v>0</v>
      </c>
      <c r="FP298" s="570" t="n"/>
      <c r="FQ298" s="572" t="n"/>
      <c r="FR298" s="803">
        <f>SUMPRODUCT(--(MOD(COLUMN(DU298:ER298),4)=MOD(COLUMN(DU298),4)),DU298:ER298)+SUMPRODUCT(--(MOD(COLUMN(ES298:FP298),4)=MOD(COLUMN(ES298),4)),ES298:FP298)</f>
        <v/>
      </c>
      <c r="FS298" s="803">
        <f>SUMPRODUCT(--(MOD(COLUMN(DU298:ER298),4)=MOD(COLUMN(DU298),4)),DU298:ER298)*$I298+SUMPRODUCT(--(MOD(COLUMN(ES298:FP298),4)=MOD(COLUMN(ES298),4)),ES298:FP298)*$I298</f>
        <v/>
      </c>
      <c r="FT298" s="573" t="n"/>
    </row>
    <row r="299" outlineLevel="2" customFormat="1" s="574">
      <c r="A299" s="595" t="inlineStr">
        <is>
          <t>АВТОВИК ООО / AVTOVIK OOO</t>
        </is>
      </c>
      <c r="B299" s="565" t="inlineStr">
        <is>
          <t>Предоплата 100%</t>
        </is>
      </c>
      <c r="C299" s="173" t="inlineStr">
        <is>
          <t>ВБК РУС</t>
        </is>
      </c>
      <c r="D299" s="595" t="inlineStr">
        <is>
          <t>Прасолов, Соловьёв</t>
        </is>
      </c>
      <c r="E299" s="584">
        <f>IF(ISBLANK(G299),"",IF($A$6:$A$330=$A299,COUNTIF($A$6:A299,$A299),""))</f>
        <v/>
      </c>
      <c r="F299" s="567" t="inlineStr">
        <is>
          <t>S</t>
        </is>
      </c>
      <c r="G299" s="128" t="n">
        <v>4441000260</v>
      </c>
      <c r="H299" s="612" t="inlineStr">
        <is>
          <t>Комплект базовый "TEBS 2S/2M (12 м)"</t>
        </is>
      </c>
      <c r="I299" s="618">
        <f>7528/НДС</f>
        <v/>
      </c>
      <c r="J299" s="618" t="n"/>
      <c r="K299" s="874" t="n"/>
      <c r="L299" s="618">
        <f>IF(K299="RUB",J299/ЮАНЬ,IF(K299="EUR",J299*ЕВРО/ЮАНЬ,""))</f>
        <v/>
      </c>
      <c r="M299" s="875" t="n"/>
      <c r="N299" s="813">
        <f>IF(BP299&gt;0,1,IF(BN299&gt;0,2,))</f>
        <v/>
      </c>
      <c r="O299" s="569" t="n">
        <v>20</v>
      </c>
      <c r="P299" s="570" t="n"/>
      <c r="Q299" s="571" t="n">
        <v>0</v>
      </c>
      <c r="R299" s="570" t="n"/>
      <c r="S299" s="569" t="n">
        <v>20</v>
      </c>
      <c r="T299" s="570">
        <f>30</f>
        <v/>
      </c>
      <c r="U299" s="571" t="n">
        <v>30</v>
      </c>
      <c r="V299" s="570" t="n"/>
      <c r="W299" s="569" t="n">
        <v>20</v>
      </c>
      <c r="X299" s="717" t="n"/>
      <c r="Y299" s="571" t="n">
        <v>0</v>
      </c>
      <c r="Z299" s="570" t="n"/>
      <c r="AA299" s="569" t="n">
        <v>20</v>
      </c>
      <c r="AB299" s="717">
        <f>30</f>
        <v/>
      </c>
      <c r="AC299" s="571" t="n">
        <v>30</v>
      </c>
      <c r="AD299" s="570" t="n"/>
      <c r="AE299" s="569" t="n">
        <v>20</v>
      </c>
      <c r="AF299" s="717" t="n"/>
      <c r="AG299" s="571" t="n">
        <v>0</v>
      </c>
      <c r="AH299" s="24" t="n"/>
      <c r="AI299" s="569" t="n">
        <v>20</v>
      </c>
      <c r="AJ299" s="570">
        <f>30+N(20)</f>
        <v/>
      </c>
      <c r="AK299" s="571" t="n">
        <v>0</v>
      </c>
      <c r="AL299" s="570" t="n"/>
      <c r="AM299" s="569" t="n">
        <v>20</v>
      </c>
      <c r="AN299" s="570" t="n">
        <v>20</v>
      </c>
      <c r="AO299" s="571" t="n">
        <v>0</v>
      </c>
      <c r="AP299" s="570" t="n"/>
      <c r="AQ299" s="569" t="n">
        <v>20</v>
      </c>
      <c r="AR299" s="570" t="n">
        <v>20</v>
      </c>
      <c r="AS299" s="571" t="n">
        <v>0</v>
      </c>
      <c r="AT299" s="570" t="n"/>
      <c r="AU299" s="569" t="n">
        <v>20</v>
      </c>
      <c r="AV299" s="570" t="n">
        <v>20</v>
      </c>
      <c r="AW299" s="571" t="n">
        <v>0</v>
      </c>
      <c r="AX299" s="570" t="n"/>
      <c r="AY299" s="569" t="n">
        <v>20</v>
      </c>
      <c r="AZ299" s="570" t="n">
        <v>20</v>
      </c>
      <c r="BA299" s="571" t="n">
        <v>0</v>
      </c>
      <c r="BB299" s="570" t="n"/>
      <c r="BC299" s="569" t="n">
        <v>20</v>
      </c>
      <c r="BD299" s="570" t="n">
        <v>20</v>
      </c>
      <c r="BE299" s="571" t="n">
        <v>0</v>
      </c>
      <c r="BF299" s="570" t="n"/>
      <c r="BG299" s="569" t="n">
        <v>20</v>
      </c>
      <c r="BH299" s="570" t="n">
        <v>20</v>
      </c>
      <c r="BI299" s="571" t="n">
        <v>0</v>
      </c>
      <c r="BJ299" s="570" t="n"/>
      <c r="BK299" s="572" t="n"/>
      <c r="BL299" s="803">
        <f>SUMPRODUCT(--(MOD(COLUMN($O299:$AL299),4)=MOD(COLUMN($O299)+0,4)),$O299:$AL299)
+SUMPRODUCT(--(MOD(COLUMN($AM299:$BJ299),4)=MOD(COLUMN($AM299)+0,4)),$AM299:$BJ299)</f>
        <v/>
      </c>
      <c r="BM299" s="803">
        <f>SUMPRODUCT(--(MOD(COLUMN($O299:$AL299),4)=MOD(COLUMN($O299)+0,4)),$O299:$AL299)*
$I299+SUMPRODUCT(--(MOD(COLUMN($AM299:$BJ299),4)=MOD(COLUMN($AM299)+0,4)),$AM299:$BJ299)*$I299</f>
        <v/>
      </c>
      <c r="BN299" s="805">
        <f>SUMPRODUCT(--(MOD(COLUMN($O299:$AL299),4)=MOD(COLUMN($O299)+1,4)),$O299:$AL299)
+SUMPRODUCT(--(MOD(COLUMN($AM299:$BJ299),4)=MOD(COLUMN($AM299)+1,4)),$AM299:$BJ299)</f>
        <v/>
      </c>
      <c r="BO299" s="806">
        <f>SUMPRODUCT(--(MOD(COLUMN($O299:$AL299),4)=MOD(COLUMN($O299)+1,4)),$O299:$AL299)*
$I299+SUMPRODUCT(--(MOD(COLUMN($AM299:$BJ299),4)=MOD(COLUMN($AM299)+1,4)),$AM299:$BJ299)*$I299</f>
        <v/>
      </c>
      <c r="BP299" s="807">
        <f>SUMPRODUCT(--(MOD(COLUMN($O299:$AL299),4)=MOD(COLUMN($O299)+2,4)),$O299:$AL299)
+SUMPRODUCT(--(MOD(COLUMN($AM299:$BJ299),4)=MOD(COLUMN($AM299)+2,4)),$AM299:$BJ299)</f>
        <v/>
      </c>
      <c r="BQ299" s="808">
        <f>SUMPRODUCT(--(MOD(COLUMN($O299:$AL299),4)=MOD(COLUMN($O299)+2,4)),$O299:$AL299)*
$I299+SUMPRODUCT(--(MOD(COLUMN($AM299:$BJ299),4)=MOD(COLUMN($AM299)+2,4)),$AM299:$BJ299)*$I299</f>
        <v/>
      </c>
      <c r="BR299" s="801" t="n"/>
      <c r="BS299" s="819" t="n"/>
      <c r="BT299" s="569" t="n"/>
      <c r="BU299" s="570" t="n"/>
      <c r="BV299" s="571" t="n"/>
      <c r="BW299" s="570" t="n"/>
      <c r="BX299" s="569" t="n"/>
      <c r="BY299" s="570" t="n"/>
      <c r="BZ299" s="571" t="n"/>
      <c r="CA299" s="570" t="n"/>
      <c r="CB299" s="569" t="n"/>
      <c r="CC299" s="570" t="n"/>
      <c r="CD299" s="571" t="n"/>
      <c r="CE299" s="570" t="n"/>
      <c r="CF299" s="569" t="n"/>
      <c r="CG299" s="570" t="n"/>
      <c r="CH299" s="571" t="n"/>
      <c r="CI299" s="570" t="n"/>
      <c r="CJ299" s="569" t="n"/>
      <c r="CK299" s="570" t="n"/>
      <c r="CL299" s="571" t="n"/>
      <c r="CM299" s="570" t="n"/>
      <c r="CN299" s="569" t="n"/>
      <c r="CO299" s="570" t="n"/>
      <c r="CP299" s="571" t="n"/>
      <c r="CQ299" s="570" t="n"/>
      <c r="CR299" s="569" t="n"/>
      <c r="CS299" s="570" t="n"/>
      <c r="CT299" s="571" t="n"/>
      <c r="CU299" s="570" t="n"/>
      <c r="CV299" s="569" t="n"/>
      <c r="CW299" s="570" t="n"/>
      <c r="CX299" s="571" t="n"/>
      <c r="CY299" s="570" t="n"/>
      <c r="CZ299" s="569" t="n"/>
      <c r="DA299" s="570" t="n"/>
      <c r="DB299" s="571" t="n"/>
      <c r="DC299" s="570" t="n"/>
      <c r="DD299" s="569" t="n"/>
      <c r="DE299" s="570" t="n"/>
      <c r="DF299" s="571" t="n"/>
      <c r="DG299" s="570" t="n"/>
      <c r="DH299" s="569" t="n"/>
      <c r="DI299" s="570" t="n"/>
      <c r="DJ299" s="571" t="n"/>
      <c r="DK299" s="570" t="n"/>
      <c r="DL299" s="569" t="n"/>
      <c r="DM299" s="570" t="n"/>
      <c r="DN299" s="571" t="n"/>
      <c r="DO299" s="570" t="n"/>
      <c r="DP299" s="572" t="n"/>
      <c r="DQ299" s="803">
        <f>SUMPRODUCT(--(MOD(COLUMN(BT299:CQ299),4)=MOD(COLUMN(BT299),4)),BT299:CQ299)+SUMPRODUCT(--(MOD(COLUMN(CR299:DO299),4)=MOD(COLUMN(CR299),4)),CR299:DO299)</f>
        <v/>
      </c>
      <c r="DR299" s="803">
        <f>SUMPRODUCT(--(MOD(COLUMN(BT299:CQ299),4)=MOD(COLUMN(BT299),4)),BT299:CQ299)*$I299+SUMPRODUCT(--(MOD(COLUMN(CR299:DO299),4)=MOD(COLUMN(CR299),4)),CR299:DO299)*$I299</f>
        <v/>
      </c>
      <c r="DS299" s="801" t="n"/>
      <c r="DT299" s="819" t="n"/>
      <c r="DU299" s="569" t="n"/>
      <c r="DV299" s="570" t="n"/>
      <c r="DW299" s="571" t="n"/>
      <c r="DX299" s="570" t="n"/>
      <c r="DY299" s="569" t="n"/>
      <c r="DZ299" s="570" t="n"/>
      <c r="EA299" s="571" t="n"/>
      <c r="EB299" s="570" t="n"/>
      <c r="EC299" s="569" t="n"/>
      <c r="ED299" s="570" t="n"/>
      <c r="EE299" s="571" t="n"/>
      <c r="EF299" s="570" t="n"/>
      <c r="EG299" s="569" t="n"/>
      <c r="EH299" s="570" t="n"/>
      <c r="EI299" s="571" t="n"/>
      <c r="EJ299" s="570" t="n"/>
      <c r="EK299" s="569" t="n"/>
      <c r="EL299" s="570" t="n"/>
      <c r="EM299" s="571" t="n"/>
      <c r="EN299" s="570" t="n"/>
      <c r="EO299" s="569" t="n"/>
      <c r="EP299" s="570" t="n"/>
      <c r="EQ299" s="571" t="n"/>
      <c r="ER299" s="570" t="n"/>
      <c r="ES299" s="569" t="n"/>
      <c r="ET299" s="570" t="n"/>
      <c r="EU299" s="571" t="n"/>
      <c r="EV299" s="570" t="n"/>
      <c r="EW299" s="569" t="n"/>
      <c r="EX299" s="570" t="n"/>
      <c r="EY299" s="571" t="n"/>
      <c r="EZ299" s="570" t="n"/>
      <c r="FA299" s="569" t="n"/>
      <c r="FB299" s="570" t="n"/>
      <c r="FC299" s="571" t="n"/>
      <c r="FD299" s="570" t="n"/>
      <c r="FE299" s="569" t="n"/>
      <c r="FF299" s="570" t="n"/>
      <c r="FG299" s="571" t="n"/>
      <c r="FH299" s="570" t="n"/>
      <c r="FI299" s="569" t="n"/>
      <c r="FJ299" s="570" t="n"/>
      <c r="FK299" s="571" t="n"/>
      <c r="FL299" s="570" t="n"/>
      <c r="FM299" s="569" t="n"/>
      <c r="FN299" s="570" t="n"/>
      <c r="FO299" s="571" t="n"/>
      <c r="FP299" s="570" t="n"/>
      <c r="FQ299" s="572" t="n"/>
      <c r="FR299" s="803">
        <f>SUMPRODUCT(--(MOD(COLUMN(DU299:ER299),4)=MOD(COLUMN(DU299),4)),DU299:ER299)+SUMPRODUCT(--(MOD(COLUMN(ES299:FP299),4)=MOD(COLUMN(ES299),4)),ES299:FP299)</f>
        <v/>
      </c>
      <c r="FS299" s="803">
        <f>SUMPRODUCT(--(MOD(COLUMN(DU299:ER299),4)=MOD(COLUMN(DU299),4)),DU299:ER299)*$I299+SUMPRODUCT(--(MOD(COLUMN(ES299:FP299),4)=MOD(COLUMN(ES299),4)),ES299:FP299)*$I299</f>
        <v/>
      </c>
      <c r="FT299" s="573" t="n"/>
    </row>
    <row r="300" outlineLevel="2" customFormat="1" s="574">
      <c r="A300" s="586" t="inlineStr">
        <is>
          <t>АВТОВИК ООО / AVTOVIK OOO</t>
        </is>
      </c>
      <c r="B300" s="580" t="inlineStr">
        <is>
          <t>Предоплата 100%</t>
        </is>
      </c>
      <c r="C300" s="592" t="inlineStr">
        <is>
          <t>ВБК РУС</t>
        </is>
      </c>
      <c r="D300" s="586" t="inlineStr">
        <is>
          <t>Прасолов, Соловьёв</t>
        </is>
      </c>
      <c r="E300" s="588">
        <f>IF(ISBLANK(G300),"",IF($A$6:$A$330=$A300,COUNTIF($A$6:A300,$A300),""))</f>
        <v/>
      </c>
      <c r="F300" s="577" t="inlineStr">
        <is>
          <t>S</t>
        </is>
      </c>
      <c r="G300" s="403" t="n">
        <v>4441000600</v>
      </c>
      <c r="H300" s="613" t="inlineStr">
        <is>
          <t>Комплект "TEBS 4S/3M (15 м)" специальный</t>
        </is>
      </c>
      <c r="I300" s="618">
        <f>8900/НДС</f>
        <v/>
      </c>
      <c r="J300" s="619" t="n"/>
      <c r="K300" s="876" t="n"/>
      <c r="L300" s="619" t="n"/>
      <c r="M300" s="813" t="n"/>
      <c r="N300" s="813">
        <f>IF(BP300&gt;0,1,IF(BN300&gt;0,2,))</f>
        <v/>
      </c>
      <c r="O300" s="578" t="n"/>
      <c r="P300" s="498" t="n"/>
      <c r="Q300" s="579" t="n"/>
      <c r="R300" s="498" t="n"/>
      <c r="S300" s="578" t="n"/>
      <c r="T300" s="498" t="n"/>
      <c r="U300" s="579" t="n"/>
      <c r="V300" s="498" t="n"/>
      <c r="W300" s="578" t="n"/>
      <c r="X300" s="718">
        <f>20</f>
        <v/>
      </c>
      <c r="Y300" s="579" t="n">
        <v>20</v>
      </c>
      <c r="Z300" s="676" t="n">
        <v>20</v>
      </c>
      <c r="AA300" s="578" t="n"/>
      <c r="AB300" s="718">
        <f>60</f>
        <v/>
      </c>
      <c r="AC300" s="579" t="n">
        <v>60</v>
      </c>
      <c r="AD300" s="676" t="n">
        <v>60</v>
      </c>
      <c r="AE300" s="578" t="n"/>
      <c r="AF300" s="718" t="n"/>
      <c r="AG300" s="579" t="n"/>
      <c r="AH300" s="24" t="n"/>
      <c r="AI300" s="578" t="n"/>
      <c r="AJ300" s="498">
        <f>60</f>
        <v/>
      </c>
      <c r="AK300" s="579" t="n">
        <v>0</v>
      </c>
      <c r="AL300" s="676" t="n">
        <v>60</v>
      </c>
      <c r="AM300" s="578" t="n"/>
      <c r="AN300" s="498" t="n"/>
      <c r="AO300" s="579" t="n"/>
      <c r="AP300" s="498" t="n"/>
      <c r="AQ300" s="578" t="n"/>
      <c r="AR300" s="498" t="n"/>
      <c r="AS300" s="579" t="n"/>
      <c r="AT300" s="498" t="n"/>
      <c r="AU300" s="578" t="n"/>
      <c r="AV300" s="498" t="n"/>
      <c r="AW300" s="579" t="n"/>
      <c r="AX300" s="498" t="n"/>
      <c r="AY300" s="578" t="n"/>
      <c r="AZ300" s="498" t="n"/>
      <c r="BA300" s="579" t="n"/>
      <c r="BB300" s="498" t="n"/>
      <c r="BC300" s="578" t="n"/>
      <c r="BD300" s="498" t="n"/>
      <c r="BE300" s="579" t="n"/>
      <c r="BF300" s="498" t="n"/>
      <c r="BG300" s="578" t="n"/>
      <c r="BH300" s="498" t="n"/>
      <c r="BI300" s="579" t="n"/>
      <c r="BJ300" s="498" t="n"/>
      <c r="BK300" s="572" t="n"/>
      <c r="BL300" s="820">
        <f>SUMPRODUCT(--(MOD(COLUMN($O300:$AL300),4)=MOD(COLUMN($O300)+0,4)),$O300:$AL300)
+SUMPRODUCT(--(MOD(COLUMN($AM300:$BJ300),4)=MOD(COLUMN($AM300)+0,4)),$AM300:$BJ300)</f>
        <v/>
      </c>
      <c r="BM300" s="820">
        <f>SUMPRODUCT(--(MOD(COLUMN($O300:$AL300),4)=MOD(COLUMN($O300)+0,4)),$O300:$AL300)*
$I300+SUMPRODUCT(--(MOD(COLUMN($AM300:$BJ300),4)=MOD(COLUMN($AM300)+0,4)),$AM300:$BJ300)*$I300</f>
        <v/>
      </c>
      <c r="BN300" s="822">
        <f>SUMPRODUCT(--(MOD(COLUMN($O300:$AL300),4)=MOD(COLUMN($O300)+1,4)),$O300:$AL300)
+SUMPRODUCT(--(MOD(COLUMN($AM300:$BJ300),4)=MOD(COLUMN($AM300)+1,4)),$AM300:$BJ300)</f>
        <v/>
      </c>
      <c r="BO300" s="823">
        <f>SUMPRODUCT(--(MOD(COLUMN($O300:$AL300),4)=MOD(COLUMN($O300)+1,4)),$O300:$AL300)*
$I300+SUMPRODUCT(--(MOD(COLUMN($AM300:$BJ300),4)=MOD(COLUMN($AM300)+1,4)),$AM300:$BJ300)*$I300</f>
        <v/>
      </c>
      <c r="BP300" s="824">
        <f>SUMPRODUCT(--(MOD(COLUMN($O300:$AL300),4)=MOD(COLUMN($O300)+2,4)),$O300:$AL300)
+SUMPRODUCT(--(MOD(COLUMN($AM300:$BJ300),4)=MOD(COLUMN($AM300)+2,4)),$AM300:$BJ300)</f>
        <v/>
      </c>
      <c r="BQ300" s="825">
        <f>SUMPRODUCT(--(MOD(COLUMN($O300:$AL300),4)=MOD(COLUMN($O300)+2,4)),$O300:$AL300)*
$I300+SUMPRODUCT(--(MOD(COLUMN($AM300:$BJ300),4)=MOD(COLUMN($AM300)+2,4)),$AM300:$BJ300)*$I300</f>
        <v/>
      </c>
      <c r="BR300" s="819" t="n"/>
      <c r="BS300" s="819" t="n"/>
      <c r="BT300" s="578" t="n"/>
      <c r="BU300" s="498" t="n"/>
      <c r="BV300" s="579" t="n"/>
      <c r="BW300" s="498" t="n"/>
      <c r="BX300" s="578" t="n"/>
      <c r="BY300" s="498" t="n"/>
      <c r="BZ300" s="579" t="n"/>
      <c r="CA300" s="498" t="n"/>
      <c r="CB300" s="578" t="n"/>
      <c r="CC300" s="498" t="n"/>
      <c r="CD300" s="579" t="n"/>
      <c r="CE300" s="498" t="n"/>
      <c r="CF300" s="578" t="n"/>
      <c r="CG300" s="498" t="n"/>
      <c r="CH300" s="579" t="n"/>
      <c r="CI300" s="498" t="n"/>
      <c r="CJ300" s="578" t="n"/>
      <c r="CK300" s="498" t="n"/>
      <c r="CL300" s="579" t="n"/>
      <c r="CM300" s="498" t="n"/>
      <c r="CN300" s="578" t="n"/>
      <c r="CO300" s="498" t="n"/>
      <c r="CP300" s="579" t="n"/>
      <c r="CQ300" s="498" t="n"/>
      <c r="CR300" s="578" t="n"/>
      <c r="CS300" s="498" t="n"/>
      <c r="CT300" s="579" t="n"/>
      <c r="CU300" s="498" t="n"/>
      <c r="CV300" s="578" t="n"/>
      <c r="CW300" s="498" t="n"/>
      <c r="CX300" s="579" t="n"/>
      <c r="CY300" s="498" t="n"/>
      <c r="CZ300" s="578" t="n"/>
      <c r="DA300" s="498" t="n"/>
      <c r="DB300" s="579" t="n"/>
      <c r="DC300" s="498" t="n"/>
      <c r="DD300" s="578" t="n"/>
      <c r="DE300" s="498" t="n"/>
      <c r="DF300" s="579" t="n"/>
      <c r="DG300" s="498" t="n"/>
      <c r="DH300" s="578" t="n"/>
      <c r="DI300" s="498" t="n"/>
      <c r="DJ300" s="579" t="n"/>
      <c r="DK300" s="498" t="n"/>
      <c r="DL300" s="578" t="n"/>
      <c r="DM300" s="498" t="n"/>
      <c r="DN300" s="579" t="n"/>
      <c r="DO300" s="498" t="n"/>
      <c r="DP300" s="572" t="n"/>
      <c r="DQ300" s="820" t="n"/>
      <c r="DR300" s="820" t="n"/>
      <c r="DS300" s="819" t="n"/>
      <c r="DT300" s="819" t="n"/>
      <c r="DU300" s="578" t="n"/>
      <c r="DV300" s="498" t="n"/>
      <c r="DW300" s="579" t="n"/>
      <c r="DX300" s="498" t="n"/>
      <c r="DY300" s="578" t="n"/>
      <c r="DZ300" s="498" t="n"/>
      <c r="EA300" s="579" t="n"/>
      <c r="EB300" s="498" t="n"/>
      <c r="EC300" s="578" t="n"/>
      <c r="ED300" s="498" t="n"/>
      <c r="EE300" s="579" t="n"/>
      <c r="EF300" s="498" t="n"/>
      <c r="EG300" s="578" t="n"/>
      <c r="EH300" s="498" t="n"/>
      <c r="EI300" s="579" t="n"/>
      <c r="EJ300" s="498" t="n"/>
      <c r="EK300" s="578" t="n"/>
      <c r="EL300" s="498" t="n"/>
      <c r="EM300" s="579" t="n"/>
      <c r="EN300" s="498" t="n"/>
      <c r="EO300" s="578" t="n"/>
      <c r="EP300" s="498" t="n"/>
      <c r="EQ300" s="579" t="n"/>
      <c r="ER300" s="498" t="n"/>
      <c r="ES300" s="578" t="n"/>
      <c r="ET300" s="498" t="n"/>
      <c r="EU300" s="579" t="n"/>
      <c r="EV300" s="498" t="n"/>
      <c r="EW300" s="578" t="n"/>
      <c r="EX300" s="498" t="n"/>
      <c r="EY300" s="579" t="n"/>
      <c r="EZ300" s="498" t="n"/>
      <c r="FA300" s="578" t="n"/>
      <c r="FB300" s="498" t="n"/>
      <c r="FC300" s="579" t="n"/>
      <c r="FD300" s="498" t="n"/>
      <c r="FE300" s="578" t="n"/>
      <c r="FF300" s="498" t="n"/>
      <c r="FG300" s="579" t="n"/>
      <c r="FH300" s="498" t="n"/>
      <c r="FI300" s="578" t="n"/>
      <c r="FJ300" s="498" t="n"/>
      <c r="FK300" s="579" t="n"/>
      <c r="FL300" s="498" t="n"/>
      <c r="FM300" s="578" t="n"/>
      <c r="FN300" s="498" t="n"/>
      <c r="FO300" s="579" t="n"/>
      <c r="FP300" s="498" t="n"/>
      <c r="FQ300" s="572" t="n"/>
      <c r="FR300" s="820" t="n"/>
      <c r="FS300" s="820" t="n"/>
      <c r="FT300" s="573" t="n"/>
    </row>
    <row r="301" outlineLevel="2" customFormat="1" s="574">
      <c r="A301" s="595" t="inlineStr">
        <is>
          <t>АВТОВИК ООО / AVTOVIK OOO</t>
        </is>
      </c>
      <c r="B301" s="565" t="inlineStr">
        <is>
          <t>Предоплата 100%</t>
        </is>
      </c>
      <c r="C301" s="173" t="inlineStr">
        <is>
          <t>ВБК РУС</t>
        </is>
      </c>
      <c r="D301" s="595" t="inlineStr">
        <is>
          <t>Прасолов, Соловьёв</t>
        </is>
      </c>
      <c r="E301" s="566">
        <f>IF(ISBLANK(G301),"",IF($A$6:$A$330=$A301,COUNTIF($A$6:A301,$A301),""))</f>
        <v/>
      </c>
      <c r="F301" s="567" t="inlineStr">
        <is>
          <t>S</t>
        </is>
      </c>
      <c r="G301" s="403" t="n">
        <v>4441000410</v>
      </c>
      <c r="H301" s="613" t="inlineStr">
        <is>
          <t>Комплект "EBS ПТ"</t>
        </is>
      </c>
      <c r="I301" s="618">
        <f>6944.85/НДС</f>
        <v/>
      </c>
      <c r="J301" s="618" t="n"/>
      <c r="K301" s="874" t="n"/>
      <c r="L301" s="618">
        <f>IF(K301="RUB",J301/ЮАНЬ,IF(K301="EUR",J301*ЕВРО/ЮАНЬ,""))</f>
        <v/>
      </c>
      <c r="M301" s="875" t="n"/>
      <c r="N301" s="813">
        <f>IF(BP301&gt;0,1,IF(BN301&gt;0,2,))</f>
        <v/>
      </c>
      <c r="O301" s="569" t="n"/>
      <c r="P301" s="570" t="n"/>
      <c r="Q301" s="571" t="n"/>
      <c r="R301" s="570" t="n"/>
      <c r="S301" s="569" t="n"/>
      <c r="T301" s="570" t="n"/>
      <c r="U301" s="571" t="n"/>
      <c r="V301" s="570" t="n"/>
      <c r="W301" s="569" t="n"/>
      <c r="X301" s="717" t="n"/>
      <c r="Y301" s="571" t="n"/>
      <c r="Z301" s="570" t="n"/>
      <c r="AA301" s="569" t="n"/>
      <c r="AB301" s="717">
        <f>30</f>
        <v/>
      </c>
      <c r="AC301" s="571" t="n">
        <v>30</v>
      </c>
      <c r="AD301" s="570" t="n"/>
      <c r="AE301" s="569" t="n"/>
      <c r="AF301" s="717" t="n"/>
      <c r="AG301" s="571" t="n">
        <v>0</v>
      </c>
      <c r="AH301" s="570" t="n"/>
      <c r="AI301" s="569" t="n"/>
      <c r="AJ301" s="570">
        <f>30+N(10)</f>
        <v/>
      </c>
      <c r="AK301" s="571" t="n">
        <v>0</v>
      </c>
      <c r="AL301" s="570" t="n"/>
      <c r="AM301" s="569" t="n"/>
      <c r="AN301" s="570" t="n">
        <v>30</v>
      </c>
      <c r="AO301" s="571" t="n">
        <v>0</v>
      </c>
      <c r="AP301" s="570" t="n"/>
      <c r="AQ301" s="569" t="n"/>
      <c r="AR301" s="570" t="n"/>
      <c r="AS301" s="571" t="n"/>
      <c r="AT301" s="570" t="n"/>
      <c r="AU301" s="569" t="n"/>
      <c r="AV301" s="570" t="n"/>
      <c r="AW301" s="571" t="n"/>
      <c r="AX301" s="570" t="n"/>
      <c r="AY301" s="569" t="n"/>
      <c r="AZ301" s="570" t="n"/>
      <c r="BA301" s="571" t="n"/>
      <c r="BB301" s="570" t="n"/>
      <c r="BC301" s="569" t="n"/>
      <c r="BD301" s="570" t="n"/>
      <c r="BE301" s="571" t="n"/>
      <c r="BF301" s="570" t="n"/>
      <c r="BG301" s="569" t="n"/>
      <c r="BH301" s="570" t="n"/>
      <c r="BI301" s="571" t="n"/>
      <c r="BJ301" s="570" t="n"/>
      <c r="BK301" s="572" t="n"/>
      <c r="BL301" s="803">
        <f>SUMPRODUCT(--(MOD(COLUMN($O301:$AL301),4)=MOD(COLUMN($O301)+0,4)),$O301:$AL301)
+SUMPRODUCT(--(MOD(COLUMN($AM301:$BJ301),4)=MOD(COLUMN($AM301)+0,4)),$AM301:$BJ301)</f>
        <v/>
      </c>
      <c r="BM301" s="803">
        <f>SUMPRODUCT(--(MOD(COLUMN($O301:$AL301),4)=MOD(COLUMN($O301)+0,4)),$O301:$AL301)*
$I301+SUMPRODUCT(--(MOD(COLUMN($AM301:$BJ301),4)=MOD(COLUMN($AM301)+0,4)),$AM301:$BJ301)*$I301</f>
        <v/>
      </c>
      <c r="BN301" s="805">
        <f>SUMPRODUCT(--(MOD(COLUMN($O301:$AL301),4)=MOD(COLUMN($O301)+1,4)),$O301:$AL301)
+SUMPRODUCT(--(MOD(COLUMN($AM301:$BJ301),4)=MOD(COLUMN($AM301)+1,4)),$AM301:$BJ301)</f>
        <v/>
      </c>
      <c r="BO301" s="806">
        <f>SUMPRODUCT(--(MOD(COLUMN($O301:$AL301),4)=MOD(COLUMN($O301)+1,4)),$O301:$AL301)*
$I301+SUMPRODUCT(--(MOD(COLUMN($AM301:$BJ301),4)=MOD(COLUMN($AM301)+1,4)),$AM301:$BJ301)*$I301</f>
        <v/>
      </c>
      <c r="BP301" s="807">
        <f>SUMPRODUCT(--(MOD(COLUMN($O301:$AL301),4)=MOD(COLUMN($O301)+2,4)),$O301:$AL301)
+SUMPRODUCT(--(MOD(COLUMN($AM301:$BJ301),4)=MOD(COLUMN($AM301)+2,4)),$AM301:$BJ301)</f>
        <v/>
      </c>
      <c r="BQ301" s="808">
        <f>SUMPRODUCT(--(MOD(COLUMN($O301:$AL301),4)=MOD(COLUMN($O301)+2,4)),$O301:$AL301)*
$I301+SUMPRODUCT(--(MOD(COLUMN($AM301:$BJ301),4)=MOD(COLUMN($AM301)+2,4)),$AM301:$BJ301)*$I301</f>
        <v/>
      </c>
      <c r="BR301" s="801" t="n"/>
      <c r="BS301" s="819" t="n"/>
      <c r="BT301" s="569" t="n"/>
      <c r="BU301" s="570" t="n"/>
      <c r="BV301" s="571" t="n"/>
      <c r="BW301" s="570" t="n"/>
      <c r="BX301" s="569" t="n"/>
      <c r="BY301" s="570" t="n"/>
      <c r="BZ301" s="571" t="n"/>
      <c r="CA301" s="570" t="n"/>
      <c r="CB301" s="569" t="n"/>
      <c r="CC301" s="570" t="n"/>
      <c r="CD301" s="571" t="n"/>
      <c r="CE301" s="570" t="n"/>
      <c r="CF301" s="569" t="n"/>
      <c r="CG301" s="570" t="n"/>
      <c r="CH301" s="571" t="n"/>
      <c r="CI301" s="570" t="n"/>
      <c r="CJ301" s="569" t="n"/>
      <c r="CK301" s="570" t="n"/>
      <c r="CL301" s="571" t="n"/>
      <c r="CM301" s="570" t="n"/>
      <c r="CN301" s="569" t="n"/>
      <c r="CO301" s="570" t="n"/>
      <c r="CP301" s="571" t="n"/>
      <c r="CQ301" s="570" t="n"/>
      <c r="CR301" s="569" t="n"/>
      <c r="CS301" s="570" t="n"/>
      <c r="CT301" s="571" t="n"/>
      <c r="CU301" s="570" t="n"/>
      <c r="CV301" s="569" t="n"/>
      <c r="CW301" s="570" t="n"/>
      <c r="CX301" s="571" t="n"/>
      <c r="CY301" s="570" t="n"/>
      <c r="CZ301" s="569" t="n"/>
      <c r="DA301" s="570" t="n"/>
      <c r="DB301" s="571" t="n"/>
      <c r="DC301" s="570" t="n"/>
      <c r="DD301" s="569" t="n"/>
      <c r="DE301" s="570" t="n"/>
      <c r="DF301" s="571" t="n"/>
      <c r="DG301" s="570" t="n"/>
      <c r="DH301" s="569" t="n"/>
      <c r="DI301" s="570" t="n"/>
      <c r="DJ301" s="571" t="n"/>
      <c r="DK301" s="570" t="n"/>
      <c r="DL301" s="569" t="n"/>
      <c r="DM301" s="570" t="n"/>
      <c r="DN301" s="571" t="n"/>
      <c r="DO301" s="570" t="n"/>
      <c r="DP301" s="572" t="n"/>
      <c r="DQ301" s="803">
        <f>SUMPRODUCT(--(MOD(COLUMN(BT301:CQ301),4)=MOD(COLUMN(BT301),4)),BT301:CQ301)+SUMPRODUCT(--(MOD(COLUMN(CR301:DO301),4)=MOD(COLUMN(CR301),4)),CR301:DO301)</f>
        <v/>
      </c>
      <c r="DR301" s="803">
        <f>SUMPRODUCT(--(MOD(COLUMN(BT301:CQ301),4)=MOD(COLUMN(BT301),4)),BT301:CQ301)*$I301+SUMPRODUCT(--(MOD(COLUMN(CR301:DO301),4)=MOD(COLUMN(CR301),4)),CR301:DO301)*$I301</f>
        <v/>
      </c>
      <c r="DS301" s="801" t="n"/>
      <c r="DT301" s="819" t="n"/>
      <c r="DU301" s="569" t="n"/>
      <c r="DV301" s="570" t="n"/>
      <c r="DW301" s="571" t="n"/>
      <c r="DX301" s="570" t="n"/>
      <c r="DY301" s="569" t="n"/>
      <c r="DZ301" s="570" t="n"/>
      <c r="EA301" s="571" t="n"/>
      <c r="EB301" s="570" t="n"/>
      <c r="EC301" s="569" t="n"/>
      <c r="ED301" s="570" t="n"/>
      <c r="EE301" s="571" t="n"/>
      <c r="EF301" s="570" t="n"/>
      <c r="EG301" s="569" t="n"/>
      <c r="EH301" s="570" t="n"/>
      <c r="EI301" s="571" t="n"/>
      <c r="EJ301" s="570" t="n"/>
      <c r="EK301" s="569" t="n"/>
      <c r="EL301" s="570" t="n"/>
      <c r="EM301" s="571" t="n"/>
      <c r="EN301" s="570" t="n"/>
      <c r="EO301" s="569" t="n"/>
      <c r="EP301" s="570" t="n"/>
      <c r="EQ301" s="571" t="n"/>
      <c r="ER301" s="570" t="n"/>
      <c r="ES301" s="569" t="n"/>
      <c r="ET301" s="570" t="n"/>
      <c r="EU301" s="571" t="n"/>
      <c r="EV301" s="570" t="n"/>
      <c r="EW301" s="569" t="n"/>
      <c r="EX301" s="570" t="n"/>
      <c r="EY301" s="571" t="n"/>
      <c r="EZ301" s="570" t="n"/>
      <c r="FA301" s="569" t="n"/>
      <c r="FB301" s="570" t="n"/>
      <c r="FC301" s="571" t="n"/>
      <c r="FD301" s="570" t="n"/>
      <c r="FE301" s="569" t="n"/>
      <c r="FF301" s="570" t="n"/>
      <c r="FG301" s="571" t="n"/>
      <c r="FH301" s="570" t="n"/>
      <c r="FI301" s="569" t="n"/>
      <c r="FJ301" s="570" t="n"/>
      <c r="FK301" s="571" t="n"/>
      <c r="FL301" s="570" t="n"/>
      <c r="FM301" s="569" t="n"/>
      <c r="FN301" s="570" t="n"/>
      <c r="FO301" s="571" t="n"/>
      <c r="FP301" s="570" t="n"/>
      <c r="FQ301" s="572" t="n"/>
      <c r="FR301" s="803">
        <f>SUMPRODUCT(--(MOD(COLUMN(DU301:ER301),4)=MOD(COLUMN(DU301),4)),DU301:ER301)+SUMPRODUCT(--(MOD(COLUMN(ES301:FP301),4)=MOD(COLUMN(ES301),4)),ES301:FP301)</f>
        <v/>
      </c>
      <c r="FS301" s="803">
        <f>SUMPRODUCT(--(MOD(COLUMN(DU301:ER301),4)=MOD(COLUMN(DU301),4)),DU301:ER301)*$I301+SUMPRODUCT(--(MOD(COLUMN(ES301:FP301),4)=MOD(COLUMN(ES301),4)),ES301:FP301)*$I301</f>
        <v/>
      </c>
      <c r="FT301" s="573" t="n"/>
    </row>
    <row r="302" outlineLevel="2" customFormat="1" s="574">
      <c r="A302" s="586" t="inlineStr">
        <is>
          <t>АВТОВИК ООО / AVTOVIK OOO</t>
        </is>
      </c>
      <c r="B302" s="580" t="inlineStr">
        <is>
          <t>Предоплата 100%</t>
        </is>
      </c>
      <c r="C302" s="592" t="inlineStr">
        <is>
          <t>ВБК РУС</t>
        </is>
      </c>
      <c r="D302" s="586" t="inlineStr">
        <is>
          <t>Прасолов, Соловьёв</t>
        </is>
      </c>
      <c r="E302" s="584">
        <f>IF(ISBLANK(G302),"",IF($A$6:$A$330=$A302,COUNTIF($A$6:A302,$A302),""))</f>
        <v/>
      </c>
      <c r="F302" s="577" t="inlineStr">
        <is>
          <t>S</t>
        </is>
      </c>
      <c r="G302" s="403" t="n">
        <v>4441000400</v>
      </c>
      <c r="H302" s="613" t="inlineStr">
        <is>
          <t>Комплект "TEBS 2S/2M (15 м)" стандарт</t>
        </is>
      </c>
      <c r="I302" s="618">
        <f>7109/НДС</f>
        <v/>
      </c>
      <c r="J302" s="619" t="n"/>
      <c r="K302" s="876" t="n"/>
      <c r="L302" s="619" t="n"/>
      <c r="M302" s="813" t="n"/>
      <c r="N302" s="813">
        <f>IF(BP302&gt;0,1,IF(BN302&gt;0,2,))</f>
        <v/>
      </c>
      <c r="O302" s="578" t="n">
        <v>10</v>
      </c>
      <c r="P302" s="498" t="n"/>
      <c r="Q302" s="579" t="n">
        <v>0</v>
      </c>
      <c r="R302" s="498" t="n"/>
      <c r="S302" s="578" t="n">
        <v>10</v>
      </c>
      <c r="T302" s="498" t="n"/>
      <c r="U302" s="579" t="n">
        <v>0</v>
      </c>
      <c r="V302" s="498" t="n"/>
      <c r="W302" s="578" t="n">
        <v>10</v>
      </c>
      <c r="X302" s="718" t="n"/>
      <c r="Y302" s="579" t="n">
        <v>0</v>
      </c>
      <c r="Z302" s="498" t="n"/>
      <c r="AA302" s="578" t="n">
        <v>10</v>
      </c>
      <c r="AB302" s="718" t="n"/>
      <c r="AC302" s="579" t="n">
        <v>0</v>
      </c>
      <c r="AD302" s="498" t="n"/>
      <c r="AE302" s="578" t="n">
        <v>10</v>
      </c>
      <c r="AF302" s="718" t="n"/>
      <c r="AG302" s="579" t="n">
        <v>0</v>
      </c>
      <c r="AH302" s="498" t="n"/>
      <c r="AI302" s="578" t="n">
        <v>10</v>
      </c>
      <c r="AJ302" s="498" t="n"/>
      <c r="AK302" s="579" t="n">
        <v>0</v>
      </c>
      <c r="AL302" s="498" t="n"/>
      <c r="AM302" s="578" t="n">
        <v>10</v>
      </c>
      <c r="AN302" s="498" t="n"/>
      <c r="AO302" s="579" t="n">
        <v>0</v>
      </c>
      <c r="AP302" s="498" t="n"/>
      <c r="AQ302" s="578" t="n">
        <v>10</v>
      </c>
      <c r="AR302" s="498" t="n">
        <v>10</v>
      </c>
      <c r="AS302" s="579" t="n">
        <v>0</v>
      </c>
      <c r="AT302" s="498" t="n"/>
      <c r="AU302" s="578" t="n">
        <v>10</v>
      </c>
      <c r="AV302" s="498" t="n">
        <v>10</v>
      </c>
      <c r="AW302" s="579" t="n">
        <v>0</v>
      </c>
      <c r="AX302" s="498" t="n"/>
      <c r="AY302" s="578" t="n">
        <v>10</v>
      </c>
      <c r="AZ302" s="498" t="n">
        <v>10</v>
      </c>
      <c r="BA302" s="579" t="n">
        <v>0</v>
      </c>
      <c r="BB302" s="498" t="n"/>
      <c r="BC302" s="578" t="n">
        <v>10</v>
      </c>
      <c r="BD302" s="498" t="n">
        <v>10</v>
      </c>
      <c r="BE302" s="579" t="n">
        <v>0</v>
      </c>
      <c r="BF302" s="498" t="n"/>
      <c r="BG302" s="578" t="n">
        <v>10</v>
      </c>
      <c r="BH302" s="498" t="n">
        <v>10</v>
      </c>
      <c r="BI302" s="579" t="n">
        <v>0</v>
      </c>
      <c r="BJ302" s="498" t="n"/>
      <c r="BK302" s="572" t="n"/>
      <c r="BL302" s="820">
        <f>SUMPRODUCT(--(MOD(COLUMN($O302:$AL302),4)=MOD(COLUMN($O302)+0,4)),$O302:$AL302)
+SUMPRODUCT(--(MOD(COLUMN($AM302:$BJ302),4)=MOD(COLUMN($AM302)+0,4)),$AM302:$BJ302)</f>
        <v/>
      </c>
      <c r="BM302" s="820">
        <f>SUMPRODUCT(--(MOD(COLUMN($O302:$AL302),4)=MOD(COLUMN($O302)+0,4)),$O302:$AL302)*
$I302+SUMPRODUCT(--(MOD(COLUMN($AM302:$BJ302),4)=MOD(COLUMN($AM302)+0,4)),$AM302:$BJ302)*$I302</f>
        <v/>
      </c>
      <c r="BN302" s="822">
        <f>SUMPRODUCT(--(MOD(COLUMN($O302:$AL302),4)=MOD(COLUMN($O302)+1,4)),$O302:$AL302)
+SUMPRODUCT(--(MOD(COLUMN($AM302:$BJ302),4)=MOD(COLUMN($AM302)+1,4)),$AM302:$BJ302)</f>
        <v/>
      </c>
      <c r="BO302" s="823">
        <f>SUMPRODUCT(--(MOD(COLUMN($O302:$AL302),4)=MOD(COLUMN($O302)+1,4)),$O302:$AL302)*
$I302+SUMPRODUCT(--(MOD(COLUMN($AM302:$BJ302),4)=MOD(COLUMN($AM302)+1,4)),$AM302:$BJ302)*$I302</f>
        <v/>
      </c>
      <c r="BP302" s="824">
        <f>SUMPRODUCT(--(MOD(COLUMN($O302:$AL302),4)=MOD(COLUMN($O302)+2,4)),$O302:$AL302)
+SUMPRODUCT(--(MOD(COLUMN($AM302:$BJ302),4)=MOD(COLUMN($AM302)+2,4)),$AM302:$BJ302)</f>
        <v/>
      </c>
      <c r="BQ302" s="825">
        <f>SUMPRODUCT(--(MOD(COLUMN($O302:$AL302),4)=MOD(COLUMN($O302)+2,4)),$O302:$AL302)*
$I302+SUMPRODUCT(--(MOD(COLUMN($AM302:$BJ302),4)=MOD(COLUMN($AM302)+2,4)),$AM302:$BJ302)*$I302</f>
        <v/>
      </c>
      <c r="BR302" s="819" t="n"/>
      <c r="BS302" s="819" t="n"/>
      <c r="BT302" s="578" t="n"/>
      <c r="BU302" s="498" t="n"/>
      <c r="BV302" s="579" t="n"/>
      <c r="BW302" s="498" t="n"/>
      <c r="BX302" s="578" t="n"/>
      <c r="BY302" s="498" t="n"/>
      <c r="BZ302" s="579" t="n"/>
      <c r="CA302" s="498" t="n"/>
      <c r="CB302" s="578" t="n"/>
      <c r="CC302" s="498" t="n"/>
      <c r="CD302" s="579" t="n"/>
      <c r="CE302" s="498" t="n"/>
      <c r="CF302" s="578" t="n"/>
      <c r="CG302" s="498" t="n"/>
      <c r="CH302" s="579" t="n"/>
      <c r="CI302" s="498" t="n"/>
      <c r="CJ302" s="578" t="n"/>
      <c r="CK302" s="498" t="n"/>
      <c r="CL302" s="579" t="n"/>
      <c r="CM302" s="498" t="n"/>
      <c r="CN302" s="578" t="n"/>
      <c r="CO302" s="498" t="n"/>
      <c r="CP302" s="579" t="n"/>
      <c r="CQ302" s="498" t="n"/>
      <c r="CR302" s="578" t="n"/>
      <c r="CS302" s="498" t="n"/>
      <c r="CT302" s="579" t="n"/>
      <c r="CU302" s="498" t="n"/>
      <c r="CV302" s="578" t="n"/>
      <c r="CW302" s="498" t="n"/>
      <c r="CX302" s="579" t="n"/>
      <c r="CY302" s="498" t="n"/>
      <c r="CZ302" s="578" t="n"/>
      <c r="DA302" s="498" t="n"/>
      <c r="DB302" s="579" t="n"/>
      <c r="DC302" s="498" t="n"/>
      <c r="DD302" s="578" t="n"/>
      <c r="DE302" s="498" t="n"/>
      <c r="DF302" s="579" t="n"/>
      <c r="DG302" s="498" t="n"/>
      <c r="DH302" s="578" t="n"/>
      <c r="DI302" s="498" t="n"/>
      <c r="DJ302" s="579" t="n"/>
      <c r="DK302" s="498" t="n"/>
      <c r="DL302" s="578" t="n"/>
      <c r="DM302" s="498" t="n"/>
      <c r="DN302" s="579" t="n"/>
      <c r="DO302" s="498" t="n"/>
      <c r="DP302" s="572" t="n"/>
      <c r="DQ302" s="820" t="n"/>
      <c r="DR302" s="820">
        <f>SUMPRODUCT(--(MOD(COLUMN(BT302:CQ302),4)=MOD(COLUMN(BT302),4)),BT302:CQ302)*$I302+SUMPRODUCT(--(MOD(COLUMN(CR302:DO302),4)=MOD(COLUMN(CR302),4)),CR302:DO302)*$I302</f>
        <v/>
      </c>
      <c r="DS302" s="819" t="n"/>
      <c r="DT302" s="819" t="n"/>
      <c r="DU302" s="578" t="n"/>
      <c r="DV302" s="498" t="n"/>
      <c r="DW302" s="579" t="n"/>
      <c r="DX302" s="498" t="n"/>
      <c r="DY302" s="578" t="n"/>
      <c r="DZ302" s="498" t="n"/>
      <c r="EA302" s="579" t="n"/>
      <c r="EB302" s="498" t="n"/>
      <c r="EC302" s="578" t="n"/>
      <c r="ED302" s="498" t="n"/>
      <c r="EE302" s="579" t="n"/>
      <c r="EF302" s="498" t="n"/>
      <c r="EG302" s="578" t="n"/>
      <c r="EH302" s="498" t="n"/>
      <c r="EI302" s="579" t="n"/>
      <c r="EJ302" s="498" t="n"/>
      <c r="EK302" s="578" t="n"/>
      <c r="EL302" s="498" t="n"/>
      <c r="EM302" s="579" t="n"/>
      <c r="EN302" s="498" t="n"/>
      <c r="EO302" s="578" t="n"/>
      <c r="EP302" s="498" t="n"/>
      <c r="EQ302" s="579" t="n"/>
      <c r="ER302" s="498" t="n"/>
      <c r="ES302" s="578" t="n"/>
      <c r="ET302" s="498" t="n"/>
      <c r="EU302" s="579" t="n"/>
      <c r="EV302" s="498" t="n"/>
      <c r="EW302" s="578" t="n"/>
      <c r="EX302" s="498" t="n"/>
      <c r="EY302" s="579" t="n"/>
      <c r="EZ302" s="498" t="n"/>
      <c r="FA302" s="578" t="n"/>
      <c r="FB302" s="498" t="n"/>
      <c r="FC302" s="579" t="n"/>
      <c r="FD302" s="498" t="n"/>
      <c r="FE302" s="578" t="n"/>
      <c r="FF302" s="498" t="n"/>
      <c r="FG302" s="579" t="n"/>
      <c r="FH302" s="498" t="n"/>
      <c r="FI302" s="578" t="n"/>
      <c r="FJ302" s="498" t="n"/>
      <c r="FK302" s="579" t="n"/>
      <c r="FL302" s="498" t="n"/>
      <c r="FM302" s="578" t="n"/>
      <c r="FN302" s="498" t="n"/>
      <c r="FO302" s="579" t="n"/>
      <c r="FP302" s="498" t="n"/>
      <c r="FQ302" s="572" t="n"/>
      <c r="FR302" s="820" t="n"/>
      <c r="FS302" s="820">
        <f>SUMPRODUCT(--(MOD(COLUMN(DU302:ER302),4)=MOD(COLUMN(DU302),4)),DU302:ER302)*$I302+SUMPRODUCT(--(MOD(COLUMN(ES302:FP302),4)=MOD(COLUMN(ES302),4)),ES302:FP302)*$I302</f>
        <v/>
      </c>
      <c r="FT302" s="573" t="n"/>
    </row>
    <row r="303" outlineLevel="2" customFormat="1" s="574">
      <c r="A303" s="399" t="inlineStr">
        <is>
          <t>АВТОВИК ООО / AVTOVIK OOO</t>
        </is>
      </c>
      <c r="B303" s="575" t="inlineStr">
        <is>
          <t>Предоплата 100%</t>
        </is>
      </c>
      <c r="C303" s="311" t="inlineStr">
        <is>
          <t>ВБК РУС</t>
        </is>
      </c>
      <c r="D303" s="399" t="inlineStr">
        <is>
          <t>Прасолов, Соловьёв</t>
        </is>
      </c>
      <c r="E303" s="576">
        <f>IF(ISBLANK(G303),"",IF($A$6:$A$330=$A303,COUNTIF($A$6:A303,$A303),""))</f>
        <v/>
      </c>
      <c r="F303" s="672" t="inlineStr">
        <is>
          <t>S</t>
        </is>
      </c>
      <c r="G303" s="593" t="n">
        <v>4441000700</v>
      </c>
      <c r="H303" s="698" t="inlineStr">
        <is>
          <t>Комплект "TEBS 2S/2M (12 м)" стандарт</t>
        </is>
      </c>
      <c r="I303" s="622">
        <f>6857/НДС</f>
        <v/>
      </c>
      <c r="J303" s="619" t="n"/>
      <c r="K303" s="876" t="n"/>
      <c r="L303" s="619" t="n"/>
      <c r="M303" s="813" t="n"/>
      <c r="N303" s="813">
        <f>IF(BP303&gt;0,1,IF(BN303&gt;0,2,))</f>
        <v/>
      </c>
      <c r="O303" s="578" t="n"/>
      <c r="P303" s="498" t="n"/>
      <c r="Q303" s="579" t="n"/>
      <c r="R303" s="498" t="n"/>
      <c r="S303" s="578" t="n"/>
      <c r="T303" s="498" t="n"/>
      <c r="U303" s="579" t="n"/>
      <c r="V303" s="498" t="n"/>
      <c r="W303" s="578" t="n"/>
      <c r="X303" s="718" t="n"/>
      <c r="Y303" s="579" t="n"/>
      <c r="Z303" s="498" t="n"/>
      <c r="AA303" s="578" t="n"/>
      <c r="AB303" s="718" t="n"/>
      <c r="AC303" s="579" t="n"/>
      <c r="AD303" s="498" t="n"/>
      <c r="AE303" s="578" t="n"/>
      <c r="AF303" s="718" t="n"/>
      <c r="AG303" s="579" t="n"/>
      <c r="AH303" s="498" t="n"/>
      <c r="AI303" s="578" t="n"/>
      <c r="AJ303" s="498" t="n"/>
      <c r="AK303" s="579" t="n"/>
      <c r="AL303" s="498" t="n"/>
      <c r="AM303" s="578" t="n"/>
      <c r="AN303" s="498" t="n"/>
      <c r="AO303" s="579" t="n"/>
      <c r="AP303" s="498" t="n"/>
      <c r="AQ303" s="578" t="n"/>
      <c r="AR303" s="498" t="n"/>
      <c r="AS303" s="579" t="n"/>
      <c r="AT303" s="498" t="n"/>
      <c r="AU303" s="578" t="n"/>
      <c r="AV303" s="498" t="n"/>
      <c r="AW303" s="579" t="n"/>
      <c r="AX303" s="498" t="n"/>
      <c r="AY303" s="578" t="n"/>
      <c r="AZ303" s="498" t="n"/>
      <c r="BA303" s="579" t="n"/>
      <c r="BB303" s="498" t="n"/>
      <c r="BC303" s="578" t="n"/>
      <c r="BD303" s="498" t="n"/>
      <c r="BE303" s="579" t="n"/>
      <c r="BF303" s="498" t="n"/>
      <c r="BG303" s="578" t="n"/>
      <c r="BH303" s="498" t="n"/>
      <c r="BI303" s="579" t="n"/>
      <c r="BJ303" s="498" t="n"/>
      <c r="BK303" s="572" t="n"/>
      <c r="BL303" s="820">
        <f>SUMPRODUCT(--(MOD(COLUMN($O303:$AL303),4)=MOD(COLUMN($O303)+0,4)),$O303:$AL303)
+SUMPRODUCT(--(MOD(COLUMN($AM303:$BJ303),4)=MOD(COLUMN($AM303)+0,4)),$AM303:$BJ303)</f>
        <v/>
      </c>
      <c r="BM303" s="820">
        <f>SUMPRODUCT(--(MOD(COLUMN($O303:$AL303),4)=MOD(COLUMN($O303)+0,4)),$O303:$AL303)*
$I303+SUMPRODUCT(--(MOD(COLUMN($AM303:$BJ303),4)=MOD(COLUMN($AM303)+0,4)),$AM303:$BJ303)*$I303</f>
        <v/>
      </c>
      <c r="BN303" s="822">
        <f>SUMPRODUCT(--(MOD(COLUMN($O303:$AL303),4)=MOD(COLUMN($O303)+1,4)),$O303:$AL303)
+SUMPRODUCT(--(MOD(COLUMN($AM303:$BJ303),4)=MOD(COLUMN($AM303)+1,4)),$AM303:$BJ303)</f>
        <v/>
      </c>
      <c r="BO303" s="823">
        <f>SUMPRODUCT(--(MOD(COLUMN($O303:$AL303),4)=MOD(COLUMN($O303)+1,4)),$O303:$AL303)*
$I303+SUMPRODUCT(--(MOD(COLUMN($AM303:$BJ303),4)=MOD(COLUMN($AM303)+1,4)),$AM303:$BJ303)*$I303</f>
        <v/>
      </c>
      <c r="BP303" s="824">
        <f>SUMPRODUCT(--(MOD(COLUMN($O303:$AL303),4)=MOD(COLUMN($O303)+2,4)),$O303:$AL303)
+SUMPRODUCT(--(MOD(COLUMN($AM303:$BJ303),4)=MOD(COLUMN($AM303)+2,4)),$AM303:$BJ303)</f>
        <v/>
      </c>
      <c r="BQ303" s="825">
        <f>SUMPRODUCT(--(MOD(COLUMN($O303:$AL303),4)=MOD(COLUMN($O303)+2,4)),$O303:$AL303)*
$I303+SUMPRODUCT(--(MOD(COLUMN($AM303:$BJ303),4)=MOD(COLUMN($AM303)+2,4)),$AM303:$BJ303)*$I303</f>
        <v/>
      </c>
      <c r="BR303" s="819" t="n"/>
      <c r="BS303" s="819" t="n"/>
      <c r="BT303" s="578" t="n"/>
      <c r="BU303" s="498" t="n"/>
      <c r="BV303" s="579" t="n"/>
      <c r="BW303" s="498" t="n"/>
      <c r="BX303" s="578" t="n"/>
      <c r="BY303" s="498" t="n"/>
      <c r="BZ303" s="579" t="n"/>
      <c r="CA303" s="498" t="n"/>
      <c r="CB303" s="578" t="n"/>
      <c r="CC303" s="498" t="n"/>
      <c r="CD303" s="579" t="n"/>
      <c r="CE303" s="498" t="n"/>
      <c r="CF303" s="578" t="n"/>
      <c r="CG303" s="498" t="n"/>
      <c r="CH303" s="579" t="n"/>
      <c r="CI303" s="498" t="n"/>
      <c r="CJ303" s="578" t="n"/>
      <c r="CK303" s="498" t="n"/>
      <c r="CL303" s="579" t="n"/>
      <c r="CM303" s="498" t="n"/>
      <c r="CN303" s="578" t="n"/>
      <c r="CO303" s="498" t="n"/>
      <c r="CP303" s="579" t="n"/>
      <c r="CQ303" s="498" t="n"/>
      <c r="CR303" s="578" t="n"/>
      <c r="CS303" s="498" t="n"/>
      <c r="CT303" s="579" t="n"/>
      <c r="CU303" s="498" t="n"/>
      <c r="CV303" s="578" t="n"/>
      <c r="CW303" s="498" t="n"/>
      <c r="CX303" s="579" t="n"/>
      <c r="CY303" s="498" t="n"/>
      <c r="CZ303" s="578" t="n"/>
      <c r="DA303" s="498" t="n"/>
      <c r="DB303" s="579" t="n"/>
      <c r="DC303" s="498" t="n"/>
      <c r="DD303" s="578" t="n"/>
      <c r="DE303" s="498" t="n"/>
      <c r="DF303" s="579" t="n"/>
      <c r="DG303" s="498" t="n"/>
      <c r="DH303" s="578" t="n"/>
      <c r="DI303" s="498" t="n"/>
      <c r="DJ303" s="579" t="n"/>
      <c r="DK303" s="498" t="n"/>
      <c r="DL303" s="578" t="n"/>
      <c r="DM303" s="498" t="n"/>
      <c r="DN303" s="579" t="n"/>
      <c r="DO303" s="498" t="n"/>
      <c r="DP303" s="572" t="n"/>
      <c r="DQ303" s="820" t="n"/>
      <c r="DR303" s="820" t="n"/>
      <c r="DS303" s="819" t="n"/>
      <c r="DT303" s="819" t="n"/>
      <c r="DU303" s="578" t="n"/>
      <c r="DV303" s="498" t="n"/>
      <c r="DW303" s="579" t="n"/>
      <c r="DX303" s="498" t="n"/>
      <c r="DY303" s="578" t="n"/>
      <c r="DZ303" s="498" t="n"/>
      <c r="EA303" s="579" t="n"/>
      <c r="EB303" s="498" t="n"/>
      <c r="EC303" s="578" t="n"/>
      <c r="ED303" s="498" t="n"/>
      <c r="EE303" s="579" t="n"/>
      <c r="EF303" s="498" t="n"/>
      <c r="EG303" s="578" t="n"/>
      <c r="EH303" s="498" t="n"/>
      <c r="EI303" s="579" t="n"/>
      <c r="EJ303" s="498" t="n"/>
      <c r="EK303" s="578" t="n"/>
      <c r="EL303" s="498" t="n"/>
      <c r="EM303" s="579" t="n"/>
      <c r="EN303" s="498" t="n"/>
      <c r="EO303" s="578" t="n"/>
      <c r="EP303" s="498" t="n"/>
      <c r="EQ303" s="579" t="n"/>
      <c r="ER303" s="498" t="n"/>
      <c r="ES303" s="578" t="n"/>
      <c r="ET303" s="498" t="n"/>
      <c r="EU303" s="579" t="n"/>
      <c r="EV303" s="498" t="n"/>
      <c r="EW303" s="578" t="n"/>
      <c r="EX303" s="498" t="n"/>
      <c r="EY303" s="579" t="n"/>
      <c r="EZ303" s="498" t="n"/>
      <c r="FA303" s="578" t="n"/>
      <c r="FB303" s="498" t="n"/>
      <c r="FC303" s="579" t="n"/>
      <c r="FD303" s="498" t="n"/>
      <c r="FE303" s="578" t="n"/>
      <c r="FF303" s="498" t="n"/>
      <c r="FG303" s="579" t="n"/>
      <c r="FH303" s="498" t="n"/>
      <c r="FI303" s="578" t="n"/>
      <c r="FJ303" s="498" t="n"/>
      <c r="FK303" s="579" t="n"/>
      <c r="FL303" s="498" t="n"/>
      <c r="FM303" s="578" t="n"/>
      <c r="FN303" s="498" t="n"/>
      <c r="FO303" s="579" t="n"/>
      <c r="FP303" s="498" t="n"/>
      <c r="FQ303" s="572" t="n"/>
      <c r="FR303" s="820" t="n"/>
      <c r="FS303" s="820" t="n"/>
      <c r="FT303" s="573" t="n"/>
    </row>
    <row r="304" outlineLevel="2" customFormat="1" s="574">
      <c r="A304" s="586" t="inlineStr">
        <is>
          <t>АВТОВИК ООО / AVTOVIK OOO</t>
        </is>
      </c>
      <c r="B304" s="580" t="inlineStr">
        <is>
          <t>Предоплата 100%</t>
        </is>
      </c>
      <c r="C304" s="592" t="inlineStr">
        <is>
          <t>ВБК РУС</t>
        </is>
      </c>
      <c r="D304" s="586" t="inlineStr">
        <is>
          <t>Прасолов, Соловьёв</t>
        </is>
      </c>
      <c r="E304" s="584">
        <f>IF(ISBLANK(G304),"",IF($A$6:$A$330=$A304,COUNTIF($A$6:A304,$A304),""))</f>
        <v/>
      </c>
      <c r="F304" s="577" t="inlineStr">
        <is>
          <t>S</t>
        </is>
      </c>
      <c r="G304" s="403" t="n">
        <v>4441000220</v>
      </c>
      <c r="H304" s="613" t="inlineStr">
        <is>
          <t>Комплект расширения "TEBS 3M (6 м)"</t>
        </is>
      </c>
      <c r="I304" s="618">
        <f>1940/НДС</f>
        <v/>
      </c>
      <c r="J304" s="619" t="n"/>
      <c r="K304" s="876" t="n"/>
      <c r="L304" s="619" t="n"/>
      <c r="M304" s="813" t="n"/>
      <c r="N304" s="813">
        <f>IF(BP304&gt;0,1,IF(BN304&gt;0,2,))</f>
        <v/>
      </c>
      <c r="O304" s="578" t="n">
        <v>10</v>
      </c>
      <c r="P304" s="498" t="n"/>
      <c r="Q304" s="579" t="n">
        <v>0</v>
      </c>
      <c r="R304" s="498" t="n"/>
      <c r="S304" s="578" t="n">
        <v>20</v>
      </c>
      <c r="T304" s="498" t="n"/>
      <c r="U304" s="579" t="n">
        <v>0</v>
      </c>
      <c r="V304" s="498" t="n"/>
      <c r="W304" s="578" t="n">
        <v>30</v>
      </c>
      <c r="X304" s="718" t="n"/>
      <c r="Y304" s="579" t="n">
        <v>0</v>
      </c>
      <c r="Z304" s="498" t="n"/>
      <c r="AA304" s="578" t="n">
        <v>30</v>
      </c>
      <c r="AB304" s="718" t="n"/>
      <c r="AC304" s="579" t="n">
        <v>0</v>
      </c>
      <c r="AD304" s="498" t="n"/>
      <c r="AE304" s="578" t="n">
        <v>30</v>
      </c>
      <c r="AF304" s="718">
        <f>10</f>
        <v/>
      </c>
      <c r="AG304" s="579" t="n">
        <v>0</v>
      </c>
      <c r="AH304" s="498" t="n"/>
      <c r="AI304" s="578" t="n">
        <v>30</v>
      </c>
      <c r="AJ304" s="498">
        <f>N(20)</f>
        <v/>
      </c>
      <c r="AK304" s="579" t="n">
        <v>0</v>
      </c>
      <c r="AL304" s="498" t="n"/>
      <c r="AM304" s="578" t="n">
        <v>30</v>
      </c>
      <c r="AN304" s="498">
        <f>N(30)</f>
        <v/>
      </c>
      <c r="AO304" s="579" t="n">
        <v>0</v>
      </c>
      <c r="AP304" s="498" t="n"/>
      <c r="AQ304" s="578" t="n">
        <v>30</v>
      </c>
      <c r="AR304" s="498">
        <f>N(50)</f>
        <v/>
      </c>
      <c r="AS304" s="579" t="n">
        <v>0</v>
      </c>
      <c r="AT304" s="498" t="n"/>
      <c r="AU304" s="578" t="n">
        <v>30</v>
      </c>
      <c r="AV304" s="498" t="n">
        <v>30</v>
      </c>
      <c r="AW304" s="579" t="n">
        <v>0</v>
      </c>
      <c r="AX304" s="498" t="n"/>
      <c r="AY304" s="578" t="n">
        <v>30</v>
      </c>
      <c r="AZ304" s="498" t="n">
        <v>30</v>
      </c>
      <c r="BA304" s="579" t="n">
        <v>0</v>
      </c>
      <c r="BB304" s="498" t="n"/>
      <c r="BC304" s="578" t="n">
        <v>30</v>
      </c>
      <c r="BD304" s="498" t="n">
        <v>30</v>
      </c>
      <c r="BE304" s="579" t="n">
        <v>0</v>
      </c>
      <c r="BF304" s="498" t="n"/>
      <c r="BG304" s="578" t="n">
        <v>30</v>
      </c>
      <c r="BH304" s="498" t="n">
        <v>30</v>
      </c>
      <c r="BI304" s="579" t="n">
        <v>0</v>
      </c>
      <c r="BJ304" s="498" t="n"/>
      <c r="BK304" s="572" t="n"/>
      <c r="BL304" s="820">
        <f>SUMPRODUCT(--(MOD(COLUMN($O304:$AL304),4)=MOD(COLUMN($O304)+0,4)),$O304:$AL304)
+SUMPRODUCT(--(MOD(COLUMN($AM304:$BJ304),4)=MOD(COLUMN($AM304)+0,4)),$AM304:$BJ304)</f>
        <v/>
      </c>
      <c r="BM304" s="820">
        <f>SUMPRODUCT(--(MOD(COLUMN($O304:$AL304),4)=MOD(COLUMN($O304)+0,4)),$O304:$AL304)*
$I304+SUMPRODUCT(--(MOD(COLUMN($AM304:$BJ304),4)=MOD(COLUMN($AM304)+0,4)),$AM304:$BJ304)*$I304</f>
        <v/>
      </c>
      <c r="BN304" s="822">
        <f>SUMPRODUCT(--(MOD(COLUMN($O304:$AL304),4)=MOD(COLUMN($O304)+1,4)),$O304:$AL304)
+SUMPRODUCT(--(MOD(COLUMN($AM304:$BJ304),4)=MOD(COLUMN($AM304)+1,4)),$AM304:$BJ304)</f>
        <v/>
      </c>
      <c r="BO304" s="823">
        <f>SUMPRODUCT(--(MOD(COLUMN($O304:$AL304),4)=MOD(COLUMN($O304)+1,4)),$O304:$AL304)*
$I304+SUMPRODUCT(--(MOD(COLUMN($AM304:$BJ304),4)=MOD(COLUMN($AM304)+1,4)),$AM304:$BJ304)*$I304</f>
        <v/>
      </c>
      <c r="BP304" s="824">
        <f>SUMPRODUCT(--(MOD(COLUMN($O304:$AL304),4)=MOD(COLUMN($O304)+2,4)),$O304:$AL304)
+SUMPRODUCT(--(MOD(COLUMN($AM304:$BJ304),4)=MOD(COLUMN($AM304)+2,4)),$AM304:$BJ304)</f>
        <v/>
      </c>
      <c r="BQ304" s="825">
        <f>SUMPRODUCT(--(MOD(COLUMN($O304:$AL304),4)=MOD(COLUMN($O304)+2,4)),$O304:$AL304)*
$I304+SUMPRODUCT(--(MOD(COLUMN($AM304:$BJ304),4)=MOD(COLUMN($AM304)+2,4)),$AM304:$BJ304)*$I304</f>
        <v/>
      </c>
      <c r="BR304" s="819" t="n"/>
      <c r="BS304" s="819" t="n"/>
      <c r="BT304" s="578" t="n"/>
      <c r="BU304" s="498" t="n"/>
      <c r="BV304" s="579" t="n"/>
      <c r="BW304" s="498" t="n"/>
      <c r="BX304" s="578" t="n"/>
      <c r="BY304" s="498" t="n"/>
      <c r="BZ304" s="579" t="n"/>
      <c r="CA304" s="498" t="n"/>
      <c r="CB304" s="578" t="n"/>
      <c r="CC304" s="498" t="n"/>
      <c r="CD304" s="579" t="n"/>
      <c r="CE304" s="498" t="n"/>
      <c r="CF304" s="578" t="n"/>
      <c r="CG304" s="498" t="n"/>
      <c r="CH304" s="579" t="n"/>
      <c r="CI304" s="498" t="n"/>
      <c r="CJ304" s="578" t="n"/>
      <c r="CK304" s="498" t="n"/>
      <c r="CL304" s="579" t="n"/>
      <c r="CM304" s="498" t="n"/>
      <c r="CN304" s="578" t="n"/>
      <c r="CO304" s="498" t="n"/>
      <c r="CP304" s="579" t="n"/>
      <c r="CQ304" s="498" t="n"/>
      <c r="CR304" s="578" t="n"/>
      <c r="CS304" s="498" t="n"/>
      <c r="CT304" s="579" t="n"/>
      <c r="CU304" s="498" t="n"/>
      <c r="CV304" s="578" t="n"/>
      <c r="CW304" s="498" t="n"/>
      <c r="CX304" s="579" t="n"/>
      <c r="CY304" s="498" t="n"/>
      <c r="CZ304" s="578" t="n"/>
      <c r="DA304" s="498" t="n"/>
      <c r="DB304" s="579" t="n"/>
      <c r="DC304" s="498" t="n"/>
      <c r="DD304" s="578" t="n"/>
      <c r="DE304" s="498" t="n"/>
      <c r="DF304" s="579" t="n"/>
      <c r="DG304" s="498" t="n"/>
      <c r="DH304" s="578" t="n"/>
      <c r="DI304" s="498" t="n"/>
      <c r="DJ304" s="579" t="n"/>
      <c r="DK304" s="498" t="n"/>
      <c r="DL304" s="578" t="n"/>
      <c r="DM304" s="498" t="n"/>
      <c r="DN304" s="579" t="n"/>
      <c r="DO304" s="498" t="n"/>
      <c r="DP304" s="572" t="n"/>
      <c r="DQ304" s="820" t="n"/>
      <c r="DR304" s="820">
        <f>SUMPRODUCT(--(MOD(COLUMN(BT304:CQ304),4)=MOD(COLUMN(BT304),4)),BT304:CQ304)*$I304+SUMPRODUCT(--(MOD(COLUMN(CR304:DO304),4)=MOD(COLUMN(CR304),4)),CR304:DO304)*$I304</f>
        <v/>
      </c>
      <c r="DS304" s="819" t="n"/>
      <c r="DT304" s="819" t="n"/>
      <c r="DU304" s="578" t="n"/>
      <c r="DV304" s="498" t="n"/>
      <c r="DW304" s="579" t="n"/>
      <c r="DX304" s="498" t="n"/>
      <c r="DY304" s="578" t="n"/>
      <c r="DZ304" s="498" t="n"/>
      <c r="EA304" s="579" t="n"/>
      <c r="EB304" s="498" t="n"/>
      <c r="EC304" s="578" t="n"/>
      <c r="ED304" s="498" t="n"/>
      <c r="EE304" s="579" t="n"/>
      <c r="EF304" s="498" t="n"/>
      <c r="EG304" s="578" t="n"/>
      <c r="EH304" s="498" t="n"/>
      <c r="EI304" s="579" t="n"/>
      <c r="EJ304" s="498" t="n"/>
      <c r="EK304" s="578" t="n"/>
      <c r="EL304" s="498" t="n"/>
      <c r="EM304" s="579" t="n"/>
      <c r="EN304" s="498" t="n"/>
      <c r="EO304" s="578" t="n"/>
      <c r="EP304" s="498" t="n"/>
      <c r="EQ304" s="579" t="n"/>
      <c r="ER304" s="498" t="n"/>
      <c r="ES304" s="578" t="n"/>
      <c r="ET304" s="498" t="n"/>
      <c r="EU304" s="579" t="n"/>
      <c r="EV304" s="498" t="n"/>
      <c r="EW304" s="578" t="n"/>
      <c r="EX304" s="498" t="n"/>
      <c r="EY304" s="579" t="n"/>
      <c r="EZ304" s="498" t="n"/>
      <c r="FA304" s="578" t="n"/>
      <c r="FB304" s="498" t="n"/>
      <c r="FC304" s="579" t="n"/>
      <c r="FD304" s="498" t="n"/>
      <c r="FE304" s="578" t="n"/>
      <c r="FF304" s="498" t="n"/>
      <c r="FG304" s="579" t="n"/>
      <c r="FH304" s="498" t="n"/>
      <c r="FI304" s="578" t="n"/>
      <c r="FJ304" s="498" t="n"/>
      <c r="FK304" s="579" t="n"/>
      <c r="FL304" s="498" t="n"/>
      <c r="FM304" s="578" t="n"/>
      <c r="FN304" s="498" t="n"/>
      <c r="FO304" s="579" t="n"/>
      <c r="FP304" s="498" t="n"/>
      <c r="FQ304" s="572" t="n"/>
      <c r="FR304" s="820" t="n"/>
      <c r="FS304" s="820">
        <f>SUMPRODUCT(--(MOD(COLUMN(DU304:ER304),4)=MOD(COLUMN(DU304),4)),DU304:ER304)*$I304+SUMPRODUCT(--(MOD(COLUMN(ES304:FP304),4)=MOD(COLUMN(ES304),4)),ES304:FP304)*$I304</f>
        <v/>
      </c>
      <c r="FT304" s="573" t="n"/>
    </row>
    <row r="305" outlineLevel="2" customFormat="1" s="574">
      <c r="A305" s="595" t="inlineStr">
        <is>
          <t>АВТОВИК ООО / AVTOVIK OOO</t>
        </is>
      </c>
      <c r="B305" s="565" t="inlineStr">
        <is>
          <t>Предоплата 100%</t>
        </is>
      </c>
      <c r="C305" s="173" t="inlineStr">
        <is>
          <t>ВБК РУС</t>
        </is>
      </c>
      <c r="D305" s="595" t="inlineStr">
        <is>
          <t>Прасолов, Соловьёв</t>
        </is>
      </c>
      <c r="E305" s="566">
        <f>IF(ISBLANK(G305),"",IF($A$6:$A$330=$A305,COUNTIF($A$6:A305,$A305),""))</f>
        <v/>
      </c>
      <c r="F305" s="567" t="inlineStr">
        <is>
          <t>S</t>
        </is>
      </c>
      <c r="G305" s="403" t="n">
        <v>4441000210</v>
      </c>
      <c r="H305" s="613" t="inlineStr">
        <is>
          <t>Комплект клапана подъёма оси LACV (6 м)</t>
        </is>
      </c>
      <c r="I305" s="618">
        <f>737/НДС</f>
        <v/>
      </c>
      <c r="J305" s="618" t="n"/>
      <c r="K305" s="874" t="n"/>
      <c r="L305" s="618">
        <f>IF(K305="RUB",J305/ЮАНЬ,IF(K305="EUR",J305*ЕВРО/ЮАНЬ,""))</f>
        <v/>
      </c>
      <c r="M305" s="875" t="n"/>
      <c r="N305" s="813">
        <f>IF(BP305&gt;0,1,IF(BN305&gt;0,2,))</f>
        <v/>
      </c>
      <c r="O305" s="569" t="n"/>
      <c r="P305" s="570" t="n"/>
      <c r="Q305" s="571" t="n"/>
      <c r="R305" s="570" t="n"/>
      <c r="S305" s="569" t="n"/>
      <c r="T305" s="570" t="n"/>
      <c r="U305" s="571" t="n"/>
      <c r="V305" s="570" t="n"/>
      <c r="W305" s="569" t="n"/>
      <c r="X305" s="717" t="n"/>
      <c r="Y305" s="571" t="n"/>
      <c r="Z305" s="570" t="n"/>
      <c r="AA305" s="569" t="n"/>
      <c r="AB305" s="717" t="n"/>
      <c r="AC305" s="571" t="n"/>
      <c r="AD305" s="570" t="n"/>
      <c r="AE305" s="569" t="n"/>
      <c r="AF305" s="717" t="n"/>
      <c r="AG305" s="571" t="n"/>
      <c r="AH305" s="570" t="n"/>
      <c r="AI305" s="569" t="n"/>
      <c r="AJ305" s="570" t="n"/>
      <c r="AK305" s="571" t="n"/>
      <c r="AL305" s="570" t="n"/>
      <c r="AM305" s="569" t="n"/>
      <c r="AN305" s="570" t="n"/>
      <c r="AO305" s="571" t="n"/>
      <c r="AP305" s="570" t="n"/>
      <c r="AQ305" s="569" t="n"/>
      <c r="AR305" s="570" t="n"/>
      <c r="AS305" s="571" t="n"/>
      <c r="AT305" s="570" t="n"/>
      <c r="AU305" s="569" t="n">
        <v>20</v>
      </c>
      <c r="AV305" s="570" t="n">
        <v>20</v>
      </c>
      <c r="AW305" s="571" t="n">
        <v>0</v>
      </c>
      <c r="AX305" s="570" t="n"/>
      <c r="AY305" s="569" t="n">
        <v>20</v>
      </c>
      <c r="AZ305" s="570" t="n">
        <v>20</v>
      </c>
      <c r="BA305" s="571" t="n">
        <v>0</v>
      </c>
      <c r="BB305" s="570" t="n"/>
      <c r="BC305" s="569" t="n">
        <v>20</v>
      </c>
      <c r="BD305" s="570" t="n">
        <v>20</v>
      </c>
      <c r="BE305" s="571" t="n">
        <v>0</v>
      </c>
      <c r="BF305" s="570" t="n"/>
      <c r="BG305" s="569" t="n">
        <v>20</v>
      </c>
      <c r="BH305" s="570" t="n">
        <v>20</v>
      </c>
      <c r="BI305" s="571" t="n">
        <v>0</v>
      </c>
      <c r="BJ305" s="570" t="n"/>
      <c r="BK305" s="572" t="n"/>
      <c r="BL305" s="803">
        <f>SUMPRODUCT(--(MOD(COLUMN($O305:$AL305),4)=MOD(COLUMN($O305)+0,4)),$O305:$AL305)
+SUMPRODUCT(--(MOD(COLUMN($AM305:$BJ305),4)=MOD(COLUMN($AM305)+0,4)),$AM305:$BJ305)</f>
        <v/>
      </c>
      <c r="BM305" s="803">
        <f>SUMPRODUCT(--(MOD(COLUMN($O305:$AL305),4)=MOD(COLUMN($O305)+0,4)),$O305:$AL305)*
$I305+SUMPRODUCT(--(MOD(COLUMN($AM305:$BJ305),4)=MOD(COLUMN($AM305)+0,4)),$AM305:$BJ305)*$I305</f>
        <v/>
      </c>
      <c r="BN305" s="805">
        <f>SUMPRODUCT(--(MOD(COLUMN($O305:$AL305),4)=MOD(COLUMN($O305)+1,4)),$O305:$AL305)
+SUMPRODUCT(--(MOD(COLUMN($AM305:$BJ305),4)=MOD(COLUMN($AM305)+1,4)),$AM305:$BJ305)</f>
        <v/>
      </c>
      <c r="BO305" s="806">
        <f>SUMPRODUCT(--(MOD(COLUMN($O305:$AL305),4)=MOD(COLUMN($O305)+1,4)),$O305:$AL305)*
$I305+SUMPRODUCT(--(MOD(COLUMN($AM305:$BJ305),4)=MOD(COLUMN($AM305)+1,4)),$AM305:$BJ305)*$I305</f>
        <v/>
      </c>
      <c r="BP305" s="807">
        <f>SUMPRODUCT(--(MOD(COLUMN($O305:$AL305),4)=MOD(COLUMN($O305)+2,4)),$O305:$AL305)
+SUMPRODUCT(--(MOD(COLUMN($AM305:$BJ305),4)=MOD(COLUMN($AM305)+2,4)),$AM305:$BJ305)</f>
        <v/>
      </c>
      <c r="BQ305" s="808">
        <f>SUMPRODUCT(--(MOD(COLUMN($O305:$AL305),4)=MOD(COLUMN($O305)+2,4)),$O305:$AL305)*
$I305+SUMPRODUCT(--(MOD(COLUMN($AM305:$BJ305),4)=MOD(COLUMN($AM305)+2,4)),$AM305:$BJ305)*$I305</f>
        <v/>
      </c>
      <c r="BR305" s="801" t="n"/>
      <c r="BS305" s="819" t="n"/>
      <c r="BT305" s="569" t="n">
        <v>30</v>
      </c>
      <c r="BU305" s="570" t="n"/>
      <c r="BV305" s="571" t="n">
        <v>0</v>
      </c>
      <c r="BW305" s="570" t="n"/>
      <c r="BX305" s="569" t="n">
        <v>30</v>
      </c>
      <c r="BY305" s="570" t="n"/>
      <c r="BZ305" s="571" t="n">
        <v>0</v>
      </c>
      <c r="CA305" s="570" t="n"/>
      <c r="CB305" s="569" t="n">
        <v>30</v>
      </c>
      <c r="CC305" s="570" t="n"/>
      <c r="CD305" s="571" t="n">
        <v>0</v>
      </c>
      <c r="CE305" s="570" t="n"/>
      <c r="CF305" s="569" t="n">
        <v>30</v>
      </c>
      <c r="CG305" s="570" t="n"/>
      <c r="CH305" s="571" t="n">
        <v>0</v>
      </c>
      <c r="CI305" s="570" t="n"/>
      <c r="CJ305" s="569" t="n">
        <v>30</v>
      </c>
      <c r="CK305" s="570" t="n"/>
      <c r="CL305" s="571" t="n">
        <v>0</v>
      </c>
      <c r="CM305" s="570" t="n"/>
      <c r="CN305" s="569" t="n">
        <v>50</v>
      </c>
      <c r="CO305" s="570" t="n"/>
      <c r="CP305" s="571" t="n">
        <v>0</v>
      </c>
      <c r="CQ305" s="570" t="n"/>
      <c r="CR305" s="569" t="n">
        <v>50</v>
      </c>
      <c r="CS305" s="570" t="n"/>
      <c r="CT305" s="571" t="n">
        <v>0</v>
      </c>
      <c r="CU305" s="570" t="n"/>
      <c r="CV305" s="569" t="n">
        <v>50</v>
      </c>
      <c r="CW305" s="570" t="n"/>
      <c r="CX305" s="571" t="n">
        <v>0</v>
      </c>
      <c r="CY305" s="570" t="n"/>
      <c r="CZ305" s="569" t="n">
        <v>50</v>
      </c>
      <c r="DA305" s="570" t="n"/>
      <c r="DB305" s="571" t="n">
        <v>0</v>
      </c>
      <c r="DC305" s="570" t="n"/>
      <c r="DD305" s="569" t="n">
        <v>50</v>
      </c>
      <c r="DE305" s="570" t="n"/>
      <c r="DF305" s="571" t="n">
        <v>0</v>
      </c>
      <c r="DG305" s="570" t="n"/>
      <c r="DH305" s="569" t="n">
        <v>50</v>
      </c>
      <c r="DI305" s="570" t="n"/>
      <c r="DJ305" s="571" t="n">
        <v>0</v>
      </c>
      <c r="DK305" s="570" t="n"/>
      <c r="DL305" s="569" t="n">
        <v>50</v>
      </c>
      <c r="DM305" s="570" t="n"/>
      <c r="DN305" s="571" t="n">
        <v>0</v>
      </c>
      <c r="DO305" s="570" t="n"/>
      <c r="DP305" s="572" t="n"/>
      <c r="DQ305" s="803">
        <f>SUMPRODUCT(--(MOD(COLUMN(BT305:CQ305),4)=MOD(COLUMN(BT305),4)),BT305:CQ305)+SUMPRODUCT(--(MOD(COLUMN(CR305:DO305),4)=MOD(COLUMN(CR305),4)),CR305:DO305)</f>
        <v/>
      </c>
      <c r="DR305" s="803">
        <f>SUMPRODUCT(--(MOD(COLUMN(BT305:CQ305),4)=MOD(COLUMN(BT305),4)),BT305:CQ305)*$I305+SUMPRODUCT(--(MOD(COLUMN(CR305:DO305),4)=MOD(COLUMN(CR305),4)),CR305:DO305)*$I305</f>
        <v/>
      </c>
      <c r="DS305" s="801" t="n"/>
      <c r="DT305" s="819" t="n"/>
      <c r="DU305" s="569" t="n">
        <v>50</v>
      </c>
      <c r="DV305" s="570" t="n"/>
      <c r="DW305" s="571" t="n">
        <v>0</v>
      </c>
      <c r="DX305" s="570" t="n"/>
      <c r="DY305" s="569" t="n">
        <v>50</v>
      </c>
      <c r="DZ305" s="570" t="n"/>
      <c r="EA305" s="571" t="n">
        <v>0</v>
      </c>
      <c r="EB305" s="570" t="n"/>
      <c r="EC305" s="569" t="n">
        <v>50</v>
      </c>
      <c r="ED305" s="570" t="n"/>
      <c r="EE305" s="571" t="n">
        <v>0</v>
      </c>
      <c r="EF305" s="570" t="n"/>
      <c r="EG305" s="569" t="n">
        <v>50</v>
      </c>
      <c r="EH305" s="570" t="n"/>
      <c r="EI305" s="571" t="n">
        <v>0</v>
      </c>
      <c r="EJ305" s="570" t="n"/>
      <c r="EK305" s="569" t="n">
        <v>50</v>
      </c>
      <c r="EL305" s="570" t="n"/>
      <c r="EM305" s="571" t="n">
        <v>0</v>
      </c>
      <c r="EN305" s="570" t="n"/>
      <c r="EO305" s="569" t="n">
        <v>80</v>
      </c>
      <c r="EP305" s="570" t="n"/>
      <c r="EQ305" s="571" t="n">
        <v>0</v>
      </c>
      <c r="ER305" s="570" t="n"/>
      <c r="ES305" s="569" t="n">
        <v>80</v>
      </c>
      <c r="ET305" s="570" t="n"/>
      <c r="EU305" s="571" t="n">
        <v>0</v>
      </c>
      <c r="EV305" s="570" t="n"/>
      <c r="EW305" s="569" t="n">
        <v>80</v>
      </c>
      <c r="EX305" s="570" t="n"/>
      <c r="EY305" s="571" t="n">
        <v>0</v>
      </c>
      <c r="EZ305" s="570" t="n"/>
      <c r="FA305" s="569" t="n">
        <v>80</v>
      </c>
      <c r="FB305" s="570" t="n"/>
      <c r="FC305" s="571" t="n">
        <v>0</v>
      </c>
      <c r="FD305" s="570" t="n"/>
      <c r="FE305" s="569" t="n">
        <v>80</v>
      </c>
      <c r="FF305" s="570" t="n"/>
      <c r="FG305" s="571" t="n">
        <v>0</v>
      </c>
      <c r="FH305" s="570" t="n"/>
      <c r="FI305" s="569" t="n">
        <v>120</v>
      </c>
      <c r="FJ305" s="570" t="n"/>
      <c r="FK305" s="571" t="n">
        <v>0</v>
      </c>
      <c r="FL305" s="570" t="n"/>
      <c r="FM305" s="569" t="n">
        <v>120</v>
      </c>
      <c r="FN305" s="570" t="n"/>
      <c r="FO305" s="571" t="n">
        <v>0</v>
      </c>
      <c r="FP305" s="570" t="n"/>
      <c r="FQ305" s="572" t="n"/>
      <c r="FR305" s="803">
        <f>SUMPRODUCT(--(MOD(COLUMN(DU305:ER305),4)=MOD(COLUMN(DU305),4)),DU305:ER305)+SUMPRODUCT(--(MOD(COLUMN(ES305:FP305),4)=MOD(COLUMN(ES305),4)),ES305:FP305)</f>
        <v/>
      </c>
      <c r="FS305" s="803">
        <f>SUMPRODUCT(--(MOD(COLUMN(DU305:ER305),4)=MOD(COLUMN(DU305),4)),DU305:ER305)*$I305+SUMPRODUCT(--(MOD(COLUMN(ES305:FP305),4)=MOD(COLUMN(ES305),4)),ES305:FP305)*$I305</f>
        <v/>
      </c>
      <c r="FT305" s="573" t="n"/>
    </row>
    <row r="306" outlineLevel="2" customFormat="1" s="574">
      <c r="A306" s="399" t="inlineStr">
        <is>
          <t>АВТОВИК ООО / AVTOVIK OOO</t>
        </is>
      </c>
      <c r="B306" s="575" t="inlineStr">
        <is>
          <t>Предоплата 100%</t>
        </is>
      </c>
      <c r="C306" s="311" t="inlineStr">
        <is>
          <t>ВБК РУС</t>
        </is>
      </c>
      <c r="D306" s="399" t="inlineStr">
        <is>
          <t>Прасолов, Соловьёв</t>
        </is>
      </c>
      <c r="E306" s="576">
        <f>IF(ISBLANK(G306),"",IF($A$6:$A$330=$A306,COUNTIF($A$6:A306,$A306),""))</f>
        <v/>
      </c>
      <c r="F306" s="577" t="inlineStr">
        <is>
          <t>S</t>
        </is>
      </c>
      <c r="G306" s="673" t="inlineStr">
        <is>
          <t>Арт_Пнев_Под_2</t>
        </is>
      </c>
      <c r="H306" s="666" t="inlineStr">
        <is>
          <t>Комплект пневматики</t>
        </is>
      </c>
      <c r="I306" s="618">
        <f>J306/ЮАНЬ_2025_08_29</f>
        <v/>
      </c>
      <c r="J306" s="619">
        <f>16000/НДС_20</f>
        <v/>
      </c>
      <c r="K306" s="876" t="inlineStr">
        <is>
          <t>RUB</t>
        </is>
      </c>
      <c r="L306" s="619">
        <f>IF(K306="RUB",J306/ЮАНЬ,IF(K306="EUR",J306*ЕВРО/ЮАНЬ,""))</f>
        <v/>
      </c>
      <c r="M306" s="813" t="n"/>
      <c r="N306" s="813">
        <f>IF(BP306&gt;0,1,IF(BN306&gt;0,2,))</f>
        <v/>
      </c>
      <c r="O306" s="578" t="n"/>
      <c r="P306" s="498" t="n"/>
      <c r="Q306" s="579" t="n"/>
      <c r="R306" s="498" t="n"/>
      <c r="S306" s="578" t="n"/>
      <c r="T306" s="498" t="n"/>
      <c r="U306" s="579" t="n"/>
      <c r="V306" s="498" t="n"/>
      <c r="W306" s="578" t="n"/>
      <c r="X306" s="718" t="n"/>
      <c r="Y306" s="579" t="n"/>
      <c r="Z306" s="498" t="n"/>
      <c r="AA306" s="578" t="n"/>
      <c r="AB306" s="718" t="n"/>
      <c r="AC306" s="579" t="n"/>
      <c r="AD306" s="498" t="n"/>
      <c r="AE306" s="578" t="n"/>
      <c r="AF306" s="718" t="n"/>
      <c r="AG306" s="579" t="n"/>
      <c r="AH306" s="498" t="n"/>
      <c r="AI306" s="578" t="n"/>
      <c r="AJ306" s="498" t="n"/>
      <c r="AK306" s="579" t="n"/>
      <c r="AL306" s="498" t="n"/>
      <c r="AM306" s="578" t="n"/>
      <c r="AN306" s="498" t="n"/>
      <c r="AO306" s="579" t="n"/>
      <c r="AP306" s="498" t="n"/>
      <c r="AQ306" s="578" t="n"/>
      <c r="AR306" s="498" t="n"/>
      <c r="AS306" s="579" t="n"/>
      <c r="AT306" s="498" t="n"/>
      <c r="AU306" s="578" t="n"/>
      <c r="AV306" s="498" t="n"/>
      <c r="AW306" s="579" t="n"/>
      <c r="AX306" s="498" t="n"/>
      <c r="AY306" s="578" t="n"/>
      <c r="AZ306" s="498" t="n"/>
      <c r="BA306" s="579" t="n"/>
      <c r="BB306" s="498" t="n"/>
      <c r="BC306" s="578" t="n"/>
      <c r="BD306" s="498" t="n"/>
      <c r="BE306" s="579" t="n"/>
      <c r="BF306" s="498" t="n"/>
      <c r="BG306" s="578" t="n"/>
      <c r="BH306" s="498" t="n"/>
      <c r="BI306" s="579" t="n"/>
      <c r="BJ306" s="498" t="n"/>
      <c r="BK306" s="572" t="n"/>
      <c r="BL306" s="820">
        <f>SUMPRODUCT(--(MOD(COLUMN($O306:$AL306),4)=MOD(COLUMN($O306)+0,4)),$O306:$AL306)
+SUMPRODUCT(--(MOD(COLUMN($AM306:$BJ306),4)=MOD(COLUMN($AM306)+0,4)),$AM306:$BJ306)</f>
        <v/>
      </c>
      <c r="BM306" s="820">
        <f>SUMPRODUCT(--(MOD(COLUMN($O306:$AL306),4)=MOD(COLUMN($O306)+0,4)),$O306:$AL306)*
$I306+SUMPRODUCT(--(MOD(COLUMN($AM306:$BJ306),4)=MOD(COLUMN($AM306)+0,4)),$AM306:$BJ306)*$I306</f>
        <v/>
      </c>
      <c r="BN306" s="822">
        <f>SUMPRODUCT(--(MOD(COLUMN($O306:$AL306),4)=MOD(COLUMN($O306)+1,4)),$O306:$AL306)
+SUMPRODUCT(--(MOD(COLUMN($AM306:$BJ306),4)=MOD(COLUMN($AM306)+1,4)),$AM306:$BJ306)</f>
        <v/>
      </c>
      <c r="BO306" s="823">
        <f>SUMPRODUCT(--(MOD(COLUMN($O306:$AL306),4)=MOD(COLUMN($O306)+1,4)),$O306:$AL306)*
$I306+SUMPRODUCT(--(MOD(COLUMN($AM306:$BJ306),4)=MOD(COLUMN($AM306)+1,4)),$AM306:$BJ306)*$I306</f>
        <v/>
      </c>
      <c r="BP306" s="824">
        <f>SUMPRODUCT(--(MOD(COLUMN($O306:$AL306),4)=MOD(COLUMN($O306)+2,4)),$O306:$AL306)
+SUMPRODUCT(--(MOD(COLUMN($AM306:$BJ306),4)=MOD(COLUMN($AM306)+2,4)),$AM306:$BJ306)</f>
        <v/>
      </c>
      <c r="BQ306" s="825">
        <f>SUMPRODUCT(--(MOD(COLUMN($O306:$AL306),4)=MOD(COLUMN($O306)+2,4)),$O306:$AL306)*
$I306+SUMPRODUCT(--(MOD(COLUMN($AM306:$BJ306),4)=MOD(COLUMN($AM306)+2,4)),$AM306:$BJ306)*$I306</f>
        <v/>
      </c>
      <c r="BR306" s="819" t="n"/>
      <c r="BS306" s="819" t="n"/>
      <c r="BT306" s="578" t="n"/>
      <c r="BU306" s="498" t="n"/>
      <c r="BV306" s="579" t="n"/>
      <c r="BW306" s="498" t="n"/>
      <c r="BX306" s="578" t="n"/>
      <c r="BY306" s="498" t="n"/>
      <c r="BZ306" s="579" t="n"/>
      <c r="CA306" s="498" t="n"/>
      <c r="CB306" s="578" t="n"/>
      <c r="CC306" s="498" t="n"/>
      <c r="CD306" s="579" t="n"/>
      <c r="CE306" s="498" t="n"/>
      <c r="CF306" s="578" t="n"/>
      <c r="CG306" s="498" t="n"/>
      <c r="CH306" s="579" t="n"/>
      <c r="CI306" s="498" t="n"/>
      <c r="CJ306" s="578" t="n"/>
      <c r="CK306" s="498" t="n"/>
      <c r="CL306" s="579" t="n"/>
      <c r="CM306" s="498" t="n"/>
      <c r="CN306" s="578" t="n"/>
      <c r="CO306" s="498" t="n"/>
      <c r="CP306" s="579" t="n"/>
      <c r="CQ306" s="498" t="n"/>
      <c r="CR306" s="578" t="n"/>
      <c r="CS306" s="498" t="n"/>
      <c r="CT306" s="579" t="n"/>
      <c r="CU306" s="498" t="n"/>
      <c r="CV306" s="578" t="n"/>
      <c r="CW306" s="498" t="n"/>
      <c r="CX306" s="579" t="n"/>
      <c r="CY306" s="498" t="n"/>
      <c r="CZ306" s="578" t="n"/>
      <c r="DA306" s="498" t="n"/>
      <c r="DB306" s="579" t="n"/>
      <c r="DC306" s="498" t="n"/>
      <c r="DD306" s="578" t="n"/>
      <c r="DE306" s="498" t="n"/>
      <c r="DF306" s="579" t="n"/>
      <c r="DG306" s="498" t="n"/>
      <c r="DH306" s="578" t="n"/>
      <c r="DI306" s="498" t="n"/>
      <c r="DJ306" s="579" t="n"/>
      <c r="DK306" s="498" t="n"/>
      <c r="DL306" s="578" t="n"/>
      <c r="DM306" s="498" t="n"/>
      <c r="DN306" s="579" t="n"/>
      <c r="DO306" s="498" t="n"/>
      <c r="DP306" s="572" t="n"/>
      <c r="DQ306" s="820">
        <f>SUMPRODUCT(--(MOD(COLUMN(BT306:CQ306),4)=MOD(COLUMN(BT306),4)),BT306:CQ306)+SUMPRODUCT(--(MOD(COLUMN(CR306:DO306),4)=MOD(COLUMN(CR306),4)),CR306:DO306)</f>
        <v/>
      </c>
      <c r="DR306" s="820">
        <f>SUMPRODUCT(--(MOD(COLUMN(BT306:CQ306),4)=MOD(COLUMN(BT306),4)),BT306:CQ306)*$I306+SUMPRODUCT(--(MOD(COLUMN(CR306:DO306),4)=MOD(COLUMN(CR306),4)),CR306:DO306)*$I306</f>
        <v/>
      </c>
      <c r="DS306" s="819" t="n"/>
      <c r="DT306" s="819" t="n"/>
      <c r="DU306" s="578" t="n"/>
      <c r="DV306" s="498" t="n"/>
      <c r="DW306" s="579" t="n"/>
      <c r="DX306" s="498" t="n"/>
      <c r="DY306" s="578" t="n"/>
      <c r="DZ306" s="498" t="n"/>
      <c r="EA306" s="579" t="n"/>
      <c r="EB306" s="498" t="n"/>
      <c r="EC306" s="578" t="n"/>
      <c r="ED306" s="498" t="n"/>
      <c r="EE306" s="579" t="n"/>
      <c r="EF306" s="498" t="n"/>
      <c r="EG306" s="578" t="n"/>
      <c r="EH306" s="498" t="n"/>
      <c r="EI306" s="579" t="n"/>
      <c r="EJ306" s="498" t="n"/>
      <c r="EK306" s="578" t="n"/>
      <c r="EL306" s="498" t="n"/>
      <c r="EM306" s="579" t="n"/>
      <c r="EN306" s="498" t="n"/>
      <c r="EO306" s="578" t="n"/>
      <c r="EP306" s="498" t="n"/>
      <c r="EQ306" s="579" t="n"/>
      <c r="ER306" s="498" t="n"/>
      <c r="ES306" s="578" t="n"/>
      <c r="ET306" s="498" t="n"/>
      <c r="EU306" s="579" t="n"/>
      <c r="EV306" s="498" t="n"/>
      <c r="EW306" s="578" t="n"/>
      <c r="EX306" s="498" t="n"/>
      <c r="EY306" s="579" t="n"/>
      <c r="EZ306" s="498" t="n"/>
      <c r="FA306" s="578" t="n"/>
      <c r="FB306" s="498" t="n"/>
      <c r="FC306" s="579" t="n"/>
      <c r="FD306" s="498" t="n"/>
      <c r="FE306" s="578" t="n"/>
      <c r="FF306" s="498" t="n"/>
      <c r="FG306" s="579" t="n"/>
      <c r="FH306" s="498" t="n"/>
      <c r="FI306" s="578" t="n"/>
      <c r="FJ306" s="498" t="n"/>
      <c r="FK306" s="579" t="n"/>
      <c r="FL306" s="498" t="n"/>
      <c r="FM306" s="578" t="n"/>
      <c r="FN306" s="498" t="n"/>
      <c r="FO306" s="579" t="n"/>
      <c r="FP306" s="498" t="n"/>
      <c r="FQ306" s="572" t="n"/>
      <c r="FR306" s="820">
        <f>SUMPRODUCT(--(MOD(COLUMN(DU306:ER306),4)=MOD(COLUMN(DU306),4)),DU306:ER306)+SUMPRODUCT(--(MOD(COLUMN(ES306:FP306),4)=MOD(COLUMN(ES306),4)),ES306:FP306)</f>
        <v/>
      </c>
      <c r="FS306" s="820">
        <f>SUMPRODUCT(--(MOD(COLUMN(DU306:ER306),4)=MOD(COLUMN(DU306),4)),DU306:ER306)*$I306+SUMPRODUCT(--(MOD(COLUMN(ES306:FP306),4)=MOD(COLUMN(ES306),4)),ES306:FP306)*$I306</f>
        <v/>
      </c>
      <c r="FT306" s="573" t="n"/>
    </row>
    <row r="307" outlineLevel="2" customFormat="1" s="574">
      <c r="A307" s="586" t="inlineStr">
        <is>
          <t>АВТОВИК ООО / AVTOVIK OOO</t>
        </is>
      </c>
      <c r="B307" s="580" t="inlineStr">
        <is>
          <t>Предоплата 100%</t>
        </is>
      </c>
      <c r="C307" s="592" t="inlineStr">
        <is>
          <t>ВБК РУС</t>
        </is>
      </c>
      <c r="D307" s="586" t="inlineStr">
        <is>
          <t>Прасолов, Соловьёв</t>
        </is>
      </c>
      <c r="E307" s="576">
        <f>IF(ISBLANK(G307),"",IF($A$6:$A$330=$A307,COUNTIF($A$6:A307,$A307),""))</f>
        <v/>
      </c>
      <c r="F307" s="577" t="inlineStr">
        <is>
          <t>S</t>
        </is>
      </c>
      <c r="G307" s="403" t="n">
        <v>4441000040</v>
      </c>
      <c r="H307" s="613" t="inlineStr">
        <is>
          <t>Комплект расширения "ABS 3M (10 / 3 м)"</t>
        </is>
      </c>
      <c r="I307" s="619">
        <f>850.7/НДС</f>
        <v/>
      </c>
      <c r="J307" s="619" t="n"/>
      <c r="K307" s="876" t="n"/>
      <c r="L307" s="619" t="n"/>
      <c r="M307" s="813" t="n"/>
      <c r="N307" s="813">
        <f>IF(BP307&gt;0,1,IF(BN307&gt;0,2,))</f>
        <v/>
      </c>
      <c r="O307" s="578" t="n"/>
      <c r="P307" s="498" t="n"/>
      <c r="Q307" s="579" t="n"/>
      <c r="R307" s="498" t="n"/>
      <c r="S307" s="578" t="n"/>
      <c r="T307" s="498">
        <f>10</f>
        <v/>
      </c>
      <c r="U307" s="579" t="n">
        <v>10</v>
      </c>
      <c r="V307" s="498" t="n"/>
      <c r="W307" s="578" t="n"/>
      <c r="X307" s="718" t="n"/>
      <c r="Y307" s="579" t="n"/>
      <c r="Z307" s="498" t="n"/>
      <c r="AA307" s="578" t="n"/>
      <c r="AB307" s="718" t="n"/>
      <c r="AC307" s="579" t="n"/>
      <c r="AD307" s="498" t="n"/>
      <c r="AE307" s="578" t="n"/>
      <c r="AF307" s="718" t="n"/>
      <c r="AG307" s="579" t="n"/>
      <c r="AH307" s="498" t="n"/>
      <c r="AI307" s="578" t="n"/>
      <c r="AJ307" s="498" t="n"/>
      <c r="AK307" s="579" t="n"/>
      <c r="AL307" s="498" t="n"/>
      <c r="AM307" s="578" t="n"/>
      <c r="AN307" s="498" t="n"/>
      <c r="AO307" s="579" t="n"/>
      <c r="AP307" s="498" t="n"/>
      <c r="AQ307" s="578" t="n"/>
      <c r="AR307" s="498" t="n"/>
      <c r="AS307" s="579" t="n"/>
      <c r="AT307" s="498" t="n"/>
      <c r="AU307" s="578" t="n"/>
      <c r="AV307" s="498" t="n"/>
      <c r="AW307" s="579" t="n"/>
      <c r="AX307" s="498" t="n"/>
      <c r="AY307" s="578" t="n"/>
      <c r="AZ307" s="498" t="n"/>
      <c r="BA307" s="579" t="n"/>
      <c r="BB307" s="498" t="n"/>
      <c r="BC307" s="578" t="n"/>
      <c r="BD307" s="498" t="n"/>
      <c r="BE307" s="579" t="n"/>
      <c r="BF307" s="498" t="n"/>
      <c r="BG307" s="578" t="n"/>
      <c r="BH307" s="498" t="n"/>
      <c r="BI307" s="579" t="n"/>
      <c r="BJ307" s="498" t="n"/>
      <c r="BK307" s="572" t="n"/>
      <c r="BL307" s="820">
        <f>SUMPRODUCT(--(MOD(COLUMN($O307:$AL307),4)=MOD(COLUMN($O307)+0,4)),$O307:$AL307)
+SUMPRODUCT(--(MOD(COLUMN($AM307:$BJ307),4)=MOD(COLUMN($AM307)+0,4)),$AM307:$BJ307)</f>
        <v/>
      </c>
      <c r="BM307" s="820">
        <f>SUMPRODUCT(--(MOD(COLUMN($O307:$AL307),4)=MOD(COLUMN($O307)+0,4)),$O307:$AL307)*
$I307+SUMPRODUCT(--(MOD(COLUMN($AM307:$BJ307),4)=MOD(COLUMN($AM307)+0,4)),$AM307:$BJ307)*$I307</f>
        <v/>
      </c>
      <c r="BN307" s="822">
        <f>SUMPRODUCT(--(MOD(COLUMN($O307:$AL307),4)=MOD(COLUMN($O307)+1,4)),$O307:$AL307)
+SUMPRODUCT(--(MOD(COLUMN($AM307:$BJ307),4)=MOD(COLUMN($AM307)+1,4)),$AM307:$BJ307)</f>
        <v/>
      </c>
      <c r="BO307" s="823">
        <f>SUMPRODUCT(--(MOD(COLUMN($O307:$AL307),4)=MOD(COLUMN($O307)+1,4)),$O307:$AL307)*
$I307+SUMPRODUCT(--(MOD(COLUMN($AM307:$BJ307),4)=MOD(COLUMN($AM307)+1,4)),$AM307:$BJ307)*$I307</f>
        <v/>
      </c>
      <c r="BP307" s="824">
        <f>SUMPRODUCT(--(MOD(COLUMN($O307:$AL307),4)=MOD(COLUMN($O307)+2,4)),$O307:$AL307)
+SUMPRODUCT(--(MOD(COLUMN($AM307:$BJ307),4)=MOD(COLUMN($AM307)+2,4)),$AM307:$BJ307)</f>
        <v/>
      </c>
      <c r="BQ307" s="825">
        <f>SUMPRODUCT(--(MOD(COLUMN($O307:$AL307),4)=MOD(COLUMN($O307)+2,4)),$O307:$AL307)*
$I307+SUMPRODUCT(--(MOD(COLUMN($AM307:$BJ307),4)=MOD(COLUMN($AM307)+2,4)),$AM307:$BJ307)*$I307</f>
        <v/>
      </c>
      <c r="BR307" s="819" t="n"/>
      <c r="BS307" s="819" t="n"/>
      <c r="BT307" s="578" t="n"/>
      <c r="BU307" s="498" t="n"/>
      <c r="BV307" s="579" t="n"/>
      <c r="BW307" s="498" t="n"/>
      <c r="BX307" s="578" t="n"/>
      <c r="BY307" s="498" t="n"/>
      <c r="BZ307" s="579" t="n"/>
      <c r="CA307" s="498" t="n"/>
      <c r="CB307" s="578" t="n"/>
      <c r="CC307" s="498" t="n"/>
      <c r="CD307" s="579" t="n"/>
      <c r="CE307" s="498" t="n"/>
      <c r="CF307" s="578" t="n"/>
      <c r="CG307" s="498" t="n"/>
      <c r="CH307" s="579" t="n"/>
      <c r="CI307" s="498" t="n"/>
      <c r="CJ307" s="578" t="n"/>
      <c r="CK307" s="498" t="n"/>
      <c r="CL307" s="579" t="n"/>
      <c r="CM307" s="498" t="n"/>
      <c r="CN307" s="578" t="n"/>
      <c r="CO307" s="498" t="n"/>
      <c r="CP307" s="579" t="n"/>
      <c r="CQ307" s="498" t="n"/>
      <c r="CR307" s="578" t="n"/>
      <c r="CS307" s="498" t="n"/>
      <c r="CT307" s="579" t="n"/>
      <c r="CU307" s="498" t="n"/>
      <c r="CV307" s="578" t="n"/>
      <c r="CW307" s="498" t="n"/>
      <c r="CX307" s="579" t="n"/>
      <c r="CY307" s="498" t="n"/>
      <c r="CZ307" s="578" t="n"/>
      <c r="DA307" s="498" t="n"/>
      <c r="DB307" s="579" t="n"/>
      <c r="DC307" s="498" t="n"/>
      <c r="DD307" s="578" t="n"/>
      <c r="DE307" s="498" t="n"/>
      <c r="DF307" s="579" t="n"/>
      <c r="DG307" s="498" t="n"/>
      <c r="DH307" s="578" t="n"/>
      <c r="DI307" s="498" t="n"/>
      <c r="DJ307" s="579" t="n"/>
      <c r="DK307" s="498" t="n"/>
      <c r="DL307" s="578" t="n"/>
      <c r="DM307" s="498" t="n"/>
      <c r="DN307" s="579" t="n"/>
      <c r="DO307" s="498" t="n"/>
      <c r="DP307" s="572" t="n"/>
      <c r="DQ307" s="820" t="n"/>
      <c r="DR307" s="820">
        <f>SUMPRODUCT(--(MOD(COLUMN(BT307:CQ307),4)=MOD(COLUMN(BT307),4)),BT307:CQ307)*$I307+SUMPRODUCT(--(MOD(COLUMN(CR307:DO307),4)=MOD(COLUMN(CR307),4)),CR307:DO307)*$I307</f>
        <v/>
      </c>
      <c r="DS307" s="819" t="n"/>
      <c r="DT307" s="819" t="n"/>
      <c r="DU307" s="578" t="n"/>
      <c r="DV307" s="498" t="n"/>
      <c r="DW307" s="579" t="n"/>
      <c r="DX307" s="498" t="n"/>
      <c r="DY307" s="578" t="n"/>
      <c r="DZ307" s="498" t="n"/>
      <c r="EA307" s="579" t="n"/>
      <c r="EB307" s="498" t="n"/>
      <c r="EC307" s="578" t="n"/>
      <c r="ED307" s="498" t="n"/>
      <c r="EE307" s="579" t="n"/>
      <c r="EF307" s="498" t="n"/>
      <c r="EG307" s="578" t="n"/>
      <c r="EH307" s="498" t="n"/>
      <c r="EI307" s="579" t="n"/>
      <c r="EJ307" s="498" t="n"/>
      <c r="EK307" s="578" t="n"/>
      <c r="EL307" s="498" t="n"/>
      <c r="EM307" s="579" t="n"/>
      <c r="EN307" s="498" t="n"/>
      <c r="EO307" s="578" t="n"/>
      <c r="EP307" s="498" t="n"/>
      <c r="EQ307" s="579" t="n"/>
      <c r="ER307" s="498" t="n"/>
      <c r="ES307" s="578" t="n"/>
      <c r="ET307" s="498" t="n"/>
      <c r="EU307" s="579" t="n"/>
      <c r="EV307" s="498" t="n"/>
      <c r="EW307" s="578" t="n"/>
      <c r="EX307" s="498" t="n"/>
      <c r="EY307" s="579" t="n"/>
      <c r="EZ307" s="498" t="n"/>
      <c r="FA307" s="578" t="n"/>
      <c r="FB307" s="498" t="n"/>
      <c r="FC307" s="579" t="n"/>
      <c r="FD307" s="498" t="n"/>
      <c r="FE307" s="578" t="n"/>
      <c r="FF307" s="498" t="n"/>
      <c r="FG307" s="579" t="n"/>
      <c r="FH307" s="498" t="n"/>
      <c r="FI307" s="578" t="n"/>
      <c r="FJ307" s="498" t="n"/>
      <c r="FK307" s="579" t="n"/>
      <c r="FL307" s="498" t="n"/>
      <c r="FM307" s="578" t="n"/>
      <c r="FN307" s="498" t="n"/>
      <c r="FO307" s="579" t="n"/>
      <c r="FP307" s="498" t="n"/>
      <c r="FQ307" s="572" t="n"/>
      <c r="FR307" s="820" t="n"/>
      <c r="FS307" s="820">
        <f>SUMPRODUCT(--(MOD(COLUMN(DU307:ER307),4)=MOD(COLUMN(DU307),4)),DU307:ER307)*$I307+SUMPRODUCT(--(MOD(COLUMN(ES307:FP307),4)=MOD(COLUMN(ES307),4)),ES307:FP307)*$I307</f>
        <v/>
      </c>
      <c r="FT307" s="573" t="n"/>
    </row>
    <row r="308" outlineLevel="2">
      <c r="A308" s="58" t="inlineStr">
        <is>
          <t>АВТОВИК ООО / AVTOVIK OOO</t>
        </is>
      </c>
      <c r="B308" s="387" t="inlineStr">
        <is>
          <t>Предоплата 100%</t>
        </is>
      </c>
      <c r="C308" s="173" t="inlineStr">
        <is>
          <t>ВБК РУС</t>
        </is>
      </c>
      <c r="D308" s="595" t="inlineStr">
        <is>
          <t>Прасолов, Соловьёв</t>
        </is>
      </c>
      <c r="E308" s="412">
        <f>IF(ISBLANK(G308),"",IF($A$6:$A$330=$A308,COUNTIF($A$6:A308,$A308),""))</f>
        <v/>
      </c>
      <c r="F308" s="123" t="n">
        <v>1</v>
      </c>
      <c r="G308" s="128" t="n">
        <v>9522010010</v>
      </c>
      <c r="H308" s="612" t="inlineStr">
        <is>
          <t>Головка соединительная (управляющая)</t>
        </is>
      </c>
      <c r="I308" s="618" t="n">
        <v>0</v>
      </c>
      <c r="J308" s="618" t="n"/>
      <c r="K308" s="874" t="n"/>
      <c r="L308" s="618">
        <f>IF(K308="RUB",J308/ЮАНЬ,IF(K308="EUR",J308*ЕВРО/ЮАНЬ,""))</f>
        <v/>
      </c>
      <c r="M308" s="873" t="n"/>
      <c r="N308" s="871">
        <f>IF(BP308&gt;0,1,IF(BN308&gt;0,2,))</f>
        <v/>
      </c>
      <c r="O308" s="23" t="n">
        <v>80</v>
      </c>
      <c r="P308" s="24" t="n"/>
      <c r="Q308" s="25" t="n">
        <v>0</v>
      </c>
      <c r="R308" s="24" t="n"/>
      <c r="S308" s="23" t="n">
        <v>80</v>
      </c>
      <c r="T308" s="24">
        <f>SUMPRODUCT((Комплекты[Пр]=$F308)*(Комплекты[Обозначение]=$G308)*Комплекты[Кол-во]*(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08" s="25" t="n">
        <v>50</v>
      </c>
      <c r="V308" s="570" t="n"/>
      <c r="W308" s="23" t="n">
        <v>80</v>
      </c>
      <c r="X308" s="24">
        <f>SUMPRODUCT((Комплекты[Пр]=$F308)*(Комплекты[Обозначение]=$G308)*Комплекты[Кол-во]*(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08" s="25" t="n">
        <v>20</v>
      </c>
      <c r="Z308" s="24" t="n"/>
      <c r="AA308" s="23" t="n">
        <v>80</v>
      </c>
      <c r="AB308" s="24">
        <f>SUMPRODUCT((Комплекты[Пр]=$F308)*(Комплекты[Обозначение]=$G308)*Комплекты[Кол-во]*(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08" s="25" t="n">
        <v>0</v>
      </c>
      <c r="AD308" s="24" t="n"/>
      <c r="AE308" s="23" t="n">
        <v>80</v>
      </c>
      <c r="AF308" s="24">
        <f>SUMPRODUCT((Комплекты[Пр]=$F308)*(Комплекты[Обозначение]=$G308)*Комплекты[Кол-во]*(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08" s="25" t="n">
        <v>0</v>
      </c>
      <c r="AH308" s="24" t="n"/>
      <c r="AI308" s="23" t="n">
        <v>90</v>
      </c>
      <c r="AJ308" s="24">
        <f>SUMPRODUCT((Комплекты[Пр]=$F308)*(Комплекты[Обозначение]=$G308)*Комплекты[Кол-во]*(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08" s="25" t="n">
        <v>0</v>
      </c>
      <c r="AL308" s="24" t="n"/>
      <c r="AM308" s="23" t="n">
        <v>90</v>
      </c>
      <c r="AN308" s="24">
        <f>SUMPRODUCT((Комплекты[Пр]=$F308)*(Комплекты[Обозначение]=$G308)*Комплекты[Кол-во]*(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08" s="25" t="n">
        <v>0</v>
      </c>
      <c r="AP308" s="24" t="n"/>
      <c r="AQ308" s="23" t="n">
        <v>90</v>
      </c>
      <c r="AR308" s="24">
        <f>SUMPRODUCT((Комплекты[Пр]=$F308)*(Комплекты[Обозначение]=$G308)*Комплекты[Кол-во]*(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08" s="25" t="n">
        <v>0</v>
      </c>
      <c r="AT308" s="24" t="n"/>
      <c r="AU308" s="23" t="n">
        <v>110</v>
      </c>
      <c r="AV308" s="24">
        <f>SUMPRODUCT((Комплекты[Пр]=$F308)*(Комплекты[Обозначение]=$G308)*Комплекты[Кол-во]*(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08" s="25" t="n">
        <v>0</v>
      </c>
      <c r="AX308" s="24" t="n"/>
      <c r="AY308" s="23" t="n">
        <v>110</v>
      </c>
      <c r="AZ308" s="24">
        <f>SUMPRODUCT((Комплекты[Пр]=$F308)*(Комплекты[Обозначение]=$G308)*Комплекты[Кол-во]*(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08" s="25" t="n">
        <v>0</v>
      </c>
      <c r="BB308" s="24" t="n"/>
      <c r="BC308" s="23" t="n">
        <v>130</v>
      </c>
      <c r="BD308" s="24">
        <f>SUMPRODUCT((Комплекты[Пр]=$F308)*(Комплекты[Обозначение]=$G308)*Комплекты[Кол-во]*(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08" s="25" t="n">
        <v>0</v>
      </c>
      <c r="BF308" s="24" t="n"/>
      <c r="BG308" s="23" t="n">
        <v>130</v>
      </c>
      <c r="BH308" s="24">
        <f>SUMPRODUCT((Комплекты[Пр]=$F308)*(Комплекты[Обозначение]=$G308)*Комплекты[Кол-во]*(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08" s="25" t="n">
        <v>0</v>
      </c>
      <c r="BJ308" s="24" t="n"/>
      <c r="BK308" s="340" t="n"/>
      <c r="BL308" s="803">
        <f>SUMPRODUCT(--(MOD(COLUMN($O308:$AL308),4)=MOD(COLUMN($O308)+0,4)),$O308:$AL308)
+SUMPRODUCT(--(MOD(COLUMN($AM308:$BJ308),4)=MOD(COLUMN($AM308)+0,4)),$AM308:$BJ308)</f>
        <v/>
      </c>
      <c r="BM308" s="803">
        <f>SUMPRODUCT(--(MOD(COLUMN($O308:$AL308),4)=MOD(COLUMN($O308)+0,4)),$O308:$AL308)*
$I308+SUMPRODUCT(--(MOD(COLUMN($AM308:$BJ308),4)=MOD(COLUMN($AM308)+0,4)),$AM308:$BJ308)*$I308</f>
        <v/>
      </c>
      <c r="BN308" s="805">
        <f>SUMPRODUCT(--(MOD(COLUMN($O308:$AL308),4)=MOD(COLUMN($O308)+1,4)),$O308:$AL308)
+SUMPRODUCT(--(MOD(COLUMN($AM308:$BJ308),4)=MOD(COLUMN($AM308)+1,4)),$AM308:$BJ308)</f>
        <v/>
      </c>
      <c r="BO308" s="806">
        <f>SUMPRODUCT(--(MOD(COLUMN($O308:$AL308),4)=MOD(COLUMN($O308)+1,4)),$O308:$AL308)*
$I308+SUMPRODUCT(--(MOD(COLUMN($AM308:$BJ308),4)=MOD(COLUMN($AM308)+1,4)),$AM308:$BJ308)*$I308</f>
        <v/>
      </c>
      <c r="BP308" s="807">
        <f>SUMPRODUCT(--(MOD(COLUMN($O308:$AL308),4)=MOD(COLUMN($O308)+2,4)),$O308:$AL308)
+SUMPRODUCT(--(MOD(COLUMN($AM308:$BJ308),4)=MOD(COLUMN($AM308)+2,4)),$AM308:$BJ308)</f>
        <v/>
      </c>
      <c r="BQ308" s="808">
        <f>SUMPRODUCT(--(MOD(COLUMN($O308:$AL308),4)=MOD(COLUMN($O308)+2,4)),$O308:$AL308)*
$I308+SUMPRODUCT(--(MOD(COLUMN($AM308:$BJ308),4)=MOD(COLUMN($AM308)+2,4)),$AM308:$BJ308)*$I308</f>
        <v/>
      </c>
      <c r="BR308" s="801" t="n"/>
      <c r="BS308" s="819" t="n"/>
      <c r="BT308" s="23" t="n">
        <v>70</v>
      </c>
      <c r="BU308" s="24" t="n"/>
      <c r="BV308" s="25" t="n">
        <v>0</v>
      </c>
      <c r="BW308" s="24" t="n"/>
      <c r="BX308" s="23" t="n">
        <v>70</v>
      </c>
      <c r="BY308" s="24" t="n"/>
      <c r="BZ308" s="25" t="n">
        <v>0</v>
      </c>
      <c r="CA308" s="24" t="n"/>
      <c r="CB308" s="23" t="n">
        <v>70</v>
      </c>
      <c r="CC308" s="24" t="n"/>
      <c r="CD308" s="25" t="n">
        <v>0</v>
      </c>
      <c r="CE308" s="24" t="n"/>
      <c r="CF308" s="23" t="n">
        <v>70</v>
      </c>
      <c r="CG308" s="24" t="n"/>
      <c r="CH308" s="25" t="n">
        <v>0</v>
      </c>
      <c r="CI308" s="24" t="n"/>
      <c r="CJ308" s="23" t="n">
        <v>70</v>
      </c>
      <c r="CK308" s="24" t="n"/>
      <c r="CL308" s="25" t="n">
        <v>0</v>
      </c>
      <c r="CM308" s="24" t="n"/>
      <c r="CN308" s="23" t="n">
        <v>100</v>
      </c>
      <c r="CO308" s="24" t="n"/>
      <c r="CP308" s="25" t="n">
        <v>0</v>
      </c>
      <c r="CQ308" s="24" t="n"/>
      <c r="CR308" s="23" t="n">
        <v>100</v>
      </c>
      <c r="CS308" s="24" t="n"/>
      <c r="CT308" s="25" t="n">
        <v>0</v>
      </c>
      <c r="CU308" s="24" t="n"/>
      <c r="CV308" s="23" t="n">
        <v>100</v>
      </c>
      <c r="CW308" s="24" t="n"/>
      <c r="CX308" s="25" t="n">
        <v>0</v>
      </c>
      <c r="CY308" s="24" t="n"/>
      <c r="CZ308" s="23" t="n">
        <v>100</v>
      </c>
      <c r="DA308" s="24" t="n"/>
      <c r="DB308" s="25" t="n">
        <v>0</v>
      </c>
      <c r="DC308" s="24" t="n"/>
      <c r="DD308" s="23" t="n">
        <v>100</v>
      </c>
      <c r="DE308" s="24" t="n"/>
      <c r="DF308" s="25" t="n">
        <v>0</v>
      </c>
      <c r="DG308" s="24" t="n"/>
      <c r="DH308" s="23" t="n">
        <v>120</v>
      </c>
      <c r="DI308" s="24" t="n"/>
      <c r="DJ308" s="25" t="n">
        <v>0</v>
      </c>
      <c r="DK308" s="24" t="n"/>
      <c r="DL308" s="23" t="n">
        <v>120</v>
      </c>
      <c r="DM308" s="24" t="n"/>
      <c r="DN308" s="25" t="n">
        <v>0</v>
      </c>
      <c r="DO308" s="24" t="n"/>
      <c r="DP308" s="340" t="n"/>
      <c r="DQ308" s="803">
        <f>SUMPRODUCT(--(MOD(COLUMN(BT308:CQ308),4)=MOD(COLUMN(BT308),4)),BT308:CQ308)+SUMPRODUCT(--(MOD(COLUMN(CR308:DO308),4)=MOD(COLUMN(CR308),4)),CR308:DO308)</f>
        <v/>
      </c>
      <c r="DR308" s="803">
        <f>SUMPRODUCT(--(MOD(COLUMN(BT308:CQ308),4)=MOD(COLUMN(BT308),4)),BT308:CQ308)*$I308+SUMPRODUCT(--(MOD(COLUMN(CR308:DO308),4)=MOD(COLUMN(CR308),4)),CR308:DO308)*$I308</f>
        <v/>
      </c>
      <c r="DS308" s="801" t="n"/>
      <c r="DT308" s="819" t="n"/>
      <c r="DU308" s="23" t="n">
        <v>120</v>
      </c>
      <c r="DV308" s="24" t="n"/>
      <c r="DW308" s="25" t="n">
        <v>0</v>
      </c>
      <c r="DX308" s="24" t="n"/>
      <c r="DY308" s="23" t="n">
        <v>120</v>
      </c>
      <c r="DZ308" s="24" t="n"/>
      <c r="EA308" s="25" t="n">
        <v>0</v>
      </c>
      <c r="EB308" s="24" t="n"/>
      <c r="EC308" s="23" t="n">
        <v>120</v>
      </c>
      <c r="ED308" s="24" t="n"/>
      <c r="EE308" s="25" t="n">
        <v>0</v>
      </c>
      <c r="EF308" s="24" t="n"/>
      <c r="EG308" s="23" t="n">
        <v>120</v>
      </c>
      <c r="EH308" s="24" t="n"/>
      <c r="EI308" s="25" t="n">
        <v>0</v>
      </c>
      <c r="EJ308" s="24" t="n"/>
      <c r="EK308" s="23" t="n">
        <v>120</v>
      </c>
      <c r="EL308" s="24" t="n"/>
      <c r="EM308" s="25" t="n">
        <v>0</v>
      </c>
      <c r="EN308" s="24" t="n"/>
      <c r="EO308" s="23" t="n">
        <v>150</v>
      </c>
      <c r="EP308" s="24" t="n"/>
      <c r="EQ308" s="25" t="n">
        <v>0</v>
      </c>
      <c r="ER308" s="24" t="n"/>
      <c r="ES308" s="23" t="n">
        <v>150</v>
      </c>
      <c r="ET308" s="24" t="n"/>
      <c r="EU308" s="25" t="n">
        <v>0</v>
      </c>
      <c r="EV308" s="24" t="n"/>
      <c r="EW308" s="23" t="n">
        <v>150</v>
      </c>
      <c r="EX308" s="24" t="n"/>
      <c r="EY308" s="25" t="n">
        <v>0</v>
      </c>
      <c r="EZ308" s="24" t="n"/>
      <c r="FA308" s="23" t="n">
        <v>150</v>
      </c>
      <c r="FB308" s="24" t="n"/>
      <c r="FC308" s="25" t="n">
        <v>0</v>
      </c>
      <c r="FD308" s="24" t="n"/>
      <c r="FE308" s="23" t="n">
        <v>150</v>
      </c>
      <c r="FF308" s="24" t="n"/>
      <c r="FG308" s="25" t="n">
        <v>0</v>
      </c>
      <c r="FH308" s="24" t="n"/>
      <c r="FI308" s="23" t="n">
        <v>180</v>
      </c>
      <c r="FJ308" s="24" t="n"/>
      <c r="FK308" s="25" t="n">
        <v>0</v>
      </c>
      <c r="FL308" s="24" t="n"/>
      <c r="FM308" s="23" t="n">
        <v>180</v>
      </c>
      <c r="FN308" s="24" t="n"/>
      <c r="FO308" s="25" t="n">
        <v>0</v>
      </c>
      <c r="FP308" s="24" t="n"/>
      <c r="FQ308" s="340" t="n"/>
      <c r="FR308" s="803">
        <f>SUMPRODUCT(--(MOD(COLUMN(DU308:ER308),4)=MOD(COLUMN(DU308),4)),DU308:ER308)+SUMPRODUCT(--(MOD(COLUMN(ES308:FP308),4)=MOD(COLUMN(ES308),4)),ES308:FP308)</f>
        <v/>
      </c>
      <c r="FS308" s="803">
        <f>SUMPRODUCT(--(MOD(COLUMN(DU308:ER308),4)=MOD(COLUMN(DU308),4)),DU308:ER308)*$I308+SUMPRODUCT(--(MOD(COLUMN(ES308:FP308),4)=MOD(COLUMN(ES308),4)),ES308:FP308)*$I308</f>
        <v/>
      </c>
      <c r="FT308" s="361" t="n"/>
    </row>
    <row r="309" outlineLevel="2">
      <c r="A309" s="58" t="inlineStr">
        <is>
          <t>АВТОВИК ООО / AVTOVIK OOO</t>
        </is>
      </c>
      <c r="B309" s="387" t="inlineStr">
        <is>
          <t>Предоплата 100%</t>
        </is>
      </c>
      <c r="C309" s="173" t="inlineStr">
        <is>
          <t>ВБК РУС</t>
        </is>
      </c>
      <c r="D309" s="595" t="inlineStr">
        <is>
          <t>Прасолов, Соловьёв</t>
        </is>
      </c>
      <c r="E309" s="412">
        <f>IF(ISBLANK(G309),"",IF($A$6:$A$330=$A309,COUNTIF($A$6:A309,$A309),""))</f>
        <v/>
      </c>
      <c r="F309" s="123" t="n">
        <v>1</v>
      </c>
      <c r="G309" s="128" t="n">
        <v>9522010020</v>
      </c>
      <c r="H309" s="612" t="inlineStr">
        <is>
          <t>Головка соединительная (питающая)</t>
        </is>
      </c>
      <c r="I309" s="618" t="n">
        <v>0</v>
      </c>
      <c r="J309" s="618" t="n"/>
      <c r="K309" s="874" t="n"/>
      <c r="L309" s="618">
        <f>IF(K309="RUB",J309/ЮАНЬ,IF(K309="EUR",J309*ЕВРО/ЮАНЬ,""))</f>
        <v/>
      </c>
      <c r="M309" s="873" t="n"/>
      <c r="N309" s="871">
        <f>IF(BP309&gt;0,1,IF(BN309&gt;0,2,))</f>
        <v/>
      </c>
      <c r="O309" s="23" t="n">
        <v>80</v>
      </c>
      <c r="P309" s="24" t="n"/>
      <c r="Q309" s="25" t="n">
        <v>0</v>
      </c>
      <c r="R309" s="24" t="n"/>
      <c r="S309" s="23" t="n">
        <v>80</v>
      </c>
      <c r="T309" s="24">
        <f>SUMPRODUCT((Комплекты[Пр]=$F309)*(Комплекты[Обозначение]=$G309)*Комплекты[Кол-во]*(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09" s="25" t="n">
        <v>50</v>
      </c>
      <c r="V309" s="24" t="n"/>
      <c r="W309" s="23" t="n">
        <v>80</v>
      </c>
      <c r="X309" s="24">
        <f>SUMPRODUCT((Комплекты[Пр]=$F309)*(Комплекты[Обозначение]=$G309)*Комплекты[Кол-во]*(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09" s="25" t="n">
        <v>20</v>
      </c>
      <c r="Z309" s="24" t="n"/>
      <c r="AA309" s="23" t="n">
        <v>80</v>
      </c>
      <c r="AB309" s="24">
        <f>SUMPRODUCT((Комплекты[Пр]=$F309)*(Комплекты[Обозначение]=$G309)*Комплекты[Кол-во]*(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09" s="25" t="n">
        <v>0</v>
      </c>
      <c r="AD309" s="24" t="n"/>
      <c r="AE309" s="23" t="n">
        <v>80</v>
      </c>
      <c r="AF309" s="24">
        <f>SUMPRODUCT((Комплекты[Пр]=$F309)*(Комплекты[Обозначение]=$G309)*Комплекты[Кол-во]*(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09" s="25" t="n">
        <v>0</v>
      </c>
      <c r="AH309" s="24" t="n"/>
      <c r="AI309" s="23" t="n">
        <v>90</v>
      </c>
      <c r="AJ309" s="24">
        <f>SUMPRODUCT((Комплекты[Пр]=$F309)*(Комплекты[Обозначение]=$G309)*Комплекты[Кол-во]*(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09" s="25" t="n">
        <v>0</v>
      </c>
      <c r="AL309" s="24" t="n"/>
      <c r="AM309" s="23" t="n">
        <v>90</v>
      </c>
      <c r="AN309" s="24">
        <f>SUMPRODUCT((Комплекты[Пр]=$F309)*(Комплекты[Обозначение]=$G309)*Комплекты[Кол-во]*(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09" s="25" t="n">
        <v>0</v>
      </c>
      <c r="AP309" s="24" t="n"/>
      <c r="AQ309" s="23" t="n">
        <v>90</v>
      </c>
      <c r="AR309" s="24">
        <f>SUMPRODUCT((Комплекты[Пр]=$F309)*(Комплекты[Обозначение]=$G309)*Комплекты[Кол-во]*(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09" s="25" t="n">
        <v>0</v>
      </c>
      <c r="AT309" s="24" t="n"/>
      <c r="AU309" s="23" t="n">
        <v>110</v>
      </c>
      <c r="AV309" s="24">
        <f>SUMPRODUCT((Комплекты[Пр]=$F309)*(Комплекты[Обозначение]=$G309)*Комплекты[Кол-во]*(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09" s="25" t="n">
        <v>0</v>
      </c>
      <c r="AX309" s="24" t="n"/>
      <c r="AY309" s="23" t="n">
        <v>110</v>
      </c>
      <c r="AZ309" s="24">
        <f>SUMPRODUCT((Комплекты[Пр]=$F309)*(Комплекты[Обозначение]=$G309)*Комплекты[Кол-во]*(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09" s="25" t="n">
        <v>0</v>
      </c>
      <c r="BB309" s="24" t="n"/>
      <c r="BC309" s="23" t="n">
        <v>130</v>
      </c>
      <c r="BD309" s="24">
        <f>SUMPRODUCT((Комплекты[Пр]=$F309)*(Комплекты[Обозначение]=$G309)*Комплекты[Кол-во]*(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09" s="25" t="n">
        <v>0</v>
      </c>
      <c r="BF309" s="24" t="n"/>
      <c r="BG309" s="23" t="n">
        <v>130</v>
      </c>
      <c r="BH309" s="24">
        <f>SUMPRODUCT((Комплекты[Пр]=$F309)*(Комплекты[Обозначение]=$G309)*Комплекты[Кол-во]*(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09" s="25" t="n">
        <v>0</v>
      </c>
      <c r="BJ309" s="24" t="n"/>
      <c r="BK309" s="340" t="n"/>
      <c r="BL309" s="803">
        <f>SUMPRODUCT(--(MOD(COLUMN($O309:$AL309),4)=MOD(COLUMN($O309)+0,4)),$O309:$AL309)
+SUMPRODUCT(--(MOD(COLUMN($AM309:$BJ309),4)=MOD(COLUMN($AM309)+0,4)),$AM309:$BJ309)</f>
        <v/>
      </c>
      <c r="BM309" s="803">
        <f>SUMPRODUCT(--(MOD(COLUMN($O309:$AL309),4)=MOD(COLUMN($O309)+0,4)),$O309:$AL309)*
$I309+SUMPRODUCT(--(MOD(COLUMN($AM309:$BJ309),4)=MOD(COLUMN($AM309)+0,4)),$AM309:$BJ309)*$I309</f>
        <v/>
      </c>
      <c r="BN309" s="805">
        <f>SUMPRODUCT(--(MOD(COLUMN($O309:$AL309),4)=MOD(COLUMN($O309)+1,4)),$O309:$AL309)
+SUMPRODUCT(--(MOD(COLUMN($AM309:$BJ309),4)=MOD(COLUMN($AM309)+1,4)),$AM309:$BJ309)</f>
        <v/>
      </c>
      <c r="BO309" s="806">
        <f>SUMPRODUCT(--(MOD(COLUMN($O309:$AL309),4)=MOD(COLUMN($O309)+1,4)),$O309:$AL309)*
$I309+SUMPRODUCT(--(MOD(COLUMN($AM309:$BJ309),4)=MOD(COLUMN($AM309)+1,4)),$AM309:$BJ309)*$I309</f>
        <v/>
      </c>
      <c r="BP309" s="807">
        <f>SUMPRODUCT(--(MOD(COLUMN($O309:$AL309),4)=MOD(COLUMN($O309)+2,4)),$O309:$AL309)
+SUMPRODUCT(--(MOD(COLUMN($AM309:$BJ309),4)=MOD(COLUMN($AM309)+2,4)),$AM309:$BJ309)</f>
        <v/>
      </c>
      <c r="BQ309" s="808">
        <f>SUMPRODUCT(--(MOD(COLUMN($O309:$AL309),4)=MOD(COLUMN($O309)+2,4)),$O309:$AL309)*
$I309+SUMPRODUCT(--(MOD(COLUMN($AM309:$BJ309),4)=MOD(COLUMN($AM309)+2,4)),$AM309:$BJ309)*$I309</f>
        <v/>
      </c>
      <c r="BR309" s="801" t="n"/>
      <c r="BS309" s="819" t="n"/>
      <c r="BT309" s="23" t="n">
        <v>70</v>
      </c>
      <c r="BU309" s="24" t="n"/>
      <c r="BV309" s="25" t="n">
        <v>0</v>
      </c>
      <c r="BW309" s="24" t="n"/>
      <c r="BX309" s="23" t="n">
        <v>70</v>
      </c>
      <c r="BY309" s="24" t="n"/>
      <c r="BZ309" s="25" t="n">
        <v>0</v>
      </c>
      <c r="CA309" s="24" t="n"/>
      <c r="CB309" s="23" t="n">
        <v>70</v>
      </c>
      <c r="CC309" s="24" t="n"/>
      <c r="CD309" s="25" t="n">
        <v>0</v>
      </c>
      <c r="CE309" s="24" t="n"/>
      <c r="CF309" s="23" t="n">
        <v>70</v>
      </c>
      <c r="CG309" s="24" t="n"/>
      <c r="CH309" s="25" t="n">
        <v>0</v>
      </c>
      <c r="CI309" s="24" t="n"/>
      <c r="CJ309" s="23" t="n">
        <v>70</v>
      </c>
      <c r="CK309" s="24" t="n"/>
      <c r="CL309" s="25" t="n">
        <v>0</v>
      </c>
      <c r="CM309" s="24" t="n"/>
      <c r="CN309" s="23" t="n">
        <v>100</v>
      </c>
      <c r="CO309" s="24" t="n"/>
      <c r="CP309" s="25" t="n">
        <v>0</v>
      </c>
      <c r="CQ309" s="24" t="n"/>
      <c r="CR309" s="23" t="n">
        <v>100</v>
      </c>
      <c r="CS309" s="24" t="n"/>
      <c r="CT309" s="25" t="n">
        <v>0</v>
      </c>
      <c r="CU309" s="24" t="n"/>
      <c r="CV309" s="23" t="n">
        <v>100</v>
      </c>
      <c r="CW309" s="24" t="n"/>
      <c r="CX309" s="25" t="n">
        <v>0</v>
      </c>
      <c r="CY309" s="24" t="n"/>
      <c r="CZ309" s="23" t="n">
        <v>100</v>
      </c>
      <c r="DA309" s="24" t="n"/>
      <c r="DB309" s="25" t="n">
        <v>0</v>
      </c>
      <c r="DC309" s="24" t="n"/>
      <c r="DD309" s="23" t="n">
        <v>100</v>
      </c>
      <c r="DE309" s="24" t="n"/>
      <c r="DF309" s="25" t="n">
        <v>0</v>
      </c>
      <c r="DG309" s="24" t="n"/>
      <c r="DH309" s="23" t="n">
        <v>120</v>
      </c>
      <c r="DI309" s="24" t="n"/>
      <c r="DJ309" s="25" t="n">
        <v>0</v>
      </c>
      <c r="DK309" s="24" t="n"/>
      <c r="DL309" s="23" t="n">
        <v>120</v>
      </c>
      <c r="DM309" s="24" t="n"/>
      <c r="DN309" s="25" t="n">
        <v>0</v>
      </c>
      <c r="DO309" s="24" t="n"/>
      <c r="DP309" s="340" t="n"/>
      <c r="DQ309" s="803">
        <f>SUMPRODUCT(--(MOD(COLUMN(BT309:CQ309),4)=MOD(COLUMN(BT309),4)),BT309:CQ309)+SUMPRODUCT(--(MOD(COLUMN(CR309:DO309),4)=MOD(COLUMN(CR309),4)),CR309:DO309)</f>
        <v/>
      </c>
      <c r="DR309" s="803">
        <f>SUMPRODUCT(--(MOD(COLUMN(BT309:CQ309),4)=MOD(COLUMN(BT309),4)),BT309:CQ309)*$I309+SUMPRODUCT(--(MOD(COLUMN(CR309:DO309),4)=MOD(COLUMN(CR309),4)),CR309:DO309)*$I309</f>
        <v/>
      </c>
      <c r="DS309" s="801" t="n"/>
      <c r="DT309" s="819" t="n"/>
      <c r="DU309" s="23" t="n">
        <v>120</v>
      </c>
      <c r="DV309" s="24" t="n"/>
      <c r="DW309" s="25" t="n">
        <v>0</v>
      </c>
      <c r="DX309" s="24" t="n"/>
      <c r="DY309" s="23" t="n">
        <v>120</v>
      </c>
      <c r="DZ309" s="24" t="n"/>
      <c r="EA309" s="25" t="n">
        <v>0</v>
      </c>
      <c r="EB309" s="24" t="n"/>
      <c r="EC309" s="23" t="n">
        <v>120</v>
      </c>
      <c r="ED309" s="24" t="n"/>
      <c r="EE309" s="25" t="n">
        <v>0</v>
      </c>
      <c r="EF309" s="24" t="n"/>
      <c r="EG309" s="23" t="n">
        <v>120</v>
      </c>
      <c r="EH309" s="24" t="n"/>
      <c r="EI309" s="25" t="n">
        <v>0</v>
      </c>
      <c r="EJ309" s="24" t="n"/>
      <c r="EK309" s="23" t="n">
        <v>120</v>
      </c>
      <c r="EL309" s="24" t="n"/>
      <c r="EM309" s="25" t="n">
        <v>0</v>
      </c>
      <c r="EN309" s="24" t="n"/>
      <c r="EO309" s="23" t="n">
        <v>150</v>
      </c>
      <c r="EP309" s="24" t="n"/>
      <c r="EQ309" s="25" t="n">
        <v>0</v>
      </c>
      <c r="ER309" s="24" t="n"/>
      <c r="ES309" s="23" t="n">
        <v>150</v>
      </c>
      <c r="ET309" s="24" t="n"/>
      <c r="EU309" s="25" t="n">
        <v>0</v>
      </c>
      <c r="EV309" s="24" t="n"/>
      <c r="EW309" s="23" t="n">
        <v>150</v>
      </c>
      <c r="EX309" s="24" t="n"/>
      <c r="EY309" s="25" t="n">
        <v>0</v>
      </c>
      <c r="EZ309" s="24" t="n"/>
      <c r="FA309" s="23" t="n">
        <v>150</v>
      </c>
      <c r="FB309" s="24" t="n"/>
      <c r="FC309" s="25" t="n">
        <v>0</v>
      </c>
      <c r="FD309" s="24" t="n"/>
      <c r="FE309" s="23" t="n">
        <v>150</v>
      </c>
      <c r="FF309" s="24" t="n"/>
      <c r="FG309" s="25" t="n">
        <v>0</v>
      </c>
      <c r="FH309" s="24" t="n"/>
      <c r="FI309" s="23" t="n">
        <v>180</v>
      </c>
      <c r="FJ309" s="24" t="n"/>
      <c r="FK309" s="25" t="n">
        <v>0</v>
      </c>
      <c r="FL309" s="24" t="n"/>
      <c r="FM309" s="23" t="n">
        <v>180</v>
      </c>
      <c r="FN309" s="24" t="n"/>
      <c r="FO309" s="25" t="n">
        <v>0</v>
      </c>
      <c r="FP309" s="24" t="n"/>
      <c r="FQ309" s="340" t="n"/>
      <c r="FR309" s="803">
        <f>SUMPRODUCT(--(MOD(COLUMN(DU309:ER309),4)=MOD(COLUMN(DU309),4)),DU309:ER309)+SUMPRODUCT(--(MOD(COLUMN(ES309:FP309),4)=MOD(COLUMN(ES309),4)),ES309:FP309)</f>
        <v/>
      </c>
      <c r="FS309" s="803">
        <f>SUMPRODUCT(--(MOD(COLUMN(DU309:ER309),4)=MOD(COLUMN(DU309),4)),DU309:ER309)*$I309+SUMPRODUCT(--(MOD(COLUMN(ES309:FP309),4)=MOD(COLUMN(ES309),4)),ES309:FP309)*$I309</f>
        <v/>
      </c>
      <c r="FT309" s="361" t="n"/>
    </row>
    <row r="310" outlineLevel="2">
      <c r="A310" s="58" t="inlineStr">
        <is>
          <t>АВТОВИК ООО / AVTOVIK OOO</t>
        </is>
      </c>
      <c r="B310" s="387" t="inlineStr">
        <is>
          <t>Предоплата 100%</t>
        </is>
      </c>
      <c r="C310" s="173" t="inlineStr">
        <is>
          <t>ВБК РУС</t>
        </is>
      </c>
      <c r="D310" s="595" t="inlineStr">
        <is>
          <t>Прасолов, Соловьёв</t>
        </is>
      </c>
      <c r="E310" s="412">
        <f>IF(ISBLANK(G310),"",IF($A$6:$A$330=$A310,COUNTIF($A$6:A310,$A310),""))</f>
        <v/>
      </c>
      <c r="F310" s="123" t="n">
        <v>1</v>
      </c>
      <c r="G310" s="128" t="n">
        <v>9710029000</v>
      </c>
      <c r="H310" s="612" t="inlineStr">
        <is>
          <t>Воздухораспределитель с клапаном растормаживания</t>
        </is>
      </c>
      <c r="I310" s="618" t="n">
        <v>0</v>
      </c>
      <c r="J310" s="618" t="n"/>
      <c r="K310" s="874" t="n"/>
      <c r="L310" s="618">
        <f>IF(K310="RUB",J310/ЮАНЬ,IF(K310="EUR",J310*ЕВРО/ЮАНЬ,""))</f>
        <v/>
      </c>
      <c r="M310" s="873" t="n"/>
      <c r="N310" s="871">
        <f>IF(BP310&gt;0,1,IF(BN310&gt;0,2,))</f>
        <v/>
      </c>
      <c r="O310" s="23" t="n">
        <v>80</v>
      </c>
      <c r="P310" s="24" t="n"/>
      <c r="Q310" s="25" t="n">
        <v>0</v>
      </c>
      <c r="R310" s="24" t="n"/>
      <c r="S310" s="23" t="n">
        <v>80</v>
      </c>
      <c r="T310" s="24">
        <f>SUMPRODUCT((Комплекты[Пр]=$F310)*(Комплекты[Обозначение]=$G310)*Комплекты[Кол-во]*(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10" s="25" t="n">
        <v>50</v>
      </c>
      <c r="V310" s="24" t="n"/>
      <c r="W310" s="23" t="n">
        <v>80</v>
      </c>
      <c r="X310" s="24">
        <f>SUMPRODUCT((Комплекты[Пр]=$F310)*(Комплекты[Обозначение]=$G310)*Комплекты[Кол-во]*(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10" s="25" t="n">
        <v>0</v>
      </c>
      <c r="Z310" s="24" t="n"/>
      <c r="AA310" s="23" t="n">
        <v>80</v>
      </c>
      <c r="AB310" s="24">
        <f>SUMPRODUCT((Комплекты[Пр]=$F310)*(Комплекты[Обозначение]=$G310)*Комплекты[Кол-во]*(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10" s="25" t="n">
        <v>0</v>
      </c>
      <c r="AD310" s="24" t="n"/>
      <c r="AE310" s="23" t="n">
        <v>80</v>
      </c>
      <c r="AF310" s="24">
        <f>SUMPRODUCT((Комплекты[Пр]=$F310)*(Комплекты[Обозначение]=$G310)*Комплекты[Кол-во]*(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10" s="25" t="n">
        <v>0</v>
      </c>
      <c r="AH310" s="24" t="n"/>
      <c r="AI310" s="23" t="n">
        <v>90</v>
      </c>
      <c r="AJ310" s="24">
        <f>SUMPRODUCT((Комплекты[Пр]=$F310)*(Комплекты[Обозначение]=$G310)*Комплекты[Кол-во]*(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10" s="25" t="n">
        <v>0</v>
      </c>
      <c r="AL310" s="24" t="n"/>
      <c r="AM310" s="23" t="n">
        <v>90</v>
      </c>
      <c r="AN310" s="24">
        <f>SUMPRODUCT((Комплекты[Пр]=$F310)*(Комплекты[Обозначение]=$G310)*Комплекты[Кол-во]*(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10" s="25" t="n">
        <v>0</v>
      </c>
      <c r="AP310" s="24" t="n"/>
      <c r="AQ310" s="23" t="n">
        <v>90</v>
      </c>
      <c r="AR310" s="24">
        <f>SUMPRODUCT((Комплекты[Пр]=$F310)*(Комплекты[Обозначение]=$G310)*Комплекты[Кол-во]*(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10" s="25" t="n">
        <v>0</v>
      </c>
      <c r="AT310" s="24" t="n"/>
      <c r="AU310" s="23" t="n">
        <v>110</v>
      </c>
      <c r="AV310" s="24">
        <f>SUMPRODUCT((Комплекты[Пр]=$F310)*(Комплекты[Обозначение]=$G310)*Комплекты[Кол-во]*(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10" s="25" t="n">
        <v>0</v>
      </c>
      <c r="AX310" s="24" t="n"/>
      <c r="AY310" s="23" t="n">
        <v>110</v>
      </c>
      <c r="AZ310" s="24">
        <f>SUMPRODUCT((Комплекты[Пр]=$F310)*(Комплекты[Обозначение]=$G310)*Комплекты[Кол-во]*(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10" s="25" t="n">
        <v>0</v>
      </c>
      <c r="BB310" s="24" t="n"/>
      <c r="BC310" s="23" t="n">
        <v>130</v>
      </c>
      <c r="BD310" s="24">
        <f>SUMPRODUCT((Комплекты[Пр]=$F310)*(Комплекты[Обозначение]=$G310)*Комплекты[Кол-во]*(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10" s="25" t="n">
        <v>0</v>
      </c>
      <c r="BF310" s="24" t="n"/>
      <c r="BG310" s="23" t="n">
        <v>130</v>
      </c>
      <c r="BH310" s="24">
        <f>SUMPRODUCT((Комплекты[Пр]=$F310)*(Комплекты[Обозначение]=$G310)*Комплекты[Кол-во]*(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10" s="25" t="n">
        <v>0</v>
      </c>
      <c r="BJ310" s="24" t="n"/>
      <c r="BK310" s="340" t="n"/>
      <c r="BL310" s="803">
        <f>SUMPRODUCT(--(MOD(COLUMN($O310:$AL310),4)=MOD(COLUMN($O310)+0,4)),$O310:$AL310)
+SUMPRODUCT(--(MOD(COLUMN($AM310:$BJ310),4)=MOD(COLUMN($AM310)+0,4)),$AM310:$BJ310)</f>
        <v/>
      </c>
      <c r="BM310" s="803">
        <f>SUMPRODUCT(--(MOD(COLUMN($O310:$AL310),4)=MOD(COLUMN($O310)+0,4)),$O310:$AL310)*
$I310+SUMPRODUCT(--(MOD(COLUMN($AM310:$BJ310),4)=MOD(COLUMN($AM310)+0,4)),$AM310:$BJ310)*$I310</f>
        <v/>
      </c>
      <c r="BN310" s="805">
        <f>SUMPRODUCT(--(MOD(COLUMN($O310:$AL310),4)=MOD(COLUMN($O310)+1,4)),$O310:$AL310)
+SUMPRODUCT(--(MOD(COLUMN($AM310:$BJ310),4)=MOD(COLUMN($AM310)+1,4)),$AM310:$BJ310)</f>
        <v/>
      </c>
      <c r="BO310" s="806">
        <f>SUMPRODUCT(--(MOD(COLUMN($O310:$AL310),4)=MOD(COLUMN($O310)+1,4)),$O310:$AL310)*
$I310+SUMPRODUCT(--(MOD(COLUMN($AM310:$BJ310),4)=MOD(COLUMN($AM310)+1,4)),$AM310:$BJ310)*$I310</f>
        <v/>
      </c>
      <c r="BP310" s="807">
        <f>SUMPRODUCT(--(MOD(COLUMN($O310:$AL310),4)=MOD(COLUMN($O310)+2,4)),$O310:$AL310)
+SUMPRODUCT(--(MOD(COLUMN($AM310:$BJ310),4)=MOD(COLUMN($AM310)+2,4)),$AM310:$BJ310)</f>
        <v/>
      </c>
      <c r="BQ310" s="808">
        <f>SUMPRODUCT(--(MOD(COLUMN($O310:$AL310),4)=MOD(COLUMN($O310)+2,4)),$O310:$AL310)*
$I310+SUMPRODUCT(--(MOD(COLUMN($AM310:$BJ310),4)=MOD(COLUMN($AM310)+2,4)),$AM310:$BJ310)*$I310</f>
        <v/>
      </c>
      <c r="BR310" s="801" t="n"/>
      <c r="BS310" s="819" t="n"/>
      <c r="BT310" s="23" t="n">
        <v>70</v>
      </c>
      <c r="BU310" s="24" t="n"/>
      <c r="BV310" s="25" t="n">
        <v>0</v>
      </c>
      <c r="BW310" s="24" t="n"/>
      <c r="BX310" s="23" t="n">
        <v>70</v>
      </c>
      <c r="BY310" s="24" t="n"/>
      <c r="BZ310" s="25" t="n">
        <v>0</v>
      </c>
      <c r="CA310" s="24" t="n"/>
      <c r="CB310" s="23" t="n">
        <v>70</v>
      </c>
      <c r="CC310" s="24" t="n"/>
      <c r="CD310" s="25" t="n">
        <v>0</v>
      </c>
      <c r="CE310" s="24" t="n"/>
      <c r="CF310" s="23" t="n">
        <v>70</v>
      </c>
      <c r="CG310" s="24" t="n"/>
      <c r="CH310" s="25" t="n">
        <v>0</v>
      </c>
      <c r="CI310" s="24" t="n"/>
      <c r="CJ310" s="23" t="n">
        <v>70</v>
      </c>
      <c r="CK310" s="24" t="n"/>
      <c r="CL310" s="25" t="n">
        <v>0</v>
      </c>
      <c r="CM310" s="24" t="n"/>
      <c r="CN310" s="23" t="n">
        <v>100</v>
      </c>
      <c r="CO310" s="24" t="n"/>
      <c r="CP310" s="25" t="n">
        <v>0</v>
      </c>
      <c r="CQ310" s="24" t="n"/>
      <c r="CR310" s="23" t="n">
        <v>100</v>
      </c>
      <c r="CS310" s="24" t="n"/>
      <c r="CT310" s="25" t="n">
        <v>0</v>
      </c>
      <c r="CU310" s="24" t="n"/>
      <c r="CV310" s="23" t="n">
        <v>100</v>
      </c>
      <c r="CW310" s="24" t="n"/>
      <c r="CX310" s="25" t="n">
        <v>0</v>
      </c>
      <c r="CY310" s="24" t="n"/>
      <c r="CZ310" s="23" t="n">
        <v>100</v>
      </c>
      <c r="DA310" s="24" t="n"/>
      <c r="DB310" s="25" t="n">
        <v>0</v>
      </c>
      <c r="DC310" s="24" t="n"/>
      <c r="DD310" s="23" t="n">
        <v>100</v>
      </c>
      <c r="DE310" s="24" t="n"/>
      <c r="DF310" s="25" t="n">
        <v>0</v>
      </c>
      <c r="DG310" s="24" t="n"/>
      <c r="DH310" s="23" t="n">
        <v>120</v>
      </c>
      <c r="DI310" s="24" t="n"/>
      <c r="DJ310" s="25" t="n">
        <v>0</v>
      </c>
      <c r="DK310" s="24" t="n"/>
      <c r="DL310" s="23" t="n">
        <v>120</v>
      </c>
      <c r="DM310" s="24" t="n"/>
      <c r="DN310" s="25" t="n">
        <v>0</v>
      </c>
      <c r="DO310" s="24" t="n"/>
      <c r="DP310" s="340" t="n"/>
      <c r="DQ310" s="803">
        <f>SUMPRODUCT(--(MOD(COLUMN(BT310:CQ310),4)=MOD(COLUMN(BT310),4)),BT310:CQ310)+SUMPRODUCT(--(MOD(COLUMN(CR310:DO310),4)=MOD(COLUMN(CR310),4)),CR310:DO310)</f>
        <v/>
      </c>
      <c r="DR310" s="803">
        <f>SUMPRODUCT(--(MOD(COLUMN(BT310:CQ310),4)=MOD(COLUMN(BT310),4)),BT310:CQ310)*$I310+SUMPRODUCT(--(MOD(COLUMN(CR310:DO310),4)=MOD(COLUMN(CR310),4)),CR310:DO310)*$I310</f>
        <v/>
      </c>
      <c r="DS310" s="801" t="n"/>
      <c r="DT310" s="819" t="n"/>
      <c r="DU310" s="23" t="n">
        <v>120</v>
      </c>
      <c r="DV310" s="24" t="n"/>
      <c r="DW310" s="25" t="n">
        <v>0</v>
      </c>
      <c r="DX310" s="24" t="n"/>
      <c r="DY310" s="23" t="n">
        <v>120</v>
      </c>
      <c r="DZ310" s="24" t="n"/>
      <c r="EA310" s="25" t="n">
        <v>0</v>
      </c>
      <c r="EB310" s="24" t="n"/>
      <c r="EC310" s="23" t="n">
        <v>120</v>
      </c>
      <c r="ED310" s="24" t="n"/>
      <c r="EE310" s="25" t="n">
        <v>0</v>
      </c>
      <c r="EF310" s="24" t="n"/>
      <c r="EG310" s="23" t="n">
        <v>120</v>
      </c>
      <c r="EH310" s="24" t="n"/>
      <c r="EI310" s="25" t="n">
        <v>0</v>
      </c>
      <c r="EJ310" s="24" t="n"/>
      <c r="EK310" s="23" t="n">
        <v>120</v>
      </c>
      <c r="EL310" s="24" t="n"/>
      <c r="EM310" s="25" t="n">
        <v>0</v>
      </c>
      <c r="EN310" s="24" t="n"/>
      <c r="EO310" s="23" t="n">
        <v>150</v>
      </c>
      <c r="EP310" s="24" t="n"/>
      <c r="EQ310" s="25" t="n">
        <v>0</v>
      </c>
      <c r="ER310" s="24" t="n"/>
      <c r="ES310" s="23" t="n">
        <v>150</v>
      </c>
      <c r="ET310" s="24" t="n"/>
      <c r="EU310" s="25" t="n">
        <v>0</v>
      </c>
      <c r="EV310" s="24" t="n"/>
      <c r="EW310" s="23" t="n">
        <v>150</v>
      </c>
      <c r="EX310" s="24" t="n"/>
      <c r="EY310" s="25" t="n">
        <v>0</v>
      </c>
      <c r="EZ310" s="24" t="n"/>
      <c r="FA310" s="23" t="n">
        <v>150</v>
      </c>
      <c r="FB310" s="24" t="n"/>
      <c r="FC310" s="25" t="n">
        <v>0</v>
      </c>
      <c r="FD310" s="24" t="n"/>
      <c r="FE310" s="23" t="n">
        <v>150</v>
      </c>
      <c r="FF310" s="24" t="n"/>
      <c r="FG310" s="25" t="n">
        <v>0</v>
      </c>
      <c r="FH310" s="24" t="n"/>
      <c r="FI310" s="23" t="n">
        <v>180</v>
      </c>
      <c r="FJ310" s="24" t="n"/>
      <c r="FK310" s="25" t="n">
        <v>0</v>
      </c>
      <c r="FL310" s="24" t="n"/>
      <c r="FM310" s="23" t="n">
        <v>180</v>
      </c>
      <c r="FN310" s="24" t="n"/>
      <c r="FO310" s="25" t="n">
        <v>0</v>
      </c>
      <c r="FP310" s="24" t="n"/>
      <c r="FQ310" s="340" t="n"/>
      <c r="FR310" s="803">
        <f>SUMPRODUCT(--(MOD(COLUMN(DU310:ER310),4)=MOD(COLUMN(DU310),4)),DU310:ER310)+SUMPRODUCT(--(MOD(COLUMN(ES310:FP310),4)=MOD(COLUMN(ES310),4)),ES310:FP310)</f>
        <v/>
      </c>
      <c r="FS310" s="803">
        <f>SUMPRODUCT(--(MOD(COLUMN(DU310:ER310),4)=MOD(COLUMN(DU310),4)),DU310:ER310)*$I310+SUMPRODUCT(--(MOD(COLUMN(ES310:FP310),4)=MOD(COLUMN(ES310),4)),ES310:FP310)*$I310</f>
        <v/>
      </c>
      <c r="FT310" s="361" t="n"/>
    </row>
    <row r="311" outlineLevel="2">
      <c r="A311" s="58" t="inlineStr">
        <is>
          <t>АВТОВИК ООО / AVTOVIK OOO</t>
        </is>
      </c>
      <c r="B311" s="387" t="inlineStr">
        <is>
          <t>Предоплата 100%</t>
        </is>
      </c>
      <c r="C311" s="173" t="inlineStr">
        <is>
          <t>ВБК РУС</t>
        </is>
      </c>
      <c r="D311" s="595" t="inlineStr">
        <is>
          <t>Прасолов, Соловьёв</t>
        </is>
      </c>
      <c r="E311" s="412">
        <f>IF(ISBLANK(G311),"",IF($A$6:$A$330=$A311,COUNTIF($A$6:A311,$A311),""))</f>
        <v/>
      </c>
      <c r="F311" s="123" t="n">
        <v>1</v>
      </c>
      <c r="G311" s="128" t="n">
        <v>4801020640</v>
      </c>
      <c r="H311" s="612" t="inlineStr">
        <is>
          <t>Электропневматический блок клапанов TEBS_4801020640</t>
        </is>
      </c>
      <c r="I311" s="618" t="n">
        <v>0</v>
      </c>
      <c r="J311" s="618" t="n"/>
      <c r="K311" s="874" t="n"/>
      <c r="L311" s="618">
        <f>IF(K311="RUB",J311/ЮАНЬ,IF(K311="EUR",J311*ЕВРО/ЮАНЬ,""))</f>
        <v/>
      </c>
      <c r="M311" s="873" t="n"/>
      <c r="N311" s="871">
        <f>IF(BP311&gt;0,1,IF(BN311&gt;0,2,))</f>
        <v/>
      </c>
      <c r="O311" s="23" t="n">
        <v>80</v>
      </c>
      <c r="P311" s="24" t="n"/>
      <c r="Q311" s="25" t="n">
        <v>0</v>
      </c>
      <c r="R311" s="24" t="n"/>
      <c r="S311" s="23" t="n">
        <v>80</v>
      </c>
      <c r="T311" s="24">
        <f>SUMPRODUCT((Комплекты[Пр]=$F311)*(Комплекты[Обозначение]=$G311)*Комплекты[Кол-во]*(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11" s="25" t="n">
        <v>50</v>
      </c>
      <c r="V311" s="24" t="n"/>
      <c r="W311" s="23" t="n">
        <v>80</v>
      </c>
      <c r="X311" s="24">
        <f>SUMPRODUCT((Комплекты[Пр]=$F311)*(Комплекты[Обозначение]=$G311)*Комплекты[Кол-во]*(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11" s="25" t="n">
        <v>20</v>
      </c>
      <c r="Z311" s="24" t="n"/>
      <c r="AA311" s="23" t="n">
        <v>80</v>
      </c>
      <c r="AB311" s="24">
        <f>SUMPRODUCT((Комплекты[Пр]=$F311)*(Комплекты[Обозначение]=$G311)*Комплекты[Кол-во]*(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11" s="25" t="n">
        <v>0</v>
      </c>
      <c r="AD311" s="24" t="n"/>
      <c r="AE311" s="23" t="n">
        <v>80</v>
      </c>
      <c r="AF311" s="24">
        <f>SUMPRODUCT((Комплекты[Пр]=$F311)*(Комплекты[Обозначение]=$G311)*Комплекты[Кол-во]*(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11" s="25" t="n">
        <v>0</v>
      </c>
      <c r="AH311" s="24" t="n"/>
      <c r="AI311" s="23" t="n">
        <v>90</v>
      </c>
      <c r="AJ311" s="24">
        <f>SUMPRODUCT((Комплекты[Пр]=$F311)*(Комплекты[Обозначение]=$G311)*Комплекты[Кол-во]*(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11" s="25" t="n">
        <v>0</v>
      </c>
      <c r="AL311" s="24" t="n"/>
      <c r="AM311" s="23" t="n">
        <v>90</v>
      </c>
      <c r="AN311" s="24">
        <f>SUMPRODUCT((Комплекты[Пр]=$F311)*(Комплекты[Обозначение]=$G311)*Комплекты[Кол-во]*(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11" s="25" t="n">
        <v>0</v>
      </c>
      <c r="AP311" s="24" t="n"/>
      <c r="AQ311" s="23" t="n">
        <v>90</v>
      </c>
      <c r="AR311" s="24">
        <f>SUMPRODUCT((Комплекты[Пр]=$F311)*(Комплекты[Обозначение]=$G311)*Комплекты[Кол-во]*(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11" s="25" t="n">
        <v>0</v>
      </c>
      <c r="AT311" s="24" t="n"/>
      <c r="AU311" s="23" t="n">
        <v>110</v>
      </c>
      <c r="AV311" s="24">
        <f>SUMPRODUCT((Комплекты[Пр]=$F311)*(Комплекты[Обозначение]=$G311)*Комплекты[Кол-во]*(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11" s="25" t="n">
        <v>0</v>
      </c>
      <c r="AX311" s="24" t="n"/>
      <c r="AY311" s="23" t="n">
        <v>110</v>
      </c>
      <c r="AZ311" s="24">
        <f>SUMPRODUCT((Комплекты[Пр]=$F311)*(Комплекты[Обозначение]=$G311)*Комплекты[Кол-во]*(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11" s="25" t="n">
        <v>0</v>
      </c>
      <c r="BB311" s="24" t="n"/>
      <c r="BC311" s="23" t="n">
        <v>130</v>
      </c>
      <c r="BD311" s="24">
        <f>SUMPRODUCT((Комплекты[Пр]=$F311)*(Комплекты[Обозначение]=$G311)*Комплекты[Кол-во]*(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11" s="25" t="n">
        <v>0</v>
      </c>
      <c r="BF311" s="24" t="n"/>
      <c r="BG311" s="23" t="n">
        <v>130</v>
      </c>
      <c r="BH311" s="24">
        <f>SUMPRODUCT((Комплекты[Пр]=$F311)*(Комплекты[Обозначение]=$G311)*Комплекты[Кол-во]*(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11" s="25" t="n">
        <v>0</v>
      </c>
      <c r="BJ311" s="24" t="n"/>
      <c r="BK311" s="340" t="n"/>
      <c r="BL311" s="803">
        <f>SUMPRODUCT(--(MOD(COLUMN($O311:$AL311),4)=MOD(COLUMN($O311)+0,4)),$O311:$AL311)
+SUMPRODUCT(--(MOD(COLUMN($AM311:$BJ311),4)=MOD(COLUMN($AM311)+0,4)),$AM311:$BJ311)</f>
        <v/>
      </c>
      <c r="BM311" s="803">
        <f>SUMPRODUCT(--(MOD(COLUMN($O311:$AL311),4)=MOD(COLUMN($O311)+0,4)),$O311:$AL311)*
$I311+SUMPRODUCT(--(MOD(COLUMN($AM311:$BJ311),4)=MOD(COLUMN($AM311)+0,4)),$AM311:$BJ311)*$I311</f>
        <v/>
      </c>
      <c r="BN311" s="805">
        <f>SUMPRODUCT(--(MOD(COLUMN($O311:$AL311),4)=MOD(COLUMN($O311)+1,4)),$O311:$AL311)
+SUMPRODUCT(--(MOD(COLUMN($AM311:$BJ311),4)=MOD(COLUMN($AM311)+1,4)),$AM311:$BJ311)</f>
        <v/>
      </c>
      <c r="BO311" s="806">
        <f>SUMPRODUCT(--(MOD(COLUMN($O311:$AL311),4)=MOD(COLUMN($O311)+1,4)),$O311:$AL311)*
$I311+SUMPRODUCT(--(MOD(COLUMN($AM311:$BJ311),4)=MOD(COLUMN($AM311)+1,4)),$AM311:$BJ311)*$I311</f>
        <v/>
      </c>
      <c r="BP311" s="807">
        <f>SUMPRODUCT(--(MOD(COLUMN($O311:$AL311),4)=MOD(COLUMN($O311)+2,4)),$O311:$AL311)
+SUMPRODUCT(--(MOD(COLUMN($AM311:$BJ311),4)=MOD(COLUMN($AM311)+2,4)),$AM311:$BJ311)</f>
        <v/>
      </c>
      <c r="BQ311" s="808">
        <f>SUMPRODUCT(--(MOD(COLUMN($O311:$AL311),4)=MOD(COLUMN($O311)+2,4)),$O311:$AL311)*
$I311+SUMPRODUCT(--(MOD(COLUMN($AM311:$BJ311),4)=MOD(COLUMN($AM311)+2,4)),$AM311:$BJ311)*$I311</f>
        <v/>
      </c>
      <c r="BR311" s="801" t="n"/>
      <c r="BS311" s="819" t="n"/>
      <c r="BT311" s="23" t="n">
        <v>70</v>
      </c>
      <c r="BU311" s="24" t="n"/>
      <c r="BV311" s="25" t="n">
        <v>0</v>
      </c>
      <c r="BW311" s="24" t="n"/>
      <c r="BX311" s="23" t="n">
        <v>70</v>
      </c>
      <c r="BY311" s="24" t="n"/>
      <c r="BZ311" s="25" t="n">
        <v>0</v>
      </c>
      <c r="CA311" s="24" t="n"/>
      <c r="CB311" s="23" t="n">
        <v>70</v>
      </c>
      <c r="CC311" s="24" t="n"/>
      <c r="CD311" s="25" t="n">
        <v>0</v>
      </c>
      <c r="CE311" s="24" t="n"/>
      <c r="CF311" s="23" t="n">
        <v>70</v>
      </c>
      <c r="CG311" s="24" t="n"/>
      <c r="CH311" s="25" t="n">
        <v>0</v>
      </c>
      <c r="CI311" s="24" t="n"/>
      <c r="CJ311" s="23" t="n">
        <v>70</v>
      </c>
      <c r="CK311" s="24" t="n"/>
      <c r="CL311" s="25" t="n">
        <v>0</v>
      </c>
      <c r="CM311" s="24" t="n"/>
      <c r="CN311" s="23" t="n">
        <v>100</v>
      </c>
      <c r="CO311" s="24" t="n"/>
      <c r="CP311" s="25" t="n">
        <v>0</v>
      </c>
      <c r="CQ311" s="24" t="n"/>
      <c r="CR311" s="23" t="n">
        <v>100</v>
      </c>
      <c r="CS311" s="24" t="n"/>
      <c r="CT311" s="25" t="n">
        <v>0</v>
      </c>
      <c r="CU311" s="24" t="n"/>
      <c r="CV311" s="23" t="n">
        <v>100</v>
      </c>
      <c r="CW311" s="24" t="n"/>
      <c r="CX311" s="25" t="n">
        <v>0</v>
      </c>
      <c r="CY311" s="24" t="n"/>
      <c r="CZ311" s="23" t="n">
        <v>100</v>
      </c>
      <c r="DA311" s="24" t="n"/>
      <c r="DB311" s="25" t="n">
        <v>0</v>
      </c>
      <c r="DC311" s="24" t="n"/>
      <c r="DD311" s="23" t="n">
        <v>100</v>
      </c>
      <c r="DE311" s="24" t="n"/>
      <c r="DF311" s="25" t="n">
        <v>0</v>
      </c>
      <c r="DG311" s="24" t="n"/>
      <c r="DH311" s="23" t="n">
        <v>120</v>
      </c>
      <c r="DI311" s="24" t="n"/>
      <c r="DJ311" s="25" t="n">
        <v>0</v>
      </c>
      <c r="DK311" s="24" t="n"/>
      <c r="DL311" s="23" t="n">
        <v>120</v>
      </c>
      <c r="DM311" s="24" t="n"/>
      <c r="DN311" s="25" t="n">
        <v>0</v>
      </c>
      <c r="DO311" s="24" t="n"/>
      <c r="DP311" s="340" t="n"/>
      <c r="DQ311" s="803">
        <f>SUMPRODUCT(--(MOD(COLUMN(BT311:CQ311),4)=MOD(COLUMN(BT311),4)),BT311:CQ311)+SUMPRODUCT(--(MOD(COLUMN(CR311:DO311),4)=MOD(COLUMN(CR311),4)),CR311:DO311)</f>
        <v/>
      </c>
      <c r="DR311" s="803">
        <f>SUMPRODUCT(--(MOD(COLUMN(BT311:CQ311),4)=MOD(COLUMN(BT311),4)),BT311:CQ311)*$I311+SUMPRODUCT(--(MOD(COLUMN(CR311:DO311),4)=MOD(COLUMN(CR311),4)),CR311:DO311)*$I311</f>
        <v/>
      </c>
      <c r="DS311" s="801" t="n"/>
      <c r="DT311" s="819" t="n"/>
      <c r="DU311" s="23" t="n">
        <v>120</v>
      </c>
      <c r="DV311" s="24" t="n"/>
      <c r="DW311" s="25" t="n">
        <v>0</v>
      </c>
      <c r="DX311" s="24" t="n"/>
      <c r="DY311" s="23" t="n">
        <v>120</v>
      </c>
      <c r="DZ311" s="24" t="n"/>
      <c r="EA311" s="25" t="n">
        <v>0</v>
      </c>
      <c r="EB311" s="24" t="n"/>
      <c r="EC311" s="23" t="n">
        <v>120</v>
      </c>
      <c r="ED311" s="24" t="n"/>
      <c r="EE311" s="25" t="n">
        <v>0</v>
      </c>
      <c r="EF311" s="24" t="n"/>
      <c r="EG311" s="23" t="n">
        <v>120</v>
      </c>
      <c r="EH311" s="24" t="n"/>
      <c r="EI311" s="25" t="n">
        <v>0</v>
      </c>
      <c r="EJ311" s="24" t="n"/>
      <c r="EK311" s="23" t="n">
        <v>120</v>
      </c>
      <c r="EL311" s="24" t="n"/>
      <c r="EM311" s="25" t="n">
        <v>0</v>
      </c>
      <c r="EN311" s="24" t="n"/>
      <c r="EO311" s="23" t="n">
        <v>150</v>
      </c>
      <c r="EP311" s="24" t="n"/>
      <c r="EQ311" s="25" t="n">
        <v>0</v>
      </c>
      <c r="ER311" s="24" t="n"/>
      <c r="ES311" s="23" t="n">
        <v>150</v>
      </c>
      <c r="ET311" s="24" t="n"/>
      <c r="EU311" s="25" t="n">
        <v>0</v>
      </c>
      <c r="EV311" s="24" t="n"/>
      <c r="EW311" s="23" t="n">
        <v>150</v>
      </c>
      <c r="EX311" s="24" t="n"/>
      <c r="EY311" s="25" t="n">
        <v>0</v>
      </c>
      <c r="EZ311" s="24" t="n"/>
      <c r="FA311" s="23" t="n">
        <v>150</v>
      </c>
      <c r="FB311" s="24" t="n"/>
      <c r="FC311" s="25" t="n">
        <v>0</v>
      </c>
      <c r="FD311" s="24" t="n"/>
      <c r="FE311" s="23" t="n">
        <v>150</v>
      </c>
      <c r="FF311" s="24" t="n"/>
      <c r="FG311" s="25" t="n">
        <v>0</v>
      </c>
      <c r="FH311" s="24" t="n"/>
      <c r="FI311" s="23" t="n">
        <v>180</v>
      </c>
      <c r="FJ311" s="24" t="n"/>
      <c r="FK311" s="25" t="n">
        <v>0</v>
      </c>
      <c r="FL311" s="24" t="n"/>
      <c r="FM311" s="23" t="n">
        <v>180</v>
      </c>
      <c r="FN311" s="24" t="n"/>
      <c r="FO311" s="25" t="n">
        <v>0</v>
      </c>
      <c r="FP311" s="24" t="n"/>
      <c r="FQ311" s="340" t="n"/>
      <c r="FR311" s="803">
        <f>SUMPRODUCT(--(MOD(COLUMN(DU311:ER311),4)=MOD(COLUMN(DU311),4)),DU311:ER311)+SUMPRODUCT(--(MOD(COLUMN(ES311:FP311),4)=MOD(COLUMN(ES311),4)),ES311:FP311)</f>
        <v/>
      </c>
      <c r="FS311" s="803">
        <f>SUMPRODUCT(--(MOD(COLUMN(DU311:ER311),4)=MOD(COLUMN(DU311),4)),DU311:ER311)*$I311+SUMPRODUCT(--(MOD(COLUMN(ES311:FP311),4)=MOD(COLUMN(ES311),4)),ES311:FP311)*$I311</f>
        <v/>
      </c>
      <c r="FT311" s="361" t="n"/>
    </row>
    <row r="312" outlineLevel="2">
      <c r="A312" s="58" t="inlineStr">
        <is>
          <t>АВТОВИК ООО / AVTOVIK OOO</t>
        </is>
      </c>
      <c r="B312" s="387" t="inlineStr">
        <is>
          <t>Предоплата 100%</t>
        </is>
      </c>
      <c r="C312" s="173" t="inlineStr">
        <is>
          <t>ВБК РУС</t>
        </is>
      </c>
      <c r="D312" s="595" t="inlineStr">
        <is>
          <t>Прасолов, Соловьёв</t>
        </is>
      </c>
      <c r="E312" s="412">
        <f>IF(ISBLANK(G312),"",IF($A$6:$A$330=$A312,COUNTIF($A$6:A312,$A312),""))</f>
        <v/>
      </c>
      <c r="F312" s="123" t="n">
        <v>1</v>
      </c>
      <c r="G312" s="128" t="n">
        <v>4491731200</v>
      </c>
      <c r="H312" s="612" t="inlineStr">
        <is>
          <t>Кабель питания, 12 м</t>
        </is>
      </c>
      <c r="I312" s="618" t="n">
        <v>0</v>
      </c>
      <c r="J312" s="618" t="n"/>
      <c r="K312" s="874" t="n"/>
      <c r="L312" s="618">
        <f>IF(K312="RUB",J312/ЮАНЬ,IF(K312="EUR",J312*ЕВРО/ЮАНЬ,""))</f>
        <v/>
      </c>
      <c r="M312" s="873" t="n"/>
      <c r="N312" s="871">
        <f>IF(BP312&gt;0,1,IF(BN312&gt;0,2,))</f>
        <v/>
      </c>
      <c r="O312" s="23" t="n">
        <v>20</v>
      </c>
      <c r="P312" s="24" t="n"/>
      <c r="Q312" s="25" t="n">
        <v>0</v>
      </c>
      <c r="R312" s="24" t="n"/>
      <c r="S312" s="23" t="n">
        <v>20</v>
      </c>
      <c r="T312" s="24">
        <f>SUMPRODUCT((Комплекты[Пр]=$F312)*(Комплекты[Обозначение]=$G312)*Комплекты[Кол-во]*(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12" s="25" t="n">
        <v>15</v>
      </c>
      <c r="V312" s="24" t="n"/>
      <c r="W312" s="23" t="n">
        <v>20</v>
      </c>
      <c r="X312" s="24">
        <f>SUMPRODUCT((Комплекты[Пр]=$F312)*(Комплекты[Обозначение]=$G312)*Комплекты[Кол-во]*(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12" s="25" t="n">
        <v>0</v>
      </c>
      <c r="Z312" s="24" t="n"/>
      <c r="AA312" s="23" t="n">
        <v>20</v>
      </c>
      <c r="AB312" s="24">
        <f>SUMPRODUCT((Комплекты[Пр]=$F312)*(Комплекты[Обозначение]=$G312)*Комплекты[Кол-во]*(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12" s="25" t="n">
        <v>0</v>
      </c>
      <c r="AD312" s="24" t="n"/>
      <c r="AE312" s="23" t="n">
        <v>20</v>
      </c>
      <c r="AF312" s="24">
        <f>SUMPRODUCT((Комплекты[Пр]=$F312)*(Комплекты[Обозначение]=$G312)*Комплекты[Кол-во]*(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12" s="25" t="n">
        <v>0</v>
      </c>
      <c r="AH312" s="24" t="n"/>
      <c r="AI312" s="23" t="n">
        <v>20</v>
      </c>
      <c r="AJ312" s="24">
        <f>SUMPRODUCT((Комплекты[Пр]=$F312)*(Комплекты[Обозначение]=$G312)*Комплекты[Кол-во]*(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12" s="25" t="n">
        <v>0</v>
      </c>
      <c r="AL312" s="24" t="n"/>
      <c r="AM312" s="23" t="n">
        <v>20</v>
      </c>
      <c r="AN312" s="24">
        <f>SUMPRODUCT((Комплекты[Пр]=$F312)*(Комплекты[Обозначение]=$G312)*Комплекты[Кол-во]*(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12" s="25" t="n">
        <v>0</v>
      </c>
      <c r="AP312" s="24" t="n"/>
      <c r="AQ312" s="23" t="n">
        <v>20</v>
      </c>
      <c r="AR312" s="24">
        <f>SUMPRODUCT((Комплекты[Пр]=$F312)*(Комплекты[Обозначение]=$G312)*Комплекты[Кол-во]*(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12" s="25" t="n">
        <v>0</v>
      </c>
      <c r="AT312" s="24" t="n"/>
      <c r="AU312" s="23" t="n">
        <v>20</v>
      </c>
      <c r="AV312" s="24">
        <f>SUMPRODUCT((Комплекты[Пр]=$F312)*(Комплекты[Обозначение]=$G312)*Комплекты[Кол-во]*(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12" s="25" t="n">
        <v>0</v>
      </c>
      <c r="AX312" s="24" t="n"/>
      <c r="AY312" s="23" t="n">
        <v>20</v>
      </c>
      <c r="AZ312" s="24">
        <f>SUMPRODUCT((Комплекты[Пр]=$F312)*(Комплекты[Обозначение]=$G312)*Комплекты[Кол-во]*(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12" s="25" t="n">
        <v>0</v>
      </c>
      <c r="BB312" s="24" t="n"/>
      <c r="BC312" s="23" t="n">
        <v>20</v>
      </c>
      <c r="BD312" s="24">
        <f>SUMPRODUCT((Комплекты[Пр]=$F312)*(Комплекты[Обозначение]=$G312)*Комплекты[Кол-во]*(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12" s="25" t="n">
        <v>0</v>
      </c>
      <c r="BF312" s="24" t="n"/>
      <c r="BG312" s="23" t="n">
        <v>20</v>
      </c>
      <c r="BH312" s="24">
        <f>SUMPRODUCT((Комплекты[Пр]=$F312)*(Комплекты[Обозначение]=$G312)*Комплекты[Кол-во]*(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12" s="25" t="n">
        <v>0</v>
      </c>
      <c r="BJ312" s="24" t="n"/>
      <c r="BK312" s="340" t="n"/>
      <c r="BL312" s="803">
        <f>SUMPRODUCT(--(MOD(COLUMN($O312:$AL312),4)=MOD(COLUMN($O312)+0,4)),$O312:$AL312)
+SUMPRODUCT(--(MOD(COLUMN($AM312:$BJ312),4)=MOD(COLUMN($AM312)+0,4)),$AM312:$BJ312)</f>
        <v/>
      </c>
      <c r="BM312" s="803">
        <f>SUMPRODUCT(--(MOD(COLUMN($O312:$AL312),4)=MOD(COLUMN($O312)+0,4)),$O312:$AL312)*
$I312+SUMPRODUCT(--(MOD(COLUMN($AM312:$BJ312),4)=MOD(COLUMN($AM312)+0,4)),$AM312:$BJ312)*$I312</f>
        <v/>
      </c>
      <c r="BN312" s="805">
        <f>SUMPRODUCT(--(MOD(COLUMN($O312:$AL312),4)=MOD(COLUMN($O312)+1,4)),$O312:$AL312)
+SUMPRODUCT(--(MOD(COLUMN($AM312:$BJ312),4)=MOD(COLUMN($AM312)+1,4)),$AM312:$BJ312)</f>
        <v/>
      </c>
      <c r="BO312" s="806">
        <f>SUMPRODUCT(--(MOD(COLUMN($O312:$AL312),4)=MOD(COLUMN($O312)+1,4)),$O312:$AL312)*
$I312+SUMPRODUCT(--(MOD(COLUMN($AM312:$BJ312),4)=MOD(COLUMN($AM312)+1,4)),$AM312:$BJ312)*$I312</f>
        <v/>
      </c>
      <c r="BP312" s="807">
        <f>SUMPRODUCT(--(MOD(COLUMN($O312:$AL312),4)=MOD(COLUMN($O312)+2,4)),$O312:$AL312)
+SUMPRODUCT(--(MOD(COLUMN($AM312:$BJ312),4)=MOD(COLUMN($AM312)+2,4)),$AM312:$BJ312)</f>
        <v/>
      </c>
      <c r="BQ312" s="808">
        <f>SUMPRODUCT(--(MOD(COLUMN($O312:$AL312),4)=MOD(COLUMN($O312)+2,4)),$O312:$AL312)*
$I312+SUMPRODUCT(--(MOD(COLUMN($AM312:$BJ312),4)=MOD(COLUMN($AM312)+2,4)),$AM312:$BJ312)*$I312</f>
        <v/>
      </c>
      <c r="BR312" s="801" t="n"/>
      <c r="BS312" s="819" t="n"/>
      <c r="BT312" s="23" t="n">
        <v>0</v>
      </c>
      <c r="BU312" s="24" t="n"/>
      <c r="BV312" s="25" t="n"/>
      <c r="BW312" s="24" t="n"/>
      <c r="BX312" s="23" t="n">
        <v>0</v>
      </c>
      <c r="BY312" s="24" t="n"/>
      <c r="BZ312" s="25" t="n"/>
      <c r="CA312" s="24" t="n"/>
      <c r="CB312" s="23" t="n">
        <v>0</v>
      </c>
      <c r="CC312" s="24" t="n"/>
      <c r="CD312" s="25" t="n"/>
      <c r="CE312" s="24" t="n"/>
      <c r="CF312" s="23" t="n">
        <v>0</v>
      </c>
      <c r="CG312" s="24" t="n"/>
      <c r="CH312" s="25" t="n"/>
      <c r="CI312" s="24" t="n"/>
      <c r="CJ312" s="23" t="n">
        <v>0</v>
      </c>
      <c r="CK312" s="24" t="n"/>
      <c r="CL312" s="25" t="n"/>
      <c r="CM312" s="24" t="n"/>
      <c r="CN312" s="23" t="n">
        <v>0</v>
      </c>
      <c r="CO312" s="24" t="n"/>
      <c r="CP312" s="25" t="n"/>
      <c r="CQ312" s="24" t="n"/>
      <c r="CR312" s="23" t="n">
        <v>0</v>
      </c>
      <c r="CS312" s="24" t="n"/>
      <c r="CT312" s="25" t="n"/>
      <c r="CU312" s="24" t="n"/>
      <c r="CV312" s="23" t="n">
        <v>0</v>
      </c>
      <c r="CW312" s="24" t="n"/>
      <c r="CX312" s="25" t="n"/>
      <c r="CY312" s="24" t="n"/>
      <c r="CZ312" s="23" t="n">
        <v>0</v>
      </c>
      <c r="DA312" s="24" t="n"/>
      <c r="DB312" s="25" t="n"/>
      <c r="DC312" s="24" t="n"/>
      <c r="DD312" s="23" t="n">
        <v>0</v>
      </c>
      <c r="DE312" s="24" t="n"/>
      <c r="DF312" s="25" t="n"/>
      <c r="DG312" s="24" t="n"/>
      <c r="DH312" s="23" t="n">
        <v>0</v>
      </c>
      <c r="DI312" s="24" t="n"/>
      <c r="DJ312" s="25" t="n"/>
      <c r="DK312" s="24" t="n"/>
      <c r="DL312" s="23" t="n">
        <v>0</v>
      </c>
      <c r="DM312" s="24" t="n"/>
      <c r="DN312" s="25" t="n"/>
      <c r="DO312" s="24" t="n"/>
      <c r="DP312" s="340" t="n"/>
      <c r="DQ312" s="803">
        <f>SUMPRODUCT(--(MOD(COLUMN(BT312:CQ312),4)=MOD(COLUMN(BT312),4)),BT312:CQ312)+SUMPRODUCT(--(MOD(COLUMN(CR312:DO312),4)=MOD(COLUMN(CR312),4)),CR312:DO312)</f>
        <v/>
      </c>
      <c r="DR312" s="803">
        <f>SUMPRODUCT(--(MOD(COLUMN(BT312:CQ312),4)=MOD(COLUMN(BT312),4)),BT312:CQ312)*$I312+SUMPRODUCT(--(MOD(COLUMN(CR312:DO312),4)=MOD(COLUMN(CR312),4)),CR312:DO312)*$I312</f>
        <v/>
      </c>
      <c r="DS312" s="801" t="n"/>
      <c r="DT312" s="819" t="n"/>
      <c r="DU312" s="23" t="n">
        <v>0</v>
      </c>
      <c r="DV312" s="24" t="n"/>
      <c r="DW312" s="25" t="n"/>
      <c r="DX312" s="24" t="n"/>
      <c r="DY312" s="23" t="n">
        <v>0</v>
      </c>
      <c r="DZ312" s="24" t="n"/>
      <c r="EA312" s="25" t="n"/>
      <c r="EB312" s="24" t="n"/>
      <c r="EC312" s="23" t="n">
        <v>0</v>
      </c>
      <c r="ED312" s="24" t="n"/>
      <c r="EE312" s="25" t="n"/>
      <c r="EF312" s="24" t="n"/>
      <c r="EG312" s="23" t="n">
        <v>0</v>
      </c>
      <c r="EH312" s="24" t="n"/>
      <c r="EI312" s="25" t="n"/>
      <c r="EJ312" s="24" t="n"/>
      <c r="EK312" s="23" t="n">
        <v>0</v>
      </c>
      <c r="EL312" s="24" t="n"/>
      <c r="EM312" s="25" t="n"/>
      <c r="EN312" s="24" t="n"/>
      <c r="EO312" s="23" t="n">
        <v>0</v>
      </c>
      <c r="EP312" s="24" t="n"/>
      <c r="EQ312" s="25" t="n"/>
      <c r="ER312" s="24" t="n"/>
      <c r="ES312" s="23" t="n">
        <v>0</v>
      </c>
      <c r="ET312" s="24" t="n"/>
      <c r="EU312" s="25" t="n"/>
      <c r="EV312" s="24" t="n"/>
      <c r="EW312" s="23" t="n">
        <v>0</v>
      </c>
      <c r="EX312" s="24" t="n"/>
      <c r="EY312" s="25" t="n"/>
      <c r="EZ312" s="24" t="n"/>
      <c r="FA312" s="23" t="n">
        <v>0</v>
      </c>
      <c r="FB312" s="24" t="n"/>
      <c r="FC312" s="25" t="n"/>
      <c r="FD312" s="24" t="n"/>
      <c r="FE312" s="23" t="n">
        <v>0</v>
      </c>
      <c r="FF312" s="24" t="n"/>
      <c r="FG312" s="25" t="n"/>
      <c r="FH312" s="24" t="n"/>
      <c r="FI312" s="23" t="n">
        <v>0</v>
      </c>
      <c r="FJ312" s="24" t="n"/>
      <c r="FK312" s="25" t="n"/>
      <c r="FL312" s="24" t="n"/>
      <c r="FM312" s="23" t="n">
        <v>0</v>
      </c>
      <c r="FN312" s="24" t="n"/>
      <c r="FO312" s="25" t="n"/>
      <c r="FP312" s="24" t="n"/>
      <c r="FQ312" s="340" t="n"/>
      <c r="FR312" s="803">
        <f>SUMPRODUCT(--(MOD(COLUMN(DU312:ER312),4)=MOD(COLUMN(DU312),4)),DU312:ER312)+SUMPRODUCT(--(MOD(COLUMN(ES312:FP312),4)=MOD(COLUMN(ES312),4)),ES312:FP312)</f>
        <v/>
      </c>
      <c r="FS312" s="803">
        <f>SUMPRODUCT(--(MOD(COLUMN(DU312:ER312),4)=MOD(COLUMN(DU312),4)),DU312:ER312)*$I312+SUMPRODUCT(--(MOD(COLUMN(ES312:FP312),4)=MOD(COLUMN(ES312),4)),ES312:FP312)*$I312</f>
        <v/>
      </c>
      <c r="FT312" s="361" t="n"/>
    </row>
    <row r="313" outlineLevel="2">
      <c r="A313" s="58" t="inlineStr">
        <is>
          <t>АВТОВИК ООО / AVTOVIK OOO</t>
        </is>
      </c>
      <c r="B313" s="387" t="inlineStr">
        <is>
          <t>Предоплата 100%</t>
        </is>
      </c>
      <c r="C313" s="173" t="inlineStr">
        <is>
          <t>ВБК РУС</t>
        </is>
      </c>
      <c r="D313" s="595" t="inlineStr">
        <is>
          <t>Прасолов, Соловьёв</t>
        </is>
      </c>
      <c r="E313" s="412">
        <f>IF(ISBLANK(G313),"",IF($A$6:$A$330=$A313,COUNTIF($A$6:A313,$A313),""))</f>
        <v/>
      </c>
      <c r="F313" s="123" t="n">
        <v>1</v>
      </c>
      <c r="G313" s="128" t="n">
        <v>4491731500</v>
      </c>
      <c r="H313" s="612" t="inlineStr">
        <is>
          <t>Кабель питания, 15 м</t>
        </is>
      </c>
      <c r="I313" s="618" t="n">
        <v>0</v>
      </c>
      <c r="J313" s="618" t="n"/>
      <c r="K313" s="874" t="n"/>
      <c r="L313" s="618">
        <f>IF(K313="RUB",J313/ЮАНЬ,IF(K313="EUR",J313*ЕВРО/ЮАНЬ,""))</f>
        <v/>
      </c>
      <c r="M313" s="873" t="n"/>
      <c r="N313" s="871">
        <f>IF(BP313&gt;0,1,IF(BN313&gt;0,2,))</f>
        <v/>
      </c>
      <c r="O313" s="23" t="n">
        <v>60</v>
      </c>
      <c r="P313" s="24" t="n"/>
      <c r="Q313" s="25" t="n">
        <v>0</v>
      </c>
      <c r="R313" s="24" t="n"/>
      <c r="S313" s="23" t="n">
        <v>60</v>
      </c>
      <c r="T313" s="24">
        <f>SUMPRODUCT((Комплекты[Пр]=$F313)*(Комплекты[Обозначение]=$G313)*Комплекты[Кол-во]*(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13" s="25" t="n">
        <v>20</v>
      </c>
      <c r="V313" s="24" t="n"/>
      <c r="W313" s="23" t="n">
        <v>60</v>
      </c>
      <c r="X313" s="24">
        <f>SUMPRODUCT((Комплекты[Пр]=$F313)*(Комплекты[Обозначение]=$G313)*Комплекты[Кол-во]*(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13" s="25" t="n">
        <v>20</v>
      </c>
      <c r="Z313" s="24" t="n"/>
      <c r="AA313" s="23" t="n">
        <v>60</v>
      </c>
      <c r="AB313" s="24">
        <f>SUMPRODUCT((Комплекты[Пр]=$F313)*(Комплекты[Обозначение]=$G313)*Комплекты[Кол-во]*(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13" s="25" t="n">
        <v>0</v>
      </c>
      <c r="AD313" s="24" t="n"/>
      <c r="AE313" s="23" t="n">
        <v>60</v>
      </c>
      <c r="AF313" s="24">
        <f>SUMPRODUCT((Комплекты[Пр]=$F313)*(Комплекты[Обозначение]=$G313)*Комплекты[Кол-во]*(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13" s="25" t="n">
        <v>0</v>
      </c>
      <c r="AH313" s="24" t="n"/>
      <c r="AI313" s="23" t="n">
        <v>70</v>
      </c>
      <c r="AJ313" s="24">
        <f>SUMPRODUCT((Комплекты[Пр]=$F313)*(Комплекты[Обозначение]=$G313)*Комплекты[Кол-во]*(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13" s="25" t="n">
        <v>0</v>
      </c>
      <c r="AL313" s="24" t="n"/>
      <c r="AM313" s="23" t="n">
        <v>70</v>
      </c>
      <c r="AN313" s="24">
        <f>SUMPRODUCT((Комплекты[Пр]=$F313)*(Комплекты[Обозначение]=$G313)*Комплекты[Кол-во]*(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13" s="25" t="n">
        <v>0</v>
      </c>
      <c r="AP313" s="24" t="n"/>
      <c r="AQ313" s="23" t="n">
        <v>70</v>
      </c>
      <c r="AR313" s="24">
        <f>SUMPRODUCT((Комплекты[Пр]=$F313)*(Комплекты[Обозначение]=$G313)*Комплекты[Кол-во]*(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13" s="25" t="n">
        <v>0</v>
      </c>
      <c r="AT313" s="24" t="n"/>
      <c r="AU313" s="23" t="n">
        <v>90</v>
      </c>
      <c r="AV313" s="24">
        <f>SUMPRODUCT((Комплекты[Пр]=$F313)*(Комплекты[Обозначение]=$G313)*Комплекты[Кол-во]*(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13" s="25" t="n">
        <v>0</v>
      </c>
      <c r="AX313" s="24" t="n"/>
      <c r="AY313" s="23" t="n">
        <v>90</v>
      </c>
      <c r="AZ313" s="24">
        <f>SUMPRODUCT((Комплекты[Пр]=$F313)*(Комплекты[Обозначение]=$G313)*Комплекты[Кол-во]*(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13" s="25" t="n">
        <v>0</v>
      </c>
      <c r="BB313" s="24" t="n"/>
      <c r="BC313" s="23" t="n">
        <v>110</v>
      </c>
      <c r="BD313" s="24">
        <f>SUMPRODUCT((Комплекты[Пр]=$F313)*(Комплекты[Обозначение]=$G313)*Комплекты[Кол-во]*(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13" s="25" t="n">
        <v>0</v>
      </c>
      <c r="BF313" s="24" t="n"/>
      <c r="BG313" s="23" t="n">
        <v>110</v>
      </c>
      <c r="BH313" s="24">
        <f>SUMPRODUCT((Комплекты[Пр]=$F313)*(Комплекты[Обозначение]=$G313)*Комплекты[Кол-во]*(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13" s="25" t="n">
        <v>0</v>
      </c>
      <c r="BJ313" s="24" t="n"/>
      <c r="BK313" s="340" t="n"/>
      <c r="BL313" s="803">
        <f>SUMPRODUCT(--(MOD(COLUMN($O313:$AL313),4)=MOD(COLUMN($O313)+0,4)),$O313:$AL313)
+SUMPRODUCT(--(MOD(COLUMN($AM313:$BJ313),4)=MOD(COLUMN($AM313)+0,4)),$AM313:$BJ313)</f>
        <v/>
      </c>
      <c r="BM313" s="803">
        <f>SUMPRODUCT(--(MOD(COLUMN($O313:$AL313),4)=MOD(COLUMN($O313)+0,4)),$O313:$AL313)*
$I313+SUMPRODUCT(--(MOD(COLUMN($AM313:$BJ313),4)=MOD(COLUMN($AM313)+0,4)),$AM313:$BJ313)*$I313</f>
        <v/>
      </c>
      <c r="BN313" s="805">
        <f>SUMPRODUCT(--(MOD(COLUMN($O313:$AL313),4)=MOD(COLUMN($O313)+1,4)),$O313:$AL313)
+SUMPRODUCT(--(MOD(COLUMN($AM313:$BJ313),4)=MOD(COLUMN($AM313)+1,4)),$AM313:$BJ313)</f>
        <v/>
      </c>
      <c r="BO313" s="806">
        <f>SUMPRODUCT(--(MOD(COLUMN($O313:$AL313),4)=MOD(COLUMN($O313)+1,4)),$O313:$AL313)*
$I313+SUMPRODUCT(--(MOD(COLUMN($AM313:$BJ313),4)=MOD(COLUMN($AM313)+1,4)),$AM313:$BJ313)*$I313</f>
        <v/>
      </c>
      <c r="BP313" s="807">
        <f>SUMPRODUCT(--(MOD(COLUMN($O313:$AL313),4)=MOD(COLUMN($O313)+2,4)),$O313:$AL313)
+SUMPRODUCT(--(MOD(COLUMN($AM313:$BJ313),4)=MOD(COLUMN($AM313)+2,4)),$AM313:$BJ313)</f>
        <v/>
      </c>
      <c r="BQ313" s="808">
        <f>SUMPRODUCT(--(MOD(COLUMN($O313:$AL313),4)=MOD(COLUMN($O313)+2,4)),$O313:$AL313)*
$I313+SUMPRODUCT(--(MOD(COLUMN($AM313:$BJ313),4)=MOD(COLUMN($AM313)+2,4)),$AM313:$BJ313)*$I313</f>
        <v/>
      </c>
      <c r="BR313" s="801" t="n"/>
      <c r="BS313" s="819" t="n"/>
      <c r="BT313" s="23" t="n">
        <v>70</v>
      </c>
      <c r="BU313" s="24" t="n"/>
      <c r="BV313" s="25" t="n">
        <v>0</v>
      </c>
      <c r="BW313" s="24" t="n"/>
      <c r="BX313" s="23" t="n">
        <v>70</v>
      </c>
      <c r="BY313" s="24" t="n"/>
      <c r="BZ313" s="25" t="n">
        <v>0</v>
      </c>
      <c r="CA313" s="24" t="n"/>
      <c r="CB313" s="23" t="n">
        <v>70</v>
      </c>
      <c r="CC313" s="24" t="n"/>
      <c r="CD313" s="25" t="n">
        <v>0</v>
      </c>
      <c r="CE313" s="24" t="n"/>
      <c r="CF313" s="23" t="n">
        <v>70</v>
      </c>
      <c r="CG313" s="24" t="n"/>
      <c r="CH313" s="25" t="n">
        <v>0</v>
      </c>
      <c r="CI313" s="24" t="n"/>
      <c r="CJ313" s="23" t="n">
        <v>70</v>
      </c>
      <c r="CK313" s="24" t="n"/>
      <c r="CL313" s="25" t="n">
        <v>0</v>
      </c>
      <c r="CM313" s="24" t="n"/>
      <c r="CN313" s="23" t="n">
        <v>100</v>
      </c>
      <c r="CO313" s="24" t="n"/>
      <c r="CP313" s="25" t="n">
        <v>0</v>
      </c>
      <c r="CQ313" s="24" t="n"/>
      <c r="CR313" s="23" t="n">
        <v>100</v>
      </c>
      <c r="CS313" s="24" t="n"/>
      <c r="CT313" s="25" t="n">
        <v>0</v>
      </c>
      <c r="CU313" s="24" t="n"/>
      <c r="CV313" s="23" t="n">
        <v>100</v>
      </c>
      <c r="CW313" s="24" t="n"/>
      <c r="CX313" s="25" t="n">
        <v>0</v>
      </c>
      <c r="CY313" s="24" t="n"/>
      <c r="CZ313" s="23" t="n">
        <v>100</v>
      </c>
      <c r="DA313" s="24" t="n"/>
      <c r="DB313" s="25" t="n">
        <v>0</v>
      </c>
      <c r="DC313" s="24" t="n"/>
      <c r="DD313" s="23" t="n">
        <v>100</v>
      </c>
      <c r="DE313" s="24" t="n"/>
      <c r="DF313" s="25" t="n">
        <v>0</v>
      </c>
      <c r="DG313" s="24" t="n"/>
      <c r="DH313" s="23" t="n">
        <v>120</v>
      </c>
      <c r="DI313" s="24" t="n"/>
      <c r="DJ313" s="25" t="n">
        <v>0</v>
      </c>
      <c r="DK313" s="24" t="n"/>
      <c r="DL313" s="23" t="n">
        <v>120</v>
      </c>
      <c r="DM313" s="24" t="n"/>
      <c r="DN313" s="25" t="n">
        <v>0</v>
      </c>
      <c r="DO313" s="24" t="n"/>
      <c r="DP313" s="340" t="n"/>
      <c r="DQ313" s="803">
        <f>SUMPRODUCT(--(MOD(COLUMN(BT313:CQ313),4)=MOD(COLUMN(BT313),4)),BT313:CQ313)+SUMPRODUCT(--(MOD(COLUMN(CR313:DO313),4)=MOD(COLUMN(CR313),4)),CR313:DO313)</f>
        <v/>
      </c>
      <c r="DR313" s="803">
        <f>SUMPRODUCT(--(MOD(COLUMN(BT313:CQ313),4)=MOD(COLUMN(BT313),4)),BT313:CQ313)*$I313+SUMPRODUCT(--(MOD(COLUMN(CR313:DO313),4)=MOD(COLUMN(CR313),4)),CR313:DO313)*$I313</f>
        <v/>
      </c>
      <c r="DS313" s="801" t="n"/>
      <c r="DT313" s="819" t="n"/>
      <c r="DU313" s="23" t="n">
        <v>120</v>
      </c>
      <c r="DV313" s="24" t="n"/>
      <c r="DW313" s="25" t="n">
        <v>0</v>
      </c>
      <c r="DX313" s="24" t="n"/>
      <c r="DY313" s="23" t="n">
        <v>120</v>
      </c>
      <c r="DZ313" s="24" t="n"/>
      <c r="EA313" s="25" t="n">
        <v>0</v>
      </c>
      <c r="EB313" s="24" t="n"/>
      <c r="EC313" s="23" t="n">
        <v>120</v>
      </c>
      <c r="ED313" s="24" t="n"/>
      <c r="EE313" s="25" t="n">
        <v>0</v>
      </c>
      <c r="EF313" s="24" t="n"/>
      <c r="EG313" s="23" t="n">
        <v>120</v>
      </c>
      <c r="EH313" s="24" t="n"/>
      <c r="EI313" s="25" t="n">
        <v>0</v>
      </c>
      <c r="EJ313" s="24" t="n"/>
      <c r="EK313" s="23" t="n">
        <v>120</v>
      </c>
      <c r="EL313" s="24" t="n"/>
      <c r="EM313" s="25" t="n">
        <v>0</v>
      </c>
      <c r="EN313" s="24" t="n"/>
      <c r="EO313" s="23" t="n">
        <v>150</v>
      </c>
      <c r="EP313" s="24" t="n"/>
      <c r="EQ313" s="25" t="n">
        <v>0</v>
      </c>
      <c r="ER313" s="24" t="n"/>
      <c r="ES313" s="23" t="n">
        <v>150</v>
      </c>
      <c r="ET313" s="24" t="n"/>
      <c r="EU313" s="25" t="n">
        <v>0</v>
      </c>
      <c r="EV313" s="24" t="n"/>
      <c r="EW313" s="23" t="n">
        <v>150</v>
      </c>
      <c r="EX313" s="24" t="n"/>
      <c r="EY313" s="25" t="n">
        <v>0</v>
      </c>
      <c r="EZ313" s="24" t="n"/>
      <c r="FA313" s="23" t="n">
        <v>150</v>
      </c>
      <c r="FB313" s="24" t="n"/>
      <c r="FC313" s="25" t="n">
        <v>0</v>
      </c>
      <c r="FD313" s="24" t="n"/>
      <c r="FE313" s="23" t="n">
        <v>150</v>
      </c>
      <c r="FF313" s="24" t="n"/>
      <c r="FG313" s="25" t="n">
        <v>0</v>
      </c>
      <c r="FH313" s="24" t="n"/>
      <c r="FI313" s="23" t="n">
        <v>180</v>
      </c>
      <c r="FJ313" s="24" t="n"/>
      <c r="FK313" s="25" t="n">
        <v>0</v>
      </c>
      <c r="FL313" s="24" t="n"/>
      <c r="FM313" s="23" t="n">
        <v>180</v>
      </c>
      <c r="FN313" s="24" t="n"/>
      <c r="FO313" s="25" t="n">
        <v>0</v>
      </c>
      <c r="FP313" s="24" t="n"/>
      <c r="FQ313" s="340" t="n"/>
      <c r="FR313" s="803">
        <f>SUMPRODUCT(--(MOD(COLUMN(DU313:ER313),4)=MOD(COLUMN(DU313),4)),DU313:ER313)+SUMPRODUCT(--(MOD(COLUMN(ES313:FP313),4)=MOD(COLUMN(ES313),4)),ES313:FP313)</f>
        <v/>
      </c>
      <c r="FS313" s="803">
        <f>SUMPRODUCT(--(MOD(COLUMN(DU313:ER313),4)=MOD(COLUMN(DU313),4)),DU313:ER313)*$I313+SUMPRODUCT(--(MOD(COLUMN(ES313:FP313),4)=MOD(COLUMN(ES313),4)),ES313:FP313)*$I313</f>
        <v/>
      </c>
      <c r="FT313" s="361" t="n"/>
    </row>
    <row r="314" outlineLevel="2">
      <c r="A314" s="58" t="inlineStr">
        <is>
          <t>АВТОВИК ООО / AVTOVIK OOO</t>
        </is>
      </c>
      <c r="B314" s="387" t="inlineStr">
        <is>
          <t>Предоплата 100%</t>
        </is>
      </c>
      <c r="C314" s="173" t="inlineStr">
        <is>
          <t>ВБК РУС</t>
        </is>
      </c>
      <c r="D314" s="595" t="inlineStr">
        <is>
          <t>Прасолов, Соловьёв</t>
        </is>
      </c>
      <c r="E314" s="412">
        <f>IF(ISBLANK(G314),"",IF($A$6:$A$330=$A314,COUNTIF($A$6:A314,$A314),""))</f>
        <v/>
      </c>
      <c r="F314" s="123" t="n">
        <v>1</v>
      </c>
      <c r="G314" s="128" t="n">
        <v>4497230500</v>
      </c>
      <c r="H314" s="612" t="inlineStr">
        <is>
          <t>Кабель датчика, 5 м</t>
        </is>
      </c>
      <c r="I314" s="618" t="n">
        <v>0</v>
      </c>
      <c r="J314" s="618" t="n"/>
      <c r="K314" s="874" t="n"/>
      <c r="L314" s="618">
        <f>IF(K314="RUB",J314/ЮАНЬ,IF(K314="EUR",J314*ЕВРО/ЮАНЬ,""))</f>
        <v/>
      </c>
      <c r="M314" s="873" t="n"/>
      <c r="N314" s="871">
        <f>IF(BP314&gt;0,1,IF(BN314&gt;0,2,))</f>
        <v/>
      </c>
      <c r="O314" s="23" t="n">
        <v>160</v>
      </c>
      <c r="P314" s="24" t="n"/>
      <c r="Q314" s="25" t="n">
        <v>0</v>
      </c>
      <c r="R314" s="24" t="n"/>
      <c r="S314" s="23" t="n">
        <v>160</v>
      </c>
      <c r="T314" s="24">
        <f>SUMPRODUCT((Комплекты[Пр]=$F314)*(Комплекты[Обозначение]=$G314)*Комплекты[Кол-во]*(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14" s="25" t="n">
        <v>100</v>
      </c>
      <c r="V314" s="24" t="n"/>
      <c r="W314" s="23" t="n">
        <v>160</v>
      </c>
      <c r="X314" s="24">
        <f>SUMPRODUCT((Комплекты[Пр]=$F314)*(Комплекты[Обозначение]=$G314)*Комплекты[Кол-во]*(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14" s="25" t="n">
        <v>80</v>
      </c>
      <c r="Z314" s="24" t="n"/>
      <c r="AA314" s="23" t="n">
        <v>160</v>
      </c>
      <c r="AB314" s="24">
        <f>SUMPRODUCT((Комплекты[Пр]=$F314)*(Комплекты[Обозначение]=$G314)*Комплекты[Кол-во]*(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14" s="25" t="n">
        <v>0</v>
      </c>
      <c r="AD314" s="24" t="n"/>
      <c r="AE314" s="23" t="n">
        <v>160</v>
      </c>
      <c r="AF314" s="24">
        <f>SUMPRODUCT((Комплекты[Пр]=$F314)*(Комплекты[Обозначение]=$G314)*Комплекты[Кол-во]*(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14" s="25" t="n">
        <v>0</v>
      </c>
      <c r="AH314" s="24" t="n"/>
      <c r="AI314" s="23" t="n">
        <v>180</v>
      </c>
      <c r="AJ314" s="24">
        <f>SUMPRODUCT((Комплекты[Пр]=$F314)*(Комплекты[Обозначение]=$G314)*Комплекты[Кол-во]*(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14" s="25" t="n">
        <v>0</v>
      </c>
      <c r="AL314" s="24" t="n"/>
      <c r="AM314" s="23" t="n">
        <v>180</v>
      </c>
      <c r="AN314" s="24">
        <f>SUMPRODUCT((Комплекты[Пр]=$F314)*(Комплекты[Обозначение]=$G314)*Комплекты[Кол-во]*(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14" s="25" t="n">
        <v>0</v>
      </c>
      <c r="AP314" s="24" t="n"/>
      <c r="AQ314" s="23" t="n">
        <v>180</v>
      </c>
      <c r="AR314" s="24">
        <f>SUMPRODUCT((Комплекты[Пр]=$F314)*(Комплекты[Обозначение]=$G314)*Комплекты[Кол-во]*(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14" s="25" t="n">
        <v>0</v>
      </c>
      <c r="AT314" s="24" t="n"/>
      <c r="AU314" s="23" t="n">
        <v>220</v>
      </c>
      <c r="AV314" s="24">
        <f>SUMPRODUCT((Комплекты[Пр]=$F314)*(Комплекты[Обозначение]=$G314)*Комплекты[Кол-во]*(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14" s="25" t="n">
        <v>0</v>
      </c>
      <c r="AX314" s="24" t="n"/>
      <c r="AY314" s="23" t="n">
        <v>220</v>
      </c>
      <c r="AZ314" s="24">
        <f>SUMPRODUCT((Комплекты[Пр]=$F314)*(Комплекты[Обозначение]=$G314)*Комплекты[Кол-во]*(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14" s="25" t="n">
        <v>0</v>
      </c>
      <c r="BB314" s="24" t="n"/>
      <c r="BC314" s="23" t="n">
        <v>260</v>
      </c>
      <c r="BD314" s="24">
        <f>SUMPRODUCT((Комплекты[Пр]=$F314)*(Комплекты[Обозначение]=$G314)*Комплекты[Кол-во]*(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14" s="25" t="n">
        <v>0</v>
      </c>
      <c r="BF314" s="24" t="n"/>
      <c r="BG314" s="23" t="n">
        <v>260</v>
      </c>
      <c r="BH314" s="24">
        <f>SUMPRODUCT((Комплекты[Пр]=$F314)*(Комплекты[Обозначение]=$G314)*Комплекты[Кол-во]*(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14" s="25" t="n">
        <v>0</v>
      </c>
      <c r="BJ314" s="24" t="n"/>
      <c r="BK314" s="340" t="n"/>
      <c r="BL314" s="803">
        <f>SUMPRODUCT(--(MOD(COLUMN($O314:$AL314),4)=MOD(COLUMN($O314)+0,4)),$O314:$AL314)
+SUMPRODUCT(--(MOD(COLUMN($AM314:$BJ314),4)=MOD(COLUMN($AM314)+0,4)),$AM314:$BJ314)</f>
        <v/>
      </c>
      <c r="BM314" s="803">
        <f>SUMPRODUCT(--(MOD(COLUMN($O314:$AL314),4)=MOD(COLUMN($O314)+0,4)),$O314:$AL314)*
$I314+SUMPRODUCT(--(MOD(COLUMN($AM314:$BJ314),4)=MOD(COLUMN($AM314)+0,4)),$AM314:$BJ314)*$I314</f>
        <v/>
      </c>
      <c r="BN314" s="805">
        <f>SUMPRODUCT(--(MOD(COLUMN($O314:$AL314),4)=MOD(COLUMN($O314)+1,4)),$O314:$AL314)
+SUMPRODUCT(--(MOD(COLUMN($AM314:$BJ314),4)=MOD(COLUMN($AM314)+1,4)),$AM314:$BJ314)</f>
        <v/>
      </c>
      <c r="BO314" s="806">
        <f>SUMPRODUCT(--(MOD(COLUMN($O314:$AL314),4)=MOD(COLUMN($O314)+1,4)),$O314:$AL314)*
$I314+SUMPRODUCT(--(MOD(COLUMN($AM314:$BJ314),4)=MOD(COLUMN($AM314)+1,4)),$AM314:$BJ314)*$I314</f>
        <v/>
      </c>
      <c r="BP314" s="807">
        <f>SUMPRODUCT(--(MOD(COLUMN($O314:$AL314),4)=MOD(COLUMN($O314)+2,4)),$O314:$AL314)
+SUMPRODUCT(--(MOD(COLUMN($AM314:$BJ314),4)=MOD(COLUMN($AM314)+2,4)),$AM314:$BJ314)</f>
        <v/>
      </c>
      <c r="BQ314" s="808">
        <f>SUMPRODUCT(--(MOD(COLUMN($O314:$AL314),4)=MOD(COLUMN($O314)+2,4)),$O314:$AL314)*
$I314+SUMPRODUCT(--(MOD(COLUMN($AM314:$BJ314),4)=MOD(COLUMN($AM314)+2,4)),$AM314:$BJ314)*$I314</f>
        <v/>
      </c>
      <c r="BR314" s="801" t="n"/>
      <c r="BS314" s="819" t="n"/>
      <c r="BT314" s="23" t="n">
        <v>140</v>
      </c>
      <c r="BU314" s="24" t="n"/>
      <c r="BV314" s="25" t="n">
        <v>0</v>
      </c>
      <c r="BW314" s="24" t="n"/>
      <c r="BX314" s="23" t="n">
        <v>140</v>
      </c>
      <c r="BY314" s="24" t="n"/>
      <c r="BZ314" s="25" t="n">
        <v>0</v>
      </c>
      <c r="CA314" s="24" t="n"/>
      <c r="CB314" s="23" t="n">
        <v>140</v>
      </c>
      <c r="CC314" s="24" t="n"/>
      <c r="CD314" s="25" t="n">
        <v>0</v>
      </c>
      <c r="CE314" s="24" t="n"/>
      <c r="CF314" s="23" t="n">
        <v>140</v>
      </c>
      <c r="CG314" s="24" t="n"/>
      <c r="CH314" s="25" t="n">
        <v>0</v>
      </c>
      <c r="CI314" s="24" t="n"/>
      <c r="CJ314" s="23" t="n">
        <v>140</v>
      </c>
      <c r="CK314" s="24" t="n"/>
      <c r="CL314" s="25" t="n">
        <v>0</v>
      </c>
      <c r="CM314" s="24" t="n"/>
      <c r="CN314" s="23" t="n">
        <v>200</v>
      </c>
      <c r="CO314" s="24" t="n"/>
      <c r="CP314" s="25" t="n">
        <v>0</v>
      </c>
      <c r="CQ314" s="24" t="n"/>
      <c r="CR314" s="23" t="n">
        <v>200</v>
      </c>
      <c r="CS314" s="24" t="n"/>
      <c r="CT314" s="25" t="n">
        <v>0</v>
      </c>
      <c r="CU314" s="24" t="n"/>
      <c r="CV314" s="23" t="n">
        <v>200</v>
      </c>
      <c r="CW314" s="24" t="n"/>
      <c r="CX314" s="25" t="n">
        <v>0</v>
      </c>
      <c r="CY314" s="24" t="n"/>
      <c r="CZ314" s="23" t="n">
        <v>200</v>
      </c>
      <c r="DA314" s="24" t="n"/>
      <c r="DB314" s="25" t="n">
        <v>0</v>
      </c>
      <c r="DC314" s="24" t="n"/>
      <c r="DD314" s="23" t="n">
        <v>200</v>
      </c>
      <c r="DE314" s="24" t="n"/>
      <c r="DF314" s="25" t="n">
        <v>0</v>
      </c>
      <c r="DG314" s="24" t="n"/>
      <c r="DH314" s="23" t="n">
        <v>240</v>
      </c>
      <c r="DI314" s="24" t="n"/>
      <c r="DJ314" s="25" t="n">
        <v>0</v>
      </c>
      <c r="DK314" s="24" t="n"/>
      <c r="DL314" s="23" t="n">
        <v>240</v>
      </c>
      <c r="DM314" s="24" t="n"/>
      <c r="DN314" s="25" t="n">
        <v>0</v>
      </c>
      <c r="DO314" s="24" t="n"/>
      <c r="DP314" s="340" t="n"/>
      <c r="DQ314" s="803">
        <f>SUMPRODUCT(--(MOD(COLUMN(BT314:CQ314),4)=MOD(COLUMN(BT314),4)),BT314:CQ314)+SUMPRODUCT(--(MOD(COLUMN(CR314:DO314),4)=MOD(COLUMN(CR314),4)),CR314:DO314)</f>
        <v/>
      </c>
      <c r="DR314" s="803">
        <f>SUMPRODUCT(--(MOD(COLUMN(BT314:CQ314),4)=MOD(COLUMN(BT314),4)),BT314:CQ314)*$I314+SUMPRODUCT(--(MOD(COLUMN(CR314:DO314),4)=MOD(COLUMN(CR314),4)),CR314:DO314)*$I314</f>
        <v/>
      </c>
      <c r="DS314" s="801" t="n"/>
      <c r="DT314" s="819" t="n"/>
      <c r="DU314" s="23" t="n">
        <v>240</v>
      </c>
      <c r="DV314" s="24" t="n"/>
      <c r="DW314" s="25" t="n">
        <v>0</v>
      </c>
      <c r="DX314" s="24" t="n"/>
      <c r="DY314" s="23" t="n">
        <v>240</v>
      </c>
      <c r="DZ314" s="24" t="n"/>
      <c r="EA314" s="25" t="n">
        <v>0</v>
      </c>
      <c r="EB314" s="24" t="n"/>
      <c r="EC314" s="23" t="n">
        <v>240</v>
      </c>
      <c r="ED314" s="24" t="n"/>
      <c r="EE314" s="25" t="n">
        <v>0</v>
      </c>
      <c r="EF314" s="24" t="n"/>
      <c r="EG314" s="23" t="n">
        <v>240</v>
      </c>
      <c r="EH314" s="24" t="n"/>
      <c r="EI314" s="25" t="n">
        <v>0</v>
      </c>
      <c r="EJ314" s="24" t="n"/>
      <c r="EK314" s="23" t="n">
        <v>240</v>
      </c>
      <c r="EL314" s="24" t="n"/>
      <c r="EM314" s="25" t="n">
        <v>0</v>
      </c>
      <c r="EN314" s="24" t="n"/>
      <c r="EO314" s="23" t="n">
        <v>300</v>
      </c>
      <c r="EP314" s="24" t="n"/>
      <c r="EQ314" s="25" t="n">
        <v>0</v>
      </c>
      <c r="ER314" s="24" t="n"/>
      <c r="ES314" s="23" t="n">
        <v>300</v>
      </c>
      <c r="ET314" s="24" t="n"/>
      <c r="EU314" s="25" t="n">
        <v>0</v>
      </c>
      <c r="EV314" s="24" t="n"/>
      <c r="EW314" s="23" t="n">
        <v>300</v>
      </c>
      <c r="EX314" s="24" t="n"/>
      <c r="EY314" s="25" t="n">
        <v>0</v>
      </c>
      <c r="EZ314" s="24" t="n"/>
      <c r="FA314" s="23" t="n">
        <v>300</v>
      </c>
      <c r="FB314" s="24" t="n"/>
      <c r="FC314" s="25" t="n">
        <v>0</v>
      </c>
      <c r="FD314" s="24" t="n"/>
      <c r="FE314" s="23" t="n">
        <v>300</v>
      </c>
      <c r="FF314" s="24" t="n"/>
      <c r="FG314" s="25" t="n">
        <v>0</v>
      </c>
      <c r="FH314" s="24" t="n"/>
      <c r="FI314" s="23" t="n">
        <v>360</v>
      </c>
      <c r="FJ314" s="24" t="n"/>
      <c r="FK314" s="25" t="n">
        <v>0</v>
      </c>
      <c r="FL314" s="24" t="n"/>
      <c r="FM314" s="23" t="n">
        <v>360</v>
      </c>
      <c r="FN314" s="24" t="n"/>
      <c r="FO314" s="25" t="n">
        <v>0</v>
      </c>
      <c r="FP314" s="24" t="n"/>
      <c r="FQ314" s="340" t="n"/>
      <c r="FR314" s="803">
        <f>SUMPRODUCT(--(MOD(COLUMN(DU314:ER314),4)=MOD(COLUMN(DU314),4)),DU314:ER314)+SUMPRODUCT(--(MOD(COLUMN(ES314:FP314),4)=MOD(COLUMN(ES314),4)),ES314:FP314)</f>
        <v/>
      </c>
      <c r="FS314" s="803">
        <f>SUMPRODUCT(--(MOD(COLUMN(DU314:ER314),4)=MOD(COLUMN(DU314),4)),DU314:ER314)*$I314+SUMPRODUCT(--(MOD(COLUMN(ES314:FP314),4)=MOD(COLUMN(ES314),4)),ES314:FP314)*$I314</f>
        <v/>
      </c>
      <c r="FT314" s="361" t="n"/>
    </row>
    <row r="315" outlineLevel="2">
      <c r="A315" s="420" t="inlineStr">
        <is>
          <t>АВТОВИК ООО / AVTOVIK OOO</t>
        </is>
      </c>
      <c r="B315" s="444" t="inlineStr">
        <is>
          <t>Предоплата 100%</t>
        </is>
      </c>
      <c r="C315" s="592" t="inlineStr">
        <is>
          <t>ВБК РУС</t>
        </is>
      </c>
      <c r="D315" s="586" t="inlineStr">
        <is>
          <t>Прасолов, Соловьёв</t>
        </is>
      </c>
      <c r="E315" s="414">
        <f>IF(ISBLANK(G315),"",IF($A$6:$A$330=$A315,COUNTIF($A$6:A315,$A315),""))</f>
        <v/>
      </c>
      <c r="F315" s="318" t="n">
        <v>1</v>
      </c>
      <c r="G315" s="403" t="n">
        <v>4640060020</v>
      </c>
      <c r="H315" s="613" t="inlineStr">
        <is>
          <t>Кран уровня пола</t>
        </is>
      </c>
      <c r="I315" s="619" t="n">
        <v>0</v>
      </c>
      <c r="J315" s="619" t="n"/>
      <c r="K315" s="876" t="n"/>
      <c r="L315" s="619" t="n"/>
      <c r="M315" s="871" t="n"/>
      <c r="N315" s="871">
        <f>IF(BP315&gt;0,1,IF(BN315&gt;0,2,))</f>
        <v/>
      </c>
      <c r="O315" s="322" t="n"/>
      <c r="P315" s="408" t="n"/>
      <c r="Q315" s="307" t="n"/>
      <c r="R315" s="408" t="n"/>
      <c r="S315" s="322" t="n"/>
      <c r="T315" s="408">
        <f>SUMPRODUCT((Комплекты[Пр]=$F315)*(Комплекты[Обозначение]=$G315)*Комплекты[Кол-во]*(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15" s="307">
        <f>SUMPRODUCT((Комплекты[Пр]=$F315)*(Комплекты[Обозначение]=$G315)*Комплекты[Кол-во]*(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/>
      </c>
      <c r="V315" s="408" t="n"/>
      <c r="W315" s="322" t="n"/>
      <c r="X315" s="408">
        <f>SUMPRODUCT((Комплекты[Пр]=$F315)*(Комплекты[Обозначение]=$G315)*Комплекты[Кол-во]*(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15" s="307" t="n">
        <v>20</v>
      </c>
      <c r="Z315" s="408" t="n"/>
      <c r="AA315" s="322" t="n"/>
      <c r="AB315" s="408">
        <f>SUMPRODUCT((Комплекты[Пр]=$F315)*(Комплекты[Обозначение]=$G315)*Комплекты[Кол-во]*(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15" s="307" t="n">
        <v>15</v>
      </c>
      <c r="AD315" s="408" t="n"/>
      <c r="AE315" s="322" t="n"/>
      <c r="AF315" s="408">
        <f>SUMPRODUCT((Комплекты[Пр]=$F315)*(Комплекты[Обозначение]=$G315)*Комплекты[Кол-во]*(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15" s="307">
        <f>SUMPRODUCT((Комплекты[Пр]=$F315)*(Комплекты[Обозначение]=$G315)*Комплекты[Кол-во]*(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/>
      </c>
      <c r="AH315" s="408" t="n"/>
      <c r="AI315" s="322" t="n"/>
      <c r="AJ315" s="408">
        <f>SUMPRODUCT((Комплекты[Пр]=$F315)*(Комплекты[Обозначение]=$G315)*Комплекты[Кол-во]*(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15" s="307" t="n">
        <v>0</v>
      </c>
      <c r="AL315" s="408" t="n"/>
      <c r="AM315" s="322" t="n"/>
      <c r="AN315" s="408">
        <f>SUMPRODUCT((Комплекты[Пр]=$F315)*(Комплекты[Обозначение]=$G315)*Комплекты[Кол-во]*(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15" s="307" t="n"/>
      <c r="AP315" s="408" t="n"/>
      <c r="AQ315" s="322" t="n"/>
      <c r="AR315" s="408">
        <f>SUMPRODUCT((Комплекты[Пр]=$F315)*(Комплекты[Обозначение]=$G315)*Комплекты[Кол-во]*(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15" s="307" t="n"/>
      <c r="AT315" s="408" t="n"/>
      <c r="AU315" s="322" t="n"/>
      <c r="AV315" s="408">
        <f>SUMPRODUCT((Комплекты[Пр]=$F315)*(Комплекты[Обозначение]=$G315)*Комплекты[Кол-во]*(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15" s="307" t="n"/>
      <c r="AX315" s="408" t="n"/>
      <c r="AY315" s="322" t="n"/>
      <c r="AZ315" s="408">
        <f>SUMPRODUCT((Комплекты[Пр]=$F315)*(Комплекты[Обозначение]=$G315)*Комплекты[Кол-во]*(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15" s="307" t="n"/>
      <c r="BB315" s="408" t="n"/>
      <c r="BC315" s="322" t="n"/>
      <c r="BD315" s="408">
        <f>SUMPRODUCT((Комплекты[Пр]=$F315)*(Комплекты[Обозначение]=$G315)*Комплекты[Кол-во]*(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15" s="307" t="n"/>
      <c r="BF315" s="408" t="n"/>
      <c r="BG315" s="322" t="n"/>
      <c r="BH315" s="408">
        <f>SUMPRODUCT((Комплекты[Пр]=$F315)*(Комплекты[Обозначение]=$G315)*Комплекты[Кол-во]*(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15" s="307" t="n"/>
      <c r="BJ315" s="408" t="n"/>
      <c r="BK315" s="340" t="n"/>
      <c r="BL315" s="820">
        <f>SUMPRODUCT(--(MOD(COLUMN($O315:$AL315),4)=MOD(COLUMN($O315)+0,4)),$O315:$AL315)
+SUMPRODUCT(--(MOD(COLUMN($AM315:$BJ315),4)=MOD(COLUMN($AM315)+0,4)),$AM315:$BJ315)</f>
        <v/>
      </c>
      <c r="BM315" s="820">
        <f>SUMPRODUCT(--(MOD(COLUMN($O315:$AL315),4)=MOD(COLUMN($O315)+0,4)),$O315:$AL315)*
$I315+SUMPRODUCT(--(MOD(COLUMN($AM315:$BJ315),4)=MOD(COLUMN($AM315)+0,4)),$AM315:$BJ315)*$I315</f>
        <v/>
      </c>
      <c r="BN315" s="822">
        <f>SUMPRODUCT(--(MOD(COLUMN($O315:$AL315),4)=MOD(COLUMN($O315)+1,4)),$O315:$AL315)
+SUMPRODUCT(--(MOD(COLUMN($AM315:$BJ315),4)=MOD(COLUMN($AM315)+1,4)),$AM315:$BJ315)</f>
        <v/>
      </c>
      <c r="BO315" s="823">
        <f>SUMPRODUCT(--(MOD(COLUMN($O315:$AL315),4)=MOD(COLUMN($O315)+1,4)),$O315:$AL315)*
$I315+SUMPRODUCT(--(MOD(COLUMN($AM315:$BJ315),4)=MOD(COLUMN($AM315)+1,4)),$AM315:$BJ315)*$I315</f>
        <v/>
      </c>
      <c r="BP315" s="824">
        <f>SUMPRODUCT(--(MOD(COLUMN($O315:$AL315),4)=MOD(COLUMN($O315)+2,4)),$O315:$AL315)
+SUMPRODUCT(--(MOD(COLUMN($AM315:$BJ315),4)=MOD(COLUMN($AM315)+2,4)),$AM315:$BJ315)</f>
        <v/>
      </c>
      <c r="BQ315" s="825">
        <f>SUMPRODUCT(--(MOD(COLUMN($O315:$AL315),4)=MOD(COLUMN($O315)+2,4)),$O315:$AL315)*
$I315+SUMPRODUCT(--(MOD(COLUMN($AM315:$BJ315),4)=MOD(COLUMN($AM315)+2,4)),$AM315:$BJ315)*$I315</f>
        <v/>
      </c>
      <c r="BR315" s="819" t="n"/>
      <c r="BS315" s="819" t="n"/>
      <c r="BT315" s="322" t="n"/>
      <c r="BU315" s="408" t="n"/>
      <c r="BV315" s="307" t="n"/>
      <c r="BW315" s="408" t="n"/>
      <c r="BX315" s="322" t="n"/>
      <c r="BY315" s="408" t="n"/>
      <c r="BZ315" s="307" t="n"/>
      <c r="CA315" s="408" t="n"/>
      <c r="CB315" s="322" t="n"/>
      <c r="CC315" s="408" t="n"/>
      <c r="CD315" s="307" t="n"/>
      <c r="CE315" s="408" t="n"/>
      <c r="CF315" s="322" t="n"/>
      <c r="CG315" s="408" t="n"/>
      <c r="CH315" s="307" t="n"/>
      <c r="CI315" s="408" t="n"/>
      <c r="CJ315" s="322" t="n"/>
      <c r="CK315" s="408" t="n"/>
      <c r="CL315" s="307" t="n"/>
      <c r="CM315" s="408" t="n"/>
      <c r="CN315" s="322" t="n"/>
      <c r="CO315" s="408" t="n"/>
      <c r="CP315" s="307" t="n"/>
      <c r="CQ315" s="408" t="n"/>
      <c r="CR315" s="322" t="n"/>
      <c r="CS315" s="408" t="n"/>
      <c r="CT315" s="307" t="n"/>
      <c r="CU315" s="408" t="n"/>
      <c r="CV315" s="322" t="n"/>
      <c r="CW315" s="408" t="n"/>
      <c r="CX315" s="307" t="n"/>
      <c r="CY315" s="408" t="n"/>
      <c r="CZ315" s="322" t="n"/>
      <c r="DA315" s="408" t="n"/>
      <c r="DB315" s="307" t="n"/>
      <c r="DC315" s="408" t="n"/>
      <c r="DD315" s="322" t="n"/>
      <c r="DE315" s="408" t="n"/>
      <c r="DF315" s="307" t="n"/>
      <c r="DG315" s="408" t="n"/>
      <c r="DH315" s="322" t="n"/>
      <c r="DI315" s="408" t="n"/>
      <c r="DJ315" s="307" t="n"/>
      <c r="DK315" s="408" t="n"/>
      <c r="DL315" s="322" t="n"/>
      <c r="DM315" s="408" t="n"/>
      <c r="DN315" s="307" t="n"/>
      <c r="DO315" s="408" t="n"/>
      <c r="DP315" s="340" t="n"/>
      <c r="DQ315" s="820" t="n"/>
      <c r="DR315" s="820" t="n"/>
      <c r="DS315" s="819" t="n"/>
      <c r="DT315" s="819" t="n"/>
      <c r="DU315" s="322" t="n"/>
      <c r="DV315" s="408" t="n"/>
      <c r="DW315" s="307" t="n"/>
      <c r="DX315" s="408" t="n"/>
      <c r="DY315" s="322" t="n"/>
      <c r="DZ315" s="408" t="n"/>
      <c r="EA315" s="307" t="n"/>
      <c r="EB315" s="408" t="n"/>
      <c r="EC315" s="322" t="n"/>
      <c r="ED315" s="408" t="n"/>
      <c r="EE315" s="307" t="n"/>
      <c r="EF315" s="408" t="n"/>
      <c r="EG315" s="322" t="n"/>
      <c r="EH315" s="408" t="n"/>
      <c r="EI315" s="307" t="n"/>
      <c r="EJ315" s="408" t="n"/>
      <c r="EK315" s="322" t="n"/>
      <c r="EL315" s="408" t="n"/>
      <c r="EM315" s="307" t="n"/>
      <c r="EN315" s="408" t="n"/>
      <c r="EO315" s="322" t="n"/>
      <c r="EP315" s="408" t="n"/>
      <c r="EQ315" s="307" t="n"/>
      <c r="ER315" s="408" t="n"/>
      <c r="ES315" s="322" t="n"/>
      <c r="ET315" s="408" t="n"/>
      <c r="EU315" s="307" t="n"/>
      <c r="EV315" s="408" t="n"/>
      <c r="EW315" s="322" t="n"/>
      <c r="EX315" s="408" t="n"/>
      <c r="EY315" s="307" t="n"/>
      <c r="EZ315" s="408" t="n"/>
      <c r="FA315" s="322" t="n"/>
      <c r="FB315" s="408" t="n"/>
      <c r="FC315" s="307" t="n"/>
      <c r="FD315" s="408" t="n"/>
      <c r="FE315" s="322" t="n"/>
      <c r="FF315" s="408" t="n"/>
      <c r="FG315" s="307" t="n"/>
      <c r="FH315" s="408" t="n"/>
      <c r="FI315" s="322" t="n"/>
      <c r="FJ315" s="408" t="n"/>
      <c r="FK315" s="307" t="n"/>
      <c r="FL315" s="408" t="n"/>
      <c r="FM315" s="322" t="n"/>
      <c r="FN315" s="408" t="n"/>
      <c r="FO315" s="307" t="n"/>
      <c r="FP315" s="408" t="n"/>
      <c r="FQ315" s="340" t="n"/>
      <c r="FR315" s="820" t="n"/>
      <c r="FS315" s="820" t="n"/>
      <c r="FT315" s="361" t="n"/>
    </row>
    <row r="316" outlineLevel="2">
      <c r="A316" s="58" t="inlineStr">
        <is>
          <t>АВТОВИК ООО / AVTOVIK OOO</t>
        </is>
      </c>
      <c r="B316" s="387" t="inlineStr">
        <is>
          <t>Предоплата 100%</t>
        </is>
      </c>
      <c r="C316" s="173" t="inlineStr">
        <is>
          <t>ВБК РУС</t>
        </is>
      </c>
      <c r="D316" s="595" t="inlineStr">
        <is>
          <t>Прасолов, Соловьёв</t>
        </is>
      </c>
      <c r="E316" s="412">
        <f>IF(ISBLANK(G316),"",IF($A$6:$A$330=$A316,COUNTIF($A$6:A316,$A316),""))</f>
        <v/>
      </c>
      <c r="F316" s="123" t="n">
        <v>1</v>
      </c>
      <c r="G316" s="128" t="n">
        <v>4640061000</v>
      </c>
      <c r="H316" s="612" t="inlineStr">
        <is>
          <t>Кран уровня пола, 5-ти портовый</t>
        </is>
      </c>
      <c r="I316" s="618" t="n">
        <v>0</v>
      </c>
      <c r="J316" s="618" t="n"/>
      <c r="K316" s="874" t="n"/>
      <c r="L316" s="618">
        <f>IF(K316="RUB",J316/ЮАНЬ,IF(K316="EUR",J316*ЕВРО/ЮАНЬ,""))</f>
        <v/>
      </c>
      <c r="M316" s="873" t="n"/>
      <c r="N316" s="871">
        <f>IF(BP316&gt;0,1,IF(BN316&gt;0,2,))</f>
        <v/>
      </c>
      <c r="O316" s="23" t="n">
        <v>70</v>
      </c>
      <c r="P316" s="24" t="n"/>
      <c r="Q316" s="25" t="n">
        <v>0</v>
      </c>
      <c r="R316" s="24" t="n"/>
      <c r="S316" s="23" t="n">
        <v>70</v>
      </c>
      <c r="T316" s="24">
        <f>SUMPRODUCT((Комплекты[Пр]=$F316)*(Комплекты[Обозначение]=$G316)*Комплекты[Кол-во]*(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16" s="25" t="n">
        <v>50</v>
      </c>
      <c r="V316" s="24" t="n"/>
      <c r="W316" s="23" t="n">
        <v>70</v>
      </c>
      <c r="X316" s="24">
        <f>SUMPRODUCT((Комплекты[Пр]=$F316)*(Комплекты[Обозначение]=$G316)*Комплекты[Кол-во]*(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16" s="25" t="n">
        <v>0</v>
      </c>
      <c r="Z316" s="24" t="n"/>
      <c r="AA316" s="23" t="n">
        <v>70</v>
      </c>
      <c r="AB316" s="24">
        <f>SUMPRODUCT((Комплекты[Пр]=$F316)*(Комплекты[Обозначение]=$G316)*Комплекты[Кол-во]*(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16" s="25" t="n">
        <v>0</v>
      </c>
      <c r="AD316" s="24" t="n"/>
      <c r="AE316" s="23" t="n">
        <v>70</v>
      </c>
      <c r="AF316" s="24">
        <f>SUMPRODUCT((Комплекты[Пр]=$F316)*(Комплекты[Обозначение]=$G316)*Комплекты[Кол-во]*(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16" s="25" t="n">
        <v>0</v>
      </c>
      <c r="AH316" s="24" t="n"/>
      <c r="AI316" s="23" t="n">
        <v>80</v>
      </c>
      <c r="AJ316" s="24">
        <f>SUMPRODUCT((Комплекты[Пр]=$F316)*(Комплекты[Обозначение]=$G316)*Комплекты[Кол-во]*(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16" s="25" t="n">
        <v>0</v>
      </c>
      <c r="AL316" s="24" t="n"/>
      <c r="AM316" s="23" t="n">
        <v>80</v>
      </c>
      <c r="AN316" s="24">
        <f>SUMPRODUCT((Комплекты[Пр]=$F316)*(Комплекты[Обозначение]=$G316)*Комплекты[Кол-во]*(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16" s="25" t="n">
        <v>0</v>
      </c>
      <c r="AP316" s="24" t="n"/>
      <c r="AQ316" s="23" t="n">
        <v>80</v>
      </c>
      <c r="AR316" s="24">
        <f>SUMPRODUCT((Комплекты[Пр]=$F316)*(Комплекты[Обозначение]=$G316)*Комплекты[Кол-во]*(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16" s="25" t="n">
        <v>0</v>
      </c>
      <c r="AT316" s="24" t="n"/>
      <c r="AU316" s="23" t="n">
        <v>100</v>
      </c>
      <c r="AV316" s="24">
        <f>SUMPRODUCT((Комплекты[Пр]=$F316)*(Комплекты[Обозначение]=$G316)*Комплекты[Кол-во]*(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16" s="25" t="n">
        <v>0</v>
      </c>
      <c r="AX316" s="24" t="n"/>
      <c r="AY316" s="23" t="n">
        <v>100</v>
      </c>
      <c r="AZ316" s="24">
        <f>SUMPRODUCT((Комплекты[Пр]=$F316)*(Комплекты[Обозначение]=$G316)*Комплекты[Кол-во]*(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16" s="25" t="n">
        <v>0</v>
      </c>
      <c r="BB316" s="24" t="n"/>
      <c r="BC316" s="23" t="n">
        <v>120</v>
      </c>
      <c r="BD316" s="24">
        <f>SUMPRODUCT((Комплекты[Пр]=$F316)*(Комплекты[Обозначение]=$G316)*Комплекты[Кол-во]*(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16" s="25" t="n">
        <v>0</v>
      </c>
      <c r="BF316" s="24" t="n"/>
      <c r="BG316" s="23" t="n">
        <v>120</v>
      </c>
      <c r="BH316" s="24">
        <f>SUMPRODUCT((Комплекты[Пр]=$F316)*(Комплекты[Обозначение]=$G316)*Комплекты[Кол-во]*(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16" s="25" t="n">
        <v>0</v>
      </c>
      <c r="BJ316" s="24" t="n"/>
      <c r="BK316" s="340" t="n"/>
      <c r="BL316" s="803">
        <f>SUMPRODUCT(--(MOD(COLUMN($O316:$AL316),4)=MOD(COLUMN($O316)+0,4)),$O316:$AL316)
+SUMPRODUCT(--(MOD(COLUMN($AM316:$BJ316),4)=MOD(COLUMN($AM316)+0,4)),$AM316:$BJ316)</f>
        <v/>
      </c>
      <c r="BM316" s="803">
        <f>SUMPRODUCT(--(MOD(COLUMN($O316:$AL316),4)=MOD(COLUMN($O316)+0,4)),$O316:$AL316)*
$I316+SUMPRODUCT(--(MOD(COLUMN($AM316:$BJ316),4)=MOD(COLUMN($AM316)+0,4)),$AM316:$BJ316)*$I316</f>
        <v/>
      </c>
      <c r="BN316" s="805">
        <f>SUMPRODUCT(--(MOD(COLUMN($O316:$AL316),4)=MOD(COLUMN($O316)+1,4)),$O316:$AL316)
+SUMPRODUCT(--(MOD(COLUMN($AM316:$BJ316),4)=MOD(COLUMN($AM316)+1,4)),$AM316:$BJ316)</f>
        <v/>
      </c>
      <c r="BO316" s="806">
        <f>SUMPRODUCT(--(MOD(COLUMN($O316:$AL316),4)=MOD(COLUMN($O316)+1,4)),$O316:$AL316)*
$I316+SUMPRODUCT(--(MOD(COLUMN($AM316:$BJ316),4)=MOD(COLUMN($AM316)+1,4)),$AM316:$BJ316)*$I316</f>
        <v/>
      </c>
      <c r="BP316" s="807">
        <f>SUMPRODUCT(--(MOD(COLUMN($O316:$AL316),4)=MOD(COLUMN($O316)+2,4)),$O316:$AL316)
+SUMPRODUCT(--(MOD(COLUMN($AM316:$BJ316),4)=MOD(COLUMN($AM316)+2,4)),$AM316:$BJ316)</f>
        <v/>
      </c>
      <c r="BQ316" s="808">
        <f>SUMPRODUCT(--(MOD(COLUMN($O316:$AL316),4)=MOD(COLUMN($O316)+2,4)),$O316:$AL316)*
$I316+SUMPRODUCT(--(MOD(COLUMN($AM316:$BJ316),4)=MOD(COLUMN($AM316)+2,4)),$AM316:$BJ316)*$I316</f>
        <v/>
      </c>
      <c r="BR316" s="801" t="n"/>
      <c r="BS316" s="819" t="n"/>
      <c r="BT316" s="23" t="n">
        <v>70</v>
      </c>
      <c r="BU316" s="24" t="n"/>
      <c r="BV316" s="25" t="n">
        <v>0</v>
      </c>
      <c r="BW316" s="24" t="n"/>
      <c r="BX316" s="23" t="n">
        <v>70</v>
      </c>
      <c r="BY316" s="24" t="n"/>
      <c r="BZ316" s="25" t="n">
        <v>0</v>
      </c>
      <c r="CA316" s="24" t="n"/>
      <c r="CB316" s="23" t="n">
        <v>70</v>
      </c>
      <c r="CC316" s="24" t="n"/>
      <c r="CD316" s="25" t="n">
        <v>0</v>
      </c>
      <c r="CE316" s="24" t="n"/>
      <c r="CF316" s="23" t="n">
        <v>70</v>
      </c>
      <c r="CG316" s="24" t="n"/>
      <c r="CH316" s="25" t="n">
        <v>0</v>
      </c>
      <c r="CI316" s="24" t="n"/>
      <c r="CJ316" s="23" t="n">
        <v>70</v>
      </c>
      <c r="CK316" s="24" t="n"/>
      <c r="CL316" s="25" t="n">
        <v>0</v>
      </c>
      <c r="CM316" s="24" t="n"/>
      <c r="CN316" s="23" t="n">
        <v>100</v>
      </c>
      <c r="CO316" s="24" t="n"/>
      <c r="CP316" s="25" t="n">
        <v>0</v>
      </c>
      <c r="CQ316" s="24" t="n"/>
      <c r="CR316" s="23" t="n">
        <v>100</v>
      </c>
      <c r="CS316" s="24" t="n"/>
      <c r="CT316" s="25" t="n">
        <v>0</v>
      </c>
      <c r="CU316" s="24" t="n"/>
      <c r="CV316" s="23" t="n">
        <v>100</v>
      </c>
      <c r="CW316" s="24" t="n"/>
      <c r="CX316" s="25" t="n">
        <v>0</v>
      </c>
      <c r="CY316" s="24" t="n"/>
      <c r="CZ316" s="23" t="n">
        <v>100</v>
      </c>
      <c r="DA316" s="24" t="n"/>
      <c r="DB316" s="25" t="n">
        <v>0</v>
      </c>
      <c r="DC316" s="24" t="n"/>
      <c r="DD316" s="23" t="n">
        <v>100</v>
      </c>
      <c r="DE316" s="24" t="n"/>
      <c r="DF316" s="25" t="n">
        <v>0</v>
      </c>
      <c r="DG316" s="24" t="n"/>
      <c r="DH316" s="23" t="n">
        <v>120</v>
      </c>
      <c r="DI316" s="24" t="n"/>
      <c r="DJ316" s="25" t="n">
        <v>0</v>
      </c>
      <c r="DK316" s="24" t="n"/>
      <c r="DL316" s="23" t="n">
        <v>120</v>
      </c>
      <c r="DM316" s="24" t="n"/>
      <c r="DN316" s="25" t="n">
        <v>0</v>
      </c>
      <c r="DO316" s="24" t="n"/>
      <c r="DP316" s="340" t="n"/>
      <c r="DQ316" s="803">
        <f>SUMPRODUCT(--(MOD(COLUMN(BT316:CQ316),4)=MOD(COLUMN(BT316),4)),BT316:CQ316)+SUMPRODUCT(--(MOD(COLUMN(CR316:DO316),4)=MOD(COLUMN(CR316),4)),CR316:DO316)</f>
        <v/>
      </c>
      <c r="DR316" s="803">
        <f>SUMPRODUCT(--(MOD(COLUMN(BT316:CQ316),4)=MOD(COLUMN(BT316),4)),BT316:CQ316)*$I316+SUMPRODUCT(--(MOD(COLUMN(CR316:DO316),4)=MOD(COLUMN(CR316),4)),CR316:DO316)*$I316</f>
        <v/>
      </c>
      <c r="DS316" s="801" t="n"/>
      <c r="DT316" s="819" t="n"/>
      <c r="DU316" s="23" t="n">
        <v>120</v>
      </c>
      <c r="DV316" s="24" t="n"/>
      <c r="DW316" s="25" t="n">
        <v>0</v>
      </c>
      <c r="DX316" s="24" t="n"/>
      <c r="DY316" s="23" t="n">
        <v>120</v>
      </c>
      <c r="DZ316" s="24" t="n"/>
      <c r="EA316" s="25" t="n">
        <v>0</v>
      </c>
      <c r="EB316" s="24" t="n"/>
      <c r="EC316" s="23" t="n">
        <v>120</v>
      </c>
      <c r="ED316" s="24" t="n"/>
      <c r="EE316" s="25" t="n">
        <v>0</v>
      </c>
      <c r="EF316" s="24" t="n"/>
      <c r="EG316" s="23" t="n">
        <v>120</v>
      </c>
      <c r="EH316" s="24" t="n"/>
      <c r="EI316" s="25" t="n">
        <v>0</v>
      </c>
      <c r="EJ316" s="24" t="n"/>
      <c r="EK316" s="23" t="n">
        <v>120</v>
      </c>
      <c r="EL316" s="24" t="n"/>
      <c r="EM316" s="25" t="n">
        <v>0</v>
      </c>
      <c r="EN316" s="24" t="n"/>
      <c r="EO316" s="23" t="n">
        <v>150</v>
      </c>
      <c r="EP316" s="24" t="n"/>
      <c r="EQ316" s="25" t="n">
        <v>0</v>
      </c>
      <c r="ER316" s="24" t="n"/>
      <c r="ES316" s="23" t="n">
        <v>150</v>
      </c>
      <c r="ET316" s="24" t="n"/>
      <c r="EU316" s="25" t="n">
        <v>0</v>
      </c>
      <c r="EV316" s="24" t="n"/>
      <c r="EW316" s="23" t="n">
        <v>150</v>
      </c>
      <c r="EX316" s="24" t="n"/>
      <c r="EY316" s="25" t="n">
        <v>0</v>
      </c>
      <c r="EZ316" s="24" t="n"/>
      <c r="FA316" s="23" t="n">
        <v>150</v>
      </c>
      <c r="FB316" s="24" t="n"/>
      <c r="FC316" s="25" t="n">
        <v>0</v>
      </c>
      <c r="FD316" s="24" t="n"/>
      <c r="FE316" s="23" t="n">
        <v>150</v>
      </c>
      <c r="FF316" s="24" t="n"/>
      <c r="FG316" s="25" t="n">
        <v>0</v>
      </c>
      <c r="FH316" s="24" t="n"/>
      <c r="FI316" s="23" t="n">
        <v>180</v>
      </c>
      <c r="FJ316" s="24" t="n"/>
      <c r="FK316" s="25" t="n">
        <v>0</v>
      </c>
      <c r="FL316" s="24" t="n"/>
      <c r="FM316" s="23" t="n">
        <v>180</v>
      </c>
      <c r="FN316" s="24" t="n"/>
      <c r="FO316" s="25" t="n">
        <v>0</v>
      </c>
      <c r="FP316" s="24" t="n"/>
      <c r="FQ316" s="340" t="n"/>
      <c r="FR316" s="803">
        <f>SUMPRODUCT(--(MOD(COLUMN(DU316:ER316),4)=MOD(COLUMN(DU316),4)),DU316:ER316)+SUMPRODUCT(--(MOD(COLUMN(ES316:FP316),4)=MOD(COLUMN(ES316),4)),ES316:FP316)</f>
        <v/>
      </c>
      <c r="FS316" s="803">
        <f>SUMPRODUCT(--(MOD(COLUMN(DU316:ER316),4)=MOD(COLUMN(DU316),4)),DU316:ER316)*$I316+SUMPRODUCT(--(MOD(COLUMN(ES316:FP316),4)=MOD(COLUMN(ES316),4)),ES316:FP316)*$I316</f>
        <v/>
      </c>
      <c r="FT316" s="361" t="n"/>
    </row>
    <row r="317" outlineLevel="2">
      <c r="A317" s="58" t="inlineStr">
        <is>
          <t>АВТОВИК ООО / AVTOVIK OOO</t>
        </is>
      </c>
      <c r="B317" s="387" t="inlineStr">
        <is>
          <t>Предоплата 100%</t>
        </is>
      </c>
      <c r="C317" s="173" t="inlineStr">
        <is>
          <t>ВБК РУС</t>
        </is>
      </c>
      <c r="D317" s="595" t="inlineStr">
        <is>
          <t>Прасолов, Соловьёв</t>
        </is>
      </c>
      <c r="E317" s="412">
        <f>IF(ISBLANK(G317),"",IF($A$6:$A$330=$A317,COUNTIF($A$6:A317,$A317),""))</f>
        <v/>
      </c>
      <c r="F317" s="123" t="n">
        <v>1</v>
      </c>
      <c r="G317" s="128" t="n">
        <v>4630320200</v>
      </c>
      <c r="H317" s="612" t="inlineStr">
        <is>
          <t>Кран ручного управления</t>
        </is>
      </c>
      <c r="I317" s="618" t="n">
        <v>0</v>
      </c>
      <c r="J317" s="618" t="n"/>
      <c r="K317" s="874" t="n"/>
      <c r="L317" s="618">
        <f>IF(K317="RUB",J317/ЮАНЬ,IF(K317="EUR",J317*ЕВРО/ЮАНЬ,""))</f>
        <v/>
      </c>
      <c r="M317" s="873" t="n"/>
      <c r="N317" s="871">
        <f>IF(BP317&gt;0,1,IF(BN317&gt;0,2,))</f>
        <v/>
      </c>
      <c r="O317" s="23" t="n">
        <v>70</v>
      </c>
      <c r="P317" s="24" t="n"/>
      <c r="Q317" s="25" t="n">
        <v>0</v>
      </c>
      <c r="R317" s="24" t="n"/>
      <c r="S317" s="23" t="n">
        <v>70</v>
      </c>
      <c r="T317" s="24">
        <f>SUMPRODUCT((Комплекты[Пр]=$F317)*(Комплекты[Обозначение]=$G317)*Комплекты[Кол-во]*(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17" s="25" t="n">
        <v>50</v>
      </c>
      <c r="V317" s="24" t="n"/>
      <c r="W317" s="23" t="n">
        <v>70</v>
      </c>
      <c r="X317" s="24">
        <f>SUMPRODUCT((Комплекты[Пр]=$F317)*(Комплекты[Обозначение]=$G317)*Комплекты[Кол-во]*(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17" s="25" t="n">
        <v>20</v>
      </c>
      <c r="Z317" s="24" t="n"/>
      <c r="AA317" s="23" t="n">
        <v>70</v>
      </c>
      <c r="AB317" s="24">
        <f>SUMPRODUCT((Комплекты[Пр]=$F317)*(Комплекты[Обозначение]=$G317)*Комплекты[Кол-во]*(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17" s="25" t="n">
        <v>0</v>
      </c>
      <c r="AD317" s="24" t="n"/>
      <c r="AE317" s="23" t="n">
        <v>70</v>
      </c>
      <c r="AF317" s="24">
        <f>SUMPRODUCT((Комплекты[Пр]=$F317)*(Комплекты[Обозначение]=$G317)*Комплекты[Кол-во]*(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17" s="25" t="n">
        <v>0</v>
      </c>
      <c r="AH317" s="24" t="n"/>
      <c r="AI317" s="23" t="n">
        <v>80</v>
      </c>
      <c r="AJ317" s="24">
        <f>SUMPRODUCT((Комплекты[Пр]=$F317)*(Комплекты[Обозначение]=$G317)*Комплекты[Кол-во]*(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17" s="25" t="n">
        <v>0</v>
      </c>
      <c r="AL317" s="24" t="n"/>
      <c r="AM317" s="23" t="n">
        <v>80</v>
      </c>
      <c r="AN317" s="24">
        <f>SUMPRODUCT((Комплекты[Пр]=$F317)*(Комплекты[Обозначение]=$G317)*Комплекты[Кол-во]*(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17" s="25" t="n">
        <v>0</v>
      </c>
      <c r="AP317" s="24" t="n"/>
      <c r="AQ317" s="23" t="n">
        <v>80</v>
      </c>
      <c r="AR317" s="24">
        <f>SUMPRODUCT((Комплекты[Пр]=$F317)*(Комплекты[Обозначение]=$G317)*Комплекты[Кол-во]*(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17" s="25" t="n">
        <v>0</v>
      </c>
      <c r="AT317" s="24" t="n"/>
      <c r="AU317" s="23" t="n">
        <v>100</v>
      </c>
      <c r="AV317" s="24">
        <f>SUMPRODUCT((Комплекты[Пр]=$F317)*(Комплекты[Обозначение]=$G317)*Комплекты[Кол-во]*(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17" s="25" t="n">
        <v>0</v>
      </c>
      <c r="AX317" s="24" t="n"/>
      <c r="AY317" s="23" t="n">
        <v>100</v>
      </c>
      <c r="AZ317" s="24">
        <f>SUMPRODUCT((Комплекты[Пр]=$F317)*(Комплекты[Обозначение]=$G317)*Комплекты[Кол-во]*(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17" s="25" t="n">
        <v>0</v>
      </c>
      <c r="BB317" s="24" t="n"/>
      <c r="BC317" s="23" t="n">
        <v>120</v>
      </c>
      <c r="BD317" s="24">
        <f>SUMPRODUCT((Комплекты[Пр]=$F317)*(Комплекты[Обозначение]=$G317)*Комплекты[Кол-во]*(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17" s="25" t="n">
        <v>0</v>
      </c>
      <c r="BF317" s="24" t="n"/>
      <c r="BG317" s="23" t="n">
        <v>120</v>
      </c>
      <c r="BH317" s="24">
        <f>SUMPRODUCT((Комплекты[Пр]=$F317)*(Комплекты[Обозначение]=$G317)*Комплекты[Кол-во]*(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17" s="25" t="n">
        <v>0</v>
      </c>
      <c r="BJ317" s="24" t="n"/>
      <c r="BK317" s="340" t="n"/>
      <c r="BL317" s="803">
        <f>SUMPRODUCT(--(MOD(COLUMN($O317:$AL317),4)=MOD(COLUMN($O317)+0,4)),$O317:$AL317)
+SUMPRODUCT(--(MOD(COLUMN($AM317:$BJ317),4)=MOD(COLUMN($AM317)+0,4)),$AM317:$BJ317)</f>
        <v/>
      </c>
      <c r="BM317" s="803">
        <f>SUMPRODUCT(--(MOD(COLUMN($O317:$AL317),4)=MOD(COLUMN($O317)+0,4)),$O317:$AL317)*
$I317+SUMPRODUCT(--(MOD(COLUMN($AM317:$BJ317),4)=MOD(COLUMN($AM317)+0,4)),$AM317:$BJ317)*$I317</f>
        <v/>
      </c>
      <c r="BN317" s="805">
        <f>SUMPRODUCT(--(MOD(COLUMN($O317:$AL317),4)=MOD(COLUMN($O317)+1,4)),$O317:$AL317)
+SUMPRODUCT(--(MOD(COLUMN($AM317:$BJ317),4)=MOD(COLUMN($AM317)+1,4)),$AM317:$BJ317)</f>
        <v/>
      </c>
      <c r="BO317" s="806">
        <f>SUMPRODUCT(--(MOD(COLUMN($O317:$AL317),4)=MOD(COLUMN($O317)+1,4)),$O317:$AL317)*
$I317+SUMPRODUCT(--(MOD(COLUMN($AM317:$BJ317),4)=MOD(COLUMN($AM317)+1,4)),$AM317:$BJ317)*$I317</f>
        <v/>
      </c>
      <c r="BP317" s="807">
        <f>SUMPRODUCT(--(MOD(COLUMN($O317:$AL317),4)=MOD(COLUMN($O317)+2,4)),$O317:$AL317)
+SUMPRODUCT(--(MOD(COLUMN($AM317:$BJ317),4)=MOD(COLUMN($AM317)+2,4)),$AM317:$BJ317)</f>
        <v/>
      </c>
      <c r="BQ317" s="808">
        <f>SUMPRODUCT(--(MOD(COLUMN($O317:$AL317),4)=MOD(COLUMN($O317)+2,4)),$O317:$AL317)*
$I317+SUMPRODUCT(--(MOD(COLUMN($AM317:$BJ317),4)=MOD(COLUMN($AM317)+2,4)),$AM317:$BJ317)*$I317</f>
        <v/>
      </c>
      <c r="BR317" s="801" t="n"/>
      <c r="BS317" s="819" t="n"/>
      <c r="BT317" s="23" t="n">
        <v>70</v>
      </c>
      <c r="BU317" s="24" t="n"/>
      <c r="BV317" s="25" t="n">
        <v>0</v>
      </c>
      <c r="BW317" s="24" t="n"/>
      <c r="BX317" s="23" t="n">
        <v>70</v>
      </c>
      <c r="BY317" s="24" t="n"/>
      <c r="BZ317" s="25" t="n">
        <v>0</v>
      </c>
      <c r="CA317" s="24" t="n"/>
      <c r="CB317" s="23" t="n">
        <v>70</v>
      </c>
      <c r="CC317" s="24" t="n"/>
      <c r="CD317" s="25" t="n">
        <v>0</v>
      </c>
      <c r="CE317" s="24" t="n"/>
      <c r="CF317" s="23" t="n">
        <v>70</v>
      </c>
      <c r="CG317" s="24" t="n"/>
      <c r="CH317" s="25" t="n">
        <v>0</v>
      </c>
      <c r="CI317" s="24" t="n"/>
      <c r="CJ317" s="23" t="n">
        <v>70</v>
      </c>
      <c r="CK317" s="24" t="n"/>
      <c r="CL317" s="25" t="n">
        <v>0</v>
      </c>
      <c r="CM317" s="24" t="n"/>
      <c r="CN317" s="23" t="n">
        <v>100</v>
      </c>
      <c r="CO317" s="24" t="n"/>
      <c r="CP317" s="25" t="n">
        <v>0</v>
      </c>
      <c r="CQ317" s="24" t="n"/>
      <c r="CR317" s="23" t="n">
        <v>100</v>
      </c>
      <c r="CS317" s="24" t="n"/>
      <c r="CT317" s="25" t="n">
        <v>0</v>
      </c>
      <c r="CU317" s="24" t="n"/>
      <c r="CV317" s="23" t="n">
        <v>100</v>
      </c>
      <c r="CW317" s="24" t="n"/>
      <c r="CX317" s="25" t="n">
        <v>0</v>
      </c>
      <c r="CY317" s="24" t="n"/>
      <c r="CZ317" s="23" t="n">
        <v>100</v>
      </c>
      <c r="DA317" s="24" t="n"/>
      <c r="DB317" s="25" t="n">
        <v>0</v>
      </c>
      <c r="DC317" s="24" t="n"/>
      <c r="DD317" s="23" t="n">
        <v>100</v>
      </c>
      <c r="DE317" s="24" t="n"/>
      <c r="DF317" s="25" t="n">
        <v>0</v>
      </c>
      <c r="DG317" s="24" t="n"/>
      <c r="DH317" s="23" t="n">
        <v>120</v>
      </c>
      <c r="DI317" s="24" t="n"/>
      <c r="DJ317" s="25" t="n">
        <v>0</v>
      </c>
      <c r="DK317" s="24" t="n"/>
      <c r="DL317" s="23" t="n">
        <v>120</v>
      </c>
      <c r="DM317" s="24" t="n"/>
      <c r="DN317" s="25" t="n">
        <v>0</v>
      </c>
      <c r="DO317" s="24" t="n"/>
      <c r="DP317" s="340" t="n"/>
      <c r="DQ317" s="803">
        <f>SUMPRODUCT(--(MOD(COLUMN(BT317:CQ317),4)=MOD(COLUMN(BT317),4)),BT317:CQ317)+SUMPRODUCT(--(MOD(COLUMN(CR317:DO317),4)=MOD(COLUMN(CR317),4)),CR317:DO317)</f>
        <v/>
      </c>
      <c r="DR317" s="803">
        <f>SUMPRODUCT(--(MOD(COLUMN(BT317:CQ317),4)=MOD(COLUMN(BT317),4)),BT317:CQ317)*$I317+SUMPRODUCT(--(MOD(COLUMN(CR317:DO317),4)=MOD(COLUMN(CR317),4)),CR317:DO317)*$I317</f>
        <v/>
      </c>
      <c r="DS317" s="801" t="n"/>
      <c r="DT317" s="819" t="n"/>
      <c r="DU317" s="23" t="n">
        <v>120</v>
      </c>
      <c r="DV317" s="24" t="n"/>
      <c r="DW317" s="25" t="n">
        <v>0</v>
      </c>
      <c r="DX317" s="24" t="n"/>
      <c r="DY317" s="23" t="n">
        <v>120</v>
      </c>
      <c r="DZ317" s="24" t="n"/>
      <c r="EA317" s="25" t="n">
        <v>0</v>
      </c>
      <c r="EB317" s="24" t="n"/>
      <c r="EC317" s="23" t="n">
        <v>120</v>
      </c>
      <c r="ED317" s="24" t="n"/>
      <c r="EE317" s="25" t="n">
        <v>0</v>
      </c>
      <c r="EF317" s="24" t="n"/>
      <c r="EG317" s="23" t="n">
        <v>120</v>
      </c>
      <c r="EH317" s="24" t="n"/>
      <c r="EI317" s="25" t="n">
        <v>0</v>
      </c>
      <c r="EJ317" s="24" t="n"/>
      <c r="EK317" s="23" t="n">
        <v>120</v>
      </c>
      <c r="EL317" s="24" t="n"/>
      <c r="EM317" s="25" t="n">
        <v>0</v>
      </c>
      <c r="EN317" s="24" t="n"/>
      <c r="EO317" s="23" t="n">
        <v>150</v>
      </c>
      <c r="EP317" s="24" t="n"/>
      <c r="EQ317" s="25" t="n">
        <v>0</v>
      </c>
      <c r="ER317" s="24" t="n"/>
      <c r="ES317" s="23" t="n">
        <v>150</v>
      </c>
      <c r="ET317" s="24" t="n"/>
      <c r="EU317" s="25" t="n">
        <v>0</v>
      </c>
      <c r="EV317" s="24" t="n"/>
      <c r="EW317" s="23" t="n">
        <v>150</v>
      </c>
      <c r="EX317" s="24" t="n"/>
      <c r="EY317" s="25" t="n">
        <v>0</v>
      </c>
      <c r="EZ317" s="24" t="n"/>
      <c r="FA317" s="23" t="n">
        <v>150</v>
      </c>
      <c r="FB317" s="24" t="n"/>
      <c r="FC317" s="25" t="n">
        <v>0</v>
      </c>
      <c r="FD317" s="24" t="n"/>
      <c r="FE317" s="23" t="n">
        <v>150</v>
      </c>
      <c r="FF317" s="24" t="n"/>
      <c r="FG317" s="25" t="n">
        <v>0</v>
      </c>
      <c r="FH317" s="24" t="n"/>
      <c r="FI317" s="23" t="n">
        <v>180</v>
      </c>
      <c r="FJ317" s="24" t="n"/>
      <c r="FK317" s="25" t="n">
        <v>0</v>
      </c>
      <c r="FL317" s="24" t="n"/>
      <c r="FM317" s="23" t="n">
        <v>180</v>
      </c>
      <c r="FN317" s="24" t="n"/>
      <c r="FO317" s="25" t="n">
        <v>0</v>
      </c>
      <c r="FP317" s="24" t="n"/>
      <c r="FQ317" s="340" t="n"/>
      <c r="FR317" s="803">
        <f>SUMPRODUCT(--(MOD(COLUMN(DU317:ER317),4)=MOD(COLUMN(DU317),4)),DU317:ER317)+SUMPRODUCT(--(MOD(COLUMN(ES317:FP317),4)=MOD(COLUMN(ES317),4)),ES317:FP317)</f>
        <v/>
      </c>
      <c r="FS317" s="803">
        <f>SUMPRODUCT(--(MOD(COLUMN(DU317:ER317),4)=MOD(COLUMN(DU317),4)),DU317:ER317)*$I317+SUMPRODUCT(--(MOD(COLUMN(ES317:FP317),4)=MOD(COLUMN(ES317),4)),ES317:FP317)*$I317</f>
        <v/>
      </c>
      <c r="FT317" s="361" t="n"/>
    </row>
    <row r="318" outlineLevel="2">
      <c r="A318" s="58" t="inlineStr">
        <is>
          <t>АВТОВИК ООО / AVTOVIK OOO</t>
        </is>
      </c>
      <c r="B318" s="387" t="inlineStr">
        <is>
          <t>Предоплата 100%</t>
        </is>
      </c>
      <c r="C318" s="173" t="inlineStr">
        <is>
          <t>ВБК РУС</t>
        </is>
      </c>
      <c r="D318" s="595" t="inlineStr">
        <is>
          <t>Прасолов, Соловьёв</t>
        </is>
      </c>
      <c r="E318" s="412">
        <f>IF(ISBLANK(G318),"",IF($A$6:$A$330=$A318,COUNTIF($A$6:A318,$A318),""))</f>
        <v/>
      </c>
      <c r="F318" s="123" t="n">
        <v>1</v>
      </c>
      <c r="G318" s="128" t="n">
        <v>4334010030</v>
      </c>
      <c r="H318" s="612" t="inlineStr">
        <is>
          <t>Упругий элемент</t>
        </is>
      </c>
      <c r="I318" s="618" t="n">
        <v>0</v>
      </c>
      <c r="J318" s="618" t="n"/>
      <c r="K318" s="874" t="n"/>
      <c r="L318" s="618">
        <f>IF(K318="RUB",J318/ЮАНЬ,IF(K318="EUR",J318*ЕВРО/ЮАНЬ,""))</f>
        <v/>
      </c>
      <c r="M318" s="873" t="n"/>
      <c r="N318" s="871">
        <f>IF(BP318&gt;0,1,IF(BN318&gt;0,2,))</f>
        <v/>
      </c>
      <c r="O318" s="23" t="n">
        <v>70</v>
      </c>
      <c r="P318" s="24" t="n"/>
      <c r="Q318" s="25" t="n">
        <v>0</v>
      </c>
      <c r="R318" s="24" t="n"/>
      <c r="S318" s="23" t="n">
        <v>70</v>
      </c>
      <c r="T318" s="24">
        <f>SUMPRODUCT((Комплекты[Пр]=$F318)*(Комплекты[Обозначение]=$G318)*Комплекты[Кол-во]*(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18" s="25" t="n">
        <v>50</v>
      </c>
      <c r="V318" s="24" t="n"/>
      <c r="W318" s="23" t="n">
        <v>70</v>
      </c>
      <c r="X318" s="24">
        <f>SUMPRODUCT((Комплекты[Пр]=$F318)*(Комплекты[Обозначение]=$G318)*Комплекты[Кол-во]*(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18" s="25" t="n">
        <v>20</v>
      </c>
      <c r="Z318" s="24" t="n"/>
      <c r="AA318" s="23" t="n">
        <v>70</v>
      </c>
      <c r="AB318" s="24">
        <f>SUMPRODUCT((Комплекты[Пр]=$F318)*(Комплекты[Обозначение]=$G318)*Комплекты[Кол-во]*(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18" s="25" t="n">
        <v>0</v>
      </c>
      <c r="AD318" s="24" t="n"/>
      <c r="AE318" s="23" t="n">
        <v>70</v>
      </c>
      <c r="AF318" s="24">
        <f>SUMPRODUCT((Комплекты[Пр]=$F318)*(Комплекты[Обозначение]=$G318)*Комплекты[Кол-во]*(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18" s="25" t="n">
        <v>0</v>
      </c>
      <c r="AH318" s="24" t="n"/>
      <c r="AI318" s="23" t="n">
        <v>80</v>
      </c>
      <c r="AJ318" s="24">
        <f>SUMPRODUCT((Комплекты[Пр]=$F318)*(Комплекты[Обозначение]=$G318)*Комплекты[Кол-во]*(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18" s="25" t="n">
        <v>0</v>
      </c>
      <c r="AL318" s="24" t="n"/>
      <c r="AM318" s="23" t="n">
        <v>80</v>
      </c>
      <c r="AN318" s="24">
        <f>SUMPRODUCT((Комплекты[Пр]=$F318)*(Комплекты[Обозначение]=$G318)*Комплекты[Кол-во]*(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18" s="25" t="n">
        <v>0</v>
      </c>
      <c r="AP318" s="24" t="n"/>
      <c r="AQ318" s="23" t="n">
        <v>80</v>
      </c>
      <c r="AR318" s="24">
        <f>SUMPRODUCT((Комплекты[Пр]=$F318)*(Комплекты[Обозначение]=$G318)*Комплекты[Кол-во]*(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18" s="25" t="n">
        <v>0</v>
      </c>
      <c r="AT318" s="24" t="n"/>
      <c r="AU318" s="23" t="n">
        <v>100</v>
      </c>
      <c r="AV318" s="24">
        <f>SUMPRODUCT((Комплекты[Пр]=$F318)*(Комплекты[Обозначение]=$G318)*Комплекты[Кол-во]*(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18" s="25" t="n">
        <v>0</v>
      </c>
      <c r="AX318" s="24" t="n"/>
      <c r="AY318" s="23" t="n">
        <v>100</v>
      </c>
      <c r="AZ318" s="24">
        <f>SUMPRODUCT((Комплекты[Пр]=$F318)*(Комплекты[Обозначение]=$G318)*Комплекты[Кол-во]*(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18" s="25" t="n">
        <v>0</v>
      </c>
      <c r="BB318" s="24" t="n"/>
      <c r="BC318" s="23" t="n">
        <v>120</v>
      </c>
      <c r="BD318" s="24">
        <f>SUMPRODUCT((Комплекты[Пр]=$F318)*(Комплекты[Обозначение]=$G318)*Комплекты[Кол-во]*(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18" s="25" t="n">
        <v>0</v>
      </c>
      <c r="BF318" s="24" t="n"/>
      <c r="BG318" s="23" t="n">
        <v>120</v>
      </c>
      <c r="BH318" s="24">
        <f>SUMPRODUCT((Комплекты[Пр]=$F318)*(Комплекты[Обозначение]=$G318)*Комплекты[Кол-во]*(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18" s="25" t="n">
        <v>0</v>
      </c>
      <c r="BJ318" s="24" t="n"/>
      <c r="BK318" s="340" t="n"/>
      <c r="BL318" s="803">
        <f>SUMPRODUCT(--(MOD(COLUMN($O318:$AL318),4)=MOD(COLUMN($O318)+0,4)),$O318:$AL318)
+SUMPRODUCT(--(MOD(COLUMN($AM318:$BJ318),4)=MOD(COLUMN($AM318)+0,4)),$AM318:$BJ318)</f>
        <v/>
      </c>
      <c r="BM318" s="803">
        <f>SUMPRODUCT(--(MOD(COLUMN($O318:$AL318),4)=MOD(COLUMN($O318)+0,4)),$O318:$AL318)*
$I318+SUMPRODUCT(--(MOD(COLUMN($AM318:$BJ318),4)=MOD(COLUMN($AM318)+0,4)),$AM318:$BJ318)*$I318</f>
        <v/>
      </c>
      <c r="BN318" s="805">
        <f>SUMPRODUCT(--(MOD(COLUMN($O318:$AL318),4)=MOD(COLUMN($O318)+1,4)),$O318:$AL318)
+SUMPRODUCT(--(MOD(COLUMN($AM318:$BJ318),4)=MOD(COLUMN($AM318)+1,4)),$AM318:$BJ318)</f>
        <v/>
      </c>
      <c r="BO318" s="806">
        <f>SUMPRODUCT(--(MOD(COLUMN($O318:$AL318),4)=MOD(COLUMN($O318)+1,4)),$O318:$AL318)*
$I318+SUMPRODUCT(--(MOD(COLUMN($AM318:$BJ318),4)=MOD(COLUMN($AM318)+1,4)),$AM318:$BJ318)*$I318</f>
        <v/>
      </c>
      <c r="BP318" s="807">
        <f>SUMPRODUCT(--(MOD(COLUMN($O318:$AL318),4)=MOD(COLUMN($O318)+2,4)),$O318:$AL318)
+SUMPRODUCT(--(MOD(COLUMN($AM318:$BJ318),4)=MOD(COLUMN($AM318)+2,4)),$AM318:$BJ318)</f>
        <v/>
      </c>
      <c r="BQ318" s="808">
        <f>SUMPRODUCT(--(MOD(COLUMN($O318:$AL318),4)=MOD(COLUMN($O318)+2,4)),$O318:$AL318)*
$I318+SUMPRODUCT(--(MOD(COLUMN($AM318:$BJ318),4)=MOD(COLUMN($AM318)+2,4)),$AM318:$BJ318)*$I318</f>
        <v/>
      </c>
      <c r="BR318" s="801" t="n"/>
      <c r="BS318" s="819" t="n"/>
      <c r="BT318" s="23" t="n">
        <v>70</v>
      </c>
      <c r="BU318" s="24" t="n"/>
      <c r="BV318" s="25" t="n">
        <v>0</v>
      </c>
      <c r="BW318" s="24" t="n"/>
      <c r="BX318" s="23" t="n">
        <v>70</v>
      </c>
      <c r="BY318" s="24" t="n"/>
      <c r="BZ318" s="25" t="n">
        <v>0</v>
      </c>
      <c r="CA318" s="24" t="n"/>
      <c r="CB318" s="23" t="n">
        <v>70</v>
      </c>
      <c r="CC318" s="24" t="n"/>
      <c r="CD318" s="25" t="n">
        <v>0</v>
      </c>
      <c r="CE318" s="24" t="n"/>
      <c r="CF318" s="23" t="n">
        <v>70</v>
      </c>
      <c r="CG318" s="24" t="n"/>
      <c r="CH318" s="25" t="n">
        <v>0</v>
      </c>
      <c r="CI318" s="24" t="n"/>
      <c r="CJ318" s="23" t="n">
        <v>70</v>
      </c>
      <c r="CK318" s="24" t="n"/>
      <c r="CL318" s="25" t="n">
        <v>0</v>
      </c>
      <c r="CM318" s="24" t="n"/>
      <c r="CN318" s="23" t="n">
        <v>100</v>
      </c>
      <c r="CO318" s="24" t="n"/>
      <c r="CP318" s="25" t="n">
        <v>0</v>
      </c>
      <c r="CQ318" s="24" t="n"/>
      <c r="CR318" s="23" t="n">
        <v>100</v>
      </c>
      <c r="CS318" s="24" t="n"/>
      <c r="CT318" s="25" t="n">
        <v>0</v>
      </c>
      <c r="CU318" s="24" t="n"/>
      <c r="CV318" s="23" t="n">
        <v>100</v>
      </c>
      <c r="CW318" s="24" t="n"/>
      <c r="CX318" s="25" t="n">
        <v>0</v>
      </c>
      <c r="CY318" s="24" t="n"/>
      <c r="CZ318" s="23" t="n">
        <v>100</v>
      </c>
      <c r="DA318" s="24" t="n"/>
      <c r="DB318" s="25" t="n">
        <v>0</v>
      </c>
      <c r="DC318" s="24" t="n"/>
      <c r="DD318" s="23" t="n">
        <v>100</v>
      </c>
      <c r="DE318" s="24" t="n"/>
      <c r="DF318" s="25" t="n">
        <v>0</v>
      </c>
      <c r="DG318" s="24" t="n"/>
      <c r="DH318" s="23" t="n">
        <v>120</v>
      </c>
      <c r="DI318" s="24" t="n"/>
      <c r="DJ318" s="25" t="n">
        <v>0</v>
      </c>
      <c r="DK318" s="24" t="n"/>
      <c r="DL318" s="23" t="n">
        <v>120</v>
      </c>
      <c r="DM318" s="24" t="n"/>
      <c r="DN318" s="25" t="n">
        <v>0</v>
      </c>
      <c r="DO318" s="24" t="n"/>
      <c r="DP318" s="340" t="n"/>
      <c r="DQ318" s="803">
        <f>SUMPRODUCT(--(MOD(COLUMN(BT318:CQ318),4)=MOD(COLUMN(BT318),4)),BT318:CQ318)+SUMPRODUCT(--(MOD(COLUMN(CR318:DO318),4)=MOD(COLUMN(CR318),4)),CR318:DO318)</f>
        <v/>
      </c>
      <c r="DR318" s="803">
        <f>SUMPRODUCT(--(MOD(COLUMN(BT318:CQ318),4)=MOD(COLUMN(BT318),4)),BT318:CQ318)*$I318+SUMPRODUCT(--(MOD(COLUMN(CR318:DO318),4)=MOD(COLUMN(CR318),4)),CR318:DO318)*$I318</f>
        <v/>
      </c>
      <c r="DS318" s="801" t="n"/>
      <c r="DT318" s="819" t="n"/>
      <c r="DU318" s="23" t="n">
        <v>120</v>
      </c>
      <c r="DV318" s="24" t="n"/>
      <c r="DW318" s="25" t="n">
        <v>0</v>
      </c>
      <c r="DX318" s="24" t="n"/>
      <c r="DY318" s="23" t="n">
        <v>120</v>
      </c>
      <c r="DZ318" s="24" t="n"/>
      <c r="EA318" s="25" t="n">
        <v>0</v>
      </c>
      <c r="EB318" s="24" t="n"/>
      <c r="EC318" s="23" t="n">
        <v>120</v>
      </c>
      <c r="ED318" s="24" t="n"/>
      <c r="EE318" s="25" t="n">
        <v>0</v>
      </c>
      <c r="EF318" s="24" t="n"/>
      <c r="EG318" s="23" t="n">
        <v>120</v>
      </c>
      <c r="EH318" s="24" t="n"/>
      <c r="EI318" s="25" t="n">
        <v>0</v>
      </c>
      <c r="EJ318" s="24" t="n"/>
      <c r="EK318" s="23" t="n">
        <v>120</v>
      </c>
      <c r="EL318" s="24" t="n"/>
      <c r="EM318" s="25" t="n">
        <v>0</v>
      </c>
      <c r="EN318" s="24" t="n"/>
      <c r="EO318" s="23" t="n">
        <v>150</v>
      </c>
      <c r="EP318" s="24" t="n"/>
      <c r="EQ318" s="25" t="n">
        <v>0</v>
      </c>
      <c r="ER318" s="24" t="n"/>
      <c r="ES318" s="23" t="n">
        <v>150</v>
      </c>
      <c r="ET318" s="24" t="n"/>
      <c r="EU318" s="25" t="n">
        <v>0</v>
      </c>
      <c r="EV318" s="24" t="n"/>
      <c r="EW318" s="23" t="n">
        <v>150</v>
      </c>
      <c r="EX318" s="24" t="n"/>
      <c r="EY318" s="25" t="n">
        <v>0</v>
      </c>
      <c r="EZ318" s="24" t="n"/>
      <c r="FA318" s="23" t="n">
        <v>150</v>
      </c>
      <c r="FB318" s="24" t="n"/>
      <c r="FC318" s="25" t="n">
        <v>0</v>
      </c>
      <c r="FD318" s="24" t="n"/>
      <c r="FE318" s="23" t="n">
        <v>150</v>
      </c>
      <c r="FF318" s="24" t="n"/>
      <c r="FG318" s="25" t="n">
        <v>0</v>
      </c>
      <c r="FH318" s="24" t="n"/>
      <c r="FI318" s="23" t="n">
        <v>180</v>
      </c>
      <c r="FJ318" s="24" t="n"/>
      <c r="FK318" s="25" t="n">
        <v>0</v>
      </c>
      <c r="FL318" s="24" t="n"/>
      <c r="FM318" s="23" t="n">
        <v>180</v>
      </c>
      <c r="FN318" s="24" t="n"/>
      <c r="FO318" s="25" t="n">
        <v>0</v>
      </c>
      <c r="FP318" s="24" t="n"/>
      <c r="FQ318" s="340" t="n"/>
      <c r="FR318" s="803">
        <f>SUMPRODUCT(--(MOD(COLUMN(DU318:ER318),4)=MOD(COLUMN(DU318),4)),DU318:ER318)+SUMPRODUCT(--(MOD(COLUMN(ES318:FP318),4)=MOD(COLUMN(ES318),4)),ES318:FP318)</f>
        <v/>
      </c>
      <c r="FS318" s="803">
        <f>SUMPRODUCT(--(MOD(COLUMN(DU318:ER318),4)=MOD(COLUMN(DU318),4)),DU318:ER318)*$I318+SUMPRODUCT(--(MOD(COLUMN(ES318:FP318),4)=MOD(COLUMN(ES318),4)),ES318:FP318)*$I318</f>
        <v/>
      </c>
      <c r="FT318" s="361" t="n"/>
    </row>
    <row r="319" outlineLevel="2">
      <c r="A319" s="58" t="inlineStr">
        <is>
          <t>АВТОВИК ООО / AVTOVIK OOO</t>
        </is>
      </c>
      <c r="B319" s="387" t="inlineStr">
        <is>
          <t>Предоплата 100%</t>
        </is>
      </c>
      <c r="C319" s="173" t="inlineStr">
        <is>
          <t>ВБК РУС</t>
        </is>
      </c>
      <c r="D319" s="595" t="inlineStr">
        <is>
          <t>Прасолов, Соловьёв</t>
        </is>
      </c>
      <c r="E319" s="412">
        <f>IF(ISBLANK(G319),"",IF($A$6:$A$330=$A319,COUNTIF($A$6:A319,$A319),""))</f>
        <v/>
      </c>
      <c r="F319" s="123" t="n">
        <v>1</v>
      </c>
      <c r="G319" s="128" t="n">
        <v>4630840310</v>
      </c>
      <c r="H319" s="612" t="inlineStr">
        <is>
          <t>Клапан управления подъемом оси (LACV)</t>
        </is>
      </c>
      <c r="I319" s="618" t="n">
        <v>0</v>
      </c>
      <c r="J319" s="618" t="n"/>
      <c r="K319" s="874" t="n"/>
      <c r="L319" s="618">
        <f>IF(K319="RUB",J319/ЮАНЬ,IF(K319="EUR",J319*ЕВРО/ЮАНЬ,""))</f>
        <v/>
      </c>
      <c r="M319" s="873" t="n"/>
      <c r="N319" s="871">
        <f>IF(BP319&gt;0,1,IF(BN319&gt;0,2,))</f>
        <v/>
      </c>
      <c r="O319" s="23" t="n">
        <v>0</v>
      </c>
      <c r="P319" s="24" t="n"/>
      <c r="Q319" s="25" t="n"/>
      <c r="R319" s="24" t="n"/>
      <c r="S319" s="23" t="n">
        <v>0</v>
      </c>
      <c r="T319" s="24">
        <f>SUMPRODUCT((Комплекты[Пр]=$F319)*(Комплекты[Обозначение]=$G319)*Комплекты[Кол-во]*(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19" s="25">
        <f>SUMPRODUCT((Комплекты[Пр]=$F319)*(Комплекты[Обозначение]=$G319)*Комплекты[Кол-во]*(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/>
      </c>
      <c r="V319" s="24" t="n"/>
      <c r="W319" s="23" t="n">
        <v>0</v>
      </c>
      <c r="X319" s="24">
        <f>SUMPRODUCT((Комплекты[Пр]=$F319)*(Комплекты[Обозначение]=$G319)*Комплекты[Кол-во]*(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19" s="25">
        <f>SUMPRODUCT((Комплекты[Пр]=$F319)*(Комплекты[Обозначение]=$G319)*Комплекты[Кол-во]*(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/>
      </c>
      <c r="Z319" s="24" t="n"/>
      <c r="AA319" s="23" t="n">
        <v>0</v>
      </c>
      <c r="AB319" s="24">
        <f>SUMPRODUCT((Комплекты[Пр]=$F319)*(Комплекты[Обозначение]=$G319)*Комплекты[Кол-во]*(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19" s="25" t="n"/>
      <c r="AD319" s="24" t="n"/>
      <c r="AE319" s="23" t="n">
        <v>0</v>
      </c>
      <c r="AF319" s="24">
        <f>SUMPRODUCT((Комплекты[Пр]=$F319)*(Комплекты[Обозначение]=$G319)*Комплекты[Кол-во]*(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19" s="25">
        <f>SUMPRODUCT((Комплекты[Пр]=$F319)*(Комплекты[Обозначение]=$G319)*Комплекты[Кол-во]*(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/>
      </c>
      <c r="AH319" s="24" t="n"/>
      <c r="AI319" s="23" t="n">
        <v>0</v>
      </c>
      <c r="AJ319" s="24">
        <f>SUMPRODUCT((Комплекты[Пр]=$F319)*(Комплекты[Обозначение]=$G319)*Комплекты[Кол-во]*(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19" s="25" t="n"/>
      <c r="AL319" s="24" t="n"/>
      <c r="AM319" s="23" t="n">
        <v>0</v>
      </c>
      <c r="AN319" s="24">
        <f>SUMPRODUCT((Комплекты[Пр]=$F319)*(Комплекты[Обозначение]=$G319)*Комплекты[Кол-во]*(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19" s="25" t="n"/>
      <c r="AP319" s="24" t="n"/>
      <c r="AQ319" s="23" t="n">
        <v>0</v>
      </c>
      <c r="AR319" s="24">
        <f>SUMPRODUCT((Комплекты[Пр]=$F319)*(Комплекты[Обозначение]=$G319)*Комплекты[Кол-во]*(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19" s="25" t="n"/>
      <c r="AT319" s="24" t="n"/>
      <c r="AU319" s="23" t="n">
        <v>20</v>
      </c>
      <c r="AV319" s="24">
        <f>SUMPRODUCT((Комплекты[Пр]=$F319)*(Комплекты[Обозначение]=$G319)*Комплекты[Кол-во]*(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19" s="25" t="n">
        <v>0</v>
      </c>
      <c r="AX319" s="24" t="n"/>
      <c r="AY319" s="23" t="n">
        <v>20</v>
      </c>
      <c r="AZ319" s="24">
        <f>SUMPRODUCT((Комплекты[Пр]=$F319)*(Комплекты[Обозначение]=$G319)*Комплекты[Кол-во]*(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19" s="25" t="n">
        <v>0</v>
      </c>
      <c r="BB319" s="24" t="n"/>
      <c r="BC319" s="23" t="n">
        <v>20</v>
      </c>
      <c r="BD319" s="24">
        <f>SUMPRODUCT((Комплекты[Пр]=$F319)*(Комплекты[Обозначение]=$G319)*Комплекты[Кол-во]*(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19" s="25" t="n">
        <v>0</v>
      </c>
      <c r="BF319" s="24" t="n"/>
      <c r="BG319" s="23" t="n">
        <v>20</v>
      </c>
      <c r="BH319" s="24">
        <f>SUMPRODUCT((Комплекты[Пр]=$F319)*(Комплекты[Обозначение]=$G319)*Комплекты[Кол-во]*(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19" s="25" t="n">
        <v>0</v>
      </c>
      <c r="BJ319" s="24" t="n"/>
      <c r="BK319" s="340" t="n"/>
      <c r="BL319" s="803">
        <f>SUMPRODUCT(--(MOD(COLUMN($O319:$AL319),4)=MOD(COLUMN($O319)+0,4)),$O319:$AL319)
+SUMPRODUCT(--(MOD(COLUMN($AM319:$BJ319),4)=MOD(COLUMN($AM319)+0,4)),$AM319:$BJ319)</f>
        <v/>
      </c>
      <c r="BM319" s="803">
        <f>SUMPRODUCT(--(MOD(COLUMN($O319:$AL319),4)=MOD(COLUMN($O319)+0,4)),$O319:$AL319)*
$I319+SUMPRODUCT(--(MOD(COLUMN($AM319:$BJ319),4)=MOD(COLUMN($AM319)+0,4)),$AM319:$BJ319)*$I319</f>
        <v/>
      </c>
      <c r="BN319" s="805">
        <f>SUMPRODUCT(--(MOD(COLUMN($O319:$AL319),4)=MOD(COLUMN($O319)+1,4)),$O319:$AL319)
+SUMPRODUCT(--(MOD(COLUMN($AM319:$BJ319),4)=MOD(COLUMN($AM319)+1,4)),$AM319:$BJ319)</f>
        <v/>
      </c>
      <c r="BO319" s="806">
        <f>SUMPRODUCT(--(MOD(COLUMN($O319:$AL319),4)=MOD(COLUMN($O319)+1,4)),$O319:$AL319)*
$I319+SUMPRODUCT(--(MOD(COLUMN($AM319:$BJ319),4)=MOD(COLUMN($AM319)+1,4)),$AM319:$BJ319)*$I319</f>
        <v/>
      </c>
      <c r="BP319" s="807">
        <f>SUMPRODUCT(--(MOD(COLUMN($O319:$AL319),4)=MOD(COLUMN($O319)+2,4)),$O319:$AL319)
+SUMPRODUCT(--(MOD(COLUMN($AM319:$BJ319),4)=MOD(COLUMN($AM319)+2,4)),$AM319:$BJ319)</f>
        <v/>
      </c>
      <c r="BQ319" s="808">
        <f>SUMPRODUCT(--(MOD(COLUMN($O319:$AL319),4)=MOD(COLUMN($O319)+2,4)),$O319:$AL319)*
$I319+SUMPRODUCT(--(MOD(COLUMN($AM319:$BJ319),4)=MOD(COLUMN($AM319)+2,4)),$AM319:$BJ319)*$I319</f>
        <v/>
      </c>
      <c r="BR319" s="801" t="n"/>
      <c r="BS319" s="819" t="n"/>
      <c r="BT319" s="23" t="n">
        <v>30</v>
      </c>
      <c r="BU319" s="24" t="n"/>
      <c r="BV319" s="25" t="n">
        <v>0</v>
      </c>
      <c r="BW319" s="24" t="n"/>
      <c r="BX319" s="23" t="n">
        <v>30</v>
      </c>
      <c r="BY319" s="24" t="n"/>
      <c r="BZ319" s="25" t="n">
        <v>0</v>
      </c>
      <c r="CA319" s="24" t="n"/>
      <c r="CB319" s="23" t="n">
        <v>30</v>
      </c>
      <c r="CC319" s="24" t="n"/>
      <c r="CD319" s="25" t="n">
        <v>0</v>
      </c>
      <c r="CE319" s="24" t="n"/>
      <c r="CF319" s="23" t="n">
        <v>30</v>
      </c>
      <c r="CG319" s="24" t="n"/>
      <c r="CH319" s="25" t="n">
        <v>0</v>
      </c>
      <c r="CI319" s="24" t="n"/>
      <c r="CJ319" s="23" t="n">
        <v>30</v>
      </c>
      <c r="CK319" s="24" t="n"/>
      <c r="CL319" s="25" t="n">
        <v>0</v>
      </c>
      <c r="CM319" s="24" t="n"/>
      <c r="CN319" s="23" t="n">
        <v>50</v>
      </c>
      <c r="CO319" s="24" t="n"/>
      <c r="CP319" s="25" t="n">
        <v>0</v>
      </c>
      <c r="CQ319" s="24" t="n"/>
      <c r="CR319" s="23" t="n">
        <v>50</v>
      </c>
      <c r="CS319" s="24" t="n"/>
      <c r="CT319" s="25" t="n">
        <v>0</v>
      </c>
      <c r="CU319" s="24" t="n"/>
      <c r="CV319" s="23" t="n">
        <v>50</v>
      </c>
      <c r="CW319" s="24" t="n"/>
      <c r="CX319" s="25" t="n">
        <v>0</v>
      </c>
      <c r="CY319" s="24" t="n"/>
      <c r="CZ319" s="23" t="n">
        <v>50</v>
      </c>
      <c r="DA319" s="24" t="n"/>
      <c r="DB319" s="25" t="n">
        <v>0</v>
      </c>
      <c r="DC319" s="24" t="n"/>
      <c r="DD319" s="23" t="n">
        <v>50</v>
      </c>
      <c r="DE319" s="24" t="n"/>
      <c r="DF319" s="25" t="n">
        <v>0</v>
      </c>
      <c r="DG319" s="24" t="n"/>
      <c r="DH319" s="23" t="n">
        <v>50</v>
      </c>
      <c r="DI319" s="24" t="n"/>
      <c r="DJ319" s="25" t="n">
        <v>0</v>
      </c>
      <c r="DK319" s="24" t="n"/>
      <c r="DL319" s="23" t="n">
        <v>50</v>
      </c>
      <c r="DM319" s="24" t="n"/>
      <c r="DN319" s="25" t="n">
        <v>0</v>
      </c>
      <c r="DO319" s="24" t="n"/>
      <c r="DP319" s="340" t="n"/>
      <c r="DQ319" s="803">
        <f>SUMPRODUCT(--(MOD(COLUMN(BT319:CQ319),4)=MOD(COLUMN(BT319),4)),BT319:CQ319)+SUMPRODUCT(--(MOD(COLUMN(CR319:DO319),4)=MOD(COLUMN(CR319),4)),CR319:DO319)</f>
        <v/>
      </c>
      <c r="DR319" s="803">
        <f>SUMPRODUCT(--(MOD(COLUMN(BT319:CQ319),4)=MOD(COLUMN(BT319),4)),BT319:CQ319)*$I319+SUMPRODUCT(--(MOD(COLUMN(CR319:DO319),4)=MOD(COLUMN(CR319),4)),CR319:DO319)*$I319</f>
        <v/>
      </c>
      <c r="DS319" s="801" t="n"/>
      <c r="DT319" s="819" t="n"/>
      <c r="DU319" s="23" t="n">
        <v>50</v>
      </c>
      <c r="DV319" s="24" t="n"/>
      <c r="DW319" s="25" t="n">
        <v>0</v>
      </c>
      <c r="DX319" s="24" t="n"/>
      <c r="DY319" s="23" t="n">
        <v>50</v>
      </c>
      <c r="DZ319" s="24" t="n"/>
      <c r="EA319" s="25" t="n">
        <v>0</v>
      </c>
      <c r="EB319" s="24" t="n"/>
      <c r="EC319" s="23" t="n">
        <v>50</v>
      </c>
      <c r="ED319" s="24" t="n"/>
      <c r="EE319" s="25" t="n">
        <v>0</v>
      </c>
      <c r="EF319" s="24" t="n"/>
      <c r="EG319" s="23" t="n">
        <v>50</v>
      </c>
      <c r="EH319" s="24" t="n"/>
      <c r="EI319" s="25" t="n">
        <v>0</v>
      </c>
      <c r="EJ319" s="24" t="n"/>
      <c r="EK319" s="23" t="n">
        <v>50</v>
      </c>
      <c r="EL319" s="24" t="n"/>
      <c r="EM319" s="25" t="n">
        <v>0</v>
      </c>
      <c r="EN319" s="24" t="n"/>
      <c r="EO319" s="23" t="n">
        <v>80</v>
      </c>
      <c r="EP319" s="24" t="n"/>
      <c r="EQ319" s="25" t="n">
        <v>0</v>
      </c>
      <c r="ER319" s="24" t="n"/>
      <c r="ES319" s="23" t="n">
        <v>80</v>
      </c>
      <c r="ET319" s="24" t="n"/>
      <c r="EU319" s="25" t="n">
        <v>0</v>
      </c>
      <c r="EV319" s="24" t="n"/>
      <c r="EW319" s="23" t="n">
        <v>80</v>
      </c>
      <c r="EX319" s="24" t="n"/>
      <c r="EY319" s="25" t="n">
        <v>0</v>
      </c>
      <c r="EZ319" s="24" t="n"/>
      <c r="FA319" s="23" t="n">
        <v>80</v>
      </c>
      <c r="FB319" s="24" t="n"/>
      <c r="FC319" s="25" t="n">
        <v>0</v>
      </c>
      <c r="FD319" s="24" t="n"/>
      <c r="FE319" s="23" t="n">
        <v>80</v>
      </c>
      <c r="FF319" s="24" t="n"/>
      <c r="FG319" s="25" t="n">
        <v>0</v>
      </c>
      <c r="FH319" s="24" t="n"/>
      <c r="FI319" s="23" t="n">
        <v>120</v>
      </c>
      <c r="FJ319" s="24" t="n"/>
      <c r="FK319" s="25" t="n">
        <v>0</v>
      </c>
      <c r="FL319" s="24" t="n"/>
      <c r="FM319" s="23" t="n">
        <v>120</v>
      </c>
      <c r="FN319" s="24" t="n"/>
      <c r="FO319" s="25" t="n">
        <v>0</v>
      </c>
      <c r="FP319" s="24" t="n"/>
      <c r="FQ319" s="340" t="n"/>
      <c r="FR319" s="803">
        <f>SUMPRODUCT(--(MOD(COLUMN(DU319:ER319),4)=MOD(COLUMN(DU319),4)),DU319:ER319)+SUMPRODUCT(--(MOD(COLUMN(ES319:FP319),4)=MOD(COLUMN(ES319),4)),ES319:FP319)</f>
        <v/>
      </c>
      <c r="FS319" s="803">
        <f>SUMPRODUCT(--(MOD(COLUMN(DU319:ER319),4)=MOD(COLUMN(DU319),4)),DU319:ER319)*$I319+SUMPRODUCT(--(MOD(COLUMN(ES319:FP319),4)=MOD(COLUMN(ES319),4)),ES319:FP319)*$I319</f>
        <v/>
      </c>
      <c r="FT319" s="361" t="n"/>
    </row>
    <row r="320" outlineLevel="2">
      <c r="A320" s="58" t="inlineStr">
        <is>
          <t>АВТОВИК ООО / AVTOVIK OOO</t>
        </is>
      </c>
      <c r="B320" s="387" t="inlineStr">
        <is>
          <t>Предоплата 100%</t>
        </is>
      </c>
      <c r="C320" s="173" t="inlineStr">
        <is>
          <t>ВБК РУС</t>
        </is>
      </c>
      <c r="D320" s="595" t="inlineStr">
        <is>
          <t>Прасолов, Соловьёв</t>
        </is>
      </c>
      <c r="E320" s="412">
        <f>IF(ISBLANK(G320),"",IF($A$6:$A$330=$A320,COUNTIF($A$6:A320,$A320),""))</f>
        <v/>
      </c>
      <c r="F320" s="123" t="n">
        <v>1</v>
      </c>
      <c r="G320" s="128" t="n">
        <v>4494430600</v>
      </c>
      <c r="H320" s="612" t="inlineStr">
        <is>
          <t>Кабель клапана управления подъемом оси, 6 м</t>
        </is>
      </c>
      <c r="I320" s="618" t="n">
        <v>0</v>
      </c>
      <c r="J320" s="618" t="n"/>
      <c r="K320" s="874" t="n"/>
      <c r="L320" s="618">
        <f>IF(K320="RUB",J320/ЮАНЬ,IF(K320="EUR",J320*ЕВРО/ЮАНЬ,""))</f>
        <v/>
      </c>
      <c r="M320" s="873" t="n"/>
      <c r="N320" s="871">
        <f>IF(BP320&gt;0,1,IF(BN320&gt;0,2,))</f>
        <v/>
      </c>
      <c r="O320" s="23" t="n">
        <v>0</v>
      </c>
      <c r="P320" s="24" t="n"/>
      <c r="Q320" s="25" t="n"/>
      <c r="R320" s="24" t="n"/>
      <c r="S320" s="23" t="n">
        <v>0</v>
      </c>
      <c r="T320" s="24">
        <f>SUMPRODUCT((Комплекты[Пр]=$F320)*(Комплекты[Обозначение]=$G320)*Комплекты[Кол-во]*(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20" s="25">
        <f>SUMPRODUCT((Комплекты[Пр]=$F320)*(Комплекты[Обозначение]=$G320)*Комплекты[Кол-во]*(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/>
      </c>
      <c r="V320" s="24" t="n"/>
      <c r="W320" s="23" t="n">
        <v>0</v>
      </c>
      <c r="X320" s="24">
        <f>SUMPRODUCT((Комплекты[Пр]=$F320)*(Комплекты[Обозначение]=$G320)*Комплекты[Кол-во]*(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20" s="25">
        <f>SUMPRODUCT((Комплекты[Пр]=$F320)*(Комплекты[Обозначение]=$G320)*Комплекты[Кол-во]*(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/>
      </c>
      <c r="Z320" s="24" t="n"/>
      <c r="AA320" s="23" t="n">
        <v>0</v>
      </c>
      <c r="AB320" s="24">
        <f>SUMPRODUCT((Комплекты[Пр]=$F320)*(Комплекты[Обозначение]=$G320)*Комплекты[Кол-во]*(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20" s="25" t="n"/>
      <c r="AD320" s="24" t="n"/>
      <c r="AE320" s="23" t="n">
        <v>0</v>
      </c>
      <c r="AF320" s="24">
        <f>SUMPRODUCT((Комплекты[Пр]=$F320)*(Комплекты[Обозначение]=$G320)*Комплекты[Кол-во]*(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20" s="25">
        <f>SUMPRODUCT((Комплекты[Пр]=$F320)*(Комплекты[Обозначение]=$G320)*Комплекты[Кол-во]*(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/>
      </c>
      <c r="AH320" s="24" t="n"/>
      <c r="AI320" s="23" t="n">
        <v>0</v>
      </c>
      <c r="AJ320" s="24">
        <f>SUMPRODUCT((Комплекты[Пр]=$F320)*(Комплекты[Обозначение]=$G320)*Комплекты[Кол-во]*(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20" s="25" t="n"/>
      <c r="AL320" s="24" t="n"/>
      <c r="AM320" s="23" t="n">
        <v>0</v>
      </c>
      <c r="AN320" s="24">
        <f>SUMPRODUCT((Комплекты[Пр]=$F320)*(Комплекты[Обозначение]=$G320)*Комплекты[Кол-во]*(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20" s="25" t="n"/>
      <c r="AP320" s="24" t="n"/>
      <c r="AQ320" s="23" t="n">
        <v>0</v>
      </c>
      <c r="AR320" s="24">
        <f>SUMPRODUCT((Комплекты[Пр]=$F320)*(Комплекты[Обозначение]=$G320)*Комплекты[Кол-во]*(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20" s="25" t="n"/>
      <c r="AT320" s="24" t="n"/>
      <c r="AU320" s="23" t="n">
        <v>20</v>
      </c>
      <c r="AV320" s="24">
        <f>SUMPRODUCT((Комплекты[Пр]=$F320)*(Комплекты[Обозначение]=$G320)*Комплекты[Кол-во]*(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20" s="25" t="n">
        <v>0</v>
      </c>
      <c r="AX320" s="24" t="n"/>
      <c r="AY320" s="23" t="n">
        <v>20</v>
      </c>
      <c r="AZ320" s="24">
        <f>SUMPRODUCT((Комплекты[Пр]=$F320)*(Комплекты[Обозначение]=$G320)*Комплекты[Кол-во]*(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20" s="25" t="n">
        <v>0</v>
      </c>
      <c r="BB320" s="24" t="n"/>
      <c r="BC320" s="23" t="n">
        <v>20</v>
      </c>
      <c r="BD320" s="24">
        <f>SUMPRODUCT((Комплекты[Пр]=$F320)*(Комплекты[Обозначение]=$G320)*Комплекты[Кол-во]*(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20" s="25" t="n">
        <v>0</v>
      </c>
      <c r="BF320" s="24" t="n"/>
      <c r="BG320" s="23" t="n">
        <v>20</v>
      </c>
      <c r="BH320" s="24">
        <f>SUMPRODUCT((Комплекты[Пр]=$F320)*(Комплекты[Обозначение]=$G320)*Комплекты[Кол-во]*(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20" s="25" t="n">
        <v>0</v>
      </c>
      <c r="BJ320" s="24" t="n"/>
      <c r="BK320" s="340" t="n"/>
      <c r="BL320" s="803">
        <f>SUMPRODUCT(--(MOD(COLUMN($O320:$AL320),4)=MOD(COLUMN($O320)+0,4)),$O320:$AL320)
+SUMPRODUCT(--(MOD(COLUMN($AM320:$BJ320),4)=MOD(COLUMN($AM320)+0,4)),$AM320:$BJ320)</f>
        <v/>
      </c>
      <c r="BM320" s="803">
        <f>SUMPRODUCT(--(MOD(COLUMN($O320:$AL320),4)=MOD(COLUMN($O320)+0,4)),$O320:$AL320)*
$I320+SUMPRODUCT(--(MOD(COLUMN($AM320:$BJ320),4)=MOD(COLUMN($AM320)+0,4)),$AM320:$BJ320)*$I320</f>
        <v/>
      </c>
      <c r="BN320" s="805">
        <f>SUMPRODUCT(--(MOD(COLUMN($O320:$AL320),4)=MOD(COLUMN($O320)+1,4)),$O320:$AL320)
+SUMPRODUCT(--(MOD(COLUMN($AM320:$BJ320),4)=MOD(COLUMN($AM320)+1,4)),$AM320:$BJ320)</f>
        <v/>
      </c>
      <c r="BO320" s="806">
        <f>SUMPRODUCT(--(MOD(COLUMN($O320:$AL320),4)=MOD(COLUMN($O320)+1,4)),$O320:$AL320)*
$I320+SUMPRODUCT(--(MOD(COLUMN($AM320:$BJ320),4)=MOD(COLUMN($AM320)+1,4)),$AM320:$BJ320)*$I320</f>
        <v/>
      </c>
      <c r="BP320" s="807">
        <f>SUMPRODUCT(--(MOD(COLUMN($O320:$AL320),4)=MOD(COLUMN($O320)+2,4)),$O320:$AL320)
+SUMPRODUCT(--(MOD(COLUMN($AM320:$BJ320),4)=MOD(COLUMN($AM320)+2,4)),$AM320:$BJ320)</f>
        <v/>
      </c>
      <c r="BQ320" s="808">
        <f>SUMPRODUCT(--(MOD(COLUMN($O320:$AL320),4)=MOD(COLUMN($O320)+2,4)),$O320:$AL320)*
$I320+SUMPRODUCT(--(MOD(COLUMN($AM320:$BJ320),4)=MOD(COLUMN($AM320)+2,4)),$AM320:$BJ320)*$I320</f>
        <v/>
      </c>
      <c r="BR320" s="801" t="n"/>
      <c r="BS320" s="819" t="n"/>
      <c r="BT320" s="23" t="n">
        <v>30</v>
      </c>
      <c r="BU320" s="24" t="n"/>
      <c r="BV320" s="25" t="n">
        <v>0</v>
      </c>
      <c r="BW320" s="24" t="n"/>
      <c r="BX320" s="23" t="n">
        <v>30</v>
      </c>
      <c r="BY320" s="24" t="n"/>
      <c r="BZ320" s="25" t="n">
        <v>0</v>
      </c>
      <c r="CA320" s="24" t="n"/>
      <c r="CB320" s="23" t="n">
        <v>30</v>
      </c>
      <c r="CC320" s="24" t="n"/>
      <c r="CD320" s="25" t="n">
        <v>0</v>
      </c>
      <c r="CE320" s="24" t="n"/>
      <c r="CF320" s="23" t="n">
        <v>30</v>
      </c>
      <c r="CG320" s="24" t="n"/>
      <c r="CH320" s="25" t="n">
        <v>0</v>
      </c>
      <c r="CI320" s="24" t="n"/>
      <c r="CJ320" s="23" t="n">
        <v>30</v>
      </c>
      <c r="CK320" s="24" t="n"/>
      <c r="CL320" s="25" t="n">
        <v>0</v>
      </c>
      <c r="CM320" s="24" t="n"/>
      <c r="CN320" s="23" t="n">
        <v>50</v>
      </c>
      <c r="CO320" s="24" t="n"/>
      <c r="CP320" s="25" t="n">
        <v>0</v>
      </c>
      <c r="CQ320" s="24" t="n"/>
      <c r="CR320" s="23" t="n">
        <v>50</v>
      </c>
      <c r="CS320" s="24" t="n"/>
      <c r="CT320" s="25" t="n">
        <v>0</v>
      </c>
      <c r="CU320" s="24" t="n"/>
      <c r="CV320" s="23" t="n">
        <v>50</v>
      </c>
      <c r="CW320" s="24" t="n"/>
      <c r="CX320" s="25" t="n">
        <v>0</v>
      </c>
      <c r="CY320" s="24" t="n"/>
      <c r="CZ320" s="23" t="n">
        <v>50</v>
      </c>
      <c r="DA320" s="24" t="n"/>
      <c r="DB320" s="25" t="n">
        <v>0</v>
      </c>
      <c r="DC320" s="24" t="n"/>
      <c r="DD320" s="23" t="n">
        <v>50</v>
      </c>
      <c r="DE320" s="24" t="n"/>
      <c r="DF320" s="25" t="n">
        <v>0</v>
      </c>
      <c r="DG320" s="24" t="n"/>
      <c r="DH320" s="23" t="n">
        <v>50</v>
      </c>
      <c r="DI320" s="24" t="n"/>
      <c r="DJ320" s="25" t="n">
        <v>0</v>
      </c>
      <c r="DK320" s="24" t="n"/>
      <c r="DL320" s="23" t="n">
        <v>50</v>
      </c>
      <c r="DM320" s="24" t="n"/>
      <c r="DN320" s="25" t="n">
        <v>0</v>
      </c>
      <c r="DO320" s="24" t="n"/>
      <c r="DP320" s="340" t="n"/>
      <c r="DQ320" s="803">
        <f>SUMPRODUCT(--(MOD(COLUMN(BT320:CQ320),4)=MOD(COLUMN(BT320),4)),BT320:CQ320)+SUMPRODUCT(--(MOD(COLUMN(CR320:DO320),4)=MOD(COLUMN(CR320),4)),CR320:DO320)</f>
        <v/>
      </c>
      <c r="DR320" s="803">
        <f>SUMPRODUCT(--(MOD(COLUMN(BT320:CQ320),4)=MOD(COLUMN(BT320),4)),BT320:CQ320)*$I320+SUMPRODUCT(--(MOD(COLUMN(CR320:DO320),4)=MOD(COLUMN(CR320),4)),CR320:DO320)*$I320</f>
        <v/>
      </c>
      <c r="DS320" s="801" t="n"/>
      <c r="DT320" s="819" t="n"/>
      <c r="DU320" s="23" t="n">
        <v>50</v>
      </c>
      <c r="DV320" s="24" t="n"/>
      <c r="DW320" s="25" t="n">
        <v>0</v>
      </c>
      <c r="DX320" s="24" t="n"/>
      <c r="DY320" s="23" t="n">
        <v>50</v>
      </c>
      <c r="DZ320" s="24" t="n"/>
      <c r="EA320" s="25" t="n">
        <v>0</v>
      </c>
      <c r="EB320" s="24" t="n"/>
      <c r="EC320" s="23" t="n">
        <v>50</v>
      </c>
      <c r="ED320" s="24" t="n"/>
      <c r="EE320" s="25" t="n">
        <v>0</v>
      </c>
      <c r="EF320" s="24" t="n"/>
      <c r="EG320" s="23" t="n">
        <v>50</v>
      </c>
      <c r="EH320" s="24" t="n"/>
      <c r="EI320" s="25" t="n">
        <v>0</v>
      </c>
      <c r="EJ320" s="24" t="n"/>
      <c r="EK320" s="23" t="n">
        <v>50</v>
      </c>
      <c r="EL320" s="24" t="n"/>
      <c r="EM320" s="25" t="n">
        <v>0</v>
      </c>
      <c r="EN320" s="24" t="n"/>
      <c r="EO320" s="23" t="n">
        <v>80</v>
      </c>
      <c r="EP320" s="24" t="n"/>
      <c r="EQ320" s="25" t="n">
        <v>0</v>
      </c>
      <c r="ER320" s="24" t="n"/>
      <c r="ES320" s="23" t="n">
        <v>80</v>
      </c>
      <c r="ET320" s="24" t="n"/>
      <c r="EU320" s="25" t="n">
        <v>0</v>
      </c>
      <c r="EV320" s="24" t="n"/>
      <c r="EW320" s="23" t="n">
        <v>80</v>
      </c>
      <c r="EX320" s="24" t="n"/>
      <c r="EY320" s="25" t="n">
        <v>0</v>
      </c>
      <c r="EZ320" s="24" t="n"/>
      <c r="FA320" s="23" t="n">
        <v>80</v>
      </c>
      <c r="FB320" s="24" t="n"/>
      <c r="FC320" s="25" t="n">
        <v>0</v>
      </c>
      <c r="FD320" s="24" t="n"/>
      <c r="FE320" s="23" t="n">
        <v>80</v>
      </c>
      <c r="FF320" s="24" t="n"/>
      <c r="FG320" s="25" t="n">
        <v>0</v>
      </c>
      <c r="FH320" s="24" t="n"/>
      <c r="FI320" s="23" t="n">
        <v>120</v>
      </c>
      <c r="FJ320" s="24" t="n"/>
      <c r="FK320" s="25" t="n">
        <v>0</v>
      </c>
      <c r="FL320" s="24" t="n"/>
      <c r="FM320" s="23" t="n">
        <v>120</v>
      </c>
      <c r="FN320" s="24" t="n"/>
      <c r="FO320" s="25" t="n">
        <v>0</v>
      </c>
      <c r="FP320" s="24" t="n"/>
      <c r="FQ320" s="340" t="n"/>
      <c r="FR320" s="803">
        <f>SUMPRODUCT(--(MOD(COLUMN(DU320:ER320),4)=MOD(COLUMN(DU320),4)),DU320:ER320)+SUMPRODUCT(--(MOD(COLUMN(ES320:FP320),4)=MOD(COLUMN(ES320),4)),ES320:FP320)</f>
        <v/>
      </c>
      <c r="FS320" s="803">
        <f>SUMPRODUCT(--(MOD(COLUMN(DU320:ER320),4)=MOD(COLUMN(DU320),4)),DU320:ER320)*$I320+SUMPRODUCT(--(MOD(COLUMN(ES320:FP320),4)=MOD(COLUMN(ES320),4)),ES320:FP320)*$I320</f>
        <v/>
      </c>
      <c r="FT320" s="361" t="n"/>
    </row>
    <row r="321" outlineLevel="2">
      <c r="A321" s="421" t="inlineStr">
        <is>
          <t>АВТОВИК ООО / AVTOVIK OOO</t>
        </is>
      </c>
      <c r="B321" s="389" t="inlineStr">
        <is>
          <t>Предоплата 100%</t>
        </is>
      </c>
      <c r="C321" s="311" t="inlineStr">
        <is>
          <t>ВБК РУС</t>
        </is>
      </c>
      <c r="D321" s="399" t="inlineStr">
        <is>
          <t>Прасолов, Соловьёв</t>
        </is>
      </c>
      <c r="E321" s="414">
        <f>IF(ISBLANK(G321),"",IF($A$6:$A$330=$A321,COUNTIF($A$6:A321,$A321),""))</f>
        <v/>
      </c>
      <c r="F321" s="318" t="n">
        <v>1</v>
      </c>
      <c r="G321" s="403" t="n">
        <v>4341001250</v>
      </c>
      <c r="H321" s="613" t="inlineStr">
        <is>
          <t>Клапан перепускной</t>
        </is>
      </c>
      <c r="I321" s="619" t="n">
        <v>0</v>
      </c>
      <c r="J321" s="619" t="n"/>
      <c r="K321" s="876" t="n"/>
      <c r="L321" s="619">
        <f>IF(K321="RUB",J321/ЮАНЬ,IF(K321="EUR",J321*ЕВРО/ЮАНЬ,""))</f>
        <v/>
      </c>
      <c r="M321" s="871" t="n"/>
      <c r="N321" s="871">
        <f>IF(BP321&gt;0,1,IF(BN321&gt;0,2,))</f>
        <v/>
      </c>
      <c r="O321" s="322" t="n">
        <v>0</v>
      </c>
      <c r="P321" s="408" t="n"/>
      <c r="Q321" s="307" t="n"/>
      <c r="R321" s="408" t="n"/>
      <c r="S321" s="322" t="n">
        <v>0</v>
      </c>
      <c r="T321" s="408">
        <f>SUMPRODUCT((Комплекты[Пр]=$F321)*(Комплекты[Обозначение]=$G321)*Комплекты[Кол-во]*(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21" s="307">
        <f>SUMPRODUCT((Комплекты[Пр]=$F321)*(Комплекты[Обозначение]=$G321)*Комплекты[Кол-во]*(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/>
      </c>
      <c r="V321" s="408" t="n"/>
      <c r="W321" s="322" t="n">
        <v>0</v>
      </c>
      <c r="X321" s="408">
        <f>SUMPRODUCT((Комплекты[Пр]=$F321)*(Комплекты[Обозначение]=$G321)*Комплекты[Кол-во]*(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21" s="307" t="n">
        <v>20</v>
      </c>
      <c r="Z321" s="408" t="n"/>
      <c r="AA321" s="322" t="n">
        <v>0</v>
      </c>
      <c r="AB321" s="408">
        <f>SUMPRODUCT((Комплекты[Пр]=$F321)*(Комплекты[Обозначение]=$G321)*Комплекты[Кол-во]*(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21" s="307" t="n">
        <v>60</v>
      </c>
      <c r="AD321" s="408" t="n"/>
      <c r="AE321" s="322" t="n">
        <v>0</v>
      </c>
      <c r="AF321" s="408">
        <f>SUMPRODUCT((Комплекты[Пр]=$F321)*(Комплекты[Обозначение]=$G321)*Комплекты[Кол-во]*(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21" s="307">
        <f>SUMPRODUCT((Комплекты[Пр]=$F321)*(Комплекты[Обозначение]=$G321)*Комплекты[Кол-во]*(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/>
      </c>
      <c r="AH321" s="408" t="n"/>
      <c r="AI321" s="322" t="n">
        <v>0</v>
      </c>
      <c r="AJ321" s="408">
        <f>SUMPRODUCT((Комплекты[Пр]=$F321)*(Комплекты[Обозначение]=$G321)*Комплекты[Кол-во]*(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21" s="307" t="n">
        <v>0</v>
      </c>
      <c r="AL321" s="408" t="n"/>
      <c r="AM321" s="322" t="n">
        <v>0</v>
      </c>
      <c r="AN321" s="408">
        <f>SUMPRODUCT((Комплекты[Пр]=$F321)*(Комплекты[Обозначение]=$G321)*Комплекты[Кол-во]*(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21" s="307" t="n"/>
      <c r="AP321" s="408" t="n"/>
      <c r="AQ321" s="322" t="n">
        <v>0</v>
      </c>
      <c r="AR321" s="408">
        <f>SUMPRODUCT((Комплекты[Пр]=$F321)*(Комплекты[Обозначение]=$G321)*Комплекты[Кол-во]*(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21" s="307" t="n"/>
      <c r="AT321" s="408" t="n"/>
      <c r="AU321" s="322" t="n">
        <v>0</v>
      </c>
      <c r="AV321" s="408">
        <f>SUMPRODUCT((Комплекты[Пр]=$F321)*(Комплекты[Обозначение]=$G321)*Комплекты[Кол-во]*(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21" s="307" t="n"/>
      <c r="AX321" s="408" t="n"/>
      <c r="AY321" s="322" t="n">
        <v>0</v>
      </c>
      <c r="AZ321" s="408">
        <f>SUMPRODUCT((Комплекты[Пр]=$F321)*(Комплекты[Обозначение]=$G321)*Комплекты[Кол-во]*(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21" s="307" t="n"/>
      <c r="BB321" s="408" t="n"/>
      <c r="BC321" s="322" t="n">
        <v>0</v>
      </c>
      <c r="BD321" s="408">
        <f>SUMPRODUCT((Комплекты[Пр]=$F321)*(Комплекты[Обозначение]=$G321)*Комплекты[Кол-во]*(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21" s="307" t="n"/>
      <c r="BF321" s="408" t="n"/>
      <c r="BG321" s="322" t="n">
        <v>0</v>
      </c>
      <c r="BH321" s="408">
        <f>SUMPRODUCT((Комплекты[Пр]=$F321)*(Комплекты[Обозначение]=$G321)*Комплекты[Кол-во]*(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21" s="307" t="n"/>
      <c r="BJ321" s="408" t="n"/>
      <c r="BK321" s="340" t="n"/>
      <c r="BL321" s="820">
        <f>SUMPRODUCT(--(MOD(COLUMN($O321:$AL321),4)=MOD(COLUMN($O321)+0,4)),$O321:$AL321)
+SUMPRODUCT(--(MOD(COLUMN($AM321:$BJ321),4)=MOD(COLUMN($AM321)+0,4)),$AM321:$BJ321)</f>
        <v/>
      </c>
      <c r="BM321" s="820">
        <f>SUMPRODUCT(--(MOD(COLUMN($O321:$AL321),4)=MOD(COLUMN($O321)+0,4)),$O321:$AL321)*
$I321+SUMPRODUCT(--(MOD(COLUMN($AM321:$BJ321),4)=MOD(COLUMN($AM321)+0,4)),$AM321:$BJ321)*$I321</f>
        <v/>
      </c>
      <c r="BN321" s="822">
        <f>SUMPRODUCT(--(MOD(COLUMN($O321:$AL321),4)=MOD(COLUMN($O321)+1,4)),$O321:$AL321)
+SUMPRODUCT(--(MOD(COLUMN($AM321:$BJ321),4)=MOD(COLUMN($AM321)+1,4)),$AM321:$BJ321)</f>
        <v/>
      </c>
      <c r="BO321" s="823">
        <f>SUMPRODUCT(--(MOD(COLUMN($O321:$AL321),4)=MOD(COLUMN($O321)+1,4)),$O321:$AL321)*
$I321+SUMPRODUCT(--(MOD(COLUMN($AM321:$BJ321),4)=MOD(COLUMN($AM321)+1,4)),$AM321:$BJ321)*$I321</f>
        <v/>
      </c>
      <c r="BP321" s="824">
        <f>SUMPRODUCT(--(MOD(COLUMN($O321:$AL321),4)=MOD(COLUMN($O321)+2,4)),$O321:$AL321)
+SUMPRODUCT(--(MOD(COLUMN($AM321:$BJ321),4)=MOD(COLUMN($AM321)+2,4)),$AM321:$BJ321)</f>
        <v/>
      </c>
      <c r="BQ321" s="825">
        <f>SUMPRODUCT(--(MOD(COLUMN($O321:$AL321),4)=MOD(COLUMN($O321)+2,4)),$O321:$AL321)*
$I321+SUMPRODUCT(--(MOD(COLUMN($AM321:$BJ321),4)=MOD(COLUMN($AM321)+2,4)),$AM321:$BJ321)*$I321</f>
        <v/>
      </c>
      <c r="BR321" s="819" t="n"/>
      <c r="BS321" s="819" t="n"/>
      <c r="BT321" s="322" t="n"/>
      <c r="BU321" s="408" t="n"/>
      <c r="BV321" s="307" t="n"/>
      <c r="BW321" s="408" t="n"/>
      <c r="BX321" s="322" t="n"/>
      <c r="BY321" s="408" t="n"/>
      <c r="BZ321" s="307" t="n"/>
      <c r="CA321" s="408" t="n"/>
      <c r="CB321" s="322" t="n"/>
      <c r="CC321" s="408" t="n"/>
      <c r="CD321" s="307" t="n"/>
      <c r="CE321" s="408" t="n"/>
      <c r="CF321" s="322" t="n"/>
      <c r="CG321" s="408" t="n"/>
      <c r="CH321" s="307" t="n"/>
      <c r="CI321" s="408" t="n"/>
      <c r="CJ321" s="322" t="n"/>
      <c r="CK321" s="408" t="n"/>
      <c r="CL321" s="307" t="n"/>
      <c r="CM321" s="408" t="n"/>
      <c r="CN321" s="322" t="n"/>
      <c r="CO321" s="408" t="n"/>
      <c r="CP321" s="307" t="n"/>
      <c r="CQ321" s="408" t="n"/>
      <c r="CR321" s="322" t="n"/>
      <c r="CS321" s="408" t="n"/>
      <c r="CT321" s="307" t="n"/>
      <c r="CU321" s="408" t="n"/>
      <c r="CV321" s="322" t="n"/>
      <c r="CW321" s="408" t="n"/>
      <c r="CX321" s="307" t="n"/>
      <c r="CY321" s="408" t="n"/>
      <c r="CZ321" s="322" t="n"/>
      <c r="DA321" s="408" t="n"/>
      <c r="DB321" s="307" t="n"/>
      <c r="DC321" s="408" t="n"/>
      <c r="DD321" s="322" t="n"/>
      <c r="DE321" s="408" t="n"/>
      <c r="DF321" s="307" t="n"/>
      <c r="DG321" s="408" t="n"/>
      <c r="DH321" s="322" t="n"/>
      <c r="DI321" s="408" t="n"/>
      <c r="DJ321" s="307" t="n"/>
      <c r="DK321" s="408" t="n"/>
      <c r="DL321" s="322" t="n"/>
      <c r="DM321" s="408" t="n"/>
      <c r="DN321" s="307" t="n"/>
      <c r="DO321" s="408" t="n"/>
      <c r="DP321" s="340" t="n"/>
      <c r="DQ321" s="820">
        <f>SUMPRODUCT(--(MOD(COLUMN(BT321:CQ321),4)=MOD(COLUMN(BT321),4)),BT321:CQ321)+SUMPRODUCT(--(MOD(COLUMN(CR321:DO321),4)=MOD(COLUMN(CR321),4)),CR321:DO321)</f>
        <v/>
      </c>
      <c r="DR321" s="820">
        <f>SUMPRODUCT(--(MOD(COLUMN(BT321:CQ321),4)=MOD(COLUMN(BT321),4)),BT321:CQ321)*$I321+SUMPRODUCT(--(MOD(COLUMN(CR321:DO321),4)=MOD(COLUMN(CR321),4)),CR321:DO321)*$I321</f>
        <v/>
      </c>
      <c r="DS321" s="819" t="n"/>
      <c r="DT321" s="819" t="n"/>
      <c r="DU321" s="322" t="n"/>
      <c r="DV321" s="408" t="n"/>
      <c r="DW321" s="307" t="n"/>
      <c r="DX321" s="408" t="n"/>
      <c r="DY321" s="322" t="n"/>
      <c r="DZ321" s="408" t="n"/>
      <c r="EA321" s="307" t="n"/>
      <c r="EB321" s="408" t="n"/>
      <c r="EC321" s="322" t="n"/>
      <c r="ED321" s="408" t="n"/>
      <c r="EE321" s="307" t="n"/>
      <c r="EF321" s="408" t="n"/>
      <c r="EG321" s="322" t="n"/>
      <c r="EH321" s="408" t="n"/>
      <c r="EI321" s="307" t="n"/>
      <c r="EJ321" s="408" t="n"/>
      <c r="EK321" s="322" t="n"/>
      <c r="EL321" s="408" t="n"/>
      <c r="EM321" s="307" t="n"/>
      <c r="EN321" s="408" t="n"/>
      <c r="EO321" s="322" t="n"/>
      <c r="EP321" s="408" t="n"/>
      <c r="EQ321" s="307" t="n"/>
      <c r="ER321" s="408" t="n"/>
      <c r="ES321" s="322" t="n"/>
      <c r="ET321" s="408" t="n"/>
      <c r="EU321" s="307" t="n"/>
      <c r="EV321" s="408" t="n"/>
      <c r="EW321" s="322" t="n"/>
      <c r="EX321" s="408" t="n"/>
      <c r="EY321" s="307" t="n"/>
      <c r="EZ321" s="408" t="n"/>
      <c r="FA321" s="322" t="n"/>
      <c r="FB321" s="408" t="n"/>
      <c r="FC321" s="307" t="n"/>
      <c r="FD321" s="408" t="n"/>
      <c r="FE321" s="322" t="n"/>
      <c r="FF321" s="408" t="n"/>
      <c r="FG321" s="307" t="n"/>
      <c r="FH321" s="408" t="n"/>
      <c r="FI321" s="322" t="n"/>
      <c r="FJ321" s="408" t="n"/>
      <c r="FK321" s="307" t="n"/>
      <c r="FL321" s="408" t="n"/>
      <c r="FM321" s="322" t="n"/>
      <c r="FN321" s="408" t="n"/>
      <c r="FO321" s="307" t="n"/>
      <c r="FP321" s="408" t="n"/>
      <c r="FQ321" s="340" t="n"/>
      <c r="FR321" s="820">
        <f>SUMPRODUCT(--(MOD(COLUMN(DU321:ER321),4)=MOD(COLUMN(DU321),4)),DU321:ER321)+SUMPRODUCT(--(MOD(COLUMN(ES321:FP321),4)=MOD(COLUMN(ES321),4)),ES321:FP321)</f>
        <v/>
      </c>
      <c r="FS321" s="820">
        <f>SUMPRODUCT(--(MOD(COLUMN(DU321:ER321),4)=MOD(COLUMN(DU321),4)),DU321:ER321)*$I321+SUMPRODUCT(--(MOD(COLUMN(ES321:FP321),4)=MOD(COLUMN(ES321),4)),ES321:FP321)*$I321</f>
        <v/>
      </c>
      <c r="FT321" s="361" t="n"/>
    </row>
    <row r="322" outlineLevel="2">
      <c r="A322" s="421" t="inlineStr">
        <is>
          <t>АВТОВИК ООО / AVTOVIK OOO</t>
        </is>
      </c>
      <c r="B322" s="389" t="inlineStr">
        <is>
          <t>Предоплата 100%</t>
        </is>
      </c>
      <c r="C322" s="311" t="inlineStr">
        <is>
          <t>ВБК РУС</t>
        </is>
      </c>
      <c r="D322" s="399" t="inlineStr">
        <is>
          <t>Прасолов, Соловьёв</t>
        </is>
      </c>
      <c r="E322" s="414">
        <f>IF(ISBLANK(G322),"",IF($A$6:$A$330=$A322,COUNTIF($A$6:A322,$A322),""))</f>
        <v/>
      </c>
      <c r="F322" s="318" t="n">
        <v>1</v>
      </c>
      <c r="G322" s="403" t="n">
        <v>9630010510</v>
      </c>
      <c r="H322" s="613" t="inlineStr">
        <is>
          <t>Клапан растормаживания сдвоенный</t>
        </is>
      </c>
      <c r="I322" s="619" t="n">
        <v>0</v>
      </c>
      <c r="J322" s="619" t="n"/>
      <c r="K322" s="876" t="n"/>
      <c r="L322" s="619">
        <f>IF(K322="RUB",J322/ЮАНЬ,IF(K322="EUR",J322*ЕВРО/ЮАНЬ,""))</f>
        <v/>
      </c>
      <c r="M322" s="871" t="n"/>
      <c r="N322" s="871">
        <f>IF(BP322&gt;0,1,IF(BN322&gt;0,2,))</f>
        <v/>
      </c>
      <c r="O322" s="322" t="n">
        <v>0</v>
      </c>
      <c r="P322" s="408" t="n"/>
      <c r="Q322" s="307" t="n"/>
      <c r="R322" s="408" t="n"/>
      <c r="S322" s="322" t="n">
        <v>0</v>
      </c>
      <c r="T322" s="408">
        <f>SUMPRODUCT((Комплекты[Пр]=$F322)*(Комплекты[Обозначение]=$G322)*Комплекты[Кол-во]*(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22" s="307">
        <f>SUMPRODUCT((Комплекты[Пр]=$F322)*(Комплекты[Обозначение]=$G322)*Комплекты[Кол-во]*(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/>
      </c>
      <c r="V322" s="408" t="n"/>
      <c r="W322" s="322" t="n">
        <v>0</v>
      </c>
      <c r="X322" s="408">
        <f>SUMPRODUCT((Комплекты[Пр]=$F322)*(Комплекты[Обозначение]=$G322)*Комплекты[Кол-во]*(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22" s="307" t="n">
        <v>20</v>
      </c>
      <c r="Z322" s="408" t="n"/>
      <c r="AA322" s="322" t="n">
        <v>0</v>
      </c>
      <c r="AB322" s="408">
        <f>SUMPRODUCT((Комплекты[Пр]=$F322)*(Комплекты[Обозначение]=$G322)*Комплекты[Кол-во]*(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22" s="307" t="n">
        <v>60</v>
      </c>
      <c r="AD322" s="408" t="n"/>
      <c r="AE322" s="322" t="n">
        <v>0</v>
      </c>
      <c r="AF322" s="408">
        <f>SUMPRODUCT((Комплекты[Пр]=$F322)*(Комплекты[Обозначение]=$G322)*Комплекты[Кол-во]*(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22" s="307">
        <f>SUMPRODUCT((Комплекты[Пр]=$F322)*(Комплекты[Обозначение]=$G322)*Комплекты[Кол-во]*(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/>
      </c>
      <c r="AH322" s="408" t="n"/>
      <c r="AI322" s="322" t="n">
        <v>0</v>
      </c>
      <c r="AJ322" s="408">
        <f>SUMPRODUCT((Комплекты[Пр]=$F322)*(Комплекты[Обозначение]=$G322)*Комплекты[Кол-во]*(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22" s="307" t="n">
        <v>0</v>
      </c>
      <c r="AL322" s="408" t="n"/>
      <c r="AM322" s="322" t="n">
        <v>0</v>
      </c>
      <c r="AN322" s="408">
        <f>SUMPRODUCT((Комплекты[Пр]=$F322)*(Комплекты[Обозначение]=$G322)*Комплекты[Кол-во]*(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22" s="307" t="n"/>
      <c r="AP322" s="408" t="n"/>
      <c r="AQ322" s="322" t="n">
        <v>0</v>
      </c>
      <c r="AR322" s="408">
        <f>SUMPRODUCT((Комплекты[Пр]=$F322)*(Комплекты[Обозначение]=$G322)*Комплекты[Кол-во]*(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22" s="307" t="n"/>
      <c r="AT322" s="408" t="n"/>
      <c r="AU322" s="322" t="n">
        <v>0</v>
      </c>
      <c r="AV322" s="408">
        <f>SUMPRODUCT((Комплекты[Пр]=$F322)*(Комплекты[Обозначение]=$G322)*Комплекты[Кол-во]*(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22" s="307" t="n"/>
      <c r="AX322" s="408" t="n"/>
      <c r="AY322" s="322" t="n">
        <v>0</v>
      </c>
      <c r="AZ322" s="408">
        <f>SUMPRODUCT((Комплекты[Пр]=$F322)*(Комплекты[Обозначение]=$G322)*Комплекты[Кол-во]*(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22" s="307" t="n"/>
      <c r="BB322" s="408" t="n"/>
      <c r="BC322" s="322" t="n">
        <v>0</v>
      </c>
      <c r="BD322" s="408">
        <f>SUMPRODUCT((Комплекты[Пр]=$F322)*(Комплекты[Обозначение]=$G322)*Комплекты[Кол-во]*(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22" s="307" t="n"/>
      <c r="BF322" s="408" t="n"/>
      <c r="BG322" s="322" t="n">
        <v>0</v>
      </c>
      <c r="BH322" s="408">
        <f>SUMPRODUCT((Комплекты[Пр]=$F322)*(Комплекты[Обозначение]=$G322)*Комплекты[Кол-во]*(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22" s="307" t="n"/>
      <c r="BJ322" s="408" t="n"/>
      <c r="BK322" s="340" t="n"/>
      <c r="BL322" s="820">
        <f>SUMPRODUCT(--(MOD(COLUMN($O322:$AL322),4)=MOD(COLUMN($O322)+0,4)),$O322:$AL322)
+SUMPRODUCT(--(MOD(COLUMN($AM322:$BJ322),4)=MOD(COLUMN($AM322)+0,4)),$AM322:$BJ322)</f>
        <v/>
      </c>
      <c r="BM322" s="820">
        <f>SUMPRODUCT(--(MOD(COLUMN($O322:$AL322),4)=MOD(COLUMN($O322)+0,4)),$O322:$AL322)*
$I322+SUMPRODUCT(--(MOD(COLUMN($AM322:$BJ322),4)=MOD(COLUMN($AM322)+0,4)),$AM322:$BJ322)*$I322</f>
        <v/>
      </c>
      <c r="BN322" s="822">
        <f>SUMPRODUCT(--(MOD(COLUMN($O322:$AL322),4)=MOD(COLUMN($O322)+1,4)),$O322:$AL322)
+SUMPRODUCT(--(MOD(COLUMN($AM322:$BJ322),4)=MOD(COLUMN($AM322)+1,4)),$AM322:$BJ322)</f>
        <v/>
      </c>
      <c r="BO322" s="823">
        <f>SUMPRODUCT(--(MOD(COLUMN($O322:$AL322),4)=MOD(COLUMN($O322)+1,4)),$O322:$AL322)*
$I322+SUMPRODUCT(--(MOD(COLUMN($AM322:$BJ322),4)=MOD(COLUMN($AM322)+1,4)),$AM322:$BJ322)*$I322</f>
        <v/>
      </c>
      <c r="BP322" s="824">
        <f>SUMPRODUCT(--(MOD(COLUMN($O322:$AL322),4)=MOD(COLUMN($O322)+2,4)),$O322:$AL322)
+SUMPRODUCT(--(MOD(COLUMN($AM322:$BJ322),4)=MOD(COLUMN($AM322)+2,4)),$AM322:$BJ322)</f>
        <v/>
      </c>
      <c r="BQ322" s="825">
        <f>SUMPRODUCT(--(MOD(COLUMN($O322:$AL322),4)=MOD(COLUMN($O322)+2,4)),$O322:$AL322)*
$I322+SUMPRODUCT(--(MOD(COLUMN($AM322:$BJ322),4)=MOD(COLUMN($AM322)+2,4)),$AM322:$BJ322)*$I322</f>
        <v/>
      </c>
      <c r="BR322" s="819" t="n"/>
      <c r="BS322" s="819" t="n"/>
      <c r="BT322" s="322" t="n"/>
      <c r="BU322" s="408" t="n"/>
      <c r="BV322" s="307" t="n"/>
      <c r="BW322" s="408" t="n"/>
      <c r="BX322" s="322" t="n"/>
      <c r="BY322" s="408" t="n"/>
      <c r="BZ322" s="307" t="n"/>
      <c r="CA322" s="408" t="n"/>
      <c r="CB322" s="322" t="n"/>
      <c r="CC322" s="408" t="n"/>
      <c r="CD322" s="307" t="n"/>
      <c r="CE322" s="408" t="n"/>
      <c r="CF322" s="322" t="n"/>
      <c r="CG322" s="408" t="n"/>
      <c r="CH322" s="307" t="n"/>
      <c r="CI322" s="408" t="n"/>
      <c r="CJ322" s="322" t="n"/>
      <c r="CK322" s="408" t="n"/>
      <c r="CL322" s="307" t="n"/>
      <c r="CM322" s="408" t="n"/>
      <c r="CN322" s="322" t="n"/>
      <c r="CO322" s="408" t="n"/>
      <c r="CP322" s="307" t="n"/>
      <c r="CQ322" s="408" t="n"/>
      <c r="CR322" s="322" t="n"/>
      <c r="CS322" s="408" t="n"/>
      <c r="CT322" s="307" t="n"/>
      <c r="CU322" s="408" t="n"/>
      <c r="CV322" s="322" t="n"/>
      <c r="CW322" s="408" t="n"/>
      <c r="CX322" s="307" t="n"/>
      <c r="CY322" s="408" t="n"/>
      <c r="CZ322" s="322" t="n"/>
      <c r="DA322" s="408" t="n"/>
      <c r="DB322" s="307" t="n"/>
      <c r="DC322" s="408" t="n"/>
      <c r="DD322" s="322" t="n"/>
      <c r="DE322" s="408" t="n"/>
      <c r="DF322" s="307" t="n"/>
      <c r="DG322" s="408" t="n"/>
      <c r="DH322" s="322" t="n"/>
      <c r="DI322" s="408" t="n"/>
      <c r="DJ322" s="307" t="n"/>
      <c r="DK322" s="408" t="n"/>
      <c r="DL322" s="322" t="n"/>
      <c r="DM322" s="408" t="n"/>
      <c r="DN322" s="307" t="n"/>
      <c r="DO322" s="408" t="n"/>
      <c r="DP322" s="340" t="n"/>
      <c r="DQ322" s="820">
        <f>SUMPRODUCT(--(MOD(COLUMN(BT322:CQ322),4)=MOD(COLUMN(BT322),4)),BT322:CQ322)+SUMPRODUCT(--(MOD(COLUMN(CR322:DO322),4)=MOD(COLUMN(CR322),4)),CR322:DO322)</f>
        <v/>
      </c>
      <c r="DR322" s="820">
        <f>SUMPRODUCT(--(MOD(COLUMN(BT322:CQ322),4)=MOD(COLUMN(BT322),4)),BT322:CQ322)*$I322+SUMPRODUCT(--(MOD(COLUMN(CR322:DO322),4)=MOD(COLUMN(CR322),4)),CR322:DO322)*$I322</f>
        <v/>
      </c>
      <c r="DS322" s="819" t="n"/>
      <c r="DT322" s="819" t="n"/>
      <c r="DU322" s="322" t="n"/>
      <c r="DV322" s="408" t="n"/>
      <c r="DW322" s="307" t="n"/>
      <c r="DX322" s="408" t="n"/>
      <c r="DY322" s="322" t="n"/>
      <c r="DZ322" s="408" t="n"/>
      <c r="EA322" s="307" t="n"/>
      <c r="EB322" s="408" t="n"/>
      <c r="EC322" s="322" t="n"/>
      <c r="ED322" s="408" t="n"/>
      <c r="EE322" s="307" t="n"/>
      <c r="EF322" s="408" t="n"/>
      <c r="EG322" s="322" t="n"/>
      <c r="EH322" s="408" t="n"/>
      <c r="EI322" s="307" t="n"/>
      <c r="EJ322" s="408" t="n"/>
      <c r="EK322" s="322" t="n"/>
      <c r="EL322" s="408" t="n"/>
      <c r="EM322" s="307" t="n"/>
      <c r="EN322" s="408" t="n"/>
      <c r="EO322" s="322" t="n"/>
      <c r="EP322" s="408" t="n"/>
      <c r="EQ322" s="307" t="n"/>
      <c r="ER322" s="408" t="n"/>
      <c r="ES322" s="322" t="n"/>
      <c r="ET322" s="408" t="n"/>
      <c r="EU322" s="307" t="n"/>
      <c r="EV322" s="408" t="n"/>
      <c r="EW322" s="322" t="n"/>
      <c r="EX322" s="408" t="n"/>
      <c r="EY322" s="307" t="n"/>
      <c r="EZ322" s="408" t="n"/>
      <c r="FA322" s="322" t="n"/>
      <c r="FB322" s="408" t="n"/>
      <c r="FC322" s="307" t="n"/>
      <c r="FD322" s="408" t="n"/>
      <c r="FE322" s="322" t="n"/>
      <c r="FF322" s="408" t="n"/>
      <c r="FG322" s="307" t="n"/>
      <c r="FH322" s="408" t="n"/>
      <c r="FI322" s="322" t="n"/>
      <c r="FJ322" s="408" t="n"/>
      <c r="FK322" s="307" t="n"/>
      <c r="FL322" s="408" t="n"/>
      <c r="FM322" s="322" t="n"/>
      <c r="FN322" s="408" t="n"/>
      <c r="FO322" s="307" t="n"/>
      <c r="FP322" s="408" t="n"/>
      <c r="FQ322" s="340" t="n"/>
      <c r="FR322" s="820">
        <f>SUMPRODUCT(--(MOD(COLUMN(DU322:ER322),4)=MOD(COLUMN(DU322),4)),DU322:ER322)+SUMPRODUCT(--(MOD(COLUMN(ES322:FP322),4)=MOD(COLUMN(ES322),4)),ES322:FP322)</f>
        <v/>
      </c>
      <c r="FS322" s="820">
        <f>SUMPRODUCT(--(MOD(COLUMN(DU322:ER322),4)=MOD(COLUMN(DU322),4)),DU322:ER322)*$I322+SUMPRODUCT(--(MOD(COLUMN(ES322:FP322),4)=MOD(COLUMN(ES322),4)),ES322:FP322)*$I322</f>
        <v/>
      </c>
      <c r="FT322" s="361" t="n"/>
    </row>
    <row r="323" outlineLevel="2">
      <c r="A323" s="421" t="inlineStr">
        <is>
          <t>АВТОВИК ООО / AVTOVIK OOO</t>
        </is>
      </c>
      <c r="B323" s="389" t="inlineStr">
        <is>
          <t>Предоплата 100%</t>
        </is>
      </c>
      <c r="C323" s="311" t="inlineStr">
        <is>
          <t>ВБК РУС</t>
        </is>
      </c>
      <c r="D323" s="399" t="inlineStr">
        <is>
          <t>Прасолов, Соловьёв</t>
        </is>
      </c>
      <c r="E323" s="414">
        <f>IF(ISBLANK(G323),"",IF($A$6:$A$330=$A323,COUNTIF($A$6:A323,$A323),""))</f>
        <v/>
      </c>
      <c r="F323" s="318" t="n">
        <v>1</v>
      </c>
      <c r="G323" s="403" t="n">
        <v>9735000510</v>
      </c>
      <c r="H323" s="613" t="inlineStr">
        <is>
          <t>Клапан быстрого растормаживания энергоаккумуляторов</t>
        </is>
      </c>
      <c r="I323" s="619" t="n">
        <v>0</v>
      </c>
      <c r="J323" s="619" t="n"/>
      <c r="K323" s="876" t="n"/>
      <c r="L323" s="619">
        <f>IF(K323="RUB",J323/ЮАНЬ,IF(K323="EUR",J323*ЕВРО/ЮАНЬ,""))</f>
        <v/>
      </c>
      <c r="M323" s="871" t="n"/>
      <c r="N323" s="871">
        <f>IF(BP323&gt;0,1,IF(BN323&gt;0,2,))</f>
        <v/>
      </c>
      <c r="O323" s="322" t="n">
        <v>0</v>
      </c>
      <c r="P323" s="408" t="n"/>
      <c r="Q323" s="307" t="n"/>
      <c r="R323" s="408" t="n"/>
      <c r="S323" s="322" t="n">
        <v>0</v>
      </c>
      <c r="T323" s="408">
        <f>SUMPRODUCT((Комплекты[Пр]=$F323)*(Комплекты[Обозначение]=$G323)*Комплекты[Кол-во]*(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23" s="307" t="n">
        <v>0</v>
      </c>
      <c r="V323" s="408" t="n"/>
      <c r="W323" s="322" t="n">
        <v>0</v>
      </c>
      <c r="X323" s="408">
        <f>SUMPRODUCT((Комплекты[Пр]=$F323)*(Комплекты[Обозначение]=$G323)*Комплекты[Кол-во]*(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23" s="307">
        <f>SUMPRODUCT((Комплекты[Пр]=$F323)*(Комплекты[Обозначение]=$G323)*Комплекты[Кол-во]*(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/>
      </c>
      <c r="Z323" s="408" t="n"/>
      <c r="AA323" s="322" t="n">
        <v>0</v>
      </c>
      <c r="AB323" s="408">
        <f>SUMPRODUCT((Комплекты[Пр]=$F323)*(Комплекты[Обозначение]=$G323)*Комплекты[Кол-во]*(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23" s="307" t="n">
        <v>0</v>
      </c>
      <c r="AD323" s="408" t="n"/>
      <c r="AE323" s="322" t="n">
        <v>0</v>
      </c>
      <c r="AF323" s="408">
        <f>SUMPRODUCT((Комплекты[Пр]=$F323)*(Комплекты[Обозначение]=$G323)*Комплекты[Кол-во]*(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23" s="307">
        <f>SUMPRODUCT((Комплекты[Пр]=$F323)*(Комплекты[Обозначение]=$G323)*Комплекты[Кол-во]*(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/>
      </c>
      <c r="AH323" s="408" t="n"/>
      <c r="AI323" s="322" t="n">
        <v>0</v>
      </c>
      <c r="AJ323" s="408">
        <f>SUMPRODUCT((Комплекты[Пр]=$F323)*(Комплекты[Обозначение]=$G323)*Комплекты[Кол-во]*(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23" s="307" t="n">
        <v>0</v>
      </c>
      <c r="AL323" s="408" t="n"/>
      <c r="AM323" s="322" t="n">
        <v>0</v>
      </c>
      <c r="AN323" s="408">
        <f>SUMPRODUCT((Комплекты[Пр]=$F323)*(Комплекты[Обозначение]=$G323)*Комплекты[Кол-во]*(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23" s="307" t="n"/>
      <c r="AP323" s="408" t="n"/>
      <c r="AQ323" s="322" t="n">
        <v>0</v>
      </c>
      <c r="AR323" s="408">
        <f>SUMPRODUCT((Комплекты[Пр]=$F323)*(Комплекты[Обозначение]=$G323)*Комплекты[Кол-во]*(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23" s="307" t="n">
        <v>0</v>
      </c>
      <c r="AT323" s="408" t="n"/>
      <c r="AU323" s="322" t="n">
        <v>0</v>
      </c>
      <c r="AV323" s="408">
        <f>SUMPRODUCT((Комплекты[Пр]=$F323)*(Комплекты[Обозначение]=$G323)*Комплекты[Кол-во]*(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23" s="307" t="n"/>
      <c r="AX323" s="408" t="n"/>
      <c r="AY323" s="322" t="n">
        <v>0</v>
      </c>
      <c r="AZ323" s="408">
        <f>SUMPRODUCT((Комплекты[Пр]=$F323)*(Комплекты[Обозначение]=$G323)*Комплекты[Кол-во]*(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23" s="307" t="n">
        <v>0</v>
      </c>
      <c r="BB323" s="408" t="n"/>
      <c r="BC323" s="322" t="n">
        <v>0</v>
      </c>
      <c r="BD323" s="408">
        <f>SUMPRODUCT((Комплекты[Пр]=$F323)*(Комплекты[Обозначение]=$G323)*Комплекты[Кол-во]*(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23" s="307" t="n"/>
      <c r="BF323" s="408" t="n"/>
      <c r="BG323" s="322" t="n">
        <v>0</v>
      </c>
      <c r="BH323" s="408">
        <f>SUMPRODUCT((Комплекты[Пр]=$F323)*(Комплекты[Обозначение]=$G323)*Комплекты[Кол-во]*(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23" s="307" t="n">
        <v>0</v>
      </c>
      <c r="BJ323" s="408" t="n"/>
      <c r="BK323" s="340" t="n"/>
      <c r="BL323" s="820">
        <f>SUMPRODUCT(--(MOD(COLUMN($O323:$AL323),4)=MOD(COLUMN($O323)+0,4)),$O323:$AL323)
+SUMPRODUCT(--(MOD(COLUMN($AM323:$BJ323),4)=MOD(COLUMN($AM323)+0,4)),$AM323:$BJ323)</f>
        <v/>
      </c>
      <c r="BM323" s="820">
        <f>SUMPRODUCT(--(MOD(COLUMN($O323:$AL323),4)=MOD(COLUMN($O323)+0,4)),$O323:$AL323)*
$I323+SUMPRODUCT(--(MOD(COLUMN($AM323:$BJ323),4)=MOD(COLUMN($AM323)+0,4)),$AM323:$BJ323)*$I323</f>
        <v/>
      </c>
      <c r="BN323" s="822">
        <f>SUMPRODUCT(--(MOD(COLUMN($O323:$AL323),4)=MOD(COLUMN($O323)+1,4)),$O323:$AL323)
+SUMPRODUCT(--(MOD(COLUMN($AM323:$BJ323),4)=MOD(COLUMN($AM323)+1,4)),$AM323:$BJ323)</f>
        <v/>
      </c>
      <c r="BO323" s="823">
        <f>SUMPRODUCT(--(MOD(COLUMN($O323:$AL323),4)=MOD(COLUMN($O323)+1,4)),$O323:$AL323)*
$I323+SUMPRODUCT(--(MOD(COLUMN($AM323:$BJ323),4)=MOD(COLUMN($AM323)+1,4)),$AM323:$BJ323)*$I323</f>
        <v/>
      </c>
      <c r="BP323" s="824">
        <f>SUMPRODUCT(--(MOD(COLUMN($O323:$AL323),4)=MOD(COLUMN($O323)+2,4)),$O323:$AL323)
+SUMPRODUCT(--(MOD(COLUMN($AM323:$BJ323),4)=MOD(COLUMN($AM323)+2,4)),$AM323:$BJ323)</f>
        <v/>
      </c>
      <c r="BQ323" s="825">
        <f>SUMPRODUCT(--(MOD(COLUMN($O323:$AL323),4)=MOD(COLUMN($O323)+2,4)),$O323:$AL323)*
$I323+SUMPRODUCT(--(MOD(COLUMN($AM323:$BJ323),4)=MOD(COLUMN($AM323)+2,4)),$AM323:$BJ323)*$I323</f>
        <v/>
      </c>
      <c r="BR323" s="819" t="n"/>
      <c r="BS323" s="819" t="n"/>
      <c r="BT323" s="322" t="n"/>
      <c r="BU323" s="408" t="n"/>
      <c r="BV323" s="307" t="n"/>
      <c r="BW323" s="408" t="n"/>
      <c r="BX323" s="322" t="n"/>
      <c r="BY323" s="408" t="n"/>
      <c r="BZ323" s="307" t="n"/>
      <c r="CA323" s="408" t="n"/>
      <c r="CB323" s="322" t="n"/>
      <c r="CC323" s="408" t="n"/>
      <c r="CD323" s="307" t="n"/>
      <c r="CE323" s="408" t="n"/>
      <c r="CF323" s="322" t="n"/>
      <c r="CG323" s="408" t="n"/>
      <c r="CH323" s="307" t="n"/>
      <c r="CI323" s="408" t="n"/>
      <c r="CJ323" s="322" t="n"/>
      <c r="CK323" s="408" t="n"/>
      <c r="CL323" s="307" t="n"/>
      <c r="CM323" s="408" t="n"/>
      <c r="CN323" s="322" t="n"/>
      <c r="CO323" s="408" t="n"/>
      <c r="CP323" s="307" t="n"/>
      <c r="CQ323" s="408" t="n"/>
      <c r="CR323" s="322" t="n"/>
      <c r="CS323" s="408" t="n"/>
      <c r="CT323" s="307" t="n"/>
      <c r="CU323" s="408" t="n"/>
      <c r="CV323" s="322" t="n"/>
      <c r="CW323" s="408" t="n"/>
      <c r="CX323" s="307" t="n"/>
      <c r="CY323" s="408" t="n"/>
      <c r="CZ323" s="322" t="n"/>
      <c r="DA323" s="408" t="n"/>
      <c r="DB323" s="307" t="n"/>
      <c r="DC323" s="408" t="n"/>
      <c r="DD323" s="322" t="n"/>
      <c r="DE323" s="408" t="n"/>
      <c r="DF323" s="307" t="n"/>
      <c r="DG323" s="408" t="n"/>
      <c r="DH323" s="322" t="n"/>
      <c r="DI323" s="408" t="n"/>
      <c r="DJ323" s="307" t="n"/>
      <c r="DK323" s="408" t="n"/>
      <c r="DL323" s="322" t="n"/>
      <c r="DM323" s="408" t="n"/>
      <c r="DN323" s="307" t="n"/>
      <c r="DO323" s="408" t="n"/>
      <c r="DP323" s="340" t="n"/>
      <c r="DQ323" s="820">
        <f>SUMPRODUCT(--(MOD(COLUMN(BT323:CQ323),4)=MOD(COLUMN(BT323),4)),BT323:CQ323)+SUMPRODUCT(--(MOD(COLUMN(CR323:DO323),4)=MOD(COLUMN(CR323),4)),CR323:DO323)</f>
        <v/>
      </c>
      <c r="DR323" s="820">
        <f>SUMPRODUCT(--(MOD(COLUMN(BT323:CQ323),4)=MOD(COLUMN(BT323),4)),BT323:CQ323)*$I323+SUMPRODUCT(--(MOD(COLUMN(CR323:DO323),4)=MOD(COLUMN(CR323),4)),CR323:DO323)*$I323</f>
        <v/>
      </c>
      <c r="DS323" s="819" t="n"/>
      <c r="DT323" s="819" t="n"/>
      <c r="DU323" s="322" t="n"/>
      <c r="DV323" s="408" t="n"/>
      <c r="DW323" s="307" t="n"/>
      <c r="DX323" s="408" t="n"/>
      <c r="DY323" s="322" t="n"/>
      <c r="DZ323" s="408" t="n"/>
      <c r="EA323" s="307" t="n"/>
      <c r="EB323" s="408" t="n"/>
      <c r="EC323" s="322" t="n"/>
      <c r="ED323" s="408" t="n"/>
      <c r="EE323" s="307" t="n"/>
      <c r="EF323" s="408" t="n"/>
      <c r="EG323" s="322" t="n"/>
      <c r="EH323" s="408" t="n"/>
      <c r="EI323" s="307" t="n"/>
      <c r="EJ323" s="408" t="n"/>
      <c r="EK323" s="322" t="n"/>
      <c r="EL323" s="408" t="n"/>
      <c r="EM323" s="307" t="n"/>
      <c r="EN323" s="408" t="n"/>
      <c r="EO323" s="322" t="n"/>
      <c r="EP323" s="408" t="n"/>
      <c r="EQ323" s="307" t="n"/>
      <c r="ER323" s="408" t="n"/>
      <c r="ES323" s="322" t="n"/>
      <c r="ET323" s="408" t="n"/>
      <c r="EU323" s="307" t="n"/>
      <c r="EV323" s="408" t="n"/>
      <c r="EW323" s="322" t="n"/>
      <c r="EX323" s="408" t="n"/>
      <c r="EY323" s="307" t="n"/>
      <c r="EZ323" s="408" t="n"/>
      <c r="FA323" s="322" t="n"/>
      <c r="FB323" s="408" t="n"/>
      <c r="FC323" s="307" t="n"/>
      <c r="FD323" s="408" t="n"/>
      <c r="FE323" s="322" t="n"/>
      <c r="FF323" s="408" t="n"/>
      <c r="FG323" s="307" t="n"/>
      <c r="FH323" s="408" t="n"/>
      <c r="FI323" s="322" t="n"/>
      <c r="FJ323" s="408" t="n"/>
      <c r="FK323" s="307" t="n"/>
      <c r="FL323" s="408" t="n"/>
      <c r="FM323" s="322" t="n"/>
      <c r="FN323" s="408" t="n"/>
      <c r="FO323" s="307" t="n"/>
      <c r="FP323" s="408" t="n"/>
      <c r="FQ323" s="340" t="n"/>
      <c r="FR323" s="820">
        <f>SUMPRODUCT(--(MOD(COLUMN(DU323:ER323),4)=MOD(COLUMN(DU323),4)),DU323:ER323)+SUMPRODUCT(--(MOD(COLUMN(ES323:FP323),4)=MOD(COLUMN(ES323),4)),ES323:FP323)</f>
        <v/>
      </c>
      <c r="FS323" s="820">
        <f>SUMPRODUCT(--(MOD(COLUMN(DU323:ER323),4)=MOD(COLUMN(DU323),4)),DU323:ER323)*$I323+SUMPRODUCT(--(MOD(COLUMN(ES323:FP323),4)=MOD(COLUMN(ES323),4)),ES323:FP323)*$I323</f>
        <v/>
      </c>
      <c r="FT323" s="361" t="n"/>
    </row>
    <row r="324" outlineLevel="2">
      <c r="A324" s="420" t="inlineStr">
        <is>
          <t>АВТОВИК ООО / AVTOVIK OOO</t>
        </is>
      </c>
      <c r="B324" s="444" t="inlineStr">
        <is>
          <t>Предоплата 100%</t>
        </is>
      </c>
      <c r="C324" s="592" t="inlineStr">
        <is>
          <t>ВБК РУС</t>
        </is>
      </c>
      <c r="D324" s="586" t="inlineStr">
        <is>
          <t>Прасолов, Соловьёв</t>
        </is>
      </c>
      <c r="E324" s="414">
        <f>IF(ISBLANK(G324),"",IF($A$6:$A$330=$A324,COUNTIF($A$6:A324,$A324),""))</f>
        <v/>
      </c>
      <c r="F324" s="318" t="n">
        <v>1</v>
      </c>
      <c r="G324" s="403" t="n">
        <v>4802070600</v>
      </c>
      <c r="H324" s="613" t="inlineStr">
        <is>
          <t>Клапан ускорительный TEBS</t>
        </is>
      </c>
      <c r="I324" s="619" t="n">
        <v>0</v>
      </c>
      <c r="J324" s="619" t="n"/>
      <c r="K324" s="876" t="n"/>
      <c r="L324" s="619" t="n"/>
      <c r="M324" s="871" t="n"/>
      <c r="N324" s="871">
        <f>IF(BP324&gt;0,1,IF(BN324&gt;0,2,))</f>
        <v/>
      </c>
      <c r="O324" s="322" t="n">
        <v>10</v>
      </c>
      <c r="P324" s="408" t="n"/>
      <c r="Q324" s="307" t="n">
        <v>0</v>
      </c>
      <c r="R324" s="408" t="n"/>
      <c r="S324" s="322" t="n">
        <v>20</v>
      </c>
      <c r="T324" s="408">
        <f>SUMPRODUCT((Комплекты[Пр]=$F324)*(Комплекты[Обозначение]=$G324)*Комплекты[Кол-во]*(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24" s="307" t="n">
        <v>0</v>
      </c>
      <c r="V324" s="408" t="n"/>
      <c r="W324" s="322" t="n">
        <v>30</v>
      </c>
      <c r="X324" s="408">
        <f>SUMPRODUCT((Комплекты[Пр]=$F324)*(Комплекты[Обозначение]=$G324)*Комплекты[Кол-во]*(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24" s="307" t="n">
        <v>20</v>
      </c>
      <c r="Z324" s="408" t="n"/>
      <c r="AA324" s="322" t="n">
        <v>30</v>
      </c>
      <c r="AB324" s="408">
        <f>SUMPRODUCT((Комплекты[Пр]=$F324)*(Комплекты[Обозначение]=$G324)*Комплекты[Кол-во]*(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24" s="307" t="n">
        <v>0</v>
      </c>
      <c r="AD324" s="408" t="n"/>
      <c r="AE324" s="322" t="n">
        <v>30</v>
      </c>
      <c r="AF324" s="408">
        <f>SUMPRODUCT((Комплекты[Пр]=$F324)*(Комплекты[Обозначение]=$G324)*Комплекты[Кол-во]*(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24" s="307" t="n">
        <v>10</v>
      </c>
      <c r="AH324" s="408" t="n"/>
      <c r="AI324" s="322" t="n">
        <v>30</v>
      </c>
      <c r="AJ324" s="408">
        <f>SUMPRODUCT((Комплекты[Пр]=$F324)*(Комплекты[Обозначение]=$G324)*Комплекты[Кол-во]*(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24" s="307" t="n">
        <v>0</v>
      </c>
      <c r="AL324" s="408" t="n"/>
      <c r="AM324" s="322" t="n">
        <v>30</v>
      </c>
      <c r="AN324" s="408">
        <f>SUMPRODUCT((Комплекты[Пр]=$F324)*(Комплекты[Обозначение]=$G324)*Комплекты[Кол-во]*(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24" s="307" t="n">
        <v>0</v>
      </c>
      <c r="AP324" s="408" t="n"/>
      <c r="AQ324" s="322" t="n">
        <v>30</v>
      </c>
      <c r="AR324" s="408">
        <f>SUMPRODUCT((Комплекты[Пр]=$F324)*(Комплекты[Обозначение]=$G324)*Комплекты[Кол-во]*(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24" s="307" t="n">
        <v>0</v>
      </c>
      <c r="AT324" s="408" t="n"/>
      <c r="AU324" s="322" t="n">
        <v>30</v>
      </c>
      <c r="AV324" s="408">
        <f>SUMPRODUCT((Комплекты[Пр]=$F324)*(Комплекты[Обозначение]=$G324)*Комплекты[Кол-во]*(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24" s="307" t="n">
        <v>0</v>
      </c>
      <c r="AX324" s="408" t="n"/>
      <c r="AY324" s="322" t="n">
        <v>30</v>
      </c>
      <c r="AZ324" s="408">
        <f>SUMPRODUCT((Комплекты[Пр]=$F324)*(Комплекты[Обозначение]=$G324)*Комплекты[Кол-во]*(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24" s="307" t="n">
        <v>0</v>
      </c>
      <c r="BB324" s="408" t="n"/>
      <c r="BC324" s="322" t="n">
        <v>30</v>
      </c>
      <c r="BD324" s="408">
        <f>SUMPRODUCT((Комплекты[Пр]=$F324)*(Комплекты[Обозначение]=$G324)*Комплекты[Кол-во]*(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24" s="307" t="n">
        <v>0</v>
      </c>
      <c r="BF324" s="408" t="n"/>
      <c r="BG324" s="322" t="n">
        <v>30</v>
      </c>
      <c r="BH324" s="408">
        <f>SUMPRODUCT((Комплекты[Пр]=$F324)*(Комплекты[Обозначение]=$G324)*Комплекты[Кол-во]*(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24" s="307" t="n">
        <v>0</v>
      </c>
      <c r="BJ324" s="408" t="n"/>
      <c r="BK324" s="340" t="n"/>
      <c r="BL324" s="820">
        <f>SUMPRODUCT(--(MOD(COLUMN($O324:$AL324),4)=MOD(COLUMN($O324)+0,4)),$O324:$AL324)
+SUMPRODUCT(--(MOD(COLUMN($AM324:$BJ324),4)=MOD(COLUMN($AM324)+0,4)),$AM324:$BJ324)</f>
        <v/>
      </c>
      <c r="BM324" s="820">
        <f>SUMPRODUCT(--(MOD(COLUMN($O324:$AL324),4)=MOD(COLUMN($O324)+0,4)),$O324:$AL324)*
$I324+SUMPRODUCT(--(MOD(COLUMN($AM324:$BJ324),4)=MOD(COLUMN($AM324)+0,4)),$AM324:$BJ324)*$I324</f>
        <v/>
      </c>
      <c r="BN324" s="822">
        <f>SUMPRODUCT(--(MOD(COLUMN($O324:$AL324),4)=MOD(COLUMN($O324)+1,4)),$O324:$AL324)
+SUMPRODUCT(--(MOD(COLUMN($AM324:$BJ324),4)=MOD(COLUMN($AM324)+1,4)),$AM324:$BJ324)</f>
        <v/>
      </c>
      <c r="BO324" s="823">
        <f>SUMPRODUCT(--(MOD(COLUMN($O324:$AL324),4)=MOD(COLUMN($O324)+1,4)),$O324:$AL324)*
$I324+SUMPRODUCT(--(MOD(COLUMN($AM324:$BJ324),4)=MOD(COLUMN($AM324)+1,4)),$AM324:$BJ324)*$I324</f>
        <v/>
      </c>
      <c r="BP324" s="824">
        <f>SUMPRODUCT(--(MOD(COLUMN($O324:$AL324),4)=MOD(COLUMN($O324)+2,4)),$O324:$AL324)
+SUMPRODUCT(--(MOD(COLUMN($AM324:$BJ324),4)=MOD(COLUMN($AM324)+2,4)),$AM324:$BJ324)</f>
        <v/>
      </c>
      <c r="BQ324" s="825">
        <f>SUMPRODUCT(--(MOD(COLUMN($O324:$AL324),4)=MOD(COLUMN($O324)+2,4)),$O324:$AL324)*
$I324+SUMPRODUCT(--(MOD(COLUMN($AM324:$BJ324),4)=MOD(COLUMN($AM324)+2,4)),$AM324:$BJ324)*$I324</f>
        <v/>
      </c>
      <c r="BR324" s="819" t="n"/>
      <c r="BS324" s="819" t="n"/>
      <c r="BT324" s="322" t="n"/>
      <c r="BU324" s="408" t="n"/>
      <c r="BV324" s="307" t="n"/>
      <c r="BW324" s="408" t="n"/>
      <c r="BX324" s="322" t="n"/>
      <c r="BY324" s="408" t="n"/>
      <c r="BZ324" s="307" t="n"/>
      <c r="CA324" s="408" t="n"/>
      <c r="CB324" s="322" t="n"/>
      <c r="CC324" s="408" t="n"/>
      <c r="CD324" s="307" t="n"/>
      <c r="CE324" s="408" t="n"/>
      <c r="CF324" s="322" t="n"/>
      <c r="CG324" s="408" t="n"/>
      <c r="CH324" s="307" t="n"/>
      <c r="CI324" s="408" t="n"/>
      <c r="CJ324" s="322" t="n"/>
      <c r="CK324" s="408" t="n"/>
      <c r="CL324" s="307" t="n"/>
      <c r="CM324" s="408" t="n"/>
      <c r="CN324" s="322" t="n"/>
      <c r="CO324" s="408" t="n"/>
      <c r="CP324" s="307" t="n"/>
      <c r="CQ324" s="408" t="n"/>
      <c r="CR324" s="322" t="n"/>
      <c r="CS324" s="408" t="n"/>
      <c r="CT324" s="307" t="n"/>
      <c r="CU324" s="408" t="n"/>
      <c r="CV324" s="322" t="n"/>
      <c r="CW324" s="408" t="n"/>
      <c r="CX324" s="307" t="n"/>
      <c r="CY324" s="408" t="n"/>
      <c r="CZ324" s="322" t="n"/>
      <c r="DA324" s="408" t="n"/>
      <c r="DB324" s="307" t="n"/>
      <c r="DC324" s="408" t="n"/>
      <c r="DD324" s="322" t="n"/>
      <c r="DE324" s="408" t="n"/>
      <c r="DF324" s="307" t="n"/>
      <c r="DG324" s="408" t="n"/>
      <c r="DH324" s="322" t="n"/>
      <c r="DI324" s="408" t="n"/>
      <c r="DJ324" s="307" t="n"/>
      <c r="DK324" s="408" t="n"/>
      <c r="DL324" s="322" t="n"/>
      <c r="DM324" s="408" t="n"/>
      <c r="DN324" s="307" t="n"/>
      <c r="DO324" s="408" t="n"/>
      <c r="DP324" s="340" t="n"/>
      <c r="DQ324" s="820" t="n"/>
      <c r="DR324" s="820">
        <f>SUMPRODUCT(--(MOD(COLUMN(BT324:CQ324),4)=MOD(COLUMN(BT324),4)),BT324:CQ324)*$I324+SUMPRODUCT(--(MOD(COLUMN(CR324:DO324),4)=MOD(COLUMN(CR324),4)),CR324:DO324)*$I324</f>
        <v/>
      </c>
      <c r="DS324" s="819" t="n"/>
      <c r="DT324" s="819" t="n"/>
      <c r="DU324" s="322" t="n"/>
      <c r="DV324" s="408" t="n"/>
      <c r="DW324" s="307" t="n"/>
      <c r="DX324" s="408" t="n"/>
      <c r="DY324" s="322" t="n"/>
      <c r="DZ324" s="408" t="n"/>
      <c r="EA324" s="307" t="n"/>
      <c r="EB324" s="408" t="n"/>
      <c r="EC324" s="322" t="n"/>
      <c r="ED324" s="408" t="n"/>
      <c r="EE324" s="307" t="n"/>
      <c r="EF324" s="408" t="n"/>
      <c r="EG324" s="322" t="n"/>
      <c r="EH324" s="408" t="n"/>
      <c r="EI324" s="307" t="n"/>
      <c r="EJ324" s="408" t="n"/>
      <c r="EK324" s="322" t="n"/>
      <c r="EL324" s="408" t="n"/>
      <c r="EM324" s="307" t="n"/>
      <c r="EN324" s="408" t="n"/>
      <c r="EO324" s="322" t="n"/>
      <c r="EP324" s="408" t="n"/>
      <c r="EQ324" s="307" t="n"/>
      <c r="ER324" s="408" t="n"/>
      <c r="ES324" s="322" t="n"/>
      <c r="ET324" s="408" t="n"/>
      <c r="EU324" s="307" t="n"/>
      <c r="EV324" s="408" t="n"/>
      <c r="EW324" s="322" t="n"/>
      <c r="EX324" s="408" t="n"/>
      <c r="EY324" s="307" t="n"/>
      <c r="EZ324" s="408" t="n"/>
      <c r="FA324" s="322" t="n"/>
      <c r="FB324" s="408" t="n"/>
      <c r="FC324" s="307" t="n"/>
      <c r="FD324" s="408" t="n"/>
      <c r="FE324" s="322" t="n"/>
      <c r="FF324" s="408" t="n"/>
      <c r="FG324" s="307" t="n"/>
      <c r="FH324" s="408" t="n"/>
      <c r="FI324" s="322" t="n"/>
      <c r="FJ324" s="408" t="n"/>
      <c r="FK324" s="307" t="n"/>
      <c r="FL324" s="408" t="n"/>
      <c r="FM324" s="322" t="n"/>
      <c r="FN324" s="408" t="n"/>
      <c r="FO324" s="307" t="n"/>
      <c r="FP324" s="408" t="n"/>
      <c r="FQ324" s="340" t="n"/>
      <c r="FR324" s="820" t="n"/>
      <c r="FS324" s="820">
        <f>SUMPRODUCT(--(MOD(COLUMN(DU324:ER324),4)=MOD(COLUMN(DU324),4)),DU324:ER324)*$I324+SUMPRODUCT(--(MOD(COLUMN(ES324:FP324),4)=MOD(COLUMN(ES324),4)),ES324:FP324)*$I324</f>
        <v/>
      </c>
      <c r="FT324" s="361" t="n"/>
    </row>
    <row r="325" outlineLevel="2">
      <c r="A325" s="420" t="inlineStr">
        <is>
          <t>АВТОВИК ООО / AVTOVIK OOO</t>
        </is>
      </c>
      <c r="B325" s="444" t="inlineStr">
        <is>
          <t>Предоплата 100%</t>
        </is>
      </c>
      <c r="C325" s="592" t="inlineStr">
        <is>
          <t>ВБК РУС</t>
        </is>
      </c>
      <c r="D325" s="586" t="inlineStr">
        <is>
          <t>Прасолов, Соловьёв</t>
        </is>
      </c>
      <c r="E325" s="414">
        <f>IF(ISBLANK(G325),"",IF($A$6:$A$330=$A325,COUNTIF($A$6:A325,$A325),""))</f>
        <v/>
      </c>
      <c r="F325" s="318" t="n">
        <v>1</v>
      </c>
      <c r="G325" s="403" t="n">
        <v>4494300600</v>
      </c>
      <c r="H325" s="613" t="inlineStr">
        <is>
          <t>Кабель клапана ускорительного TEBS (6 м)</t>
        </is>
      </c>
      <c r="I325" s="619" t="n">
        <v>0</v>
      </c>
      <c r="J325" s="619" t="n"/>
      <c r="K325" s="876" t="n"/>
      <c r="L325" s="619" t="n"/>
      <c r="M325" s="871" t="n"/>
      <c r="N325" s="871">
        <f>IF(BP325&gt;0,1,IF(BN325&gt;0,2,))</f>
        <v/>
      </c>
      <c r="O325" s="322" t="n">
        <v>10</v>
      </c>
      <c r="P325" s="408" t="n"/>
      <c r="Q325" s="307" t="n">
        <v>0</v>
      </c>
      <c r="R325" s="408" t="n"/>
      <c r="S325" s="322" t="n">
        <v>20</v>
      </c>
      <c r="T325" s="408">
        <f>SUMPRODUCT((Комплекты[Пр]=$F325)*(Комплекты[Обозначение]=$G325)*Комплекты[Кол-во]*(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25" s="307" t="n">
        <v>0</v>
      </c>
      <c r="V325" s="408" t="n"/>
      <c r="W325" s="322" t="n">
        <v>30</v>
      </c>
      <c r="X325" s="408">
        <f>SUMPRODUCT((Комплекты[Пр]=$F325)*(Комплекты[Обозначение]=$G325)*Комплекты[Кол-во]*(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25" s="307" t="n">
        <v>20</v>
      </c>
      <c r="Z325" s="408" t="n"/>
      <c r="AA325" s="322" t="n">
        <v>30</v>
      </c>
      <c r="AB325" s="408">
        <f>SUMPRODUCT((Комплекты[Пр]=$F325)*(Комплекты[Обозначение]=$G325)*Комплекты[Кол-во]*(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25" s="307" t="n">
        <v>0</v>
      </c>
      <c r="AD325" s="408" t="n"/>
      <c r="AE325" s="322" t="n">
        <v>30</v>
      </c>
      <c r="AF325" s="408">
        <f>SUMPRODUCT((Комплекты[Пр]=$F325)*(Комплекты[Обозначение]=$G325)*Комплекты[Кол-во]*(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25" s="307" t="n">
        <v>10</v>
      </c>
      <c r="AH325" s="408" t="n"/>
      <c r="AI325" s="322" t="n">
        <v>30</v>
      </c>
      <c r="AJ325" s="408">
        <f>SUMPRODUCT((Комплекты[Пр]=$F325)*(Комплекты[Обозначение]=$G325)*Комплекты[Кол-во]*(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25" s="307" t="n">
        <v>0</v>
      </c>
      <c r="AL325" s="408" t="n"/>
      <c r="AM325" s="322" t="n">
        <v>30</v>
      </c>
      <c r="AN325" s="408">
        <f>SUMPRODUCT((Комплекты[Пр]=$F325)*(Комплекты[Обозначение]=$G325)*Комплекты[Кол-во]*(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25" s="307" t="n">
        <v>0</v>
      </c>
      <c r="AP325" s="408" t="n"/>
      <c r="AQ325" s="322" t="n">
        <v>30</v>
      </c>
      <c r="AR325" s="408">
        <f>SUMPRODUCT((Комплекты[Пр]=$F325)*(Комплекты[Обозначение]=$G325)*Комплекты[Кол-во]*(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25" s="307" t="n">
        <v>0</v>
      </c>
      <c r="AT325" s="408" t="n"/>
      <c r="AU325" s="322" t="n">
        <v>30</v>
      </c>
      <c r="AV325" s="408">
        <f>SUMPRODUCT((Комплекты[Пр]=$F325)*(Комплекты[Обозначение]=$G325)*Комплекты[Кол-во]*(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25" s="307" t="n">
        <v>0</v>
      </c>
      <c r="AX325" s="408" t="n"/>
      <c r="AY325" s="322" t="n">
        <v>30</v>
      </c>
      <c r="AZ325" s="408">
        <f>SUMPRODUCT((Комплекты[Пр]=$F325)*(Комплекты[Обозначение]=$G325)*Комплекты[Кол-во]*(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25" s="307" t="n">
        <v>0</v>
      </c>
      <c r="BB325" s="408" t="n"/>
      <c r="BC325" s="322" t="n">
        <v>30</v>
      </c>
      <c r="BD325" s="408">
        <f>SUMPRODUCT((Комплекты[Пр]=$F325)*(Комплекты[Обозначение]=$G325)*Комплекты[Кол-во]*(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25" s="307" t="n">
        <v>0</v>
      </c>
      <c r="BF325" s="408" t="n"/>
      <c r="BG325" s="322" t="n">
        <v>30</v>
      </c>
      <c r="BH325" s="408">
        <f>SUMPRODUCT((Комплекты[Пр]=$F325)*(Комплекты[Обозначение]=$G325)*Комплекты[Кол-во]*(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25" s="307" t="n">
        <v>0</v>
      </c>
      <c r="BJ325" s="408" t="n"/>
      <c r="BK325" s="340" t="n"/>
      <c r="BL325" s="820">
        <f>SUMPRODUCT(--(MOD(COLUMN($O325:$AL325),4)=MOD(COLUMN($O325)+0,4)),$O325:$AL325)
+SUMPRODUCT(--(MOD(COLUMN($AM325:$BJ325),4)=MOD(COLUMN($AM325)+0,4)),$AM325:$BJ325)</f>
        <v/>
      </c>
      <c r="BM325" s="820">
        <f>SUMPRODUCT(--(MOD(COLUMN($O325:$AL325),4)=MOD(COLUMN($O325)+0,4)),$O325:$AL325)*
$I325+SUMPRODUCT(--(MOD(COLUMN($AM325:$BJ325),4)=MOD(COLUMN($AM325)+0,4)),$AM325:$BJ325)*$I325</f>
        <v/>
      </c>
      <c r="BN325" s="822">
        <f>SUMPRODUCT(--(MOD(COLUMN($O325:$AL325),4)=MOD(COLUMN($O325)+1,4)),$O325:$AL325)
+SUMPRODUCT(--(MOD(COLUMN($AM325:$BJ325),4)=MOD(COLUMN($AM325)+1,4)),$AM325:$BJ325)</f>
        <v/>
      </c>
      <c r="BO325" s="823">
        <f>SUMPRODUCT(--(MOD(COLUMN($O325:$AL325),4)=MOD(COLUMN($O325)+1,4)),$O325:$AL325)*
$I325+SUMPRODUCT(--(MOD(COLUMN($AM325:$BJ325),4)=MOD(COLUMN($AM325)+1,4)),$AM325:$BJ325)*$I325</f>
        <v/>
      </c>
      <c r="BP325" s="824">
        <f>SUMPRODUCT(--(MOD(COLUMN($O325:$AL325),4)=MOD(COLUMN($O325)+2,4)),$O325:$AL325)
+SUMPRODUCT(--(MOD(COLUMN($AM325:$BJ325),4)=MOD(COLUMN($AM325)+2,4)),$AM325:$BJ325)</f>
        <v/>
      </c>
      <c r="BQ325" s="825">
        <f>SUMPRODUCT(--(MOD(COLUMN($O325:$AL325),4)=MOD(COLUMN($O325)+2,4)),$O325:$AL325)*
$I325+SUMPRODUCT(--(MOD(COLUMN($AM325:$BJ325),4)=MOD(COLUMN($AM325)+2,4)),$AM325:$BJ325)*$I325</f>
        <v/>
      </c>
      <c r="BR325" s="819" t="n"/>
      <c r="BS325" s="819" t="n"/>
      <c r="BT325" s="322" t="n"/>
      <c r="BU325" s="408" t="n"/>
      <c r="BV325" s="307" t="n"/>
      <c r="BW325" s="408" t="n"/>
      <c r="BX325" s="322" t="n"/>
      <c r="BY325" s="408" t="n"/>
      <c r="BZ325" s="307" t="n"/>
      <c r="CA325" s="408" t="n"/>
      <c r="CB325" s="322" t="n"/>
      <c r="CC325" s="408" t="n"/>
      <c r="CD325" s="307" t="n"/>
      <c r="CE325" s="408" t="n"/>
      <c r="CF325" s="322" t="n"/>
      <c r="CG325" s="408" t="n"/>
      <c r="CH325" s="307" t="n"/>
      <c r="CI325" s="408" t="n"/>
      <c r="CJ325" s="322" t="n"/>
      <c r="CK325" s="408" t="n"/>
      <c r="CL325" s="307" t="n"/>
      <c r="CM325" s="408" t="n"/>
      <c r="CN325" s="322" t="n"/>
      <c r="CO325" s="408" t="n"/>
      <c r="CP325" s="307" t="n"/>
      <c r="CQ325" s="408" t="n"/>
      <c r="CR325" s="322" t="n"/>
      <c r="CS325" s="408" t="n"/>
      <c r="CT325" s="307" t="n"/>
      <c r="CU325" s="408" t="n"/>
      <c r="CV325" s="322" t="n"/>
      <c r="CW325" s="408" t="n"/>
      <c r="CX325" s="307" t="n"/>
      <c r="CY325" s="408" t="n"/>
      <c r="CZ325" s="322" t="n"/>
      <c r="DA325" s="408" t="n"/>
      <c r="DB325" s="307" t="n"/>
      <c r="DC325" s="408" t="n"/>
      <c r="DD325" s="322" t="n"/>
      <c r="DE325" s="408" t="n"/>
      <c r="DF325" s="307" t="n"/>
      <c r="DG325" s="408" t="n"/>
      <c r="DH325" s="322" t="n"/>
      <c r="DI325" s="408" t="n"/>
      <c r="DJ325" s="307" t="n"/>
      <c r="DK325" s="408" t="n"/>
      <c r="DL325" s="322" t="n"/>
      <c r="DM325" s="408" t="n"/>
      <c r="DN325" s="307" t="n"/>
      <c r="DO325" s="408" t="n"/>
      <c r="DP325" s="340" t="n"/>
      <c r="DQ325" s="820" t="n"/>
      <c r="DR325" s="820">
        <f>SUMPRODUCT(--(MOD(COLUMN(BT325:CQ325),4)=MOD(COLUMN(BT325),4)),BT325:CQ325)*$I325+SUMPRODUCT(--(MOD(COLUMN(CR325:DO325),4)=MOD(COLUMN(CR325),4)),CR325:DO325)*$I325</f>
        <v/>
      </c>
      <c r="DS325" s="819" t="n"/>
      <c r="DT325" s="819" t="n"/>
      <c r="DU325" s="322" t="n"/>
      <c r="DV325" s="408" t="n"/>
      <c r="DW325" s="307" t="n"/>
      <c r="DX325" s="408" t="n"/>
      <c r="DY325" s="322" t="n"/>
      <c r="DZ325" s="408" t="n"/>
      <c r="EA325" s="307" t="n"/>
      <c r="EB325" s="408" t="n"/>
      <c r="EC325" s="322" t="n"/>
      <c r="ED325" s="408" t="n"/>
      <c r="EE325" s="307" t="n"/>
      <c r="EF325" s="408" t="n"/>
      <c r="EG325" s="322" t="n"/>
      <c r="EH325" s="408" t="n"/>
      <c r="EI325" s="307" t="n"/>
      <c r="EJ325" s="408" t="n"/>
      <c r="EK325" s="322" t="n"/>
      <c r="EL325" s="408" t="n"/>
      <c r="EM325" s="307" t="n"/>
      <c r="EN325" s="408" t="n"/>
      <c r="EO325" s="322" t="n"/>
      <c r="EP325" s="408" t="n"/>
      <c r="EQ325" s="307" t="n"/>
      <c r="ER325" s="408" t="n"/>
      <c r="ES325" s="322" t="n"/>
      <c r="ET325" s="408" t="n"/>
      <c r="EU325" s="307" t="n"/>
      <c r="EV325" s="408" t="n"/>
      <c r="EW325" s="322" t="n"/>
      <c r="EX325" s="408" t="n"/>
      <c r="EY325" s="307" t="n"/>
      <c r="EZ325" s="408" t="n"/>
      <c r="FA325" s="322" t="n"/>
      <c r="FB325" s="408" t="n"/>
      <c r="FC325" s="307" t="n"/>
      <c r="FD325" s="408" t="n"/>
      <c r="FE325" s="322" t="n"/>
      <c r="FF325" s="408" t="n"/>
      <c r="FG325" s="307" t="n"/>
      <c r="FH325" s="408" t="n"/>
      <c r="FI325" s="322" t="n"/>
      <c r="FJ325" s="408" t="n"/>
      <c r="FK325" s="307" t="n"/>
      <c r="FL325" s="408" t="n"/>
      <c r="FM325" s="322" t="n"/>
      <c r="FN325" s="408" t="n"/>
      <c r="FO325" s="307" t="n"/>
      <c r="FP325" s="408" t="n"/>
      <c r="FQ325" s="340" t="n"/>
      <c r="FR325" s="820" t="n"/>
      <c r="FS325" s="820">
        <f>SUMPRODUCT(--(MOD(COLUMN(DU325:ER325),4)=MOD(COLUMN(DU325),4)),DU325:ER325)*$I325+SUMPRODUCT(--(MOD(COLUMN(ES325:FP325),4)=MOD(COLUMN(ES325),4)),ES325:FP325)*$I325</f>
        <v/>
      </c>
      <c r="FT325" s="361" t="n"/>
    </row>
    <row r="326" outlineLevel="2">
      <c r="A326" s="420" t="inlineStr">
        <is>
          <t>АВТОВИК ООО / AVTOVIK OOO</t>
        </is>
      </c>
      <c r="B326" s="444" t="inlineStr">
        <is>
          <t>Предоплата 100%</t>
        </is>
      </c>
      <c r="C326" s="592" t="inlineStr">
        <is>
          <t>ВБК РУС</t>
        </is>
      </c>
      <c r="D326" s="586" t="inlineStr">
        <is>
          <t>Прасолов, Соловьёв</t>
        </is>
      </c>
      <c r="E326" s="414">
        <f>IF(ISBLANK(G326),"",IF($A$6:$A$330=$A326,COUNTIF($A$6:A326,$A326),""))</f>
        <v/>
      </c>
      <c r="F326" s="318" t="n">
        <v>1</v>
      </c>
      <c r="G326" s="403" t="n">
        <v>4497230800</v>
      </c>
      <c r="H326" s="613" t="inlineStr">
        <is>
          <t>Кабель датчика АБС, 8 м</t>
        </is>
      </c>
      <c r="I326" s="619" t="n">
        <v>0</v>
      </c>
      <c r="J326" s="619" t="n"/>
      <c r="K326" s="876" t="n"/>
      <c r="L326" s="619" t="n"/>
      <c r="M326" s="871" t="n"/>
      <c r="N326" s="871">
        <f>IF(BP326&gt;0,1,IF(BN326&gt;0,2,))</f>
        <v/>
      </c>
      <c r="O326" s="322" t="n">
        <v>20</v>
      </c>
      <c r="P326" s="408" t="n"/>
      <c r="Q326" s="307" t="n">
        <v>0</v>
      </c>
      <c r="R326" s="408" t="n"/>
      <c r="S326" s="322" t="n">
        <v>40</v>
      </c>
      <c r="T326" s="408">
        <f>SUMPRODUCT((Комплекты[Пр]=$F326)*(Комплекты[Обозначение]=$G326)*Комплекты[Кол-во]*(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26" s="307" t="n">
        <v>0</v>
      </c>
      <c r="V326" s="408" t="n"/>
      <c r="W326" s="322" t="n">
        <v>60</v>
      </c>
      <c r="X326" s="408">
        <f>SUMPRODUCT((Комплекты[Пр]=$F326)*(Комплекты[Обозначение]=$G326)*Комплекты[Кол-во]*(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26" s="307" t="n">
        <v>0</v>
      </c>
      <c r="Z326" s="408" t="n"/>
      <c r="AA326" s="322" t="n">
        <v>60</v>
      </c>
      <c r="AB326" s="408">
        <f>SUMPRODUCT((Комплекты[Пр]=$F326)*(Комплекты[Обозначение]=$G326)*Комплекты[Кол-во]*(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26" s="307" t="n">
        <v>0</v>
      </c>
      <c r="AD326" s="408" t="n"/>
      <c r="AE326" s="322" t="n">
        <v>60</v>
      </c>
      <c r="AF326" s="408">
        <f>SUMPRODUCT((Комплекты[Пр]=$F326)*(Комплекты[Обозначение]=$G326)*Комплекты[Кол-во]*(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26" s="307" t="n">
        <v>20</v>
      </c>
      <c r="AH326" s="408" t="n"/>
      <c r="AI326" s="322" t="n">
        <v>60</v>
      </c>
      <c r="AJ326" s="408">
        <f>SUMPRODUCT((Комплекты[Пр]=$F326)*(Комплекты[Обозначение]=$G326)*Комплекты[Кол-во]*(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26" s="307" t="n">
        <v>0</v>
      </c>
      <c r="AL326" s="408" t="n"/>
      <c r="AM326" s="322" t="n">
        <v>60</v>
      </c>
      <c r="AN326" s="408">
        <f>SUMPRODUCT((Комплекты[Пр]=$F326)*(Комплекты[Обозначение]=$G326)*Комплекты[Кол-во]*(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26" s="307" t="n">
        <v>0</v>
      </c>
      <c r="AP326" s="408" t="n"/>
      <c r="AQ326" s="322" t="n">
        <v>60</v>
      </c>
      <c r="AR326" s="408">
        <f>SUMPRODUCT((Комплекты[Пр]=$F326)*(Комплекты[Обозначение]=$G326)*Комплекты[Кол-во]*(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26" s="307" t="n">
        <v>0</v>
      </c>
      <c r="AT326" s="408" t="n"/>
      <c r="AU326" s="322" t="n">
        <v>60</v>
      </c>
      <c r="AV326" s="408">
        <f>SUMPRODUCT((Комплекты[Пр]=$F326)*(Комплекты[Обозначение]=$G326)*Комплекты[Кол-во]*(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26" s="307" t="n">
        <v>0</v>
      </c>
      <c r="AX326" s="408" t="n"/>
      <c r="AY326" s="322" t="n">
        <v>60</v>
      </c>
      <c r="AZ326" s="408">
        <f>SUMPRODUCT((Комплекты[Пр]=$F326)*(Комплекты[Обозначение]=$G326)*Комплекты[Кол-во]*(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26" s="307" t="n">
        <v>0</v>
      </c>
      <c r="BB326" s="408" t="n"/>
      <c r="BC326" s="322" t="n">
        <v>60</v>
      </c>
      <c r="BD326" s="408">
        <f>SUMPRODUCT((Комплекты[Пр]=$F326)*(Комплекты[Обозначение]=$G326)*Комплекты[Кол-во]*(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26" s="307" t="n">
        <v>0</v>
      </c>
      <c r="BF326" s="408" t="n"/>
      <c r="BG326" s="322" t="n">
        <v>60</v>
      </c>
      <c r="BH326" s="408">
        <f>SUMPRODUCT((Комплекты[Пр]=$F326)*(Комплекты[Обозначение]=$G326)*Комплекты[Кол-во]*(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26" s="307" t="n">
        <v>0</v>
      </c>
      <c r="BJ326" s="408" t="n"/>
      <c r="BK326" s="340" t="n"/>
      <c r="BL326" s="820">
        <f>SUMPRODUCT(--(MOD(COLUMN($O326:$AL326),4)=MOD(COLUMN($O326)+0,4)),$O326:$AL326)
+SUMPRODUCT(--(MOD(COLUMN($AM326:$BJ326),4)=MOD(COLUMN($AM326)+0,4)),$AM326:$BJ326)</f>
        <v/>
      </c>
      <c r="BM326" s="820">
        <f>SUMPRODUCT(--(MOD(COLUMN($O326:$AL326),4)=MOD(COLUMN($O326)+0,4)),$O326:$AL326)*
$I326+SUMPRODUCT(--(MOD(COLUMN($AM326:$BJ326),4)=MOD(COLUMN($AM326)+0,4)),$AM326:$BJ326)*$I326</f>
        <v/>
      </c>
      <c r="BN326" s="822">
        <f>SUMPRODUCT(--(MOD(COLUMN($O326:$AL326),4)=MOD(COLUMN($O326)+1,4)),$O326:$AL326)
+SUMPRODUCT(--(MOD(COLUMN($AM326:$BJ326),4)=MOD(COLUMN($AM326)+1,4)),$AM326:$BJ326)</f>
        <v/>
      </c>
      <c r="BO326" s="823">
        <f>SUMPRODUCT(--(MOD(COLUMN($O326:$AL326),4)=MOD(COLUMN($O326)+1,4)),$O326:$AL326)*
$I326+SUMPRODUCT(--(MOD(COLUMN($AM326:$BJ326),4)=MOD(COLUMN($AM326)+1,4)),$AM326:$BJ326)*$I326</f>
        <v/>
      </c>
      <c r="BP326" s="824">
        <f>SUMPRODUCT(--(MOD(COLUMN($O326:$AL326),4)=MOD(COLUMN($O326)+2,4)),$O326:$AL326)
+SUMPRODUCT(--(MOD(COLUMN($AM326:$BJ326),4)=MOD(COLUMN($AM326)+2,4)),$AM326:$BJ326)</f>
        <v/>
      </c>
      <c r="BQ326" s="825">
        <f>SUMPRODUCT(--(MOD(COLUMN($O326:$AL326),4)=MOD(COLUMN($O326)+2,4)),$O326:$AL326)*
$I326+SUMPRODUCT(--(MOD(COLUMN($AM326:$BJ326),4)=MOD(COLUMN($AM326)+2,4)),$AM326:$BJ326)*$I326</f>
        <v/>
      </c>
      <c r="BR326" s="819" t="n"/>
      <c r="BS326" s="819" t="n"/>
      <c r="BT326" s="322" t="n"/>
      <c r="BU326" s="408" t="n"/>
      <c r="BV326" s="307" t="n"/>
      <c r="BW326" s="408" t="n"/>
      <c r="BX326" s="322" t="n"/>
      <c r="BY326" s="408" t="n"/>
      <c r="BZ326" s="307" t="n"/>
      <c r="CA326" s="408" t="n"/>
      <c r="CB326" s="322" t="n"/>
      <c r="CC326" s="408" t="n"/>
      <c r="CD326" s="307" t="n"/>
      <c r="CE326" s="408" t="n"/>
      <c r="CF326" s="322" t="n"/>
      <c r="CG326" s="408" t="n"/>
      <c r="CH326" s="307" t="n"/>
      <c r="CI326" s="408" t="n"/>
      <c r="CJ326" s="322" t="n"/>
      <c r="CK326" s="408" t="n"/>
      <c r="CL326" s="307" t="n"/>
      <c r="CM326" s="408" t="n"/>
      <c r="CN326" s="322" t="n"/>
      <c r="CO326" s="408" t="n"/>
      <c r="CP326" s="307" t="n"/>
      <c r="CQ326" s="408" t="n"/>
      <c r="CR326" s="322" t="n"/>
      <c r="CS326" s="408" t="n"/>
      <c r="CT326" s="307" t="n"/>
      <c r="CU326" s="408" t="n"/>
      <c r="CV326" s="322" t="n"/>
      <c r="CW326" s="408" t="n"/>
      <c r="CX326" s="307" t="n"/>
      <c r="CY326" s="408" t="n"/>
      <c r="CZ326" s="322" t="n"/>
      <c r="DA326" s="408" t="n"/>
      <c r="DB326" s="307" t="n"/>
      <c r="DC326" s="408" t="n"/>
      <c r="DD326" s="322" t="n"/>
      <c r="DE326" s="408" t="n"/>
      <c r="DF326" s="307" t="n"/>
      <c r="DG326" s="408" t="n"/>
      <c r="DH326" s="322" t="n"/>
      <c r="DI326" s="408" t="n"/>
      <c r="DJ326" s="307" t="n"/>
      <c r="DK326" s="408" t="n"/>
      <c r="DL326" s="322" t="n"/>
      <c r="DM326" s="408" t="n"/>
      <c r="DN326" s="307" t="n"/>
      <c r="DO326" s="408" t="n"/>
      <c r="DP326" s="340" t="n"/>
      <c r="DQ326" s="820" t="n"/>
      <c r="DR326" s="820">
        <f>SUMPRODUCT(--(MOD(COLUMN(BT326:CQ326),4)=MOD(COLUMN(BT326),4)),BT326:CQ326)*$I326+SUMPRODUCT(--(MOD(COLUMN(CR326:DO326),4)=MOD(COLUMN(CR326),4)),CR326:DO326)*$I326</f>
        <v/>
      </c>
      <c r="DS326" s="819" t="n"/>
      <c r="DT326" s="819" t="n"/>
      <c r="DU326" s="322" t="n"/>
      <c r="DV326" s="408" t="n"/>
      <c r="DW326" s="307" t="n"/>
      <c r="DX326" s="408" t="n"/>
      <c r="DY326" s="322" t="n"/>
      <c r="DZ326" s="408" t="n"/>
      <c r="EA326" s="307" t="n"/>
      <c r="EB326" s="408" t="n"/>
      <c r="EC326" s="322" t="n"/>
      <c r="ED326" s="408" t="n"/>
      <c r="EE326" s="307" t="n"/>
      <c r="EF326" s="408" t="n"/>
      <c r="EG326" s="322" t="n"/>
      <c r="EH326" s="408" t="n"/>
      <c r="EI326" s="307" t="n"/>
      <c r="EJ326" s="408" t="n"/>
      <c r="EK326" s="322" t="n"/>
      <c r="EL326" s="408" t="n"/>
      <c r="EM326" s="307" t="n"/>
      <c r="EN326" s="408" t="n"/>
      <c r="EO326" s="322" t="n"/>
      <c r="EP326" s="408" t="n"/>
      <c r="EQ326" s="307" t="n"/>
      <c r="ER326" s="408" t="n"/>
      <c r="ES326" s="322" t="n"/>
      <c r="ET326" s="408" t="n"/>
      <c r="EU326" s="307" t="n"/>
      <c r="EV326" s="408" t="n"/>
      <c r="EW326" s="322" t="n"/>
      <c r="EX326" s="408" t="n"/>
      <c r="EY326" s="307" t="n"/>
      <c r="EZ326" s="408" t="n"/>
      <c r="FA326" s="322" t="n"/>
      <c r="FB326" s="408" t="n"/>
      <c r="FC326" s="307" t="n"/>
      <c r="FD326" s="408" t="n"/>
      <c r="FE326" s="322" t="n"/>
      <c r="FF326" s="408" t="n"/>
      <c r="FG326" s="307" t="n"/>
      <c r="FH326" s="408" t="n"/>
      <c r="FI326" s="322" t="n"/>
      <c r="FJ326" s="408" t="n"/>
      <c r="FK326" s="307" t="n"/>
      <c r="FL326" s="408" t="n"/>
      <c r="FM326" s="322" t="n"/>
      <c r="FN326" s="408" t="n"/>
      <c r="FO326" s="307" t="n"/>
      <c r="FP326" s="408" t="n"/>
      <c r="FQ326" s="340" t="n"/>
      <c r="FR326" s="820" t="n"/>
      <c r="FS326" s="820">
        <f>SUMPRODUCT(--(MOD(COLUMN(DU326:ER326),4)=MOD(COLUMN(DU326),4)),DU326:ER326)*$I326+SUMPRODUCT(--(MOD(COLUMN(ES326:FP326),4)=MOD(COLUMN(ES326),4)),ES326:FP326)*$I326</f>
        <v/>
      </c>
      <c r="FT326" s="361" t="n"/>
    </row>
    <row r="327" outlineLevel="2">
      <c r="A327" s="420" t="inlineStr">
        <is>
          <t>АВТОВИК ООО / AVTOVIK OOO</t>
        </is>
      </c>
      <c r="B327" s="444" t="inlineStr">
        <is>
          <t>Предоплата 100%</t>
        </is>
      </c>
      <c r="C327" s="592" t="inlineStr">
        <is>
          <t>ВБК РУС</t>
        </is>
      </c>
      <c r="D327" s="586" t="inlineStr">
        <is>
          <t>Прасолов, Соловьёв</t>
        </is>
      </c>
      <c r="E327" s="414">
        <f>IF(ISBLANK(G327),"",IF($A$6:$A$330=$A327,COUNTIF($A$6:A327,$A327),""))</f>
        <v/>
      </c>
      <c r="F327" s="318" t="n">
        <v>1</v>
      </c>
      <c r="G327" s="403" t="n">
        <v>4496161560</v>
      </c>
      <c r="H327" s="613" t="inlineStr">
        <is>
          <t>Кабель ускорительного клапана ABS / диа., 10 м / 3 м</t>
        </is>
      </c>
      <c r="I327" s="619" t="n">
        <v>0</v>
      </c>
      <c r="J327" s="619" t="n"/>
      <c r="K327" s="876" t="n"/>
      <c r="L327" s="619" t="n"/>
      <c r="M327" s="871" t="n"/>
      <c r="N327" s="871">
        <f>IF(BP327&gt;0,1,IF(BN327&gt;0,2,))</f>
        <v/>
      </c>
      <c r="O327" s="322" t="n">
        <v>0</v>
      </c>
      <c r="P327" s="408" t="n"/>
      <c r="Q327" s="307" t="n"/>
      <c r="R327" s="408" t="n"/>
      <c r="S327" s="322" t="n">
        <v>0</v>
      </c>
      <c r="T327" s="408">
        <f>SUMPRODUCT((Комплекты[Пр]=$F327)*(Комплекты[Обозначение]=$G327)*Комплекты[Кол-во]*(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27" s="307" t="n">
        <v>10</v>
      </c>
      <c r="V327" s="408" t="n"/>
      <c r="W327" s="322" t="n">
        <v>0</v>
      </c>
      <c r="X327" s="408">
        <f>SUMPRODUCT((Комплекты[Пр]=$F327)*(Комплекты[Обозначение]=$G327)*Комплекты[Кол-во]*(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27" s="307">
        <f>SUMPRODUCT((Комплекты[Пр]=$F327)*(Комплекты[Обозначение]=$G327)*Комплекты[Кол-во]*(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/>
      </c>
      <c r="Z327" s="408" t="n"/>
      <c r="AA327" s="322" t="n">
        <v>0</v>
      </c>
      <c r="AB327" s="408">
        <f>SUMPRODUCT((Комплекты[Пр]=$F327)*(Комплекты[Обозначение]=$G327)*Комплекты[Кол-во]*(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27" s="307" t="n"/>
      <c r="AD327" s="408" t="n"/>
      <c r="AE327" s="322" t="n">
        <v>0</v>
      </c>
      <c r="AF327" s="408">
        <f>SUMPRODUCT((Комплекты[Пр]=$F327)*(Комплекты[Обозначение]=$G327)*Комплекты[Кол-во]*(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27" s="307">
        <f>SUMPRODUCT((Комплекты[Пр]=$F327)*(Комплекты[Обозначение]=$G327)*Комплекты[Кол-во]*(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/>
      </c>
      <c r="AH327" s="408" t="n"/>
      <c r="AI327" s="322" t="n">
        <v>0</v>
      </c>
      <c r="AJ327" s="408">
        <f>SUMPRODUCT((Комплекты[Пр]=$F327)*(Комплекты[Обозначение]=$G327)*Комплекты[Кол-во]*(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27" s="307" t="n"/>
      <c r="AL327" s="408" t="n"/>
      <c r="AM327" s="322" t="n">
        <v>0</v>
      </c>
      <c r="AN327" s="408">
        <f>SUMPRODUCT((Комплекты[Пр]=$F327)*(Комплекты[Обозначение]=$G327)*Комплекты[Кол-во]*(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27" s="307" t="n"/>
      <c r="AP327" s="408" t="n"/>
      <c r="AQ327" s="322" t="n">
        <v>0</v>
      </c>
      <c r="AR327" s="408">
        <f>SUMPRODUCT((Комплекты[Пр]=$F327)*(Комплекты[Обозначение]=$G327)*Комплекты[Кол-во]*(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27" s="307" t="n"/>
      <c r="AT327" s="408" t="n"/>
      <c r="AU327" s="322" t="n">
        <v>0</v>
      </c>
      <c r="AV327" s="408">
        <f>SUMPRODUCT((Комплекты[Пр]=$F327)*(Комплекты[Обозначение]=$G327)*Комплекты[Кол-во]*(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27" s="307" t="n"/>
      <c r="AX327" s="408" t="n"/>
      <c r="AY327" s="322" t="n">
        <v>0</v>
      </c>
      <c r="AZ327" s="408">
        <f>SUMPRODUCT((Комплекты[Пр]=$F327)*(Комплекты[Обозначение]=$G327)*Комплекты[Кол-во]*(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27" s="307" t="n"/>
      <c r="BB327" s="408" t="n"/>
      <c r="BC327" s="322" t="n">
        <v>0</v>
      </c>
      <c r="BD327" s="408">
        <f>SUMPRODUCT((Комплекты[Пр]=$F327)*(Комплекты[Обозначение]=$G327)*Комплекты[Кол-во]*(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27" s="307" t="n"/>
      <c r="BF327" s="408" t="n"/>
      <c r="BG327" s="322" t="n">
        <v>0</v>
      </c>
      <c r="BH327" s="408">
        <f>SUMPRODUCT((Комплекты[Пр]=$F327)*(Комплекты[Обозначение]=$G327)*Комплекты[Кол-во]*(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27" s="307" t="n"/>
      <c r="BJ327" s="408" t="n"/>
      <c r="BK327" s="340" t="n"/>
      <c r="BL327" s="820">
        <f>SUMPRODUCT(--(MOD(COLUMN($O327:$AL327),4)=MOD(COLUMN($O327)+0,4)),$O327:$AL327)
+SUMPRODUCT(--(MOD(COLUMN($AM327:$BJ327),4)=MOD(COLUMN($AM327)+0,4)),$AM327:$BJ327)</f>
        <v/>
      </c>
      <c r="BM327" s="820">
        <f>SUMPRODUCT(--(MOD(COLUMN($O327:$AL327),4)=MOD(COLUMN($O327)+0,4)),$O327:$AL327)*
$I327+SUMPRODUCT(--(MOD(COLUMN($AM327:$BJ327),4)=MOD(COLUMN($AM327)+0,4)),$AM327:$BJ327)*$I327</f>
        <v/>
      </c>
      <c r="BN327" s="822">
        <f>SUMPRODUCT(--(MOD(COLUMN($O327:$AL327),4)=MOD(COLUMN($O327)+1,4)),$O327:$AL327)
+SUMPRODUCT(--(MOD(COLUMN($AM327:$BJ327),4)=MOD(COLUMN($AM327)+1,4)),$AM327:$BJ327)</f>
        <v/>
      </c>
      <c r="BO327" s="823">
        <f>SUMPRODUCT(--(MOD(COLUMN($O327:$AL327),4)=MOD(COLUMN($O327)+1,4)),$O327:$AL327)*
$I327+SUMPRODUCT(--(MOD(COLUMN($AM327:$BJ327),4)=MOD(COLUMN($AM327)+1,4)),$AM327:$BJ327)*$I327</f>
        <v/>
      </c>
      <c r="BP327" s="824">
        <f>SUMPRODUCT(--(MOD(COLUMN($O327:$AL327),4)=MOD(COLUMN($O327)+2,4)),$O327:$AL327)
+SUMPRODUCT(--(MOD(COLUMN($AM327:$BJ327),4)=MOD(COLUMN($AM327)+2,4)),$AM327:$BJ327)</f>
        <v/>
      </c>
      <c r="BQ327" s="825">
        <f>SUMPRODUCT(--(MOD(COLUMN($O327:$AL327),4)=MOD(COLUMN($O327)+2,4)),$O327:$AL327)*
$I327+SUMPRODUCT(--(MOD(COLUMN($AM327:$BJ327),4)=MOD(COLUMN($AM327)+2,4)),$AM327:$BJ327)*$I327</f>
        <v/>
      </c>
      <c r="BR327" s="819" t="n"/>
      <c r="BS327" s="819" t="n"/>
      <c r="BT327" s="322" t="n"/>
      <c r="BU327" s="408" t="n"/>
      <c r="BV327" s="307" t="n"/>
      <c r="BW327" s="408" t="n"/>
      <c r="BX327" s="322" t="n"/>
      <c r="BY327" s="408" t="n"/>
      <c r="BZ327" s="307" t="n"/>
      <c r="CA327" s="408" t="n"/>
      <c r="CB327" s="322" t="n"/>
      <c r="CC327" s="408" t="n"/>
      <c r="CD327" s="307" t="n"/>
      <c r="CE327" s="408" t="n"/>
      <c r="CF327" s="322" t="n"/>
      <c r="CG327" s="408" t="n"/>
      <c r="CH327" s="307" t="n"/>
      <c r="CI327" s="408" t="n"/>
      <c r="CJ327" s="322" t="n"/>
      <c r="CK327" s="408" t="n"/>
      <c r="CL327" s="307" t="n"/>
      <c r="CM327" s="408" t="n"/>
      <c r="CN327" s="322" t="n"/>
      <c r="CO327" s="408" t="n"/>
      <c r="CP327" s="307" t="n"/>
      <c r="CQ327" s="408" t="n"/>
      <c r="CR327" s="322" t="n"/>
      <c r="CS327" s="408" t="n"/>
      <c r="CT327" s="307" t="n"/>
      <c r="CU327" s="408" t="n"/>
      <c r="CV327" s="322" t="n"/>
      <c r="CW327" s="408" t="n"/>
      <c r="CX327" s="307" t="n"/>
      <c r="CY327" s="408" t="n"/>
      <c r="CZ327" s="322" t="n"/>
      <c r="DA327" s="408" t="n"/>
      <c r="DB327" s="307" t="n"/>
      <c r="DC327" s="408" t="n"/>
      <c r="DD327" s="322" t="n"/>
      <c r="DE327" s="408" t="n"/>
      <c r="DF327" s="307" t="n"/>
      <c r="DG327" s="408" t="n"/>
      <c r="DH327" s="322" t="n"/>
      <c r="DI327" s="408" t="n"/>
      <c r="DJ327" s="307" t="n"/>
      <c r="DK327" s="408" t="n"/>
      <c r="DL327" s="322" t="n"/>
      <c r="DM327" s="408" t="n"/>
      <c r="DN327" s="307" t="n"/>
      <c r="DO327" s="408" t="n"/>
      <c r="DP327" s="340" t="n"/>
      <c r="DQ327" s="820" t="n"/>
      <c r="DR327" s="820">
        <f>SUMPRODUCT(--(MOD(COLUMN(BT327:CQ327),4)=MOD(COLUMN(BT327),4)),BT327:CQ327)*$I327+SUMPRODUCT(--(MOD(COLUMN(CR327:DO327),4)=MOD(COLUMN(CR327),4)),CR327:DO327)*$I327</f>
        <v/>
      </c>
      <c r="DS327" s="819" t="n"/>
      <c r="DT327" s="819" t="n"/>
      <c r="DU327" s="322" t="n"/>
      <c r="DV327" s="408" t="n"/>
      <c r="DW327" s="307" t="n"/>
      <c r="DX327" s="408" t="n"/>
      <c r="DY327" s="322" t="n"/>
      <c r="DZ327" s="408" t="n"/>
      <c r="EA327" s="307" t="n"/>
      <c r="EB327" s="408" t="n"/>
      <c r="EC327" s="322" t="n"/>
      <c r="ED327" s="408" t="n"/>
      <c r="EE327" s="307" t="n"/>
      <c r="EF327" s="408" t="n"/>
      <c r="EG327" s="322" t="n"/>
      <c r="EH327" s="408" t="n"/>
      <c r="EI327" s="307" t="n"/>
      <c r="EJ327" s="408" t="n"/>
      <c r="EK327" s="322" t="n"/>
      <c r="EL327" s="408" t="n"/>
      <c r="EM327" s="307" t="n"/>
      <c r="EN327" s="408" t="n"/>
      <c r="EO327" s="322" t="n"/>
      <c r="EP327" s="408" t="n"/>
      <c r="EQ327" s="307" t="n"/>
      <c r="ER327" s="408" t="n"/>
      <c r="ES327" s="322" t="n"/>
      <c r="ET327" s="408" t="n"/>
      <c r="EU327" s="307" t="n"/>
      <c r="EV327" s="408" t="n"/>
      <c r="EW327" s="322" t="n"/>
      <c r="EX327" s="408" t="n"/>
      <c r="EY327" s="307" t="n"/>
      <c r="EZ327" s="408" t="n"/>
      <c r="FA327" s="322" t="n"/>
      <c r="FB327" s="408" t="n"/>
      <c r="FC327" s="307" t="n"/>
      <c r="FD327" s="408" t="n"/>
      <c r="FE327" s="322" t="n"/>
      <c r="FF327" s="408" t="n"/>
      <c r="FG327" s="307" t="n"/>
      <c r="FH327" s="408" t="n"/>
      <c r="FI327" s="322" t="n"/>
      <c r="FJ327" s="408" t="n"/>
      <c r="FK327" s="307" t="n"/>
      <c r="FL327" s="408" t="n"/>
      <c r="FM327" s="322" t="n"/>
      <c r="FN327" s="408" t="n"/>
      <c r="FO327" s="307" t="n"/>
      <c r="FP327" s="408" t="n"/>
      <c r="FQ327" s="340" t="n"/>
      <c r="FR327" s="820" t="n"/>
      <c r="FS327" s="820">
        <f>SUMPRODUCT(--(MOD(COLUMN(DU327:ER327),4)=MOD(COLUMN(DU327),4)),DU327:ER327)*$I327+SUMPRODUCT(--(MOD(COLUMN(ES327:FP327),4)=MOD(COLUMN(ES327),4)),ES327:FP327)*$I327</f>
        <v/>
      </c>
      <c r="FT327" s="361" t="n"/>
    </row>
    <row r="328" outlineLevel="2">
      <c r="A328" s="420" t="inlineStr">
        <is>
          <t>АВТОВИК ООО / AVTOVIK OOO</t>
        </is>
      </c>
      <c r="B328" s="444" t="inlineStr">
        <is>
          <t>Предоплата 100%</t>
        </is>
      </c>
      <c r="C328" s="592" t="inlineStr">
        <is>
          <t>ВБК РУС</t>
        </is>
      </c>
      <c r="D328" s="586" t="inlineStr">
        <is>
          <t>Прасолов, Соловьёв</t>
        </is>
      </c>
      <c r="E328" s="414">
        <f>IF(ISBLANK(G328),"",IF($A$6:$A$330=$A328,COUNTIF($A$6:A328,$A328),""))</f>
        <v/>
      </c>
      <c r="F328" s="318" t="n">
        <v>1</v>
      </c>
      <c r="G328" s="403" t="n">
        <v>4721950310</v>
      </c>
      <c r="H328" s="613" t="inlineStr">
        <is>
          <t>Ускорительный клапан ABS</t>
        </is>
      </c>
      <c r="I328" s="619" t="n">
        <v>0</v>
      </c>
      <c r="J328" s="619" t="n"/>
      <c r="K328" s="876" t="n"/>
      <c r="L328" s="619" t="n"/>
      <c r="M328" s="871" t="n"/>
      <c r="N328" s="871">
        <f>IF(BP328&gt;0,1,IF(BN328&gt;0,2,))</f>
        <v/>
      </c>
      <c r="O328" s="322" t="n">
        <v>0</v>
      </c>
      <c r="P328" s="408" t="n"/>
      <c r="Q328" s="307" t="n"/>
      <c r="R328" s="408" t="n"/>
      <c r="S328" s="322" t="n">
        <v>0</v>
      </c>
      <c r="T328" s="408">
        <f>SUMPRODUCT((Комплекты[Пр]=$F328)*(Комплекты[Обозначение]=$G328)*Комплекты[Кол-во]*(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/>
      </c>
      <c r="U328" s="307" t="n">
        <v>10</v>
      </c>
      <c r="V328" s="408" t="n"/>
      <c r="W328" s="322" t="n">
        <v>0</v>
      </c>
      <c r="X328" s="408">
        <f>SUMPRODUCT((Комплекты[Пр]=$F328)*(Комплекты[Обозначение]=$G328)*Комплекты[Кол-во]*(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/>
      </c>
      <c r="Y328" s="307">
        <f>SUMPRODUCT((Комплекты[Пр]=$F328)*(Комплекты[Обозначение]=$G328)*Комплекты[Кол-во]*(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/>
      </c>
      <c r="Z328" s="408" t="n"/>
      <c r="AA328" s="322" t="n">
        <v>0</v>
      </c>
      <c r="AB328" s="408">
        <f>SUMPRODUCT((Комплекты[Пр]=$F328)*(Комплекты[Обозначение]=$G328)*Комплекты[Кол-во]*(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/>
      </c>
      <c r="AC328" s="307" t="n"/>
      <c r="AD328" s="408" t="n"/>
      <c r="AE328" s="322" t="n">
        <v>0</v>
      </c>
      <c r="AF328" s="408">
        <f>SUMPRODUCT((Комплекты[Пр]=$F328)*(Комплекты[Обозначение]=$G328)*Комплекты[Кол-во]*(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/>
      </c>
      <c r="AG328" s="307">
        <f>SUMPRODUCT((Комплекты[Пр]=$F328)*(Комплекты[Обозначение]=$G328)*Комплекты[Кол-во]*(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/>
      </c>
      <c r="AH328" s="408" t="n"/>
      <c r="AI328" s="322" t="n">
        <v>0</v>
      </c>
      <c r="AJ328" s="408">
        <f>SUMPRODUCT((Комплекты[Пр]=$F328)*(Комплекты[Обозначение]=$G328)*Комплекты[Кол-во]*(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/>
      </c>
      <c r="AK328" s="307" t="n"/>
      <c r="AL328" s="408" t="n"/>
      <c r="AM328" s="322" t="n">
        <v>0</v>
      </c>
      <c r="AN328" s="408">
        <f>SUMPRODUCT((Комплекты[Пр]=$F328)*(Комплекты[Обозначение]=$G328)*Комплекты[Кол-во]*(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/>
      </c>
      <c r="AO328" s="307" t="n"/>
      <c r="AP328" s="408" t="n"/>
      <c r="AQ328" s="322" t="n">
        <v>0</v>
      </c>
      <c r="AR328" s="408">
        <f>SUMPRODUCT((Комплекты[Пр]=$F328)*(Комплекты[Обозначение]=$G328)*Комплекты[Кол-во]*(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/>
      </c>
      <c r="AS328" s="307" t="n"/>
      <c r="AT328" s="408" t="n"/>
      <c r="AU328" s="322" t="n">
        <v>0</v>
      </c>
      <c r="AV328" s="408">
        <f>SUMPRODUCT((Комплекты[Пр]=$F328)*(Комплекты[Обозначение]=$G328)*Комплекты[Кол-во]*(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/>
      </c>
      <c r="AW328" s="307" t="n"/>
      <c r="AX328" s="408" t="n"/>
      <c r="AY328" s="322" t="n">
        <v>0</v>
      </c>
      <c r="AZ328" s="408">
        <f>SUMPRODUCT((Комплекты[Пр]=$F328)*(Комплекты[Обозначение]=$G328)*Комплекты[Кол-во]*(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/>
      </c>
      <c r="BA328" s="307" t="n"/>
      <c r="BB328" s="408" t="n"/>
      <c r="BC328" s="322" t="n">
        <v>0</v>
      </c>
      <c r="BD328" s="408">
        <f>SUMPRODUCT((Комплекты[Пр]=$F328)*(Комплекты[Обозначение]=$G328)*Комплекты[Кол-во]*(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/>
      </c>
      <c r="BE328" s="307" t="n"/>
      <c r="BF328" s="408" t="n"/>
      <c r="BG328" s="322" t="n">
        <v>0</v>
      </c>
      <c r="BH328" s="408">
        <f>SUMPRODUCT((Комплекты[Пр]=$F328)*(Комплекты[Обозначение]=$G328)*Комплекты[Кол-во]*(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/>
      </c>
      <c r="BI328" s="307" t="n"/>
      <c r="BJ328" s="408" t="n"/>
      <c r="BK328" s="340" t="n"/>
      <c r="BL328" s="820">
        <f>SUMPRODUCT(--(MOD(COLUMN($O328:$AL328),4)=MOD(COLUMN($O328)+0,4)),$O328:$AL328)
+SUMPRODUCT(--(MOD(COLUMN($AM328:$BJ328),4)=MOD(COLUMN($AM328)+0,4)),$AM328:$BJ328)</f>
        <v/>
      </c>
      <c r="BM328" s="820">
        <f>SUMPRODUCT(--(MOD(COLUMN($O328:$AL328),4)=MOD(COLUMN($O328)+0,4)),$O328:$AL328)*
$I328+SUMPRODUCT(--(MOD(COLUMN($AM328:$BJ328),4)=MOD(COLUMN($AM328)+0,4)),$AM328:$BJ328)*$I328</f>
        <v/>
      </c>
      <c r="BN328" s="822">
        <f>SUMPRODUCT(--(MOD(COLUMN($O328:$AL328),4)=MOD(COLUMN($O328)+1,4)),$O328:$AL328)
+SUMPRODUCT(--(MOD(COLUMN($AM328:$BJ328),4)=MOD(COLUMN($AM328)+1,4)),$AM328:$BJ328)</f>
        <v/>
      </c>
      <c r="BO328" s="823">
        <f>SUMPRODUCT(--(MOD(COLUMN($O328:$AL328),4)=MOD(COLUMN($O328)+1,4)),$O328:$AL328)*
$I328+SUMPRODUCT(--(MOD(COLUMN($AM328:$BJ328),4)=MOD(COLUMN($AM328)+1,4)),$AM328:$BJ328)*$I328</f>
        <v/>
      </c>
      <c r="BP328" s="824">
        <f>SUMPRODUCT(--(MOD(COLUMN($O328:$AL328),4)=MOD(COLUMN($O328)+2,4)),$O328:$AL328)
+SUMPRODUCT(--(MOD(COLUMN($AM328:$BJ328),4)=MOD(COLUMN($AM328)+2,4)),$AM328:$BJ328)</f>
        <v/>
      </c>
      <c r="BQ328" s="825">
        <f>SUMPRODUCT(--(MOD(COLUMN($O328:$AL328),4)=MOD(COLUMN($O328)+2,4)),$O328:$AL328)*
$I328+SUMPRODUCT(--(MOD(COLUMN($AM328:$BJ328),4)=MOD(COLUMN($AM328)+2,4)),$AM328:$BJ328)*$I328</f>
        <v/>
      </c>
      <c r="BR328" s="819" t="n"/>
      <c r="BS328" s="819" t="n"/>
      <c r="BT328" s="322" t="n"/>
      <c r="BU328" s="408" t="n"/>
      <c r="BV328" s="307" t="n"/>
      <c r="BW328" s="408" t="n"/>
      <c r="BX328" s="322" t="n"/>
      <c r="BY328" s="408" t="n"/>
      <c r="BZ328" s="307" t="n"/>
      <c r="CA328" s="408" t="n"/>
      <c r="CB328" s="322" t="n"/>
      <c r="CC328" s="408" t="n"/>
      <c r="CD328" s="307" t="n"/>
      <c r="CE328" s="408" t="n"/>
      <c r="CF328" s="322" t="n"/>
      <c r="CG328" s="408" t="n"/>
      <c r="CH328" s="307" t="n"/>
      <c r="CI328" s="408" t="n"/>
      <c r="CJ328" s="322" t="n"/>
      <c r="CK328" s="408" t="n"/>
      <c r="CL328" s="307" t="n"/>
      <c r="CM328" s="408" t="n"/>
      <c r="CN328" s="322" t="n"/>
      <c r="CO328" s="408" t="n"/>
      <c r="CP328" s="307" t="n"/>
      <c r="CQ328" s="408" t="n"/>
      <c r="CR328" s="322" t="n"/>
      <c r="CS328" s="408" t="n"/>
      <c r="CT328" s="307" t="n"/>
      <c r="CU328" s="408" t="n"/>
      <c r="CV328" s="322" t="n"/>
      <c r="CW328" s="408" t="n"/>
      <c r="CX328" s="307" t="n"/>
      <c r="CY328" s="408" t="n"/>
      <c r="CZ328" s="322" t="n"/>
      <c r="DA328" s="408" t="n"/>
      <c r="DB328" s="307" t="n"/>
      <c r="DC328" s="408" t="n"/>
      <c r="DD328" s="322" t="n"/>
      <c r="DE328" s="408" t="n"/>
      <c r="DF328" s="307" t="n"/>
      <c r="DG328" s="408" t="n"/>
      <c r="DH328" s="322" t="n"/>
      <c r="DI328" s="408" t="n"/>
      <c r="DJ328" s="307" t="n"/>
      <c r="DK328" s="408" t="n"/>
      <c r="DL328" s="322" t="n"/>
      <c r="DM328" s="408" t="n"/>
      <c r="DN328" s="307" t="n"/>
      <c r="DO328" s="408" t="n"/>
      <c r="DP328" s="340" t="n"/>
      <c r="DQ328" s="820" t="n"/>
      <c r="DR328" s="820">
        <f>SUMPRODUCT(--(MOD(COLUMN(BT328:CQ328),4)=MOD(COLUMN(BT328),4)),BT328:CQ328)*$I328+SUMPRODUCT(--(MOD(COLUMN(CR328:DO328),4)=MOD(COLUMN(CR328),4)),CR328:DO328)*$I328</f>
        <v/>
      </c>
      <c r="DS328" s="819" t="n"/>
      <c r="DT328" s="819" t="n"/>
      <c r="DU328" s="322" t="n"/>
      <c r="DV328" s="408" t="n"/>
      <c r="DW328" s="307" t="n"/>
      <c r="DX328" s="408" t="n"/>
      <c r="DY328" s="322" t="n"/>
      <c r="DZ328" s="408" t="n"/>
      <c r="EA328" s="307" t="n"/>
      <c r="EB328" s="408" t="n"/>
      <c r="EC328" s="322" t="n"/>
      <c r="ED328" s="408" t="n"/>
      <c r="EE328" s="307" t="n"/>
      <c r="EF328" s="408" t="n"/>
      <c r="EG328" s="322" t="n"/>
      <c r="EH328" s="408" t="n"/>
      <c r="EI328" s="307" t="n"/>
      <c r="EJ328" s="408" t="n"/>
      <c r="EK328" s="322" t="n"/>
      <c r="EL328" s="408" t="n"/>
      <c r="EM328" s="307" t="n"/>
      <c r="EN328" s="408" t="n"/>
      <c r="EO328" s="322" t="n"/>
      <c r="EP328" s="408" t="n"/>
      <c r="EQ328" s="307" t="n"/>
      <c r="ER328" s="408" t="n"/>
      <c r="ES328" s="322" t="n"/>
      <c r="ET328" s="408" t="n"/>
      <c r="EU328" s="307" t="n"/>
      <c r="EV328" s="408" t="n"/>
      <c r="EW328" s="322" t="n"/>
      <c r="EX328" s="408" t="n"/>
      <c r="EY328" s="307" t="n"/>
      <c r="EZ328" s="408" t="n"/>
      <c r="FA328" s="322" t="n"/>
      <c r="FB328" s="408" t="n"/>
      <c r="FC328" s="307" t="n"/>
      <c r="FD328" s="408" t="n"/>
      <c r="FE328" s="322" t="n"/>
      <c r="FF328" s="408" t="n"/>
      <c r="FG328" s="307" t="n"/>
      <c r="FH328" s="408" t="n"/>
      <c r="FI328" s="322" t="n"/>
      <c r="FJ328" s="408" t="n"/>
      <c r="FK328" s="307" t="n"/>
      <c r="FL328" s="408" t="n"/>
      <c r="FM328" s="322" t="n"/>
      <c r="FN328" s="408" t="n"/>
      <c r="FO328" s="307" t="n"/>
      <c r="FP328" s="408" t="n"/>
      <c r="FQ328" s="340" t="n"/>
      <c r="FR328" s="820" t="n"/>
      <c r="FS328" s="820">
        <f>SUMPRODUCT(--(MOD(COLUMN(DU328:ER328),4)=MOD(COLUMN(DU328),4)),DU328:ER328)*$I328+SUMPRODUCT(--(MOD(COLUMN(ES328:FP328),4)=MOD(COLUMN(ES328),4)),ES328:FP328)*$I328</f>
        <v/>
      </c>
      <c r="FT328" s="361" t="n"/>
    </row>
    <row r="329" outlineLevel="2">
      <c r="A329" s="58" t="inlineStr">
        <is>
          <t>АВТОВИК ООО / AVTOVIK OOO</t>
        </is>
      </c>
      <c r="B329" s="57" t="n"/>
      <c r="C329" s="173" t="n"/>
      <c r="D329" s="595" t="n"/>
      <c r="E329" s="13">
        <f>IF(ISBLANK(G329),"",IF($A$6:$A$330=$A329,COUNTIF($A$6:A329,$A329),""))</f>
        <v/>
      </c>
      <c r="F329" s="13" t="n"/>
      <c r="G329" s="111" t="n"/>
      <c r="H329" s="607" t="inlineStr">
        <is>
          <t>Итого</t>
        </is>
      </c>
      <c r="I329" s="617" t="n"/>
      <c r="J329" s="617" t="n"/>
      <c r="K329" s="872" t="n"/>
      <c r="L329" s="617">
        <f>IF(K329="RUB",J329/ЮАНЬ,IF(K329="EUR",J329*ЕВРО/ЮАНЬ,""))</f>
        <v/>
      </c>
      <c r="M329" s="873" t="n"/>
      <c r="N329" s="871">
        <f>IF(BP329&gt;0,1,IF(BN329&gt;0,2,))</f>
        <v/>
      </c>
      <c r="O329" s="40" t="n"/>
      <c r="P329" s="41" t="n"/>
      <c r="Q329" s="42" t="n"/>
      <c r="R329" s="41" t="n"/>
      <c r="S329" s="40" t="n"/>
      <c r="T329" s="41" t="n"/>
      <c r="U329" s="42" t="n"/>
      <c r="V329" s="41" t="n"/>
      <c r="W329" s="40" t="n"/>
      <c r="X329" s="41" t="n"/>
      <c r="Y329" s="42" t="n"/>
      <c r="Z329" s="41" t="n"/>
      <c r="AA329" s="40" t="n"/>
      <c r="AB329" s="41" t="n"/>
      <c r="AC329" s="42" t="n"/>
      <c r="AD329" s="41" t="n"/>
      <c r="AE329" s="40" t="n"/>
      <c r="AF329" s="41" t="n"/>
      <c r="AG329" s="42" t="n"/>
      <c r="AH329" s="41" t="n"/>
      <c r="AI329" s="40" t="n"/>
      <c r="AJ329" s="41" t="n"/>
      <c r="AK329" s="42" t="n"/>
      <c r="AL329" s="41" t="n"/>
      <c r="AM329" s="40" t="n"/>
      <c r="AN329" s="41" t="n"/>
      <c r="AO329" s="42" t="n"/>
      <c r="AP329" s="41" t="n"/>
      <c r="AQ329" s="40" t="n"/>
      <c r="AR329" s="41" t="n"/>
      <c r="AS329" s="42" t="n"/>
      <c r="AT329" s="41" t="n"/>
      <c r="AU329" s="40" t="n"/>
      <c r="AV329" s="41" t="n"/>
      <c r="AW329" s="42" t="n"/>
      <c r="AX329" s="41" t="n"/>
      <c r="AY329" s="40" t="n"/>
      <c r="AZ329" s="41" t="n"/>
      <c r="BA329" s="42" t="n"/>
      <c r="BB329" s="41" t="n"/>
      <c r="BC329" s="40" t="n"/>
      <c r="BD329" s="41" t="n"/>
      <c r="BE329" s="42" t="n"/>
      <c r="BF329" s="41" t="n"/>
      <c r="BG329" s="40" t="n"/>
      <c r="BH329" s="41" t="n"/>
      <c r="BI329" s="42" t="n"/>
      <c r="BJ329" s="43" t="n"/>
      <c r="BK329" s="341" t="n"/>
      <c r="BL329" s="811">
        <f>SUMPRODUCT(--(MOD(COLUMN($O329:$AL329),4)=MOD(COLUMN($O329)+0,4)),$O329:$AL329)
+SUMPRODUCT(--(MOD(COLUMN($AM329:$BJ329),4)=MOD(COLUMN($AM329)+0,4)),$AM329:$BJ329)</f>
        <v/>
      </c>
      <c r="BM329" s="811">
        <f>SUMPRODUCT(--(MOD(COLUMN($O329:$AL329),4)=MOD(COLUMN($O329)+0,4)),$O329:$AL329)*
$I329+SUMPRODUCT(--(MOD(COLUMN($AM329:$BJ329),4)=MOD(COLUMN($AM329)+0,4)),$AM329:$BJ329)*$I329</f>
        <v/>
      </c>
      <c r="BN329" s="805">
        <f>SUMPRODUCT(--(MOD(COLUMN($O329:$AL329),4)=MOD(COLUMN($O329)+1,4)),$O329:$AL329)
+SUMPRODUCT(--(MOD(COLUMN($AM329:$BJ329),4)=MOD(COLUMN($AM329)+1,4)),$AM329:$BJ329)</f>
        <v/>
      </c>
      <c r="BO329" s="806">
        <f>SUMPRODUCT(--(MOD(COLUMN($O329:$AL329),4)=MOD(COLUMN($O329)+1,4)),$O329:$AL329)*
$I329+SUMPRODUCT(--(MOD(COLUMN($AM329:$BJ329),4)=MOD(COLUMN($AM329)+1,4)),$AM329:$BJ329)*$I329</f>
        <v/>
      </c>
      <c r="BP329" s="807">
        <f>SUMPRODUCT(--(MOD(COLUMN($O329:$AL329),4)=MOD(COLUMN($O329)+2,4)),$O329:$AL329)
+SUMPRODUCT(--(MOD(COLUMN($AM329:$BJ329),4)=MOD(COLUMN($AM329)+2,4)),$AM329:$BJ329)</f>
        <v/>
      </c>
      <c r="BQ329" s="808">
        <f>SUMPRODUCT(--(MOD(COLUMN($O329:$AL329),4)=MOD(COLUMN($O329)+2,4)),$O329:$AL329)*
$I329+SUMPRODUCT(--(MOD(COLUMN($AM329:$BJ329),4)=MOD(COLUMN($AM329)+2,4)),$AM329:$BJ329)*$I329</f>
        <v/>
      </c>
      <c r="BR329" s="801" t="n"/>
      <c r="BS329" s="819" t="n"/>
      <c r="BT329" s="40" t="n"/>
      <c r="BU329" s="41" t="n"/>
      <c r="BV329" s="42" t="n"/>
      <c r="BW329" s="41" t="n"/>
      <c r="BX329" s="40" t="n"/>
      <c r="BY329" s="41" t="n"/>
      <c r="BZ329" s="42" t="n"/>
      <c r="CA329" s="41" t="n"/>
      <c r="CB329" s="40" t="n"/>
      <c r="CC329" s="41" t="n"/>
      <c r="CD329" s="42" t="n"/>
      <c r="CE329" s="41" t="n"/>
      <c r="CF329" s="40" t="n"/>
      <c r="CG329" s="41" t="n"/>
      <c r="CH329" s="42" t="n"/>
      <c r="CI329" s="41" t="n"/>
      <c r="CJ329" s="40" t="n"/>
      <c r="CK329" s="41" t="n"/>
      <c r="CL329" s="42" t="n"/>
      <c r="CM329" s="41" t="n"/>
      <c r="CN329" s="40" t="n"/>
      <c r="CO329" s="41" t="n"/>
      <c r="CP329" s="42" t="n"/>
      <c r="CQ329" s="41" t="n"/>
      <c r="CR329" s="40" t="n"/>
      <c r="CS329" s="41" t="n"/>
      <c r="CT329" s="42" t="n"/>
      <c r="CU329" s="41" t="n"/>
      <c r="CV329" s="40" t="n"/>
      <c r="CW329" s="41" t="n"/>
      <c r="CX329" s="42" t="n"/>
      <c r="CY329" s="41" t="n"/>
      <c r="CZ329" s="40" t="n"/>
      <c r="DA329" s="41" t="n"/>
      <c r="DB329" s="42" t="n"/>
      <c r="DC329" s="41" t="n"/>
      <c r="DD329" s="40" t="n"/>
      <c r="DE329" s="41" t="n"/>
      <c r="DF329" s="42" t="n"/>
      <c r="DG329" s="41" t="n"/>
      <c r="DH329" s="40" t="n"/>
      <c r="DI329" s="41" t="n"/>
      <c r="DJ329" s="42" t="n"/>
      <c r="DK329" s="41" t="n"/>
      <c r="DL329" s="40" t="n"/>
      <c r="DM329" s="41" t="n"/>
      <c r="DN329" s="42" t="n"/>
      <c r="DO329" s="43" t="n"/>
      <c r="DP329" s="341" t="n"/>
      <c r="DQ329" s="811">
        <f>SUMPRODUCT(--(MOD(COLUMN(BT329:CQ329),4)=MOD(COLUMN(BT329),4)),BT329:CQ329)+SUMPRODUCT(--(MOD(COLUMN(CR329:DO329),4)=MOD(COLUMN(CR329),4)),CR329:DO329)</f>
        <v/>
      </c>
      <c r="DR329" s="811">
        <f>SUMPRODUCT(--(MOD(COLUMN(BT329:CQ329),4)=MOD(COLUMN(BT329),4)),BT329:CQ329)*$I329+SUMPRODUCT(--(MOD(COLUMN(CR329:DO329),4)=MOD(COLUMN(CR329),4)),CR329:DO329)*$I329</f>
        <v/>
      </c>
      <c r="DS329" s="801" t="n"/>
      <c r="DT329" s="819" t="n"/>
      <c r="DU329" s="40" t="n"/>
      <c r="DV329" s="41" t="n"/>
      <c r="DW329" s="42" t="n"/>
      <c r="DX329" s="41" t="n"/>
      <c r="DY329" s="40" t="n"/>
      <c r="DZ329" s="41" t="n"/>
      <c r="EA329" s="42" t="n"/>
      <c r="EB329" s="41" t="n"/>
      <c r="EC329" s="40" t="n"/>
      <c r="ED329" s="41" t="n"/>
      <c r="EE329" s="42" t="n"/>
      <c r="EF329" s="41" t="n"/>
      <c r="EG329" s="40" t="n"/>
      <c r="EH329" s="41" t="n"/>
      <c r="EI329" s="42" t="n"/>
      <c r="EJ329" s="41" t="n"/>
      <c r="EK329" s="40" t="n"/>
      <c r="EL329" s="41" t="n"/>
      <c r="EM329" s="42" t="n"/>
      <c r="EN329" s="41" t="n"/>
      <c r="EO329" s="40" t="n"/>
      <c r="EP329" s="41" t="n"/>
      <c r="EQ329" s="42" t="n"/>
      <c r="ER329" s="41" t="n"/>
      <c r="ES329" s="40" t="n"/>
      <c r="ET329" s="41" t="n"/>
      <c r="EU329" s="42" t="n"/>
      <c r="EV329" s="41" t="n"/>
      <c r="EW329" s="40" t="n"/>
      <c r="EX329" s="41" t="n"/>
      <c r="EY329" s="42" t="n"/>
      <c r="EZ329" s="41" t="n"/>
      <c r="FA329" s="40" t="n"/>
      <c r="FB329" s="41" t="n"/>
      <c r="FC329" s="42" t="n"/>
      <c r="FD329" s="41" t="n"/>
      <c r="FE329" s="40" t="n"/>
      <c r="FF329" s="41" t="n"/>
      <c r="FG329" s="42" t="n"/>
      <c r="FH329" s="41" t="n"/>
      <c r="FI329" s="40" t="n"/>
      <c r="FJ329" s="41" t="n"/>
      <c r="FK329" s="42" t="n"/>
      <c r="FL329" s="41" t="n"/>
      <c r="FM329" s="40" t="n"/>
      <c r="FN329" s="41" t="n"/>
      <c r="FO329" s="42" t="n"/>
      <c r="FP329" s="43" t="n"/>
      <c r="FQ329" s="341" t="n"/>
      <c r="FR329" s="811">
        <f>SUMPRODUCT(--(MOD(COLUMN(DU329:ER329),4)=MOD(COLUMN(DU329),4)),DU329:ER329)+SUMPRODUCT(--(MOD(COLUMN(ES329:FP329),4)=MOD(COLUMN(ES329),4)),ES329:FP329)</f>
        <v/>
      </c>
      <c r="FS329" s="811">
        <f>SUMPRODUCT(--(MOD(COLUMN(DU329:ER329),4)=MOD(COLUMN(DU329),4)),DU329:ER329)*$I329+SUMPRODUCT(--(MOD(COLUMN(ES329:FP329),4)=MOD(COLUMN(ES329),4)),ES329:FP329)*$I329</f>
        <v/>
      </c>
      <c r="FT329" s="361" t="n"/>
    </row>
    <row r="330" outlineLevel="1" customFormat="1" s="116">
      <c r="A330" s="46" t="inlineStr">
        <is>
          <t>АВТОВИК ООО / AVTOVIK OOO</t>
        </is>
      </c>
      <c r="B330" s="46" t="n"/>
      <c r="C330" s="650" t="n"/>
      <c r="D330" s="651" t="n"/>
      <c r="E330" s="133">
        <f>IF(ISBLANK(G330),"",IF($A$6:$A$330=$A330,COUNTIF($A$6:A330,$A330),""))</f>
        <v/>
      </c>
      <c r="F330" s="134" t="n"/>
      <c r="G330" s="135" t="n"/>
      <c r="H330" s="608" t="n"/>
      <c r="I330" s="632" t="n"/>
      <c r="J330" s="632" t="n"/>
      <c r="K330" s="136" t="n"/>
      <c r="L330" s="632">
        <f>IF(K330="RUB",J330/ЮАНЬ,IF(K330="EUR",J330*ЕВРО/ЮАНЬ,""))</f>
        <v/>
      </c>
      <c r="M330" s="873" t="n"/>
      <c r="N330" s="871">
        <f>IF(BP330&gt;0,1,IF(BN330&gt;0,2,))</f>
        <v/>
      </c>
      <c r="O330" s="121" t="n"/>
      <c r="P330" s="121" t="n"/>
      <c r="Q330" s="121" t="n"/>
      <c r="R330" s="121" t="n"/>
      <c r="S330" s="121" t="n"/>
      <c r="T330" s="121" t="n"/>
      <c r="U330" s="121" t="n"/>
      <c r="V330" s="121" t="n"/>
      <c r="W330" s="121" t="n"/>
      <c r="X330" s="121" t="n"/>
      <c r="Y330" s="121" t="n"/>
      <c r="Z330" s="121" t="n"/>
      <c r="AA330" s="121" t="n"/>
      <c r="AB330" s="121" t="n"/>
      <c r="AC330" s="121" t="n"/>
      <c r="AD330" s="121" t="n"/>
      <c r="AE330" s="121" t="n"/>
      <c r="AF330" s="121" t="n"/>
      <c r="AG330" s="121" t="n"/>
      <c r="AH330" s="121" t="n"/>
      <c r="AI330" s="121" t="n"/>
      <c r="AJ330" s="121" t="n"/>
      <c r="AK330" s="121" t="n"/>
      <c r="AL330" s="121" t="n"/>
      <c r="AM330" s="121" t="n"/>
      <c r="AN330" s="121" t="n"/>
      <c r="AO330" s="121" t="n"/>
      <c r="AP330" s="121" t="n"/>
      <c r="AQ330" s="121" t="n"/>
      <c r="AR330" s="121" t="n"/>
      <c r="AS330" s="121" t="n"/>
      <c r="AT330" s="121" t="n"/>
      <c r="AU330" s="121" t="n"/>
      <c r="AV330" s="121" t="n"/>
      <c r="AW330" s="121" t="n"/>
      <c r="AX330" s="121" t="n"/>
      <c r="AY330" s="121" t="n"/>
      <c r="AZ330" s="121" t="n"/>
      <c r="BA330" s="121" t="n"/>
      <c r="BB330" s="121" t="n"/>
      <c r="BC330" s="121" t="n"/>
      <c r="BD330" s="121" t="n"/>
      <c r="BE330" s="121" t="n"/>
      <c r="BF330" s="121" t="n"/>
      <c r="BG330" s="121" t="n"/>
      <c r="BH330" s="121" t="n"/>
      <c r="BI330" s="121" t="n"/>
      <c r="BJ330" s="121" t="n"/>
      <c r="BK330" s="356" t="n"/>
      <c r="BL330" s="814">
        <f>SUMPRODUCT(--(MOD(COLUMN($O330:$AL330),4)=MOD(COLUMN($O330)+0,4)),$O330:$AL330)
+SUMPRODUCT(--(MOD(COLUMN($AM330:$BJ330),4)=MOD(COLUMN($AM330)+0,4)),$AM330:$BJ330)</f>
        <v/>
      </c>
      <c r="BM330" s="814">
        <f>SUMPRODUCT(--(MOD(COLUMN($O330:$AL330),4)=MOD(COLUMN($O330)+0,4)),$O330:$AL330)*
$I330+SUMPRODUCT(--(MOD(COLUMN($AM330:$BJ330),4)=MOD(COLUMN($AM330)+0,4)),$AM330:$BJ330)*$I330</f>
        <v/>
      </c>
      <c r="BN330" s="814">
        <f>SUMPRODUCT(--(MOD(COLUMN($O330:$AL330),4)=MOD(COLUMN($O330)+1,4)),$O330:$AL330)
+SUMPRODUCT(--(MOD(COLUMN($AM330:$BJ330),4)=MOD(COLUMN($AM330)+1,4)),$AM330:$BJ330)</f>
        <v/>
      </c>
      <c r="BO330" s="814">
        <f>SUMPRODUCT(--(MOD(COLUMN($O330:$AL330),4)=MOD(COLUMN($O330)+1,4)),$O330:$AL330)*
$I330+SUMPRODUCT(--(MOD(COLUMN($AM330:$BJ330),4)=MOD(COLUMN($AM330)+1,4)),$AM330:$BJ330)*$I330</f>
        <v/>
      </c>
      <c r="BP330" s="814">
        <f>SUMPRODUCT(--(MOD(COLUMN($O330:$AL330),4)=MOD(COLUMN($O330)+2,4)),$O330:$AL330)
+SUMPRODUCT(--(MOD(COLUMN($AM330:$BJ330),4)=MOD(COLUMN($AM330)+2,4)),$AM330:$BJ330)</f>
        <v/>
      </c>
      <c r="BQ330" s="814">
        <f>SUMPRODUCT(--(MOD(COLUMN($O330:$AL330),4)=MOD(COLUMN($O330)+2,4)),$O330:$AL330)*
$I330+SUMPRODUCT(--(MOD(COLUMN($AM330:$BJ330),4)=MOD(COLUMN($AM330)+2,4)),$AM330:$BJ330)*$I330</f>
        <v/>
      </c>
      <c r="BR330" s="51" t="n"/>
      <c r="BS330" s="335" t="n"/>
      <c r="BT330" s="121" t="n"/>
      <c r="BU330" s="121" t="n"/>
      <c r="BV330" s="121" t="n"/>
      <c r="BW330" s="121" t="n"/>
      <c r="BX330" s="121" t="n"/>
      <c r="BY330" s="121" t="n"/>
      <c r="BZ330" s="121" t="n"/>
      <c r="CA330" s="121" t="n"/>
      <c r="CB330" s="121" t="n"/>
      <c r="CC330" s="121" t="n"/>
      <c r="CD330" s="121" t="n"/>
      <c r="CE330" s="121" t="n"/>
      <c r="CF330" s="121" t="n"/>
      <c r="CG330" s="121" t="n"/>
      <c r="CH330" s="121" t="n"/>
      <c r="CI330" s="121" t="n"/>
      <c r="CJ330" s="121" t="n"/>
      <c r="CK330" s="121" t="n"/>
      <c r="CL330" s="121" t="n"/>
      <c r="CM330" s="121" t="n"/>
      <c r="CN330" s="121" t="n"/>
      <c r="CO330" s="121" t="n"/>
      <c r="CP330" s="121" t="n"/>
      <c r="CQ330" s="121" t="n"/>
      <c r="CR330" s="121" t="n"/>
      <c r="CS330" s="121" t="n"/>
      <c r="CT330" s="121" t="n"/>
      <c r="CU330" s="121" t="n"/>
      <c r="CV330" s="121" t="n"/>
      <c r="CW330" s="121" t="n"/>
      <c r="CX330" s="121" t="n"/>
      <c r="CY330" s="121" t="n"/>
      <c r="CZ330" s="121" t="n"/>
      <c r="DA330" s="121" t="n"/>
      <c r="DB330" s="121" t="n"/>
      <c r="DC330" s="121" t="n"/>
      <c r="DD330" s="121" t="n"/>
      <c r="DE330" s="121" t="n"/>
      <c r="DF330" s="121" t="n"/>
      <c r="DG330" s="121" t="n"/>
      <c r="DH330" s="121" t="n"/>
      <c r="DI330" s="121" t="n"/>
      <c r="DJ330" s="121" t="n"/>
      <c r="DK330" s="121" t="n"/>
      <c r="DL330" s="121" t="n"/>
      <c r="DM330" s="121" t="n"/>
      <c r="DN330" s="121" t="n"/>
      <c r="DO330" s="121" t="n"/>
      <c r="DP330" s="356" t="n"/>
      <c r="DQ330" s="814">
        <f>SUMPRODUCT(--(MOD(COLUMN(BT330:CQ330),4)=MOD(COLUMN(BT330),4)),BT330:CQ330)+SUMPRODUCT(--(MOD(COLUMN(CR330:DO330),4)=MOD(COLUMN(CR330),4)),CR330:DO330)</f>
        <v/>
      </c>
      <c r="DR330" s="814">
        <f>SUMPRODUCT(--(MOD(COLUMN(BT330:CQ330),4)=MOD(COLUMN(BT330),4)),BT330:CQ330)*$I330+SUMPRODUCT(--(MOD(COLUMN(CR330:DO330),4)=MOD(COLUMN(CR330),4)),CR330:DO330)*$I330</f>
        <v/>
      </c>
      <c r="DS330" s="51" t="n"/>
      <c r="DT330" s="335" t="n"/>
      <c r="DU330" s="121" t="n"/>
      <c r="DV330" s="121" t="n"/>
      <c r="DW330" s="121" t="n"/>
      <c r="DX330" s="121" t="n"/>
      <c r="DY330" s="121" t="n"/>
      <c r="DZ330" s="121" t="n"/>
      <c r="EA330" s="121" t="n"/>
      <c r="EB330" s="121" t="n"/>
      <c r="EC330" s="121" t="n"/>
      <c r="ED330" s="121" t="n"/>
      <c r="EE330" s="121" t="n"/>
      <c r="EF330" s="121" t="n"/>
      <c r="EG330" s="121" t="n"/>
      <c r="EH330" s="121" t="n"/>
      <c r="EI330" s="121" t="n"/>
      <c r="EJ330" s="121" t="n"/>
      <c r="EK330" s="121" t="n"/>
      <c r="EL330" s="121" t="n"/>
      <c r="EM330" s="121" t="n"/>
      <c r="EN330" s="121" t="n"/>
      <c r="EO330" s="121" t="n"/>
      <c r="EP330" s="121" t="n"/>
      <c r="EQ330" s="121" t="n"/>
      <c r="ER330" s="121" t="n"/>
      <c r="ES330" s="121" t="n"/>
      <c r="ET330" s="121" t="n"/>
      <c r="EU330" s="121" t="n"/>
      <c r="EV330" s="121" t="n"/>
      <c r="EW330" s="121" t="n"/>
      <c r="EX330" s="121" t="n"/>
      <c r="EY330" s="121" t="n"/>
      <c r="EZ330" s="121" t="n"/>
      <c r="FA330" s="121" t="n"/>
      <c r="FB330" s="121" t="n"/>
      <c r="FC330" s="121" t="n"/>
      <c r="FD330" s="121" t="n"/>
      <c r="FE330" s="121" t="n"/>
      <c r="FF330" s="121" t="n"/>
      <c r="FG330" s="121" t="n"/>
      <c r="FH330" s="121" t="n"/>
      <c r="FI330" s="121" t="n"/>
      <c r="FJ330" s="121" t="n"/>
      <c r="FK330" s="121" t="n"/>
      <c r="FL330" s="121" t="n"/>
      <c r="FM330" s="121" t="n"/>
      <c r="FN330" s="121" t="n"/>
      <c r="FO330" s="121" t="n"/>
      <c r="FP330" s="121" t="n"/>
      <c r="FQ330" s="356" t="n"/>
      <c r="FR330" s="814">
        <f>SUMPRODUCT(--(MOD(COLUMN(DU330:ER330),4)=MOD(COLUMN(DU330),4)),DU330:ER330)+SUMPRODUCT(--(MOD(COLUMN(ES330:FP330),4)=MOD(COLUMN(ES330),4)),ES330:FP330)</f>
        <v/>
      </c>
      <c r="FS330" s="814">
        <f>SUMPRODUCT(--(MOD(COLUMN(DU330:ER330),4)=MOD(COLUMN(DU330),4)),DU330:ER330)*$I330+SUMPRODUCT(--(MOD(COLUMN(ES330:FP330),4)=MOD(COLUMN(ES330),4)),ES330:FP330)*$I330</f>
        <v/>
      </c>
      <c r="FT330" s="343" t="n"/>
    </row>
    <row r="331" customFormat="1" s="524">
      <c r="A331" s="523" t="n"/>
      <c r="C331" s="654" t="n"/>
      <c r="D331" s="654" t="n"/>
      <c r="E331" s="525" t="n"/>
      <c r="G331" s="526" t="n"/>
      <c r="I331" s="634" t="n"/>
      <c r="J331" s="634" t="n"/>
      <c r="K331" s="528" t="n"/>
      <c r="L331" s="634" t="n"/>
      <c r="M331" s="887" t="n"/>
      <c r="N331" s="888">
        <f>IF(BP331&gt;0,1,IF(BN331&gt;0,2,))</f>
        <v/>
      </c>
      <c r="O331" s="527" t="n"/>
      <c r="P331" s="527" t="n"/>
      <c r="Q331" s="527" t="n"/>
      <c r="R331" s="527" t="n"/>
      <c r="S331" s="527" t="n"/>
      <c r="T331" s="527" t="n"/>
      <c r="U331" s="527" t="n"/>
      <c r="V331" s="527" t="n"/>
      <c r="W331" s="527" t="n"/>
      <c r="X331" s="527" t="n"/>
      <c r="Y331" s="527" t="n"/>
      <c r="Z331" s="527" t="n"/>
      <c r="AA331" s="527" t="n"/>
      <c r="AB331" s="527" t="n"/>
      <c r="AC331" s="527" t="n"/>
      <c r="AD331" s="527" t="n"/>
      <c r="AE331" s="527" t="n"/>
      <c r="AF331" s="527" t="n"/>
      <c r="AG331" s="527" t="n"/>
      <c r="AH331" s="527" t="n"/>
      <c r="AI331" s="527" t="n"/>
      <c r="AJ331" s="527" t="n"/>
      <c r="AK331" s="527" t="n"/>
      <c r="AL331" s="527" t="n"/>
      <c r="AM331" s="527" t="n"/>
      <c r="AN331" s="527" t="n"/>
      <c r="AO331" s="527" t="n"/>
      <c r="AP331" s="527" t="n"/>
      <c r="AQ331" s="527" t="n"/>
      <c r="AR331" s="527" t="n"/>
      <c r="AS331" s="527" t="n"/>
      <c r="AT331" s="527" t="n"/>
      <c r="AU331" s="527" t="n"/>
      <c r="AV331" s="527" t="n"/>
      <c r="AW331" s="527" t="n"/>
      <c r="AX331" s="527" t="n"/>
      <c r="AY331" s="527" t="n"/>
      <c r="AZ331" s="527" t="n"/>
      <c r="BA331" s="527" t="n"/>
      <c r="BB331" s="527" t="n"/>
      <c r="BC331" s="527" t="n"/>
      <c r="BD331" s="527" t="n"/>
      <c r="BE331" s="527" t="n"/>
      <c r="BF331" s="527" t="n"/>
      <c r="BG331" s="527" t="n"/>
      <c r="BH331" s="527" t="n"/>
      <c r="BI331" s="527" t="n"/>
      <c r="BJ331" s="527" t="n"/>
      <c r="BK331" s="531" t="n"/>
      <c r="BL331" s="832">
        <f>SUMPRODUCT(--(MOD(COLUMN($O331:$AL331),4)=MOD(COLUMN($O331)+0,4)),$O331:$AL331)
+SUMPRODUCT(--(MOD(COLUMN($AM331:$BJ331),4)=MOD(COLUMN($AM331)+0,4)),$AM331:$BJ331)</f>
        <v/>
      </c>
      <c r="BM331" s="832">
        <f>SUMPRODUCT(--(MOD(COLUMN($O331:$AL331),4)=MOD(COLUMN($O331)+0,4)),$O331:$AL331)*$I331
+SUMPRODUCT(--(MOD(COLUMN($AM331:$BJ331),4)=MOD(COLUMN($AM331)+0,4)),$AM331:$BJ331)*$I331</f>
        <v/>
      </c>
      <c r="BN331" s="832">
        <f>SUMPRODUCT(--(MOD(COLUMN($O331:$AL331),4)=MOD(COLUMN($O331)+1,4)),$O331:$AL331)
+SUMPRODUCT(--(MOD(COLUMN($AM331:$BJ331),4)=MOD(COLUMN($AM331)+1,4)),$AM331:$BJ331)</f>
        <v/>
      </c>
      <c r="BO331" s="832">
        <f>SUMPRODUCT(--(MOD(COLUMN($O331:$AL331),4)=MOD(COLUMN($O331)+1,4)),$O331:$AL331)*$I331
+SUMPRODUCT(--(MOD(COLUMN($AM331:$BJ331),4)=MOD(COLUMN($AM331)+1,4)),$AM331:$BJ331)*$I331</f>
        <v/>
      </c>
      <c r="BP331" s="832">
        <f>SUMPRODUCT(--(MOD(COLUMN($O331:$AL331),4)=MOD(COLUMN($O331)+2,4)),$O331:$AL331)
+SUMPRODUCT(--(MOD(COLUMN($AM331:$BJ331),4)=MOD(COLUMN($AM331)+2,4)),$AM331:$BJ331)</f>
        <v/>
      </c>
      <c r="BQ331" s="832">
        <f>SUMPRODUCT(--(MOD(COLUMN($O331:$AL331),4)=MOD(COLUMN($O331)+2,4)),$O331:$AL331)*$I331
+SUMPRODUCT(--(MOD(COLUMN($AM331:$BJ331),4)=MOD(COLUMN($AM331)+2,4)),$AM331:$BJ331)*$I331</f>
        <v/>
      </c>
      <c r="BR331" s="835" t="n"/>
      <c r="BS331" s="889" t="n"/>
      <c r="BT331" s="527" t="n"/>
      <c r="BU331" s="527" t="n"/>
      <c r="BV331" s="527" t="n"/>
      <c r="BW331" s="527" t="n"/>
      <c r="BX331" s="527" t="n"/>
      <c r="BY331" s="527" t="n"/>
      <c r="BZ331" s="527" t="n"/>
      <c r="CA331" s="527" t="n"/>
      <c r="CB331" s="527" t="n"/>
      <c r="CC331" s="527" t="n"/>
      <c r="CD331" s="527" t="n"/>
      <c r="CE331" s="527" t="n"/>
      <c r="CF331" s="527" t="n"/>
      <c r="CG331" s="527" t="n"/>
      <c r="CH331" s="527" t="n"/>
      <c r="CI331" s="527" t="n"/>
      <c r="CJ331" s="527" t="n"/>
      <c r="CK331" s="527" t="n"/>
      <c r="CL331" s="527" t="n"/>
      <c r="CM331" s="527" t="n"/>
      <c r="CN331" s="527" t="n"/>
      <c r="CO331" s="527" t="n"/>
      <c r="CP331" s="527" t="n"/>
      <c r="CQ331" s="527" t="n"/>
      <c r="CR331" s="527" t="n"/>
      <c r="CS331" s="527" t="n"/>
      <c r="CT331" s="527" t="n"/>
      <c r="CU331" s="527" t="n"/>
      <c r="CV331" s="527" t="n"/>
      <c r="CW331" s="527" t="n"/>
      <c r="CX331" s="527" t="n"/>
      <c r="CY331" s="527" t="n"/>
      <c r="CZ331" s="527" t="n"/>
      <c r="DA331" s="527" t="n"/>
      <c r="DB331" s="527" t="n"/>
      <c r="DC331" s="527" t="n"/>
      <c r="DD331" s="527" t="n"/>
      <c r="DE331" s="527" t="n"/>
      <c r="DF331" s="527" t="n"/>
      <c r="DG331" s="527" t="n"/>
      <c r="DH331" s="527" t="n"/>
      <c r="DI331" s="527" t="n"/>
      <c r="DJ331" s="527" t="n"/>
      <c r="DK331" s="527" t="n"/>
      <c r="DL331" s="527" t="n"/>
      <c r="DM331" s="527" t="n"/>
      <c r="DN331" s="527" t="n"/>
      <c r="DO331" s="527" t="n"/>
      <c r="DP331" s="531" t="n"/>
      <c r="DQ331" s="832">
        <f>SUMPRODUCT(--(MOD(COLUMN(BT331:CQ331),4)=MOD(COLUMN(BT331),4)),BT331:CQ331)+SUMPRODUCT(--(MOD(COLUMN(CR331:DO331),4)=MOD(COLUMN(CR331),4)),CR331:DO331)</f>
        <v/>
      </c>
      <c r="DR331" s="832">
        <f>SUMPRODUCT(--(MOD(COLUMN(BT331:CQ331),4)=MOD(COLUMN(BT331),4)),BT331:CQ331)*$I331+SUMPRODUCT(--(MOD(COLUMN(CR331:DO331),4)=MOD(COLUMN(CR331),4)),CR331:DO331)*$I331</f>
        <v/>
      </c>
      <c r="DS331" s="835" t="n"/>
      <c r="DT331" s="889" t="n"/>
      <c r="DU331" s="527" t="n"/>
      <c r="DV331" s="527" t="n"/>
      <c r="DW331" s="527" t="n"/>
      <c r="DX331" s="527" t="n"/>
      <c r="DY331" s="527" t="n"/>
      <c r="DZ331" s="527" t="n"/>
      <c r="EA331" s="527" t="n"/>
      <c r="EB331" s="527" t="n"/>
      <c r="EC331" s="527" t="n"/>
      <c r="ED331" s="527" t="n"/>
      <c r="EE331" s="527" t="n"/>
      <c r="EF331" s="527" t="n"/>
      <c r="EG331" s="527" t="n"/>
      <c r="EH331" s="527" t="n"/>
      <c r="EI331" s="527" t="n"/>
      <c r="EJ331" s="527" t="n"/>
      <c r="EK331" s="527" t="n"/>
      <c r="EL331" s="527" t="n"/>
      <c r="EM331" s="527" t="n"/>
      <c r="EN331" s="527" t="n"/>
      <c r="EO331" s="527" t="n"/>
      <c r="EP331" s="527" t="n"/>
      <c r="EQ331" s="527" t="n"/>
      <c r="ER331" s="527" t="n"/>
      <c r="ES331" s="527" t="n"/>
      <c r="ET331" s="527" t="n"/>
      <c r="EU331" s="527" t="n"/>
      <c r="EV331" s="527" t="n"/>
      <c r="EW331" s="527" t="n"/>
      <c r="EX331" s="527" t="n"/>
      <c r="EY331" s="527" t="n"/>
      <c r="EZ331" s="527" t="n"/>
      <c r="FA331" s="527" t="n"/>
      <c r="FB331" s="527" t="n"/>
      <c r="FC331" s="527" t="n"/>
      <c r="FD331" s="527" t="n"/>
      <c r="FE331" s="527" t="n"/>
      <c r="FF331" s="527" t="n"/>
      <c r="FG331" s="527" t="n"/>
      <c r="FH331" s="527" t="n"/>
      <c r="FI331" s="527" t="n"/>
      <c r="FJ331" s="527" t="n"/>
      <c r="FK331" s="527" t="n"/>
      <c r="FL331" s="527" t="n"/>
      <c r="FM331" s="527" t="n"/>
      <c r="FN331" s="527" t="n"/>
      <c r="FO331" s="527" t="n"/>
      <c r="FP331" s="527" t="n"/>
      <c r="FQ331" s="531" t="n"/>
      <c r="FR331" s="832">
        <f>SUMPRODUCT(--(MOD(COLUMN(DU331:ER331),4)=MOD(COLUMN(DU331),4)),DU331:ER331)+SUMPRODUCT(--(MOD(COLUMN(ES331:FP331),4)=MOD(COLUMN(ES331),4)),ES331:FP331)</f>
        <v/>
      </c>
      <c r="FS331" s="832">
        <f>SUMPRODUCT(--(MOD(COLUMN(DU331:ER331),4)=MOD(COLUMN(DU331),4)),DU331:ER331)*$I331+SUMPRODUCT(--(MOD(COLUMN(ES331:FP331),4)=MOD(COLUMN(ES331),4)),ES331:FP331)*$I331</f>
        <v/>
      </c>
    </row>
    <row r="332" outlineLevel="2" customFormat="1" s="63">
      <c r="A332" s="64" t="inlineStr">
        <is>
          <t>УЛЬТРА ГРУПП ООО</t>
        </is>
      </c>
      <c r="B332" s="65" t="n"/>
      <c r="C332" s="655" t="n"/>
      <c r="D332" s="655" t="n"/>
      <c r="E332" s="508" t="n"/>
      <c r="F332" s="65" t="n"/>
      <c r="G332" s="137" t="n"/>
      <c r="H332" s="65" t="inlineStr">
        <is>
          <t>CNY, без НДС:</t>
        </is>
      </c>
      <c r="I332" s="635" t="n"/>
      <c r="J332" s="635" t="n"/>
      <c r="K332" s="138" t="n"/>
      <c r="L332" s="635" t="n"/>
      <c r="M332" s="873" t="n"/>
      <c r="N332" s="871">
        <f>IF(BP332&gt;0,1,IF(BN332&gt;0,2,))</f>
        <v/>
      </c>
      <c r="O332" s="836">
        <f>IFERROR(SUMPRODUCT(($A332=$A$6:$A$330)*$I$6:$I$330*O$6:O$330),"")</f>
        <v/>
      </c>
      <c r="P332" s="836">
        <f>IFERROR(SUMPRODUCT(($A332=$A$6:$A$330)*$I$6:$I$330*P$6:P$330),"")</f>
        <v/>
      </c>
      <c r="Q332" s="836">
        <f>IFERROR(SUMPRODUCT(($A332=$A$6:$A$330)*$I$6:$I$330*Q$6:Q$330),"")</f>
        <v/>
      </c>
      <c r="R332" s="836">
        <f>IFERROR(SUMPRODUCT(($A332=$A$6:$A$330)*$I$6:$I$330*R$6:R$330),"")</f>
        <v/>
      </c>
      <c r="S332" s="836">
        <f>IFERROR(SUMPRODUCT(($A332=$A$6:$A$330)*$I$6:$I$330*S$6:S$330),"")</f>
        <v/>
      </c>
      <c r="T332" s="836">
        <f>IFERROR(SUMPRODUCT(($A332=$A$6:$A$330)*$I$6:$I$330*T$6:T$330),"")</f>
        <v/>
      </c>
      <c r="U332" s="836">
        <f>IFERROR(SUMPRODUCT(($A332=$A$6:$A$330)*$I$6:$I$330*U$6:U$330),"")</f>
        <v/>
      </c>
      <c r="V332" s="836">
        <f>IFERROR(SUMPRODUCT(($A332=$A$6:$A$330)*$I$6:$I$330*V$6:V$330),"")</f>
        <v/>
      </c>
      <c r="W332" s="836">
        <f>IFERROR(SUMPRODUCT(($A332=$A$6:$A$330)*$I$6:$I$330*W$6:W$330),"")</f>
        <v/>
      </c>
      <c r="X332" s="836">
        <f>IFERROR(SUMPRODUCT(($A332=$A$6:$A$330)*$I$6:$I$330*X$6:X$330),"")</f>
        <v/>
      </c>
      <c r="Y332" s="836">
        <f>IFERROR(SUMPRODUCT(($A332=$A$6:$A$330)*$I$6:$I$330*Y$6:Y$330),"")</f>
        <v/>
      </c>
      <c r="Z332" s="836">
        <f>IFERROR(SUMPRODUCT(($A332=$A$6:$A$330)*$I$6:$I$330*Z$6:Z$330),"")</f>
        <v/>
      </c>
      <c r="AA332" s="836">
        <f>IFERROR(SUMPRODUCT(($A332=$A$6:$A$330)*$I$6:$I$330*AA$6:AA$330),"")</f>
        <v/>
      </c>
      <c r="AB332" s="836">
        <f>IFERROR(SUMPRODUCT(($A332=$A$6:$A$330)*$I$6:$I$330*AB$6:AB$330),"")</f>
        <v/>
      </c>
      <c r="AC332" s="836">
        <f>IFERROR(SUMPRODUCT(($A332=$A$6:$A$330)*$I$6:$I$330*AC$6:AC$330),"")</f>
        <v/>
      </c>
      <c r="AD332" s="836">
        <f>IFERROR(SUMPRODUCT(($A332=$A$6:$A$330)*$I$6:$I$330*AD$6:AD$330),"")</f>
        <v/>
      </c>
      <c r="AE332" s="836">
        <f>IFERROR(SUMPRODUCT(($A332=$A$6:$A$330)*$I$6:$I$330*AE$6:AE$330),"")</f>
        <v/>
      </c>
      <c r="AF332" s="836">
        <f>IFERROR(SUMPRODUCT(($A332=$A$6:$A$330)*$I$6:$I$330*AF$6:AF$330),"")</f>
        <v/>
      </c>
      <c r="AG332" s="836">
        <f>IFERROR(SUMPRODUCT(($A332=$A$6:$A$330)*$I$6:$I$330*AG$6:AG$330),"")</f>
        <v/>
      </c>
      <c r="AH332" s="836">
        <f>IFERROR(SUMPRODUCT(($A332=$A$6:$A$330)*$I$6:$I$330*AH$6:AH$330),"")</f>
        <v/>
      </c>
      <c r="AI332" s="836">
        <f>IFERROR(SUMPRODUCT(($A332=$A$6:$A$330)*$I$6:$I$330*AI$6:AI$330),"")</f>
        <v/>
      </c>
      <c r="AJ332" s="836">
        <f>IFERROR(SUMPRODUCT(($A332=$A$6:$A$330)*$I$6:$I$330*AJ$6:AJ$330),"")</f>
        <v/>
      </c>
      <c r="AK332" s="836">
        <f>IFERROR(SUMPRODUCT(($A332=$A$6:$A$330)*$I$6:$I$330*AK$6:AK$330),"")</f>
        <v/>
      </c>
      <c r="AL332" s="836">
        <f>IFERROR(SUMPRODUCT(($A332=$A$6:$A$330)*$I$6:$I$330*AL$6:AL$330),"")</f>
        <v/>
      </c>
      <c r="AM332" s="836">
        <f>IFERROR(SUMPRODUCT(($A332=$A$6:$A$330)*$I$6:$I$330*AM$6:AM$330),"")</f>
        <v/>
      </c>
      <c r="AN332" s="836">
        <f>IFERROR(SUMPRODUCT(($A332=$A$6:$A$330)*$I$6:$I$330*AN$6:AN$330),"")</f>
        <v/>
      </c>
      <c r="AO332" s="836">
        <f>IFERROR(SUMPRODUCT(($A332=$A$6:$A$330)*$I$6:$I$330*AO$6:AO$330),"")</f>
        <v/>
      </c>
      <c r="AP332" s="836">
        <f>IFERROR(SUMPRODUCT(($A332=$A$6:$A$330)*$I$6:$I$330*AP$6:AP$330),"")</f>
        <v/>
      </c>
      <c r="AQ332" s="836">
        <f>IFERROR(SUMPRODUCT(($A332=$A$6:$A$330)*$I$6:$I$330*AQ$6:AQ$330),"")</f>
        <v/>
      </c>
      <c r="AR332" s="836">
        <f>IFERROR(SUMPRODUCT(($A332=$A$6:$A$330)*$I$6:$I$330*AR$6:AR$330),"")</f>
        <v/>
      </c>
      <c r="AS332" s="836">
        <f>IFERROR(SUMPRODUCT(($A332=$A$6:$A$330)*$I$6:$I$330*AS$6:AS$330),"")</f>
        <v/>
      </c>
      <c r="AT332" s="836">
        <f>IFERROR(SUMPRODUCT(($A332=$A$6:$A$330)*$I$6:$I$330*AT$6:AT$330),"")</f>
        <v/>
      </c>
      <c r="AU332" s="836">
        <f>IFERROR(SUMPRODUCT(($A332=$A$6:$A$330)*$I$6:$I$330*AU$6:AU$330),"")</f>
        <v/>
      </c>
      <c r="AV332" s="836">
        <f>IFERROR(SUMPRODUCT(($A332=$A$6:$A$330)*$I$6:$I$330*AV$6:AV$330),"")</f>
        <v/>
      </c>
      <c r="AW332" s="836">
        <f>IFERROR(SUMPRODUCT(($A332=$A$6:$A$330)*$I$6:$I$330*AW$6:AW$330),"")</f>
        <v/>
      </c>
      <c r="AX332" s="836">
        <f>IFERROR(SUMPRODUCT(($A332=$A$6:$A$330)*$I$6:$I$330*AX$6:AX$330),"")</f>
        <v/>
      </c>
      <c r="AY332" s="836">
        <f>IFERROR(SUMPRODUCT(($A332=$A$6:$A$330)*$I$6:$I$330*AY$6:AY$330),"")</f>
        <v/>
      </c>
      <c r="AZ332" s="836">
        <f>IFERROR(SUMPRODUCT(($A332=$A$6:$A$330)*$I$6:$I$330*AZ$6:AZ$330),"")</f>
        <v/>
      </c>
      <c r="BA332" s="836">
        <f>IFERROR(SUMPRODUCT(($A332=$A$6:$A$330)*$I$6:$I$330*BA$6:BA$330),"")</f>
        <v/>
      </c>
      <c r="BB332" s="836">
        <f>IFERROR(SUMPRODUCT(($A332=$A$6:$A$330)*$I$6:$I$330*BB$6:BB$330),"")</f>
        <v/>
      </c>
      <c r="BC332" s="836">
        <f>IFERROR(SUMPRODUCT(($A332=$A$6:$A$330)*$I$6:$I$330*BC$6:BC$330),"")</f>
        <v/>
      </c>
      <c r="BD332" s="836">
        <f>IFERROR(SUMPRODUCT(($A332=$A$6:$A$330)*$I$6:$I$330*BD$6:BD$330),"")</f>
        <v/>
      </c>
      <c r="BE332" s="836">
        <f>IFERROR(SUMPRODUCT(($A332=$A$6:$A$330)*$I$6:$I$330*BE$6:BE$330),"")</f>
        <v/>
      </c>
      <c r="BF332" s="836">
        <f>IFERROR(SUMPRODUCT(($A332=$A$6:$A$330)*$I$6:$I$330*BF$6:BF$330),"")</f>
        <v/>
      </c>
      <c r="BG332" s="836">
        <f>IFERROR(SUMPRODUCT(($A332=$A$6:$A$330)*$I$6:$I$330*BG$6:BG$330),"")</f>
        <v/>
      </c>
      <c r="BH332" s="836">
        <f>IFERROR(SUMPRODUCT(($A332=$A$6:$A$330)*$I$6:$I$330*BH$6:BH$330),"")</f>
        <v/>
      </c>
      <c r="BI332" s="836">
        <f>IFERROR(SUMPRODUCT(($A332=$A$6:$A$330)*$I$6:$I$330*BI$6:BI$330),"")</f>
        <v/>
      </c>
      <c r="BJ332" s="836">
        <f>IFERROR(SUMPRODUCT(($A332=$A$6:$A$330)*$I$6:$I$330*BJ$6:BJ$330),"")</f>
        <v/>
      </c>
      <c r="BK332" s="839" t="n"/>
      <c r="BL332" s="836">
        <f>SUMPRODUCT(--(MOD(COLUMN($O332:$AL332),4)=MOD(COLUMN($O332)+0,4)),$O332:$AL332)
+SUMPRODUCT(--(MOD(COLUMN($AM332:$BJ332),4)=MOD(COLUMN($AM332)+0,4)),$AM332:$BJ332)</f>
        <v/>
      </c>
      <c r="BM332" s="836">
        <f>SUMPRODUCT(--(MOD(COLUMN($O332:$AL332),4)=MOD(COLUMN($O332)+0,4)),$O332:$AL332)*
$I332+SUMPRODUCT(--(MOD(COLUMN($AM332:$BJ332),4)=MOD(COLUMN($AM332)+0,4)),$AM332:$BJ332)*$I332</f>
        <v/>
      </c>
      <c r="BN332" s="836">
        <f>SUMPRODUCT(--(MOD(COLUMN($O332:$AL332),4)=MOD(COLUMN($O332)+1,4)),$O332:$AL332)
+SUMPRODUCT(--(MOD(COLUMN($AM332:$BJ332),4)=MOD(COLUMN($AM332)+1,4)),$AM332:$BJ332)</f>
        <v/>
      </c>
      <c r="BO332" s="836">
        <f>SUMPRODUCT(--(MOD(COLUMN($O332:$AL332),4)=MOD(COLUMN($O332)+1,4)),$O332:$AL332)*
$I332+SUMPRODUCT(--(MOD(COLUMN($AM332:$BJ332),4)=MOD(COLUMN($AM332)+1,4)),$AM332:$BJ332)*$I332</f>
        <v/>
      </c>
      <c r="BP332" s="836">
        <f>SUMPRODUCT(--(MOD(COLUMN($O332:$AL332),4)=MOD(COLUMN($O332)+2,4)),$O332:$AL332)
+SUMPRODUCT(--(MOD(COLUMN($AM332:$BJ332),4)=MOD(COLUMN($AM332)+2,4)),$AM332:$BJ332)</f>
        <v/>
      </c>
      <c r="BQ332" s="836">
        <f>SUMPRODUCT(--(MOD(COLUMN($O332:$AL332),4)=MOD(COLUMN($O332)+2,4)),$O332:$AL332)*
$I332+SUMPRODUCT(--(MOD(COLUMN($AM332:$BJ332),4)=MOD(COLUMN($AM332)+2,4)),$AM332:$BJ332)*$I332</f>
        <v/>
      </c>
      <c r="BR332" s="814" t="n"/>
      <c r="BS332" s="816" t="n"/>
      <c r="BT332" s="836" t="n"/>
      <c r="BU332" s="836" t="n"/>
      <c r="BV332" s="836" t="n"/>
      <c r="BW332" s="836" t="n"/>
      <c r="BX332" s="836" t="n"/>
      <c r="BY332" s="836" t="n"/>
      <c r="BZ332" s="836" t="n"/>
      <c r="CA332" s="836" t="n"/>
      <c r="CB332" s="836" t="n"/>
      <c r="CC332" s="836" t="n"/>
      <c r="CD332" s="836" t="n"/>
      <c r="CE332" s="836" t="n"/>
      <c r="CF332" s="836" t="n"/>
      <c r="CG332" s="836" t="n"/>
      <c r="CH332" s="836" t="n"/>
      <c r="CI332" s="836" t="n"/>
      <c r="CJ332" s="836" t="n"/>
      <c r="CK332" s="836" t="n"/>
      <c r="CL332" s="836" t="n"/>
      <c r="CM332" s="836" t="n"/>
      <c r="CN332" s="836" t="n"/>
      <c r="CO332" s="836" t="n"/>
      <c r="CP332" s="836" t="n"/>
      <c r="CQ332" s="836" t="n"/>
      <c r="CR332" s="836" t="n"/>
      <c r="CS332" s="836" t="n"/>
      <c r="CT332" s="836" t="n"/>
      <c r="CU332" s="836" t="n"/>
      <c r="CV332" s="836" t="n"/>
      <c r="CW332" s="836" t="n"/>
      <c r="CX332" s="836" t="n"/>
      <c r="CY332" s="836" t="n"/>
      <c r="CZ332" s="836" t="n"/>
      <c r="DA332" s="836" t="n"/>
      <c r="DB332" s="836" t="n"/>
      <c r="DC332" s="836" t="n"/>
      <c r="DD332" s="836" t="n"/>
      <c r="DE332" s="836" t="n"/>
      <c r="DF332" s="836" t="n"/>
      <c r="DG332" s="836" t="n"/>
      <c r="DH332" s="836" t="n"/>
      <c r="DI332" s="836" t="n"/>
      <c r="DJ332" s="836" t="n"/>
      <c r="DK332" s="836" t="n"/>
      <c r="DL332" s="836" t="n"/>
      <c r="DM332" s="836" t="n"/>
      <c r="DN332" s="836" t="n"/>
      <c r="DO332" s="836" t="n"/>
      <c r="DP332" s="839" t="n"/>
      <c r="DQ332" s="836" t="n"/>
      <c r="DR332" s="836">
        <f>SUMPRODUCT(--(MOD(COLUMN(BT332:CQ332),4)=MOD(COLUMN(BT332),4)),BT332:CQ332)*$I332+SUMPRODUCT(--(MOD(COLUMN(CR332:DO332),4)=MOD(COLUMN(CR332),4)),CR332:DO332)*$I332</f>
        <v/>
      </c>
      <c r="DS332" s="814" t="n"/>
      <c r="DT332" s="816" t="n"/>
      <c r="DU332" s="836" t="n"/>
      <c r="DV332" s="836" t="n"/>
      <c r="DW332" s="836" t="n"/>
      <c r="DX332" s="836" t="n"/>
      <c r="DY332" s="836" t="n"/>
      <c r="DZ332" s="836" t="n"/>
      <c r="EA332" s="836" t="n"/>
      <c r="EB332" s="836" t="n"/>
      <c r="EC332" s="836" t="n"/>
      <c r="ED332" s="836" t="n"/>
      <c r="EE332" s="836" t="n"/>
      <c r="EF332" s="836" t="n"/>
      <c r="EG332" s="836" t="n"/>
      <c r="EH332" s="836" t="n"/>
      <c r="EI332" s="836" t="n"/>
      <c r="EJ332" s="836" t="n"/>
      <c r="EK332" s="836" t="n"/>
      <c r="EL332" s="836" t="n"/>
      <c r="EM332" s="836" t="n"/>
      <c r="EN332" s="836" t="n"/>
      <c r="EO332" s="836" t="n"/>
      <c r="EP332" s="836" t="n"/>
      <c r="EQ332" s="836" t="n"/>
      <c r="ER332" s="836" t="n"/>
      <c r="ES332" s="836" t="n"/>
      <c r="ET332" s="836" t="n"/>
      <c r="EU332" s="836" t="n"/>
      <c r="EV332" s="836" t="n"/>
      <c r="EW332" s="836" t="n"/>
      <c r="EX332" s="836" t="n"/>
      <c r="EY332" s="836" t="n"/>
      <c r="EZ332" s="836" t="n"/>
      <c r="FA332" s="836" t="n"/>
      <c r="FB332" s="836" t="n"/>
      <c r="FC332" s="836" t="n"/>
      <c r="FD332" s="836" t="n"/>
      <c r="FE332" s="836" t="n"/>
      <c r="FF332" s="836" t="n"/>
      <c r="FG332" s="836" t="n"/>
      <c r="FH332" s="836" t="n"/>
      <c r="FI332" s="836" t="n"/>
      <c r="FJ332" s="836" t="n"/>
      <c r="FK332" s="836" t="n"/>
      <c r="FL332" s="836" t="n"/>
      <c r="FM332" s="836" t="n"/>
      <c r="FN332" s="836" t="n"/>
      <c r="FO332" s="836" t="n"/>
      <c r="FP332" s="836" t="n"/>
      <c r="FQ332" s="839" t="n"/>
      <c r="FR332" s="836" t="n"/>
      <c r="FS332" s="836">
        <f>SUMPRODUCT(--(MOD(COLUMN(DU332:ER332),4)=MOD(COLUMN(DU332),4)),DU332:ER332)*$I332+SUMPRODUCT(--(MOD(COLUMN(ES332:FP332),4)=MOD(COLUMN(ES332),4)),ES332:FP332)*$I332</f>
        <v/>
      </c>
    </row>
    <row r="333" outlineLevel="2" customFormat="1" s="63">
      <c r="A333" s="64" t="inlineStr">
        <is>
          <t>НОВОСИБАРЗ АО</t>
        </is>
      </c>
      <c r="B333" s="65" t="n"/>
      <c r="C333" s="655" t="n"/>
      <c r="D333" s="655" t="n"/>
      <c r="E333" s="508" t="n"/>
      <c r="F333" s="65" t="n"/>
      <c r="G333" s="137" t="n"/>
      <c r="H333" s="65" t="inlineStr">
        <is>
          <t>CNY, без НДС:</t>
        </is>
      </c>
      <c r="I333" s="635" t="n"/>
      <c r="J333" s="635" t="n"/>
      <c r="K333" s="138" t="n"/>
      <c r="L333" s="635" t="n"/>
      <c r="M333" s="873" t="n"/>
      <c r="N333" s="871">
        <f>IF(BP333&gt;0,1,IF(BN333&gt;0,2,))</f>
        <v/>
      </c>
      <c r="O333" s="836">
        <f>IFERROR(SUMPRODUCT(($A333=$A$6:$A$330)*$I$6:$I$330*O$6:O$330),"")</f>
        <v/>
      </c>
      <c r="P333" s="836">
        <f>IFERROR(SUMPRODUCT(($A333=$A$6:$A$330)*$I$6:$I$330*P$6:P$330),"")</f>
        <v/>
      </c>
      <c r="Q333" s="836">
        <f>IFERROR(SUMPRODUCT(($A333=$A$6:$A$330)*$I$6:$I$330*Q$6:Q$330),"")</f>
        <v/>
      </c>
      <c r="R333" s="836">
        <f>IFERROR(SUMPRODUCT(($A333=$A$6:$A$330)*$I$6:$I$330*R$6:R$330),"")</f>
        <v/>
      </c>
      <c r="S333" s="836">
        <f>IFERROR(SUMPRODUCT(($A333=$A$6:$A$330)*$I$6:$I$330*S$6:S$330),"")</f>
        <v/>
      </c>
      <c r="T333" s="836">
        <f>IFERROR(SUMPRODUCT(($A333=$A$6:$A$330)*$I$6:$I$330*T$6:T$330),"")</f>
        <v/>
      </c>
      <c r="U333" s="836">
        <f>IFERROR(SUMPRODUCT(($A333=$A$6:$A$330)*$I$6:$I$330*U$6:U$330),"")</f>
        <v/>
      </c>
      <c r="V333" s="836">
        <f>IFERROR(SUMPRODUCT(($A333=$A$6:$A$330)*$I$6:$I$330*V$6:V$330),"")</f>
        <v/>
      </c>
      <c r="W333" s="836">
        <f>IFERROR(SUMPRODUCT(($A333=$A$6:$A$330)*$I$6:$I$330*W$6:W$330),"")</f>
        <v/>
      </c>
      <c r="X333" s="836">
        <f>IFERROR(SUMPRODUCT(($A333=$A$6:$A$330)*$I$6:$I$330*X$6:X$330),"")</f>
        <v/>
      </c>
      <c r="Y333" s="836">
        <f>IFERROR(SUMPRODUCT(($A333=$A$6:$A$330)*$I$6:$I$330*Y$6:Y$330),"")</f>
        <v/>
      </c>
      <c r="Z333" s="836">
        <f>IFERROR(SUMPRODUCT(($A333=$A$6:$A$330)*$I$6:$I$330*Z$6:Z$330),"")</f>
        <v/>
      </c>
      <c r="AA333" s="836">
        <f>IFERROR(SUMPRODUCT(($A333=$A$6:$A$330)*$I$6:$I$330*AA$6:AA$330),"")</f>
        <v/>
      </c>
      <c r="AB333" s="836">
        <f>IFERROR(SUMPRODUCT(($A333=$A$6:$A$330)*$I$6:$I$330*AB$6:AB$330),"")</f>
        <v/>
      </c>
      <c r="AC333" s="836">
        <f>IFERROR(SUMPRODUCT(($A333=$A$6:$A$330)*$I$6:$I$330*AC$6:AC$330),"")</f>
        <v/>
      </c>
      <c r="AD333" s="836">
        <f>IFERROR(SUMPRODUCT(($A333=$A$6:$A$330)*$I$6:$I$330*AD$6:AD$330),"")</f>
        <v/>
      </c>
      <c r="AE333" s="836">
        <f>IFERROR(SUMPRODUCT(($A333=$A$6:$A$330)*$I$6:$I$330*AE$6:AE$330),"")</f>
        <v/>
      </c>
      <c r="AF333" s="836">
        <f>IFERROR(SUMPRODUCT(($A333=$A$6:$A$330)*$I$6:$I$330*AF$6:AF$330),"")</f>
        <v/>
      </c>
      <c r="AG333" s="836">
        <f>IFERROR(SUMPRODUCT(($A333=$A$6:$A$330)*$I$6:$I$330*AG$6:AG$330),"")</f>
        <v/>
      </c>
      <c r="AH333" s="836">
        <f>IFERROR(SUMPRODUCT(($A333=$A$6:$A$330)*$I$6:$I$330*AH$6:AH$330),"")</f>
        <v/>
      </c>
      <c r="AI333" s="836">
        <f>IFERROR(SUMPRODUCT(($A333=$A$6:$A$330)*$I$6:$I$330*AI$6:AI$330),"")</f>
        <v/>
      </c>
      <c r="AJ333" s="836">
        <f>IFERROR(SUMPRODUCT(($A333=$A$6:$A$330)*$I$6:$I$330*AJ$6:AJ$330),"")</f>
        <v/>
      </c>
      <c r="AK333" s="836">
        <f>IFERROR(SUMPRODUCT(($A333=$A$6:$A$330)*$I$6:$I$330*AK$6:AK$330),"")</f>
        <v/>
      </c>
      <c r="AL333" s="836">
        <f>IFERROR(SUMPRODUCT(($A333=$A$6:$A$330)*$I$6:$I$330*AL$6:AL$330),"")</f>
        <v/>
      </c>
      <c r="AM333" s="836">
        <f>IFERROR(SUMPRODUCT(($A333=$A$6:$A$330)*$I$6:$I$330*AM$6:AM$330),"")</f>
        <v/>
      </c>
      <c r="AN333" s="836">
        <f>IFERROR(SUMPRODUCT(($A333=$A$6:$A$330)*$I$6:$I$330*AN$6:AN$330),"")</f>
        <v/>
      </c>
      <c r="AO333" s="836">
        <f>IFERROR(SUMPRODUCT(($A333=$A$6:$A$330)*$I$6:$I$330*AO$6:AO$330),"")</f>
        <v/>
      </c>
      <c r="AP333" s="836">
        <f>IFERROR(SUMPRODUCT(($A333=$A$6:$A$330)*$I$6:$I$330*AP$6:AP$330),"")</f>
        <v/>
      </c>
      <c r="AQ333" s="836">
        <f>IFERROR(SUMPRODUCT(($A333=$A$6:$A$330)*$I$6:$I$330*AQ$6:AQ$330),"")</f>
        <v/>
      </c>
      <c r="AR333" s="836">
        <f>IFERROR(SUMPRODUCT(($A333=$A$6:$A$330)*$I$6:$I$330*AR$6:AR$330),"")</f>
        <v/>
      </c>
      <c r="AS333" s="836">
        <f>IFERROR(SUMPRODUCT(($A333=$A$6:$A$330)*$I$6:$I$330*AS$6:AS$330),"")</f>
        <v/>
      </c>
      <c r="AT333" s="836">
        <f>IFERROR(SUMPRODUCT(($A333=$A$6:$A$330)*$I$6:$I$330*AT$6:AT$330),"")</f>
        <v/>
      </c>
      <c r="AU333" s="836">
        <f>IFERROR(SUMPRODUCT(($A333=$A$6:$A$330)*$I$6:$I$330*AU$6:AU$330),"")</f>
        <v/>
      </c>
      <c r="AV333" s="836">
        <f>IFERROR(SUMPRODUCT(($A333=$A$6:$A$330)*$I$6:$I$330*AV$6:AV$330),"")</f>
        <v/>
      </c>
      <c r="AW333" s="836">
        <f>IFERROR(SUMPRODUCT(($A333=$A$6:$A$330)*$I$6:$I$330*AW$6:AW$330),"")</f>
        <v/>
      </c>
      <c r="AX333" s="836">
        <f>IFERROR(SUMPRODUCT(($A333=$A$6:$A$330)*$I$6:$I$330*AX$6:AX$330),"")</f>
        <v/>
      </c>
      <c r="AY333" s="836">
        <f>IFERROR(SUMPRODUCT(($A333=$A$6:$A$330)*$I$6:$I$330*AY$6:AY$330),"")</f>
        <v/>
      </c>
      <c r="AZ333" s="836">
        <f>IFERROR(SUMPRODUCT(($A333=$A$6:$A$330)*$I$6:$I$330*AZ$6:AZ$330),"")</f>
        <v/>
      </c>
      <c r="BA333" s="836">
        <f>IFERROR(SUMPRODUCT(($A333=$A$6:$A$330)*$I$6:$I$330*BA$6:BA$330),"")</f>
        <v/>
      </c>
      <c r="BB333" s="836">
        <f>IFERROR(SUMPRODUCT(($A333=$A$6:$A$330)*$I$6:$I$330*BB$6:BB$330),"")</f>
        <v/>
      </c>
      <c r="BC333" s="836">
        <f>IFERROR(SUMPRODUCT(($A333=$A$6:$A$330)*$I$6:$I$330*BC$6:BC$330),"")</f>
        <v/>
      </c>
      <c r="BD333" s="836">
        <f>IFERROR(SUMPRODUCT(($A333=$A$6:$A$330)*$I$6:$I$330*BD$6:BD$330),"")</f>
        <v/>
      </c>
      <c r="BE333" s="836">
        <f>IFERROR(SUMPRODUCT(($A333=$A$6:$A$330)*$I$6:$I$330*BE$6:BE$330),"")</f>
        <v/>
      </c>
      <c r="BF333" s="836">
        <f>IFERROR(SUMPRODUCT(($A333=$A$6:$A$330)*$I$6:$I$330*BF$6:BF$330),"")</f>
        <v/>
      </c>
      <c r="BG333" s="836">
        <f>IFERROR(SUMPRODUCT(($A333=$A$6:$A$330)*$I$6:$I$330*BG$6:BG$330),"")</f>
        <v/>
      </c>
      <c r="BH333" s="836">
        <f>IFERROR(SUMPRODUCT(($A333=$A$6:$A$330)*$I$6:$I$330*BH$6:BH$330),"")</f>
        <v/>
      </c>
      <c r="BI333" s="836">
        <f>IFERROR(SUMPRODUCT(($A333=$A$6:$A$330)*$I$6:$I$330*BI$6:BI$330),"")</f>
        <v/>
      </c>
      <c r="BJ333" s="836">
        <f>IFERROR(SUMPRODUCT(($A333=$A$6:$A$330)*$I$6:$I$330*BJ$6:BJ$330),"")</f>
        <v/>
      </c>
      <c r="BK333" s="839" t="n"/>
      <c r="BL333" s="836">
        <f>SUMPRODUCT(--(MOD(COLUMN($O333:$AL333),4)=MOD(COLUMN($O333)+0,4)),$O333:$AL333)
+SUMPRODUCT(--(MOD(COLUMN($AM333:$BJ333),4)=MOD(COLUMN($AM333)+0,4)),$AM333:$BJ333)</f>
        <v/>
      </c>
      <c r="BM333" s="836">
        <f>SUMPRODUCT(--(MOD(COLUMN($O333:$AL333),4)=MOD(COLUMN($O333)+0,4)),$O333:$AL333)*
$I333+SUMPRODUCT(--(MOD(COLUMN($AM333:$BJ333),4)=MOD(COLUMN($AM333)+0,4)),$AM333:$BJ333)*$I333</f>
        <v/>
      </c>
      <c r="BN333" s="836">
        <f>SUMPRODUCT(--(MOD(COLUMN($O333:$AL333),4)=MOD(COLUMN($O333)+1,4)),$O333:$AL333)
+SUMPRODUCT(--(MOD(COLUMN($AM333:$BJ333),4)=MOD(COLUMN($AM333)+1,4)),$AM333:$BJ333)</f>
        <v/>
      </c>
      <c r="BO333" s="836">
        <f>SUMPRODUCT(--(MOD(COLUMN($O333:$AL333),4)=MOD(COLUMN($O333)+1,4)),$O333:$AL333)*
$I333+SUMPRODUCT(--(MOD(COLUMN($AM333:$BJ333),4)=MOD(COLUMN($AM333)+1,4)),$AM333:$BJ333)*$I333</f>
        <v/>
      </c>
      <c r="BP333" s="836">
        <f>SUMPRODUCT(--(MOD(COLUMN($O333:$AL333),4)=MOD(COLUMN($O333)+2,4)),$O333:$AL333)
+SUMPRODUCT(--(MOD(COLUMN($AM333:$BJ333),4)=MOD(COLUMN($AM333)+2,4)),$AM333:$BJ333)</f>
        <v/>
      </c>
      <c r="BQ333" s="836">
        <f>SUMPRODUCT(--(MOD(COLUMN($O333:$AL333),4)=MOD(COLUMN($O333)+2,4)),$O333:$AL333)*
$I333+SUMPRODUCT(--(MOD(COLUMN($AM333:$BJ333),4)=MOD(COLUMN($AM333)+2,4)),$AM333:$BJ333)*$I333</f>
        <v/>
      </c>
      <c r="BR333" s="814" t="n"/>
      <c r="BS333" s="816" t="n"/>
      <c r="BT333" s="836" t="n"/>
      <c r="BU333" s="836" t="n"/>
      <c r="BV333" s="836" t="n"/>
      <c r="BW333" s="836" t="n"/>
      <c r="BX333" s="836" t="n"/>
      <c r="BY333" s="836" t="n"/>
      <c r="BZ333" s="836" t="n"/>
      <c r="CA333" s="836" t="n"/>
      <c r="CB333" s="836" t="n"/>
      <c r="CC333" s="836" t="n"/>
      <c r="CD333" s="836" t="n"/>
      <c r="CE333" s="836" t="n"/>
      <c r="CF333" s="836" t="n"/>
      <c r="CG333" s="836" t="n"/>
      <c r="CH333" s="836" t="n"/>
      <c r="CI333" s="836" t="n"/>
      <c r="CJ333" s="836" t="n"/>
      <c r="CK333" s="836" t="n"/>
      <c r="CL333" s="836" t="n"/>
      <c r="CM333" s="836" t="n"/>
      <c r="CN333" s="836" t="n"/>
      <c r="CO333" s="836" t="n"/>
      <c r="CP333" s="836" t="n"/>
      <c r="CQ333" s="836" t="n"/>
      <c r="CR333" s="836" t="n"/>
      <c r="CS333" s="836" t="n"/>
      <c r="CT333" s="836" t="n"/>
      <c r="CU333" s="836" t="n"/>
      <c r="CV333" s="836" t="n"/>
      <c r="CW333" s="836" t="n"/>
      <c r="CX333" s="836" t="n"/>
      <c r="CY333" s="836" t="n"/>
      <c r="CZ333" s="836" t="n"/>
      <c r="DA333" s="836" t="n"/>
      <c r="DB333" s="836" t="n"/>
      <c r="DC333" s="836" t="n"/>
      <c r="DD333" s="836" t="n"/>
      <c r="DE333" s="836" t="n"/>
      <c r="DF333" s="836" t="n"/>
      <c r="DG333" s="836" t="n"/>
      <c r="DH333" s="836" t="n"/>
      <c r="DI333" s="836" t="n"/>
      <c r="DJ333" s="836" t="n"/>
      <c r="DK333" s="836" t="n"/>
      <c r="DL333" s="836" t="n"/>
      <c r="DM333" s="836" t="n"/>
      <c r="DN333" s="836" t="n"/>
      <c r="DO333" s="836" t="n"/>
      <c r="DP333" s="839" t="n"/>
      <c r="DQ333" s="836" t="n"/>
      <c r="DR333" s="836">
        <f>SUMPRODUCT(--(MOD(COLUMN(BT333:CQ333),4)=MOD(COLUMN(BT333),4)),BT333:CQ333)*$I333+SUMPRODUCT(--(MOD(COLUMN(CR333:DO333),4)=MOD(COLUMN(CR333),4)),CR333:DO333)*$I333</f>
        <v/>
      </c>
      <c r="DS333" s="814" t="n"/>
      <c r="DT333" s="816" t="n"/>
      <c r="DU333" s="836" t="n"/>
      <c r="DV333" s="836" t="n"/>
      <c r="DW333" s="836" t="n"/>
      <c r="DX333" s="836" t="n"/>
      <c r="DY333" s="836" t="n"/>
      <c r="DZ333" s="836" t="n"/>
      <c r="EA333" s="836" t="n"/>
      <c r="EB333" s="836" t="n"/>
      <c r="EC333" s="836" t="n"/>
      <c r="ED333" s="836" t="n"/>
      <c r="EE333" s="836" t="n"/>
      <c r="EF333" s="836" t="n"/>
      <c r="EG333" s="836" t="n"/>
      <c r="EH333" s="836" t="n"/>
      <c r="EI333" s="836" t="n"/>
      <c r="EJ333" s="836" t="n"/>
      <c r="EK333" s="836" t="n"/>
      <c r="EL333" s="836" t="n"/>
      <c r="EM333" s="836" t="n"/>
      <c r="EN333" s="836" t="n"/>
      <c r="EO333" s="836" t="n"/>
      <c r="EP333" s="836" t="n"/>
      <c r="EQ333" s="836" t="n"/>
      <c r="ER333" s="836" t="n"/>
      <c r="ES333" s="836" t="n"/>
      <c r="ET333" s="836" t="n"/>
      <c r="EU333" s="836" t="n"/>
      <c r="EV333" s="836" t="n"/>
      <c r="EW333" s="836" t="n"/>
      <c r="EX333" s="836" t="n"/>
      <c r="EY333" s="836" t="n"/>
      <c r="EZ333" s="836" t="n"/>
      <c r="FA333" s="836" t="n"/>
      <c r="FB333" s="836" t="n"/>
      <c r="FC333" s="836" t="n"/>
      <c r="FD333" s="836" t="n"/>
      <c r="FE333" s="836" t="n"/>
      <c r="FF333" s="836" t="n"/>
      <c r="FG333" s="836" t="n"/>
      <c r="FH333" s="836" t="n"/>
      <c r="FI333" s="836" t="n"/>
      <c r="FJ333" s="836" t="n"/>
      <c r="FK333" s="836" t="n"/>
      <c r="FL333" s="836" t="n"/>
      <c r="FM333" s="836" t="n"/>
      <c r="FN333" s="836" t="n"/>
      <c r="FO333" s="836" t="n"/>
      <c r="FP333" s="836" t="n"/>
      <c r="FQ333" s="839" t="n"/>
      <c r="FR333" s="836" t="n"/>
      <c r="FS333" s="836">
        <f>SUMPRODUCT(--(MOD(COLUMN(DU333:ER333),4)=MOD(COLUMN(DU333),4)),DU333:ER333)*$I333+SUMPRODUCT(--(MOD(COLUMN(ES333:FP333),4)=MOD(COLUMN(ES333),4)),ES333:FP333)*$I333</f>
        <v/>
      </c>
    </row>
    <row r="334" outlineLevel="2" customFormat="1" s="63">
      <c r="A334" s="64" t="inlineStr">
        <is>
          <t>СТК ООО</t>
        </is>
      </c>
      <c r="B334" s="65" t="n"/>
      <c r="C334" s="655" t="n"/>
      <c r="D334" s="655" t="n"/>
      <c r="E334" s="508" t="n"/>
      <c r="F334" s="65" t="n"/>
      <c r="G334" s="137" t="n"/>
      <c r="H334" s="65" t="inlineStr">
        <is>
          <t>CNY, без НДС:</t>
        </is>
      </c>
      <c r="I334" s="635" t="n"/>
      <c r="J334" s="635" t="n"/>
      <c r="K334" s="138" t="n"/>
      <c r="L334" s="635" t="n"/>
      <c r="M334" s="873" t="n"/>
      <c r="N334" s="871">
        <f>IF(BP334&gt;0,1,IF(BN334&gt;0,2,))</f>
        <v/>
      </c>
      <c r="O334" s="836">
        <f>IFERROR(SUMPRODUCT(($A334=$A$6:$A$330)*$I$6:$I$330*O$6:O$330),"")</f>
        <v/>
      </c>
      <c r="P334" s="836">
        <f>IFERROR(SUMPRODUCT(($A334=$A$6:$A$330)*$I$6:$I$330*P$6:P$330),"")</f>
        <v/>
      </c>
      <c r="Q334" s="836">
        <f>IFERROR(SUMPRODUCT(($A334=$A$6:$A$330)*$I$6:$I$330*Q$6:Q$330),"")</f>
        <v/>
      </c>
      <c r="R334" s="836">
        <f>IFERROR(SUMPRODUCT(($A334=$A$6:$A$330)*$I$6:$I$330*R$6:R$330),"")</f>
        <v/>
      </c>
      <c r="S334" s="836">
        <f>IFERROR(SUMPRODUCT(($A334=$A$6:$A$330)*$I$6:$I$330*S$6:S$330),"")</f>
        <v/>
      </c>
      <c r="T334" s="836">
        <f>IFERROR(SUMPRODUCT(($A334=$A$6:$A$330)*$I$6:$I$330*T$6:T$330),"")</f>
        <v/>
      </c>
      <c r="U334" s="836">
        <f>IFERROR(SUMPRODUCT(($A334=$A$6:$A$330)*$I$6:$I$330*U$6:U$330),"")</f>
        <v/>
      </c>
      <c r="V334" s="836">
        <f>IFERROR(SUMPRODUCT(($A334=$A$6:$A$330)*$I$6:$I$330*V$6:V$330),"")</f>
        <v/>
      </c>
      <c r="W334" s="836">
        <f>IFERROR(SUMPRODUCT(($A334=$A$6:$A$330)*$I$6:$I$330*W$6:W$330),"")</f>
        <v/>
      </c>
      <c r="X334" s="836">
        <f>IFERROR(SUMPRODUCT(($A334=$A$6:$A$330)*$I$6:$I$330*X$6:X$330),"")</f>
        <v/>
      </c>
      <c r="Y334" s="836">
        <f>IFERROR(SUMPRODUCT(($A334=$A$6:$A$330)*$I$6:$I$330*Y$6:Y$330),"")</f>
        <v/>
      </c>
      <c r="Z334" s="836">
        <f>IFERROR(SUMPRODUCT(($A334=$A$6:$A$330)*$I$6:$I$330*Z$6:Z$330),"")</f>
        <v/>
      </c>
      <c r="AA334" s="836">
        <f>IFERROR(SUMPRODUCT(($A334=$A$6:$A$330)*$I$6:$I$330*AA$6:AA$330),"")</f>
        <v/>
      </c>
      <c r="AB334" s="836">
        <f>IFERROR(SUMPRODUCT(($A334=$A$6:$A$330)*$I$6:$I$330*AB$6:AB$330),"")</f>
        <v/>
      </c>
      <c r="AC334" s="836">
        <f>IFERROR(SUMPRODUCT(($A334=$A$6:$A$330)*$I$6:$I$330*AC$6:AC$330),"")</f>
        <v/>
      </c>
      <c r="AD334" s="836">
        <f>IFERROR(SUMPRODUCT(($A334=$A$6:$A$330)*$I$6:$I$330*AD$6:AD$330),"")</f>
        <v/>
      </c>
      <c r="AE334" s="836">
        <f>IFERROR(SUMPRODUCT(($A334=$A$6:$A$330)*$I$6:$I$330*AE$6:AE$330),"")</f>
        <v/>
      </c>
      <c r="AF334" s="836">
        <f>IFERROR(SUMPRODUCT(($A334=$A$6:$A$330)*$I$6:$I$330*AF$6:AF$330),"")</f>
        <v/>
      </c>
      <c r="AG334" s="836">
        <f>IFERROR(SUMPRODUCT(($A334=$A$6:$A$330)*$I$6:$I$330*AG$6:AG$330),"")</f>
        <v/>
      </c>
      <c r="AH334" s="836">
        <f>IFERROR(SUMPRODUCT(($A334=$A$6:$A$330)*$I$6:$I$330*AH$6:AH$330),"")</f>
        <v/>
      </c>
      <c r="AI334" s="836">
        <f>IFERROR(SUMPRODUCT(($A334=$A$6:$A$330)*$I$6:$I$330*AI$6:AI$330),"")</f>
        <v/>
      </c>
      <c r="AJ334" s="836">
        <f>IFERROR(SUMPRODUCT(($A334=$A$6:$A$330)*$I$6:$I$330*AJ$6:AJ$330),"")</f>
        <v/>
      </c>
      <c r="AK334" s="836">
        <f>IFERROR(SUMPRODUCT(($A334=$A$6:$A$330)*$I$6:$I$330*AK$6:AK$330),"")</f>
        <v/>
      </c>
      <c r="AL334" s="836">
        <f>IFERROR(SUMPRODUCT(($A334=$A$6:$A$330)*$I$6:$I$330*AL$6:AL$330),"")</f>
        <v/>
      </c>
      <c r="AM334" s="836">
        <f>IFERROR(SUMPRODUCT(($A334=$A$6:$A$330)*$I$6:$I$330*AM$6:AM$330),"")</f>
        <v/>
      </c>
      <c r="AN334" s="836">
        <f>IFERROR(SUMPRODUCT(($A334=$A$6:$A$330)*$I$6:$I$330*AN$6:AN$330),"")</f>
        <v/>
      </c>
      <c r="AO334" s="836">
        <f>IFERROR(SUMPRODUCT(($A334=$A$6:$A$330)*$I$6:$I$330*AO$6:AO$330),"")</f>
        <v/>
      </c>
      <c r="AP334" s="836">
        <f>IFERROR(SUMPRODUCT(($A334=$A$6:$A$330)*$I$6:$I$330*AP$6:AP$330),"")</f>
        <v/>
      </c>
      <c r="AQ334" s="836">
        <f>IFERROR(SUMPRODUCT(($A334=$A$6:$A$330)*$I$6:$I$330*AQ$6:AQ$330),"")</f>
        <v/>
      </c>
      <c r="AR334" s="836">
        <f>IFERROR(SUMPRODUCT(($A334=$A$6:$A$330)*$I$6:$I$330*AR$6:AR$330),"")</f>
        <v/>
      </c>
      <c r="AS334" s="836">
        <f>IFERROR(SUMPRODUCT(($A334=$A$6:$A$330)*$I$6:$I$330*AS$6:AS$330),"")</f>
        <v/>
      </c>
      <c r="AT334" s="836">
        <f>IFERROR(SUMPRODUCT(($A334=$A$6:$A$330)*$I$6:$I$330*AT$6:AT$330),"")</f>
        <v/>
      </c>
      <c r="AU334" s="836">
        <f>IFERROR(SUMPRODUCT(($A334=$A$6:$A$330)*$I$6:$I$330*AU$6:AU$330),"")</f>
        <v/>
      </c>
      <c r="AV334" s="836">
        <f>IFERROR(SUMPRODUCT(($A334=$A$6:$A$330)*$I$6:$I$330*AV$6:AV$330),"")</f>
        <v/>
      </c>
      <c r="AW334" s="836">
        <f>IFERROR(SUMPRODUCT(($A334=$A$6:$A$330)*$I$6:$I$330*AW$6:AW$330),"")</f>
        <v/>
      </c>
      <c r="AX334" s="836">
        <f>IFERROR(SUMPRODUCT(($A334=$A$6:$A$330)*$I$6:$I$330*AX$6:AX$330),"")</f>
        <v/>
      </c>
      <c r="AY334" s="836">
        <f>IFERROR(SUMPRODUCT(($A334=$A$6:$A$330)*$I$6:$I$330*AY$6:AY$330),"")</f>
        <v/>
      </c>
      <c r="AZ334" s="836">
        <f>IFERROR(SUMPRODUCT(($A334=$A$6:$A$330)*$I$6:$I$330*AZ$6:AZ$330),"")</f>
        <v/>
      </c>
      <c r="BA334" s="836">
        <f>IFERROR(SUMPRODUCT(($A334=$A$6:$A$330)*$I$6:$I$330*BA$6:BA$330),"")</f>
        <v/>
      </c>
      <c r="BB334" s="836">
        <f>IFERROR(SUMPRODUCT(($A334=$A$6:$A$330)*$I$6:$I$330*BB$6:BB$330),"")</f>
        <v/>
      </c>
      <c r="BC334" s="836">
        <f>IFERROR(SUMPRODUCT(($A334=$A$6:$A$330)*$I$6:$I$330*BC$6:BC$330),"")</f>
        <v/>
      </c>
      <c r="BD334" s="836">
        <f>IFERROR(SUMPRODUCT(($A334=$A$6:$A$330)*$I$6:$I$330*BD$6:BD$330),"")</f>
        <v/>
      </c>
      <c r="BE334" s="836">
        <f>IFERROR(SUMPRODUCT(($A334=$A$6:$A$330)*$I$6:$I$330*BE$6:BE$330),"")</f>
        <v/>
      </c>
      <c r="BF334" s="836">
        <f>IFERROR(SUMPRODUCT(($A334=$A$6:$A$330)*$I$6:$I$330*BF$6:BF$330),"")</f>
        <v/>
      </c>
      <c r="BG334" s="836">
        <f>IFERROR(SUMPRODUCT(($A334=$A$6:$A$330)*$I$6:$I$330*BG$6:BG$330),"")</f>
        <v/>
      </c>
      <c r="BH334" s="836">
        <f>IFERROR(SUMPRODUCT(($A334=$A$6:$A$330)*$I$6:$I$330*BH$6:BH$330),"")</f>
        <v/>
      </c>
      <c r="BI334" s="836">
        <f>IFERROR(SUMPRODUCT(($A334=$A$6:$A$330)*$I$6:$I$330*BI$6:BI$330),"")</f>
        <v/>
      </c>
      <c r="BJ334" s="836">
        <f>IFERROR(SUMPRODUCT(($A334=$A$6:$A$330)*$I$6:$I$330*BJ$6:BJ$330),"")</f>
        <v/>
      </c>
      <c r="BK334" s="839" t="n"/>
      <c r="BL334" s="836">
        <f>SUMPRODUCT(--(MOD(COLUMN($O334:$AL334),4)=MOD(COLUMN($O334)+0,4)),$O334:$AL334)
+SUMPRODUCT(--(MOD(COLUMN($AM334:$BJ334),4)=MOD(COLUMN($AM334)+0,4)),$AM334:$BJ334)</f>
        <v/>
      </c>
      <c r="BM334" s="836">
        <f>SUMPRODUCT(--(MOD(COLUMN($O334:$AL334),4)=MOD(COLUMN($O334)+0,4)),$O334:$AL334)*
$I334+SUMPRODUCT(--(MOD(COLUMN($AM334:$BJ334),4)=MOD(COLUMN($AM334)+0,4)),$AM334:$BJ334)*$I334</f>
        <v/>
      </c>
      <c r="BN334" s="836">
        <f>SUMPRODUCT(--(MOD(COLUMN($O334:$AL334),4)=MOD(COLUMN($O334)+1,4)),$O334:$AL334)
+SUMPRODUCT(--(MOD(COLUMN($AM334:$BJ334),4)=MOD(COLUMN($AM334)+1,4)),$AM334:$BJ334)</f>
        <v/>
      </c>
      <c r="BO334" s="836">
        <f>SUMPRODUCT(--(MOD(COLUMN($O334:$AL334),4)=MOD(COLUMN($O334)+1,4)),$O334:$AL334)*
$I334+SUMPRODUCT(--(MOD(COLUMN($AM334:$BJ334),4)=MOD(COLUMN($AM334)+1,4)),$AM334:$BJ334)*$I334</f>
        <v/>
      </c>
      <c r="BP334" s="836">
        <f>SUMPRODUCT(--(MOD(COLUMN($O334:$AL334),4)=MOD(COLUMN($O334)+2,4)),$O334:$AL334)
+SUMPRODUCT(--(MOD(COLUMN($AM334:$BJ334),4)=MOD(COLUMN($AM334)+2,4)),$AM334:$BJ334)</f>
        <v/>
      </c>
      <c r="BQ334" s="836">
        <f>SUMPRODUCT(--(MOD(COLUMN($O334:$AL334),4)=MOD(COLUMN($O334)+2,4)),$O334:$AL334)*
$I334+SUMPRODUCT(--(MOD(COLUMN($AM334:$BJ334),4)=MOD(COLUMN($AM334)+2,4)),$AM334:$BJ334)*$I334</f>
        <v/>
      </c>
      <c r="BR334" s="814" t="n"/>
      <c r="BS334" s="816" t="n"/>
      <c r="BT334" s="836" t="n"/>
      <c r="BU334" s="836" t="n"/>
      <c r="BV334" s="836" t="n"/>
      <c r="BW334" s="836" t="n"/>
      <c r="BX334" s="836" t="n"/>
      <c r="BY334" s="836" t="n"/>
      <c r="BZ334" s="836" t="n"/>
      <c r="CA334" s="836" t="n"/>
      <c r="CB334" s="836" t="n"/>
      <c r="CC334" s="836" t="n"/>
      <c r="CD334" s="836" t="n"/>
      <c r="CE334" s="836" t="n"/>
      <c r="CF334" s="836" t="n"/>
      <c r="CG334" s="836" t="n"/>
      <c r="CH334" s="836" t="n"/>
      <c r="CI334" s="836" t="n"/>
      <c r="CJ334" s="836" t="n"/>
      <c r="CK334" s="836" t="n"/>
      <c r="CL334" s="836" t="n"/>
      <c r="CM334" s="836" t="n"/>
      <c r="CN334" s="836" t="n"/>
      <c r="CO334" s="836" t="n"/>
      <c r="CP334" s="836" t="n"/>
      <c r="CQ334" s="836" t="n"/>
      <c r="CR334" s="836" t="n"/>
      <c r="CS334" s="836" t="n"/>
      <c r="CT334" s="836" t="n"/>
      <c r="CU334" s="836" t="n"/>
      <c r="CV334" s="836" t="n"/>
      <c r="CW334" s="836" t="n"/>
      <c r="CX334" s="836" t="n"/>
      <c r="CY334" s="836" t="n"/>
      <c r="CZ334" s="836" t="n"/>
      <c r="DA334" s="836" t="n"/>
      <c r="DB334" s="836" t="n"/>
      <c r="DC334" s="836" t="n"/>
      <c r="DD334" s="836" t="n"/>
      <c r="DE334" s="836" t="n"/>
      <c r="DF334" s="836" t="n"/>
      <c r="DG334" s="836" t="n"/>
      <c r="DH334" s="836" t="n"/>
      <c r="DI334" s="836" t="n"/>
      <c r="DJ334" s="836" t="n"/>
      <c r="DK334" s="836" t="n"/>
      <c r="DL334" s="836" t="n"/>
      <c r="DM334" s="836" t="n"/>
      <c r="DN334" s="836" t="n"/>
      <c r="DO334" s="836" t="n"/>
      <c r="DP334" s="839" t="n"/>
      <c r="DQ334" s="836" t="n"/>
      <c r="DR334" s="836">
        <f>SUMPRODUCT(--(MOD(COLUMN(BT334:CQ334),4)=MOD(COLUMN(BT334),4)),BT334:CQ334)*$I334+SUMPRODUCT(--(MOD(COLUMN(CR334:DO334),4)=MOD(COLUMN(CR334),4)),CR334:DO334)*$I334</f>
        <v/>
      </c>
      <c r="DS334" s="814" t="n"/>
      <c r="DT334" s="816" t="n"/>
      <c r="DU334" s="836" t="n"/>
      <c r="DV334" s="836" t="n"/>
      <c r="DW334" s="836" t="n"/>
      <c r="DX334" s="836" t="n"/>
      <c r="DY334" s="836" t="n"/>
      <c r="DZ334" s="836" t="n"/>
      <c r="EA334" s="836" t="n"/>
      <c r="EB334" s="836" t="n"/>
      <c r="EC334" s="836" t="n"/>
      <c r="ED334" s="836" t="n"/>
      <c r="EE334" s="836" t="n"/>
      <c r="EF334" s="836" t="n"/>
      <c r="EG334" s="836" t="n"/>
      <c r="EH334" s="836" t="n"/>
      <c r="EI334" s="836" t="n"/>
      <c r="EJ334" s="836" t="n"/>
      <c r="EK334" s="836" t="n"/>
      <c r="EL334" s="836" t="n"/>
      <c r="EM334" s="836" t="n"/>
      <c r="EN334" s="836" t="n"/>
      <c r="EO334" s="836" t="n"/>
      <c r="EP334" s="836" t="n"/>
      <c r="EQ334" s="836" t="n"/>
      <c r="ER334" s="836" t="n"/>
      <c r="ES334" s="836" t="n"/>
      <c r="ET334" s="836" t="n"/>
      <c r="EU334" s="836" t="n"/>
      <c r="EV334" s="836" t="n"/>
      <c r="EW334" s="836" t="n"/>
      <c r="EX334" s="836" t="n"/>
      <c r="EY334" s="836" t="n"/>
      <c r="EZ334" s="836" t="n"/>
      <c r="FA334" s="836" t="n"/>
      <c r="FB334" s="836" t="n"/>
      <c r="FC334" s="836" t="n"/>
      <c r="FD334" s="836" t="n"/>
      <c r="FE334" s="836" t="n"/>
      <c r="FF334" s="836" t="n"/>
      <c r="FG334" s="836" t="n"/>
      <c r="FH334" s="836" t="n"/>
      <c r="FI334" s="836" t="n"/>
      <c r="FJ334" s="836" t="n"/>
      <c r="FK334" s="836" t="n"/>
      <c r="FL334" s="836" t="n"/>
      <c r="FM334" s="836" t="n"/>
      <c r="FN334" s="836" t="n"/>
      <c r="FO334" s="836" t="n"/>
      <c r="FP334" s="836" t="n"/>
      <c r="FQ334" s="839" t="n"/>
      <c r="FR334" s="836" t="n"/>
      <c r="FS334" s="836">
        <f>SUMPRODUCT(--(MOD(COLUMN(DU334:ER334),4)=MOD(COLUMN(DU334),4)),DU334:ER334)*$I334+SUMPRODUCT(--(MOD(COLUMN(ES334:FP334),4)=MOD(COLUMN(ES334),4)),ES334:FP334)*$I334</f>
        <v/>
      </c>
    </row>
    <row r="335" outlineLevel="2" customFormat="1" s="63">
      <c r="A335" s="64" t="inlineStr">
        <is>
          <t>ПРИЦЕПНАЯ ТЕХНИКА ООО</t>
        </is>
      </c>
      <c r="B335" s="65" t="n"/>
      <c r="C335" s="655" t="n"/>
      <c r="D335" s="655" t="n"/>
      <c r="E335" s="508" t="n"/>
      <c r="F335" s="65" t="n"/>
      <c r="G335" s="137" t="n"/>
      <c r="H335" s="65" t="inlineStr">
        <is>
          <t>CNY, без НДС:</t>
        </is>
      </c>
      <c r="I335" s="635" t="n"/>
      <c r="J335" s="635" t="n"/>
      <c r="K335" s="138" t="n"/>
      <c r="L335" s="635" t="n"/>
      <c r="M335" s="873" t="n"/>
      <c r="N335" s="871">
        <f>IF(BP335&gt;0,1,IF(BN335&gt;0,2,))</f>
        <v/>
      </c>
      <c r="O335" s="836">
        <f>IFERROR(SUMPRODUCT(($A335=$A$6:$A$330)*$I$6:$I$330*O$6:O$330),"")</f>
        <v/>
      </c>
      <c r="P335" s="836">
        <f>IFERROR(SUMPRODUCT(($A335=$A$6:$A$330)*$I$6:$I$330*P$6:P$330),"")</f>
        <v/>
      </c>
      <c r="Q335" s="836">
        <f>IFERROR(SUMPRODUCT(($A335=$A$6:$A$330)*$I$6:$I$330*Q$6:Q$330),"")</f>
        <v/>
      </c>
      <c r="R335" s="836">
        <f>IFERROR(SUMPRODUCT(($A335=$A$6:$A$330)*$I$6:$I$330*R$6:R$330),"")</f>
        <v/>
      </c>
      <c r="S335" s="836">
        <f>IFERROR(SUMPRODUCT(($A335=$A$6:$A$330)*$I$6:$I$330*S$6:S$330),"")</f>
        <v/>
      </c>
      <c r="T335" s="836">
        <f>IFERROR(SUMPRODUCT(($A335=$A$6:$A$330)*$I$6:$I$330*T$6:T$330),"")</f>
        <v/>
      </c>
      <c r="U335" s="836">
        <f>IFERROR(SUMPRODUCT(($A335=$A$6:$A$330)*$I$6:$I$330*U$6:U$330),"")</f>
        <v/>
      </c>
      <c r="V335" s="836">
        <f>IFERROR(SUMPRODUCT(($A335=$A$6:$A$330)*$I$6:$I$330*V$6:V$330),"")</f>
        <v/>
      </c>
      <c r="W335" s="836">
        <f>IFERROR(SUMPRODUCT(($A335=$A$6:$A$330)*$I$6:$I$330*W$6:W$330),"")</f>
        <v/>
      </c>
      <c r="X335" s="836">
        <f>IFERROR(SUMPRODUCT(($A335=$A$6:$A$330)*$I$6:$I$330*X$6:X$330),"")</f>
        <v/>
      </c>
      <c r="Y335" s="836">
        <f>IFERROR(SUMPRODUCT(($A335=$A$6:$A$330)*$I$6:$I$330*Y$6:Y$330),"")</f>
        <v/>
      </c>
      <c r="Z335" s="836">
        <f>IFERROR(SUMPRODUCT(($A335=$A$6:$A$330)*$I$6:$I$330*Z$6:Z$330),"")</f>
        <v/>
      </c>
      <c r="AA335" s="836">
        <f>IFERROR(SUMPRODUCT(($A335=$A$6:$A$330)*$I$6:$I$330*AA$6:AA$330),"")</f>
        <v/>
      </c>
      <c r="AB335" s="836">
        <f>IFERROR(SUMPRODUCT(($A335=$A$6:$A$330)*$I$6:$I$330*AB$6:AB$330),"")</f>
        <v/>
      </c>
      <c r="AC335" s="836">
        <f>IFERROR(SUMPRODUCT(($A335=$A$6:$A$330)*$I$6:$I$330*AC$6:AC$330),"")</f>
        <v/>
      </c>
      <c r="AD335" s="836">
        <f>IFERROR(SUMPRODUCT(($A335=$A$6:$A$330)*$I$6:$I$330*AD$6:AD$330),"")</f>
        <v/>
      </c>
      <c r="AE335" s="836">
        <f>IFERROR(SUMPRODUCT(($A335=$A$6:$A$330)*$I$6:$I$330*AE$6:AE$330),"")</f>
        <v/>
      </c>
      <c r="AF335" s="836">
        <f>IFERROR(SUMPRODUCT(($A335=$A$6:$A$330)*$I$6:$I$330*AF$6:AF$330),"")</f>
        <v/>
      </c>
      <c r="AG335" s="836">
        <f>IFERROR(SUMPRODUCT(($A335=$A$6:$A$330)*$I$6:$I$330*AG$6:AG$330),"")</f>
        <v/>
      </c>
      <c r="AH335" s="836">
        <f>IFERROR(SUMPRODUCT(($A335=$A$6:$A$330)*$I$6:$I$330*AH$6:AH$330),"")</f>
        <v/>
      </c>
      <c r="AI335" s="836">
        <f>IFERROR(SUMPRODUCT(($A335=$A$6:$A$330)*$I$6:$I$330*AI$6:AI$330),"")</f>
        <v/>
      </c>
      <c r="AJ335" s="836">
        <f>IFERROR(SUMPRODUCT(($A335=$A$6:$A$330)*$I$6:$I$330*AJ$6:AJ$330),"")</f>
        <v/>
      </c>
      <c r="AK335" s="836">
        <f>IFERROR(SUMPRODUCT(($A335=$A$6:$A$330)*$I$6:$I$330*AK$6:AK$330),"")</f>
        <v/>
      </c>
      <c r="AL335" s="836">
        <f>IFERROR(SUMPRODUCT(($A335=$A$6:$A$330)*$I$6:$I$330*AL$6:AL$330),"")</f>
        <v/>
      </c>
      <c r="AM335" s="836">
        <f>IFERROR(SUMPRODUCT(($A335=$A$6:$A$330)*$I$6:$I$330*AM$6:AM$330),"")</f>
        <v/>
      </c>
      <c r="AN335" s="836">
        <f>IFERROR(SUMPRODUCT(($A335=$A$6:$A$330)*$I$6:$I$330*AN$6:AN$330),"")</f>
        <v/>
      </c>
      <c r="AO335" s="836">
        <f>IFERROR(SUMPRODUCT(($A335=$A$6:$A$330)*$I$6:$I$330*AO$6:AO$330),"")</f>
        <v/>
      </c>
      <c r="AP335" s="836">
        <f>IFERROR(SUMPRODUCT(($A335=$A$6:$A$330)*$I$6:$I$330*AP$6:AP$330),"")</f>
        <v/>
      </c>
      <c r="AQ335" s="836">
        <f>IFERROR(SUMPRODUCT(($A335=$A$6:$A$330)*$I$6:$I$330*AQ$6:AQ$330),"")</f>
        <v/>
      </c>
      <c r="AR335" s="836">
        <f>IFERROR(SUMPRODUCT(($A335=$A$6:$A$330)*$I$6:$I$330*AR$6:AR$330),"")</f>
        <v/>
      </c>
      <c r="AS335" s="836">
        <f>IFERROR(SUMPRODUCT(($A335=$A$6:$A$330)*$I$6:$I$330*AS$6:AS$330),"")</f>
        <v/>
      </c>
      <c r="AT335" s="836">
        <f>IFERROR(SUMPRODUCT(($A335=$A$6:$A$330)*$I$6:$I$330*AT$6:AT$330),"")</f>
        <v/>
      </c>
      <c r="AU335" s="836">
        <f>IFERROR(SUMPRODUCT(($A335=$A$6:$A$330)*$I$6:$I$330*AU$6:AU$330),"")</f>
        <v/>
      </c>
      <c r="AV335" s="836">
        <f>IFERROR(SUMPRODUCT(($A335=$A$6:$A$330)*$I$6:$I$330*AV$6:AV$330),"")</f>
        <v/>
      </c>
      <c r="AW335" s="836">
        <f>IFERROR(SUMPRODUCT(($A335=$A$6:$A$330)*$I$6:$I$330*AW$6:AW$330),"")</f>
        <v/>
      </c>
      <c r="AX335" s="836">
        <f>IFERROR(SUMPRODUCT(($A335=$A$6:$A$330)*$I$6:$I$330*AX$6:AX$330),"")</f>
        <v/>
      </c>
      <c r="AY335" s="836">
        <f>IFERROR(SUMPRODUCT(($A335=$A$6:$A$330)*$I$6:$I$330*AY$6:AY$330),"")</f>
        <v/>
      </c>
      <c r="AZ335" s="836">
        <f>IFERROR(SUMPRODUCT(($A335=$A$6:$A$330)*$I$6:$I$330*AZ$6:AZ$330),"")</f>
        <v/>
      </c>
      <c r="BA335" s="836">
        <f>IFERROR(SUMPRODUCT(($A335=$A$6:$A$330)*$I$6:$I$330*BA$6:BA$330),"")</f>
        <v/>
      </c>
      <c r="BB335" s="836">
        <f>IFERROR(SUMPRODUCT(($A335=$A$6:$A$330)*$I$6:$I$330*BB$6:BB$330),"")</f>
        <v/>
      </c>
      <c r="BC335" s="836">
        <f>IFERROR(SUMPRODUCT(($A335=$A$6:$A$330)*$I$6:$I$330*BC$6:BC$330),"")</f>
        <v/>
      </c>
      <c r="BD335" s="836">
        <f>IFERROR(SUMPRODUCT(($A335=$A$6:$A$330)*$I$6:$I$330*BD$6:BD$330),"")</f>
        <v/>
      </c>
      <c r="BE335" s="836">
        <f>IFERROR(SUMPRODUCT(($A335=$A$6:$A$330)*$I$6:$I$330*BE$6:BE$330),"")</f>
        <v/>
      </c>
      <c r="BF335" s="836">
        <f>IFERROR(SUMPRODUCT(($A335=$A$6:$A$330)*$I$6:$I$330*BF$6:BF$330),"")</f>
        <v/>
      </c>
      <c r="BG335" s="836">
        <f>IFERROR(SUMPRODUCT(($A335=$A$6:$A$330)*$I$6:$I$330*BG$6:BG$330),"")</f>
        <v/>
      </c>
      <c r="BH335" s="836">
        <f>IFERROR(SUMPRODUCT(($A335=$A$6:$A$330)*$I$6:$I$330*BH$6:BH$330),"")</f>
        <v/>
      </c>
      <c r="BI335" s="836">
        <f>IFERROR(SUMPRODUCT(($A335=$A$6:$A$330)*$I$6:$I$330*BI$6:BI$330),"")</f>
        <v/>
      </c>
      <c r="BJ335" s="836">
        <f>IFERROR(SUMPRODUCT(($A335=$A$6:$A$330)*$I$6:$I$330*BJ$6:BJ$330),"")</f>
        <v/>
      </c>
      <c r="BK335" s="839" t="n"/>
      <c r="BL335" s="836">
        <f>SUMPRODUCT(--(MOD(COLUMN($O335:$AL335),4)=MOD(COLUMN($O335)+0,4)),$O335:$AL335)
+SUMPRODUCT(--(MOD(COLUMN($AM335:$BJ335),4)=MOD(COLUMN($AM335)+0,4)),$AM335:$BJ335)</f>
        <v/>
      </c>
      <c r="BM335" s="836">
        <f>SUMPRODUCT(--(MOD(COLUMN($O335:$AL335),4)=MOD(COLUMN($O335)+0,4)),$O335:$AL335)*
$I335+SUMPRODUCT(--(MOD(COLUMN($AM335:$BJ335),4)=MOD(COLUMN($AM335)+0,4)),$AM335:$BJ335)*$I335</f>
        <v/>
      </c>
      <c r="BN335" s="836">
        <f>SUMPRODUCT(--(MOD(COLUMN($O335:$AL335),4)=MOD(COLUMN($O335)+1,4)),$O335:$AL335)
+SUMPRODUCT(--(MOD(COLUMN($AM335:$BJ335),4)=MOD(COLUMN($AM335)+1,4)),$AM335:$BJ335)</f>
        <v/>
      </c>
      <c r="BO335" s="836">
        <f>SUMPRODUCT(--(MOD(COLUMN($O335:$AL335),4)=MOD(COLUMN($O335)+1,4)),$O335:$AL335)*
$I335+SUMPRODUCT(--(MOD(COLUMN($AM335:$BJ335),4)=MOD(COLUMN($AM335)+1,4)),$AM335:$BJ335)*$I335</f>
        <v/>
      </c>
      <c r="BP335" s="836">
        <f>SUMPRODUCT(--(MOD(COLUMN($O335:$AL335),4)=MOD(COLUMN($O335)+2,4)),$O335:$AL335)
+SUMPRODUCT(--(MOD(COLUMN($AM335:$BJ335),4)=MOD(COLUMN($AM335)+2,4)),$AM335:$BJ335)</f>
        <v/>
      </c>
      <c r="BQ335" s="836">
        <f>SUMPRODUCT(--(MOD(COLUMN($O335:$AL335),4)=MOD(COLUMN($O335)+2,4)),$O335:$AL335)*
$I335+SUMPRODUCT(--(MOD(COLUMN($AM335:$BJ335),4)=MOD(COLUMN($AM335)+2,4)),$AM335:$BJ335)*$I335</f>
        <v/>
      </c>
      <c r="BR335" s="814" t="n"/>
      <c r="BS335" s="816" t="n"/>
      <c r="BT335" s="836" t="n"/>
      <c r="BU335" s="836" t="n"/>
      <c r="BV335" s="836" t="n"/>
      <c r="BW335" s="836" t="n"/>
      <c r="BX335" s="836" t="n"/>
      <c r="BY335" s="836" t="n"/>
      <c r="BZ335" s="836" t="n"/>
      <c r="CA335" s="836" t="n"/>
      <c r="CB335" s="836" t="n"/>
      <c r="CC335" s="836" t="n"/>
      <c r="CD335" s="836" t="n"/>
      <c r="CE335" s="836" t="n"/>
      <c r="CF335" s="836" t="n"/>
      <c r="CG335" s="836" t="n"/>
      <c r="CH335" s="836" t="n"/>
      <c r="CI335" s="836" t="n"/>
      <c r="CJ335" s="836" t="n"/>
      <c r="CK335" s="836" t="n"/>
      <c r="CL335" s="836" t="n"/>
      <c r="CM335" s="836" t="n"/>
      <c r="CN335" s="836" t="n"/>
      <c r="CO335" s="836" t="n"/>
      <c r="CP335" s="836" t="n"/>
      <c r="CQ335" s="836" t="n"/>
      <c r="CR335" s="836" t="n"/>
      <c r="CS335" s="836" t="n"/>
      <c r="CT335" s="836" t="n"/>
      <c r="CU335" s="836" t="n"/>
      <c r="CV335" s="836" t="n"/>
      <c r="CW335" s="836" t="n"/>
      <c r="CX335" s="836" t="n"/>
      <c r="CY335" s="836" t="n"/>
      <c r="CZ335" s="836" t="n"/>
      <c r="DA335" s="836" t="n"/>
      <c r="DB335" s="836" t="n"/>
      <c r="DC335" s="836" t="n"/>
      <c r="DD335" s="836" t="n"/>
      <c r="DE335" s="836" t="n"/>
      <c r="DF335" s="836" t="n"/>
      <c r="DG335" s="836" t="n"/>
      <c r="DH335" s="836" t="n"/>
      <c r="DI335" s="836" t="n"/>
      <c r="DJ335" s="836" t="n"/>
      <c r="DK335" s="836" t="n"/>
      <c r="DL335" s="836" t="n"/>
      <c r="DM335" s="836" t="n"/>
      <c r="DN335" s="836" t="n"/>
      <c r="DO335" s="836" t="n"/>
      <c r="DP335" s="839" t="n"/>
      <c r="DQ335" s="836" t="n"/>
      <c r="DR335" s="836">
        <f>SUMPRODUCT(--(MOD(COLUMN(BT335:CQ335),4)=MOD(COLUMN(BT335),4)),BT335:CQ335)*$I335+SUMPRODUCT(--(MOD(COLUMN(CR335:DO335),4)=MOD(COLUMN(CR335),4)),CR335:DO335)*$I335</f>
        <v/>
      </c>
      <c r="DS335" s="814" t="n"/>
      <c r="DT335" s="816" t="n"/>
      <c r="DU335" s="836" t="n"/>
      <c r="DV335" s="836" t="n"/>
      <c r="DW335" s="836" t="n"/>
      <c r="DX335" s="836" t="n"/>
      <c r="DY335" s="836" t="n"/>
      <c r="DZ335" s="836" t="n"/>
      <c r="EA335" s="836" t="n"/>
      <c r="EB335" s="836" t="n"/>
      <c r="EC335" s="836" t="n"/>
      <c r="ED335" s="836" t="n"/>
      <c r="EE335" s="836" t="n"/>
      <c r="EF335" s="836" t="n"/>
      <c r="EG335" s="836" t="n"/>
      <c r="EH335" s="836" t="n"/>
      <c r="EI335" s="836" t="n"/>
      <c r="EJ335" s="836" t="n"/>
      <c r="EK335" s="836" t="n"/>
      <c r="EL335" s="836" t="n"/>
      <c r="EM335" s="836" t="n"/>
      <c r="EN335" s="836" t="n"/>
      <c r="EO335" s="836" t="n"/>
      <c r="EP335" s="836" t="n"/>
      <c r="EQ335" s="836" t="n"/>
      <c r="ER335" s="836" t="n"/>
      <c r="ES335" s="836" t="n"/>
      <c r="ET335" s="836" t="n"/>
      <c r="EU335" s="836" t="n"/>
      <c r="EV335" s="836" t="n"/>
      <c r="EW335" s="836" t="n"/>
      <c r="EX335" s="836" t="n"/>
      <c r="EY335" s="836" t="n"/>
      <c r="EZ335" s="836" t="n"/>
      <c r="FA335" s="836" t="n"/>
      <c r="FB335" s="836" t="n"/>
      <c r="FC335" s="836" t="n"/>
      <c r="FD335" s="836" t="n"/>
      <c r="FE335" s="836" t="n"/>
      <c r="FF335" s="836" t="n"/>
      <c r="FG335" s="836" t="n"/>
      <c r="FH335" s="836" t="n"/>
      <c r="FI335" s="836" t="n"/>
      <c r="FJ335" s="836" t="n"/>
      <c r="FK335" s="836" t="n"/>
      <c r="FL335" s="836" t="n"/>
      <c r="FM335" s="836" t="n"/>
      <c r="FN335" s="836" t="n"/>
      <c r="FO335" s="836" t="n"/>
      <c r="FP335" s="836" t="n"/>
      <c r="FQ335" s="839" t="n"/>
      <c r="FR335" s="836" t="n"/>
      <c r="FS335" s="836">
        <f>SUMPRODUCT(--(MOD(COLUMN(DU335:ER335),4)=MOD(COLUMN(DU335),4)),DU335:ER335)*$I335+SUMPRODUCT(--(MOD(COLUMN(ES335:FP335),4)=MOD(COLUMN(ES335),4)),ES335:FP335)*$I335</f>
        <v/>
      </c>
    </row>
    <row r="336" outlineLevel="2" customFormat="1" s="63">
      <c r="A336" s="64" t="inlineStr">
        <is>
          <t>ПОЛИТРАНС ООО ПКФ</t>
        </is>
      </c>
      <c r="B336" s="65" t="n"/>
      <c r="C336" s="655" t="n"/>
      <c r="D336" s="655" t="n"/>
      <c r="E336" s="508" t="n"/>
      <c r="F336" s="65" t="n"/>
      <c r="G336" s="137" t="n"/>
      <c r="H336" s="65" t="inlineStr">
        <is>
          <t>CNY, без НДС:</t>
        </is>
      </c>
      <c r="I336" s="635" t="n"/>
      <c r="J336" s="635" t="n"/>
      <c r="K336" s="138" t="n"/>
      <c r="L336" s="635" t="n"/>
      <c r="M336" s="873" t="n"/>
      <c r="N336" s="871">
        <f>IF(BP336&gt;0,1,IF(BN336&gt;0,2,))</f>
        <v/>
      </c>
      <c r="O336" s="836">
        <f>IFERROR(SUMPRODUCT(($A336=$A$6:$A$330)*$I$6:$I$330*O$6:O$330),"")</f>
        <v/>
      </c>
      <c r="P336" s="836">
        <f>IFERROR(SUMPRODUCT(($A336=$A$6:$A$330)*$I$6:$I$330*P$6:P$330),"")</f>
        <v/>
      </c>
      <c r="Q336" s="836">
        <f>IFERROR(SUMPRODUCT(($A336=$A$6:$A$330)*$I$6:$I$330*Q$6:Q$330),"")</f>
        <v/>
      </c>
      <c r="R336" s="836">
        <f>IFERROR(SUMPRODUCT(($A336=$A$6:$A$330)*$I$6:$I$330*R$6:R$330),"")</f>
        <v/>
      </c>
      <c r="S336" s="836">
        <f>IFERROR(SUMPRODUCT(($A336=$A$6:$A$330)*$I$6:$I$330*S$6:S$330),"")</f>
        <v/>
      </c>
      <c r="T336" s="836">
        <f>IFERROR(SUMPRODUCT(($A336=$A$6:$A$330)*$I$6:$I$330*T$6:T$330),"")</f>
        <v/>
      </c>
      <c r="U336" s="836">
        <f>IFERROR(SUMPRODUCT(($A336=$A$6:$A$330)*$I$6:$I$330*U$6:U$330),"")</f>
        <v/>
      </c>
      <c r="V336" s="836">
        <f>IFERROR(SUMPRODUCT(($A336=$A$6:$A$330)*$I$6:$I$330*V$6:V$330),"")</f>
        <v/>
      </c>
      <c r="W336" s="836">
        <f>IFERROR(SUMPRODUCT(($A336=$A$6:$A$330)*$I$6:$I$330*W$6:W$330),"")</f>
        <v/>
      </c>
      <c r="X336" s="836">
        <f>IFERROR(SUMPRODUCT(($A336=$A$6:$A$330)*$I$6:$I$330*X$6:X$330),"")</f>
        <v/>
      </c>
      <c r="Y336" s="836">
        <f>IFERROR(SUMPRODUCT(($A336=$A$6:$A$330)*$I$6:$I$330*Y$6:Y$330),"")</f>
        <v/>
      </c>
      <c r="Z336" s="836">
        <f>IFERROR(SUMPRODUCT(($A336=$A$6:$A$330)*$I$6:$I$330*Z$6:Z$330),"")</f>
        <v/>
      </c>
      <c r="AA336" s="836">
        <f>IFERROR(SUMPRODUCT(($A336=$A$6:$A$330)*$I$6:$I$330*AA$6:AA$330),"")</f>
        <v/>
      </c>
      <c r="AB336" s="836">
        <f>IFERROR(SUMPRODUCT(($A336=$A$6:$A$330)*$I$6:$I$330*AB$6:AB$330),"")</f>
        <v/>
      </c>
      <c r="AC336" s="836">
        <f>IFERROR(SUMPRODUCT(($A336=$A$6:$A$330)*$I$6:$I$330*AC$6:AC$330),"")</f>
        <v/>
      </c>
      <c r="AD336" s="836">
        <f>IFERROR(SUMPRODUCT(($A336=$A$6:$A$330)*$I$6:$I$330*AD$6:AD$330),"")</f>
        <v/>
      </c>
      <c r="AE336" s="836">
        <f>IFERROR(SUMPRODUCT(($A336=$A$6:$A$330)*$I$6:$I$330*AE$6:AE$330),"")</f>
        <v/>
      </c>
      <c r="AF336" s="836">
        <f>IFERROR(SUMPRODUCT(($A336=$A$6:$A$330)*$I$6:$I$330*AF$6:AF$330),"")</f>
        <v/>
      </c>
      <c r="AG336" s="836">
        <f>IFERROR(SUMPRODUCT(($A336=$A$6:$A$330)*$I$6:$I$330*AG$6:AG$330),"")</f>
        <v/>
      </c>
      <c r="AH336" s="836">
        <f>IFERROR(SUMPRODUCT(($A336=$A$6:$A$330)*$I$6:$I$330*AH$6:AH$330),"")</f>
        <v/>
      </c>
      <c r="AI336" s="836">
        <f>IFERROR(SUMPRODUCT(($A336=$A$6:$A$330)*$I$6:$I$330*AI$6:AI$330),"")</f>
        <v/>
      </c>
      <c r="AJ336" s="836">
        <f>IFERROR(SUMPRODUCT(($A336=$A$6:$A$330)*$I$6:$I$330*AJ$6:AJ$330),"")</f>
        <v/>
      </c>
      <c r="AK336" s="836">
        <f>IFERROR(SUMPRODUCT(($A336=$A$6:$A$330)*$I$6:$I$330*AK$6:AK$330),"")</f>
        <v/>
      </c>
      <c r="AL336" s="836">
        <f>IFERROR(SUMPRODUCT(($A336=$A$6:$A$330)*$I$6:$I$330*AL$6:AL$330),"")</f>
        <v/>
      </c>
      <c r="AM336" s="836">
        <f>IFERROR(SUMPRODUCT(($A336=$A$6:$A$330)*$I$6:$I$330*AM$6:AM$330),"")</f>
        <v/>
      </c>
      <c r="AN336" s="836">
        <f>IFERROR(SUMPRODUCT(($A336=$A$6:$A$330)*$I$6:$I$330*AN$6:AN$330),"")</f>
        <v/>
      </c>
      <c r="AO336" s="836">
        <f>IFERROR(SUMPRODUCT(($A336=$A$6:$A$330)*$I$6:$I$330*AO$6:AO$330),"")</f>
        <v/>
      </c>
      <c r="AP336" s="836">
        <f>IFERROR(SUMPRODUCT(($A336=$A$6:$A$330)*$I$6:$I$330*AP$6:AP$330),"")</f>
        <v/>
      </c>
      <c r="AQ336" s="836">
        <f>IFERROR(SUMPRODUCT(($A336=$A$6:$A$330)*$I$6:$I$330*AQ$6:AQ$330),"")</f>
        <v/>
      </c>
      <c r="AR336" s="836">
        <f>IFERROR(SUMPRODUCT(($A336=$A$6:$A$330)*$I$6:$I$330*AR$6:AR$330),"")</f>
        <v/>
      </c>
      <c r="AS336" s="836">
        <f>IFERROR(SUMPRODUCT(($A336=$A$6:$A$330)*$I$6:$I$330*AS$6:AS$330),"")</f>
        <v/>
      </c>
      <c r="AT336" s="836">
        <f>IFERROR(SUMPRODUCT(($A336=$A$6:$A$330)*$I$6:$I$330*AT$6:AT$330),"")</f>
        <v/>
      </c>
      <c r="AU336" s="836">
        <f>IFERROR(SUMPRODUCT(($A336=$A$6:$A$330)*$I$6:$I$330*AU$6:AU$330),"")</f>
        <v/>
      </c>
      <c r="AV336" s="836">
        <f>IFERROR(SUMPRODUCT(($A336=$A$6:$A$330)*$I$6:$I$330*AV$6:AV$330),"")</f>
        <v/>
      </c>
      <c r="AW336" s="836">
        <f>IFERROR(SUMPRODUCT(($A336=$A$6:$A$330)*$I$6:$I$330*AW$6:AW$330),"")</f>
        <v/>
      </c>
      <c r="AX336" s="836">
        <f>IFERROR(SUMPRODUCT(($A336=$A$6:$A$330)*$I$6:$I$330*AX$6:AX$330),"")</f>
        <v/>
      </c>
      <c r="AY336" s="836">
        <f>IFERROR(SUMPRODUCT(($A336=$A$6:$A$330)*$I$6:$I$330*AY$6:AY$330),"")</f>
        <v/>
      </c>
      <c r="AZ336" s="836">
        <f>IFERROR(SUMPRODUCT(($A336=$A$6:$A$330)*$I$6:$I$330*AZ$6:AZ$330),"")</f>
        <v/>
      </c>
      <c r="BA336" s="836">
        <f>IFERROR(SUMPRODUCT(($A336=$A$6:$A$330)*$I$6:$I$330*BA$6:BA$330),"")</f>
        <v/>
      </c>
      <c r="BB336" s="836">
        <f>IFERROR(SUMPRODUCT(($A336=$A$6:$A$330)*$I$6:$I$330*BB$6:BB$330),"")</f>
        <v/>
      </c>
      <c r="BC336" s="836">
        <f>IFERROR(SUMPRODUCT(($A336=$A$6:$A$330)*$I$6:$I$330*BC$6:BC$330),"")</f>
        <v/>
      </c>
      <c r="BD336" s="836">
        <f>IFERROR(SUMPRODUCT(($A336=$A$6:$A$330)*$I$6:$I$330*BD$6:BD$330),"")</f>
        <v/>
      </c>
      <c r="BE336" s="836">
        <f>IFERROR(SUMPRODUCT(($A336=$A$6:$A$330)*$I$6:$I$330*BE$6:BE$330),"")</f>
        <v/>
      </c>
      <c r="BF336" s="836">
        <f>IFERROR(SUMPRODUCT(($A336=$A$6:$A$330)*$I$6:$I$330*BF$6:BF$330),"")</f>
        <v/>
      </c>
      <c r="BG336" s="836">
        <f>IFERROR(SUMPRODUCT(($A336=$A$6:$A$330)*$I$6:$I$330*BG$6:BG$330),"")</f>
        <v/>
      </c>
      <c r="BH336" s="836">
        <f>IFERROR(SUMPRODUCT(($A336=$A$6:$A$330)*$I$6:$I$330*BH$6:BH$330),"")</f>
        <v/>
      </c>
      <c r="BI336" s="836">
        <f>IFERROR(SUMPRODUCT(($A336=$A$6:$A$330)*$I$6:$I$330*BI$6:BI$330),"")</f>
        <v/>
      </c>
      <c r="BJ336" s="836">
        <f>IFERROR(SUMPRODUCT(($A336=$A$6:$A$330)*$I$6:$I$330*BJ$6:BJ$330),"")</f>
        <v/>
      </c>
      <c r="BK336" s="839" t="n"/>
      <c r="BL336" s="836">
        <f>SUMPRODUCT(--(MOD(COLUMN($O336:$AL336),4)=MOD(COLUMN($O336)+0,4)),$O336:$AL336)
+SUMPRODUCT(--(MOD(COLUMN($AM336:$BJ336),4)=MOD(COLUMN($AM336)+0,4)),$AM336:$BJ336)</f>
        <v/>
      </c>
      <c r="BM336" s="836">
        <f>SUMPRODUCT(--(MOD(COLUMN($O336:$AL336),4)=MOD(COLUMN($O336)+0,4)),$O336:$AL336)*
$I336+SUMPRODUCT(--(MOD(COLUMN($AM336:$BJ336),4)=MOD(COLUMN($AM336)+0,4)),$AM336:$BJ336)*$I336</f>
        <v/>
      </c>
      <c r="BN336" s="836">
        <f>SUMPRODUCT(--(MOD(COLUMN($O336:$AL336),4)=MOD(COLUMN($O336)+1,4)),$O336:$AL336)
+SUMPRODUCT(--(MOD(COLUMN($AM336:$BJ336),4)=MOD(COLUMN($AM336)+1,4)),$AM336:$BJ336)</f>
        <v/>
      </c>
      <c r="BO336" s="836">
        <f>SUMPRODUCT(--(MOD(COLUMN($O336:$AL336),4)=MOD(COLUMN($O336)+1,4)),$O336:$AL336)*
$I336+SUMPRODUCT(--(MOD(COLUMN($AM336:$BJ336),4)=MOD(COLUMN($AM336)+1,4)),$AM336:$BJ336)*$I336</f>
        <v/>
      </c>
      <c r="BP336" s="836">
        <f>SUMPRODUCT(--(MOD(COLUMN($O336:$AL336),4)=MOD(COLUMN($O336)+2,4)),$O336:$AL336)
+SUMPRODUCT(--(MOD(COLUMN($AM336:$BJ336),4)=MOD(COLUMN($AM336)+2,4)),$AM336:$BJ336)</f>
        <v/>
      </c>
      <c r="BQ336" s="836">
        <f>SUMPRODUCT(--(MOD(COLUMN($O336:$AL336),4)=MOD(COLUMN($O336)+2,4)),$O336:$AL336)*
$I336+SUMPRODUCT(--(MOD(COLUMN($AM336:$BJ336),4)=MOD(COLUMN($AM336)+2,4)),$AM336:$BJ336)*$I336</f>
        <v/>
      </c>
      <c r="BR336" s="814" t="n"/>
      <c r="BS336" s="816" t="n"/>
      <c r="BT336" s="836" t="n"/>
      <c r="BU336" s="836" t="n"/>
      <c r="BV336" s="836" t="n"/>
      <c r="BW336" s="836" t="n"/>
      <c r="BX336" s="836" t="n"/>
      <c r="BY336" s="836" t="n"/>
      <c r="BZ336" s="836" t="n"/>
      <c r="CA336" s="836" t="n"/>
      <c r="CB336" s="836" t="n"/>
      <c r="CC336" s="836" t="n"/>
      <c r="CD336" s="836" t="n"/>
      <c r="CE336" s="836" t="n"/>
      <c r="CF336" s="836" t="n"/>
      <c r="CG336" s="836" t="n"/>
      <c r="CH336" s="836" t="n"/>
      <c r="CI336" s="836" t="n"/>
      <c r="CJ336" s="836" t="n"/>
      <c r="CK336" s="836" t="n"/>
      <c r="CL336" s="836" t="n"/>
      <c r="CM336" s="836" t="n"/>
      <c r="CN336" s="836" t="n"/>
      <c r="CO336" s="836" t="n"/>
      <c r="CP336" s="836" t="n"/>
      <c r="CQ336" s="836" t="n"/>
      <c r="CR336" s="836" t="n"/>
      <c r="CS336" s="836" t="n"/>
      <c r="CT336" s="836" t="n"/>
      <c r="CU336" s="836" t="n"/>
      <c r="CV336" s="836" t="n"/>
      <c r="CW336" s="836" t="n"/>
      <c r="CX336" s="836" t="n"/>
      <c r="CY336" s="836" t="n"/>
      <c r="CZ336" s="836" t="n"/>
      <c r="DA336" s="836" t="n"/>
      <c r="DB336" s="836" t="n"/>
      <c r="DC336" s="836" t="n"/>
      <c r="DD336" s="836" t="n"/>
      <c r="DE336" s="836" t="n"/>
      <c r="DF336" s="836" t="n"/>
      <c r="DG336" s="836" t="n"/>
      <c r="DH336" s="836" t="n"/>
      <c r="DI336" s="836" t="n"/>
      <c r="DJ336" s="836" t="n"/>
      <c r="DK336" s="836" t="n"/>
      <c r="DL336" s="836" t="n"/>
      <c r="DM336" s="836" t="n"/>
      <c r="DN336" s="836" t="n"/>
      <c r="DO336" s="836" t="n"/>
      <c r="DP336" s="839" t="n"/>
      <c r="DQ336" s="836" t="n"/>
      <c r="DR336" s="836">
        <f>SUMPRODUCT(--(MOD(COLUMN(BT336:CQ336),4)=MOD(COLUMN(BT336),4)),BT336:CQ336)*$I336+SUMPRODUCT(--(MOD(COLUMN(CR336:DO336),4)=MOD(COLUMN(CR336),4)),CR336:DO336)*$I336</f>
        <v/>
      </c>
      <c r="DS336" s="814" t="n"/>
      <c r="DT336" s="816" t="n"/>
      <c r="DU336" s="836" t="n"/>
      <c r="DV336" s="836" t="n"/>
      <c r="DW336" s="836" t="n"/>
      <c r="DX336" s="836" t="n"/>
      <c r="DY336" s="836" t="n"/>
      <c r="DZ336" s="836" t="n"/>
      <c r="EA336" s="836" t="n"/>
      <c r="EB336" s="836" t="n"/>
      <c r="EC336" s="836" t="n"/>
      <c r="ED336" s="836" t="n"/>
      <c r="EE336" s="836" t="n"/>
      <c r="EF336" s="836" t="n"/>
      <c r="EG336" s="836" t="n"/>
      <c r="EH336" s="836" t="n"/>
      <c r="EI336" s="836" t="n"/>
      <c r="EJ336" s="836" t="n"/>
      <c r="EK336" s="836" t="n"/>
      <c r="EL336" s="836" t="n"/>
      <c r="EM336" s="836" t="n"/>
      <c r="EN336" s="836" t="n"/>
      <c r="EO336" s="836" t="n"/>
      <c r="EP336" s="836" t="n"/>
      <c r="EQ336" s="836" t="n"/>
      <c r="ER336" s="836" t="n"/>
      <c r="ES336" s="836" t="n"/>
      <c r="ET336" s="836" t="n"/>
      <c r="EU336" s="836" t="n"/>
      <c r="EV336" s="836" t="n"/>
      <c r="EW336" s="836" t="n"/>
      <c r="EX336" s="836" t="n"/>
      <c r="EY336" s="836" t="n"/>
      <c r="EZ336" s="836" t="n"/>
      <c r="FA336" s="836" t="n"/>
      <c r="FB336" s="836" t="n"/>
      <c r="FC336" s="836" t="n"/>
      <c r="FD336" s="836" t="n"/>
      <c r="FE336" s="836" t="n"/>
      <c r="FF336" s="836" t="n"/>
      <c r="FG336" s="836" t="n"/>
      <c r="FH336" s="836" t="n"/>
      <c r="FI336" s="836" t="n"/>
      <c r="FJ336" s="836" t="n"/>
      <c r="FK336" s="836" t="n"/>
      <c r="FL336" s="836" t="n"/>
      <c r="FM336" s="836" t="n"/>
      <c r="FN336" s="836" t="n"/>
      <c r="FO336" s="836" t="n"/>
      <c r="FP336" s="836" t="n"/>
      <c r="FQ336" s="839" t="n"/>
      <c r="FR336" s="836" t="n"/>
      <c r="FS336" s="836">
        <f>SUMPRODUCT(--(MOD(COLUMN(DU336:ER336),4)=MOD(COLUMN(DU336),4)),DU336:ER336)*$I336+SUMPRODUCT(--(MOD(COLUMN(ES336:FP336),4)=MOD(COLUMN(ES336),4)),ES336:FP336)*$I336</f>
        <v/>
      </c>
    </row>
    <row r="337" outlineLevel="2" customFormat="1" s="63">
      <c r="A337" s="64" t="inlineStr">
        <is>
          <t>ПАО «Уралавтоприцеп»</t>
        </is>
      </c>
      <c r="B337" s="65" t="n"/>
      <c r="C337" s="655" t="n"/>
      <c r="D337" s="655" t="n"/>
      <c r="E337" s="508" t="n"/>
      <c r="F337" s="65" t="n"/>
      <c r="G337" s="137" t="n"/>
      <c r="H337" s="65" t="inlineStr">
        <is>
          <t>CNY, без НДС:</t>
        </is>
      </c>
      <c r="I337" s="635" t="n"/>
      <c r="J337" s="635" t="n"/>
      <c r="K337" s="138" t="n"/>
      <c r="L337" s="635" t="n"/>
      <c r="M337" s="873" t="n"/>
      <c r="N337" s="871">
        <f>IF(BP337&gt;0,1,IF(BN337&gt;0,2,))</f>
        <v/>
      </c>
      <c r="O337" s="836">
        <f>IFERROR(SUMPRODUCT(($A337=$A$6:$A$330)*$I$6:$I$330*O$6:O$330),"")</f>
        <v/>
      </c>
      <c r="P337" s="836">
        <f>IFERROR(SUMPRODUCT(($A337=$A$6:$A$330)*$I$6:$I$330*P$6:P$330),"")</f>
        <v/>
      </c>
      <c r="Q337" s="836">
        <f>IFERROR(SUMPRODUCT(($A337=$A$6:$A$330)*$I$6:$I$330*Q$6:Q$330),"")</f>
        <v/>
      </c>
      <c r="R337" s="836">
        <f>IFERROR(SUMPRODUCT(($A337=$A$6:$A$330)*$I$6:$I$330*R$6:R$330),"")</f>
        <v/>
      </c>
      <c r="S337" s="836">
        <f>IFERROR(SUMPRODUCT(($A337=$A$6:$A$330)*$I$6:$I$330*S$6:S$330),"")</f>
        <v/>
      </c>
      <c r="T337" s="836">
        <f>IFERROR(SUMPRODUCT(($A337=$A$6:$A$330)*$I$6:$I$330*T$6:T$330),"")</f>
        <v/>
      </c>
      <c r="U337" s="836">
        <f>IFERROR(SUMPRODUCT(($A337=$A$6:$A$330)*$I$6:$I$330*U$6:U$330),"")</f>
        <v/>
      </c>
      <c r="V337" s="836">
        <f>IFERROR(SUMPRODUCT(($A337=$A$6:$A$330)*$I$6:$I$330*V$6:V$330),"")</f>
        <v/>
      </c>
      <c r="W337" s="836">
        <f>IFERROR(SUMPRODUCT(($A337=$A$6:$A$330)*$I$6:$I$330*W$6:W$330),"")</f>
        <v/>
      </c>
      <c r="X337" s="836">
        <f>IFERROR(SUMPRODUCT(($A337=$A$6:$A$330)*$I$6:$I$330*X$6:X$330),"")</f>
        <v/>
      </c>
      <c r="Y337" s="836">
        <f>IFERROR(SUMPRODUCT(($A337=$A$6:$A$330)*$I$6:$I$330*Y$6:Y$330),"")</f>
        <v/>
      </c>
      <c r="Z337" s="836">
        <f>IFERROR(SUMPRODUCT(($A337=$A$6:$A$330)*$I$6:$I$330*Z$6:Z$330),"")</f>
        <v/>
      </c>
      <c r="AA337" s="836">
        <f>IFERROR(SUMPRODUCT(($A337=$A$6:$A$330)*$I$6:$I$330*AA$6:AA$330),"")</f>
        <v/>
      </c>
      <c r="AB337" s="836">
        <f>IFERROR(SUMPRODUCT(($A337=$A$6:$A$330)*$I$6:$I$330*AB$6:AB$330),"")</f>
        <v/>
      </c>
      <c r="AC337" s="836">
        <f>IFERROR(SUMPRODUCT(($A337=$A$6:$A$330)*$I$6:$I$330*AC$6:AC$330),"")</f>
        <v/>
      </c>
      <c r="AD337" s="836">
        <f>IFERROR(SUMPRODUCT(($A337=$A$6:$A$330)*$I$6:$I$330*AD$6:AD$330),"")</f>
        <v/>
      </c>
      <c r="AE337" s="836">
        <f>IFERROR(SUMPRODUCT(($A337=$A$6:$A$330)*$I$6:$I$330*AE$6:AE$330),"")</f>
        <v/>
      </c>
      <c r="AF337" s="836">
        <f>IFERROR(SUMPRODUCT(($A337=$A$6:$A$330)*$I$6:$I$330*AF$6:AF$330),"")</f>
        <v/>
      </c>
      <c r="AG337" s="836">
        <f>IFERROR(SUMPRODUCT(($A337=$A$6:$A$330)*$I$6:$I$330*AG$6:AG$330),"")</f>
        <v/>
      </c>
      <c r="AH337" s="836">
        <f>IFERROR(SUMPRODUCT(($A337=$A$6:$A$330)*$I$6:$I$330*AH$6:AH$330),"")</f>
        <v/>
      </c>
      <c r="AI337" s="836">
        <f>IFERROR(SUMPRODUCT(($A337=$A$6:$A$330)*$I$6:$I$330*AI$6:AI$330),"")</f>
        <v/>
      </c>
      <c r="AJ337" s="836">
        <f>IFERROR(SUMPRODUCT(($A337=$A$6:$A$330)*$I$6:$I$330*AJ$6:AJ$330),"")</f>
        <v/>
      </c>
      <c r="AK337" s="836">
        <f>IFERROR(SUMPRODUCT(($A337=$A$6:$A$330)*$I$6:$I$330*AK$6:AK$330),"")</f>
        <v/>
      </c>
      <c r="AL337" s="836">
        <f>IFERROR(SUMPRODUCT(($A337=$A$6:$A$330)*$I$6:$I$330*AL$6:AL$330),"")</f>
        <v/>
      </c>
      <c r="AM337" s="836">
        <f>IFERROR(SUMPRODUCT(($A337=$A$6:$A$330)*$I$6:$I$330*AM$6:AM$330),"")</f>
        <v/>
      </c>
      <c r="AN337" s="836">
        <f>IFERROR(SUMPRODUCT(($A337=$A$6:$A$330)*$I$6:$I$330*AN$6:AN$330),"")</f>
        <v/>
      </c>
      <c r="AO337" s="836">
        <f>IFERROR(SUMPRODUCT(($A337=$A$6:$A$330)*$I$6:$I$330*AO$6:AO$330),"")</f>
        <v/>
      </c>
      <c r="AP337" s="836">
        <f>IFERROR(SUMPRODUCT(($A337=$A$6:$A$330)*$I$6:$I$330*AP$6:AP$330),"")</f>
        <v/>
      </c>
      <c r="AQ337" s="836">
        <f>IFERROR(SUMPRODUCT(($A337=$A$6:$A$330)*$I$6:$I$330*AQ$6:AQ$330),"")</f>
        <v/>
      </c>
      <c r="AR337" s="836">
        <f>IFERROR(SUMPRODUCT(($A337=$A$6:$A$330)*$I$6:$I$330*AR$6:AR$330),"")</f>
        <v/>
      </c>
      <c r="AS337" s="836">
        <f>IFERROR(SUMPRODUCT(($A337=$A$6:$A$330)*$I$6:$I$330*AS$6:AS$330),"")</f>
        <v/>
      </c>
      <c r="AT337" s="836">
        <f>IFERROR(SUMPRODUCT(($A337=$A$6:$A$330)*$I$6:$I$330*AT$6:AT$330),"")</f>
        <v/>
      </c>
      <c r="AU337" s="836">
        <f>IFERROR(SUMPRODUCT(($A337=$A$6:$A$330)*$I$6:$I$330*AU$6:AU$330),"")</f>
        <v/>
      </c>
      <c r="AV337" s="836">
        <f>IFERROR(SUMPRODUCT(($A337=$A$6:$A$330)*$I$6:$I$330*AV$6:AV$330),"")</f>
        <v/>
      </c>
      <c r="AW337" s="836">
        <f>IFERROR(SUMPRODUCT(($A337=$A$6:$A$330)*$I$6:$I$330*AW$6:AW$330),"")</f>
        <v/>
      </c>
      <c r="AX337" s="836">
        <f>IFERROR(SUMPRODUCT(($A337=$A$6:$A$330)*$I$6:$I$330*AX$6:AX$330),"")</f>
        <v/>
      </c>
      <c r="AY337" s="836">
        <f>IFERROR(SUMPRODUCT(($A337=$A$6:$A$330)*$I$6:$I$330*AY$6:AY$330),"")</f>
        <v/>
      </c>
      <c r="AZ337" s="836">
        <f>IFERROR(SUMPRODUCT(($A337=$A$6:$A$330)*$I$6:$I$330*AZ$6:AZ$330),"")</f>
        <v/>
      </c>
      <c r="BA337" s="836">
        <f>IFERROR(SUMPRODUCT(($A337=$A$6:$A$330)*$I$6:$I$330*BA$6:BA$330),"")</f>
        <v/>
      </c>
      <c r="BB337" s="836">
        <f>IFERROR(SUMPRODUCT(($A337=$A$6:$A$330)*$I$6:$I$330*BB$6:BB$330),"")</f>
        <v/>
      </c>
      <c r="BC337" s="836">
        <f>IFERROR(SUMPRODUCT(($A337=$A$6:$A$330)*$I$6:$I$330*BC$6:BC$330),"")</f>
        <v/>
      </c>
      <c r="BD337" s="836">
        <f>IFERROR(SUMPRODUCT(($A337=$A$6:$A$330)*$I$6:$I$330*BD$6:BD$330),"")</f>
        <v/>
      </c>
      <c r="BE337" s="836">
        <f>IFERROR(SUMPRODUCT(($A337=$A$6:$A$330)*$I$6:$I$330*BE$6:BE$330),"")</f>
        <v/>
      </c>
      <c r="BF337" s="836">
        <f>IFERROR(SUMPRODUCT(($A337=$A$6:$A$330)*$I$6:$I$330*BF$6:BF$330),"")</f>
        <v/>
      </c>
      <c r="BG337" s="836">
        <f>IFERROR(SUMPRODUCT(($A337=$A$6:$A$330)*$I$6:$I$330*BG$6:BG$330),"")</f>
        <v/>
      </c>
      <c r="BH337" s="836">
        <f>IFERROR(SUMPRODUCT(($A337=$A$6:$A$330)*$I$6:$I$330*BH$6:BH$330),"")</f>
        <v/>
      </c>
      <c r="BI337" s="836">
        <f>IFERROR(SUMPRODUCT(($A337=$A$6:$A$330)*$I$6:$I$330*BI$6:BI$330),"")</f>
        <v/>
      </c>
      <c r="BJ337" s="836">
        <f>IFERROR(SUMPRODUCT(($A337=$A$6:$A$330)*$I$6:$I$330*BJ$6:BJ$330),"")</f>
        <v/>
      </c>
      <c r="BK337" s="839" t="n"/>
      <c r="BL337" s="836">
        <f>SUMPRODUCT(--(MOD(COLUMN($O337:$AL337),4)=MOD(COLUMN($O337)+0,4)),$O337:$AL337)
+SUMPRODUCT(--(MOD(COLUMN($AM337:$BJ337),4)=MOD(COLUMN($AM337)+0,4)),$AM337:$BJ337)</f>
        <v/>
      </c>
      <c r="BM337" s="836">
        <f>SUMPRODUCT(--(MOD(COLUMN($O337:$AL337),4)=MOD(COLUMN($O337)+0,4)),$O337:$AL337)*
$I337+SUMPRODUCT(--(MOD(COLUMN($AM337:$BJ337),4)=MOD(COLUMN($AM337)+0,4)),$AM337:$BJ337)*$I337</f>
        <v/>
      </c>
      <c r="BN337" s="836">
        <f>SUMPRODUCT(--(MOD(COLUMN($O337:$AL337),4)=MOD(COLUMN($O337)+1,4)),$O337:$AL337)
+SUMPRODUCT(--(MOD(COLUMN($AM337:$BJ337),4)=MOD(COLUMN($AM337)+1,4)),$AM337:$BJ337)</f>
        <v/>
      </c>
      <c r="BO337" s="836">
        <f>SUMPRODUCT(--(MOD(COLUMN($O337:$AL337),4)=MOD(COLUMN($O337)+1,4)),$O337:$AL337)*
$I337+SUMPRODUCT(--(MOD(COLUMN($AM337:$BJ337),4)=MOD(COLUMN($AM337)+1,4)),$AM337:$BJ337)*$I337</f>
        <v/>
      </c>
      <c r="BP337" s="836">
        <f>SUMPRODUCT(--(MOD(COLUMN($O337:$AL337),4)=MOD(COLUMN($O337)+2,4)),$O337:$AL337)
+SUMPRODUCT(--(MOD(COLUMN($AM337:$BJ337),4)=MOD(COLUMN($AM337)+2,4)),$AM337:$BJ337)</f>
        <v/>
      </c>
      <c r="BQ337" s="836">
        <f>SUMPRODUCT(--(MOD(COLUMN($O337:$AL337),4)=MOD(COLUMN($O337)+2,4)),$O337:$AL337)*
$I337+SUMPRODUCT(--(MOD(COLUMN($AM337:$BJ337),4)=MOD(COLUMN($AM337)+2,4)),$AM337:$BJ337)*$I337</f>
        <v/>
      </c>
      <c r="BR337" s="814" t="n"/>
      <c r="BS337" s="816" t="n"/>
      <c r="BT337" s="836" t="n"/>
      <c r="BU337" s="836" t="n"/>
      <c r="BV337" s="836" t="n"/>
      <c r="BW337" s="836" t="n"/>
      <c r="BX337" s="836" t="n"/>
      <c r="BY337" s="836" t="n"/>
      <c r="BZ337" s="836" t="n"/>
      <c r="CA337" s="836" t="n"/>
      <c r="CB337" s="836" t="n"/>
      <c r="CC337" s="836" t="n"/>
      <c r="CD337" s="836" t="n"/>
      <c r="CE337" s="836" t="n"/>
      <c r="CF337" s="836" t="n"/>
      <c r="CG337" s="836" t="n"/>
      <c r="CH337" s="836" t="n"/>
      <c r="CI337" s="836" t="n"/>
      <c r="CJ337" s="836" t="n"/>
      <c r="CK337" s="836" t="n"/>
      <c r="CL337" s="836" t="n"/>
      <c r="CM337" s="836" t="n"/>
      <c r="CN337" s="836" t="n"/>
      <c r="CO337" s="836" t="n"/>
      <c r="CP337" s="836" t="n"/>
      <c r="CQ337" s="836" t="n"/>
      <c r="CR337" s="836" t="n"/>
      <c r="CS337" s="836" t="n"/>
      <c r="CT337" s="836" t="n"/>
      <c r="CU337" s="836" t="n"/>
      <c r="CV337" s="836" t="n"/>
      <c r="CW337" s="836" t="n"/>
      <c r="CX337" s="836" t="n"/>
      <c r="CY337" s="836" t="n"/>
      <c r="CZ337" s="836" t="n"/>
      <c r="DA337" s="836" t="n"/>
      <c r="DB337" s="836" t="n"/>
      <c r="DC337" s="836" t="n"/>
      <c r="DD337" s="836" t="n"/>
      <c r="DE337" s="836" t="n"/>
      <c r="DF337" s="836" t="n"/>
      <c r="DG337" s="836" t="n"/>
      <c r="DH337" s="836" t="n"/>
      <c r="DI337" s="836" t="n"/>
      <c r="DJ337" s="836" t="n"/>
      <c r="DK337" s="836" t="n"/>
      <c r="DL337" s="836" t="n"/>
      <c r="DM337" s="836" t="n"/>
      <c r="DN337" s="836" t="n"/>
      <c r="DO337" s="836" t="n"/>
      <c r="DP337" s="839" t="n"/>
      <c r="DQ337" s="836" t="n"/>
      <c r="DR337" s="836">
        <f>SUMPRODUCT(--(MOD(COLUMN(BT337:CQ337),4)=MOD(COLUMN(BT337),4)),BT337:CQ337)*$I337+SUMPRODUCT(--(MOD(COLUMN(CR337:DO337),4)=MOD(COLUMN(CR337),4)),CR337:DO337)*$I337</f>
        <v/>
      </c>
      <c r="DS337" s="814" t="n"/>
      <c r="DT337" s="816" t="n"/>
      <c r="DU337" s="836" t="n"/>
      <c r="DV337" s="836" t="n"/>
      <c r="DW337" s="836" t="n"/>
      <c r="DX337" s="836" t="n"/>
      <c r="DY337" s="836" t="n"/>
      <c r="DZ337" s="836" t="n"/>
      <c r="EA337" s="836" t="n"/>
      <c r="EB337" s="836" t="n"/>
      <c r="EC337" s="836" t="n"/>
      <c r="ED337" s="836" t="n"/>
      <c r="EE337" s="836" t="n"/>
      <c r="EF337" s="836" t="n"/>
      <c r="EG337" s="836" t="n"/>
      <c r="EH337" s="836" t="n"/>
      <c r="EI337" s="836" t="n"/>
      <c r="EJ337" s="836" t="n"/>
      <c r="EK337" s="836" t="n"/>
      <c r="EL337" s="836" t="n"/>
      <c r="EM337" s="836" t="n"/>
      <c r="EN337" s="836" t="n"/>
      <c r="EO337" s="836" t="n"/>
      <c r="EP337" s="836" t="n"/>
      <c r="EQ337" s="836" t="n"/>
      <c r="ER337" s="836" t="n"/>
      <c r="ES337" s="836" t="n"/>
      <c r="ET337" s="836" t="n"/>
      <c r="EU337" s="836" t="n"/>
      <c r="EV337" s="836" t="n"/>
      <c r="EW337" s="836" t="n"/>
      <c r="EX337" s="836" t="n"/>
      <c r="EY337" s="836" t="n"/>
      <c r="EZ337" s="836" t="n"/>
      <c r="FA337" s="836" t="n"/>
      <c r="FB337" s="836" t="n"/>
      <c r="FC337" s="836" t="n"/>
      <c r="FD337" s="836" t="n"/>
      <c r="FE337" s="836" t="n"/>
      <c r="FF337" s="836" t="n"/>
      <c r="FG337" s="836" t="n"/>
      <c r="FH337" s="836" t="n"/>
      <c r="FI337" s="836" t="n"/>
      <c r="FJ337" s="836" t="n"/>
      <c r="FK337" s="836" t="n"/>
      <c r="FL337" s="836" t="n"/>
      <c r="FM337" s="836" t="n"/>
      <c r="FN337" s="836" t="n"/>
      <c r="FO337" s="836" t="n"/>
      <c r="FP337" s="836" t="n"/>
      <c r="FQ337" s="839" t="n"/>
      <c r="FR337" s="836" t="n"/>
      <c r="FS337" s="836">
        <f>SUMPRODUCT(--(MOD(COLUMN(DU337:ER337),4)=MOD(COLUMN(DU337),4)),DU337:ER337)*$I337+SUMPRODUCT(--(MOD(COLUMN(ES337:FP337),4)=MOD(COLUMN(ES337),4)),ES337:FP337)*$I337</f>
        <v/>
      </c>
    </row>
    <row r="338" outlineLevel="2" customFormat="1" s="63">
      <c r="A338" s="64" t="inlineStr">
        <is>
          <t>СПЕЦАВТО-ВОСТОК ООО</t>
        </is>
      </c>
      <c r="B338" s="65" t="n"/>
      <c r="C338" s="655" t="n"/>
      <c r="D338" s="655" t="n"/>
      <c r="E338" s="508" t="n"/>
      <c r="F338" s="65" t="n"/>
      <c r="G338" s="137" t="n"/>
      <c r="H338" s="65" t="inlineStr">
        <is>
          <t>CNY, без НДС:</t>
        </is>
      </c>
      <c r="I338" s="635" t="n"/>
      <c r="J338" s="635" t="n"/>
      <c r="K338" s="138" t="n"/>
      <c r="L338" s="635" t="n"/>
      <c r="M338" s="873" t="n"/>
      <c r="N338" s="871">
        <f>IF(BP338&gt;0,1,IF(BN338&gt;0,2,))</f>
        <v/>
      </c>
      <c r="O338" s="836">
        <f>IFERROR(SUMPRODUCT(($A338=$A$6:$A$330)*$I$6:$I$330*O$6:O$330),"")</f>
        <v/>
      </c>
      <c r="P338" s="836">
        <f>IFERROR(SUMPRODUCT(($A338=$A$6:$A$330)*$I$6:$I$330*P$6:P$330),"")</f>
        <v/>
      </c>
      <c r="Q338" s="836">
        <f>IFERROR(SUMPRODUCT(($A338=$A$6:$A$330)*$I$6:$I$330*Q$6:Q$330),"")</f>
        <v/>
      </c>
      <c r="R338" s="836">
        <f>IFERROR(SUMPRODUCT(($A338=$A$6:$A$330)*$I$6:$I$330*R$6:R$330),"")</f>
        <v/>
      </c>
      <c r="S338" s="836">
        <f>IFERROR(SUMPRODUCT(($A338=$A$6:$A$330)*$I$6:$I$330*S$6:S$330),"")</f>
        <v/>
      </c>
      <c r="T338" s="836">
        <f>IFERROR(SUMPRODUCT(($A338=$A$6:$A$330)*$I$6:$I$330*T$6:T$330),"")</f>
        <v/>
      </c>
      <c r="U338" s="836">
        <f>IFERROR(SUMPRODUCT(($A338=$A$6:$A$330)*$I$6:$I$330*U$6:U$330),"")</f>
        <v/>
      </c>
      <c r="V338" s="836">
        <f>IFERROR(SUMPRODUCT(($A338=$A$6:$A$330)*$I$6:$I$330*V$6:V$330),"")</f>
        <v/>
      </c>
      <c r="W338" s="836">
        <f>IFERROR(SUMPRODUCT(($A338=$A$6:$A$330)*$I$6:$I$330*W$6:W$330),"")</f>
        <v/>
      </c>
      <c r="X338" s="836">
        <f>IFERROR(SUMPRODUCT(($A338=$A$6:$A$330)*$I$6:$I$330*X$6:X$330),"")</f>
        <v/>
      </c>
      <c r="Y338" s="836">
        <f>IFERROR(SUMPRODUCT(($A338=$A$6:$A$330)*$I$6:$I$330*Y$6:Y$330),"")</f>
        <v/>
      </c>
      <c r="Z338" s="836">
        <f>IFERROR(SUMPRODUCT(($A338=$A$6:$A$330)*$I$6:$I$330*Z$6:Z$330),"")</f>
        <v/>
      </c>
      <c r="AA338" s="836">
        <f>IFERROR(SUMPRODUCT(($A338=$A$6:$A$330)*$I$6:$I$330*AA$6:AA$330),"")</f>
        <v/>
      </c>
      <c r="AB338" s="836">
        <f>IFERROR(SUMPRODUCT(($A338=$A$6:$A$330)*$I$6:$I$330*AB$6:AB$330),"")</f>
        <v/>
      </c>
      <c r="AC338" s="836">
        <f>IFERROR(SUMPRODUCT(($A338=$A$6:$A$330)*$I$6:$I$330*AC$6:AC$330),"")</f>
        <v/>
      </c>
      <c r="AD338" s="836">
        <f>IFERROR(SUMPRODUCT(($A338=$A$6:$A$330)*$I$6:$I$330*AD$6:AD$330),"")</f>
        <v/>
      </c>
      <c r="AE338" s="836">
        <f>IFERROR(SUMPRODUCT(($A338=$A$6:$A$330)*$I$6:$I$330*AE$6:AE$330),"")</f>
        <v/>
      </c>
      <c r="AF338" s="836">
        <f>IFERROR(SUMPRODUCT(($A338=$A$6:$A$330)*$I$6:$I$330*AF$6:AF$330),"")</f>
        <v/>
      </c>
      <c r="AG338" s="836">
        <f>IFERROR(SUMPRODUCT(($A338=$A$6:$A$330)*$I$6:$I$330*AG$6:AG$330),"")</f>
        <v/>
      </c>
      <c r="AH338" s="836">
        <f>IFERROR(SUMPRODUCT(($A338=$A$6:$A$330)*$I$6:$I$330*AH$6:AH$330),"")</f>
        <v/>
      </c>
      <c r="AI338" s="836">
        <f>IFERROR(SUMPRODUCT(($A338=$A$6:$A$330)*$I$6:$I$330*AI$6:AI$330),"")</f>
        <v/>
      </c>
      <c r="AJ338" s="836">
        <f>IFERROR(SUMPRODUCT(($A338=$A$6:$A$330)*$I$6:$I$330*AJ$6:AJ$330),"")</f>
        <v/>
      </c>
      <c r="AK338" s="836">
        <f>IFERROR(SUMPRODUCT(($A338=$A$6:$A$330)*$I$6:$I$330*AK$6:AK$330),"")</f>
        <v/>
      </c>
      <c r="AL338" s="836">
        <f>IFERROR(SUMPRODUCT(($A338=$A$6:$A$330)*$I$6:$I$330*AL$6:AL$330),"")</f>
        <v/>
      </c>
      <c r="AM338" s="836">
        <f>IFERROR(SUMPRODUCT(($A338=$A$6:$A$330)*$I$6:$I$330*AM$6:AM$330),"")</f>
        <v/>
      </c>
      <c r="AN338" s="836">
        <f>IFERROR(SUMPRODUCT(($A338=$A$6:$A$330)*$I$6:$I$330*AN$6:AN$330),"")</f>
        <v/>
      </c>
      <c r="AO338" s="836">
        <f>IFERROR(SUMPRODUCT(($A338=$A$6:$A$330)*$I$6:$I$330*AO$6:AO$330),"")</f>
        <v/>
      </c>
      <c r="AP338" s="836">
        <f>IFERROR(SUMPRODUCT(($A338=$A$6:$A$330)*$I$6:$I$330*AP$6:AP$330),"")</f>
        <v/>
      </c>
      <c r="AQ338" s="836">
        <f>IFERROR(SUMPRODUCT(($A338=$A$6:$A$330)*$I$6:$I$330*AQ$6:AQ$330),"")</f>
        <v/>
      </c>
      <c r="AR338" s="836">
        <f>IFERROR(SUMPRODUCT(($A338=$A$6:$A$330)*$I$6:$I$330*AR$6:AR$330),"")</f>
        <v/>
      </c>
      <c r="AS338" s="836">
        <f>IFERROR(SUMPRODUCT(($A338=$A$6:$A$330)*$I$6:$I$330*AS$6:AS$330),"")</f>
        <v/>
      </c>
      <c r="AT338" s="836">
        <f>IFERROR(SUMPRODUCT(($A338=$A$6:$A$330)*$I$6:$I$330*AT$6:AT$330),"")</f>
        <v/>
      </c>
      <c r="AU338" s="836">
        <f>IFERROR(SUMPRODUCT(($A338=$A$6:$A$330)*$I$6:$I$330*AU$6:AU$330),"")</f>
        <v/>
      </c>
      <c r="AV338" s="836">
        <f>IFERROR(SUMPRODUCT(($A338=$A$6:$A$330)*$I$6:$I$330*AV$6:AV$330),"")</f>
        <v/>
      </c>
      <c r="AW338" s="836">
        <f>IFERROR(SUMPRODUCT(($A338=$A$6:$A$330)*$I$6:$I$330*AW$6:AW$330),"")</f>
        <v/>
      </c>
      <c r="AX338" s="836">
        <f>IFERROR(SUMPRODUCT(($A338=$A$6:$A$330)*$I$6:$I$330*AX$6:AX$330),"")</f>
        <v/>
      </c>
      <c r="AY338" s="836">
        <f>IFERROR(SUMPRODUCT(($A338=$A$6:$A$330)*$I$6:$I$330*AY$6:AY$330),"")</f>
        <v/>
      </c>
      <c r="AZ338" s="836">
        <f>IFERROR(SUMPRODUCT(($A338=$A$6:$A$330)*$I$6:$I$330*AZ$6:AZ$330),"")</f>
        <v/>
      </c>
      <c r="BA338" s="836">
        <f>IFERROR(SUMPRODUCT(($A338=$A$6:$A$330)*$I$6:$I$330*BA$6:BA$330),"")</f>
        <v/>
      </c>
      <c r="BB338" s="836">
        <f>IFERROR(SUMPRODUCT(($A338=$A$6:$A$330)*$I$6:$I$330*BB$6:BB$330),"")</f>
        <v/>
      </c>
      <c r="BC338" s="836">
        <f>IFERROR(SUMPRODUCT(($A338=$A$6:$A$330)*$I$6:$I$330*BC$6:BC$330),"")</f>
        <v/>
      </c>
      <c r="BD338" s="836">
        <f>IFERROR(SUMPRODUCT(($A338=$A$6:$A$330)*$I$6:$I$330*BD$6:BD$330),"")</f>
        <v/>
      </c>
      <c r="BE338" s="836">
        <f>IFERROR(SUMPRODUCT(($A338=$A$6:$A$330)*$I$6:$I$330*BE$6:BE$330),"")</f>
        <v/>
      </c>
      <c r="BF338" s="836">
        <f>IFERROR(SUMPRODUCT(($A338=$A$6:$A$330)*$I$6:$I$330*BF$6:BF$330),"")</f>
        <v/>
      </c>
      <c r="BG338" s="836">
        <f>IFERROR(SUMPRODUCT(($A338=$A$6:$A$330)*$I$6:$I$330*BG$6:BG$330),"")</f>
        <v/>
      </c>
      <c r="BH338" s="836">
        <f>IFERROR(SUMPRODUCT(($A338=$A$6:$A$330)*$I$6:$I$330*BH$6:BH$330),"")</f>
        <v/>
      </c>
      <c r="BI338" s="836">
        <f>IFERROR(SUMPRODUCT(($A338=$A$6:$A$330)*$I$6:$I$330*BI$6:BI$330),"")</f>
        <v/>
      </c>
      <c r="BJ338" s="836">
        <f>IFERROR(SUMPRODUCT(($A338=$A$6:$A$330)*$I$6:$I$330*BJ$6:BJ$330),"")</f>
        <v/>
      </c>
      <c r="BK338" s="839" t="n"/>
      <c r="BL338" s="836">
        <f>SUMPRODUCT(--(MOD(COLUMN($O338:$AL338),4)=MOD(COLUMN($O338)+0,4)),$O338:$AL338)
+SUMPRODUCT(--(MOD(COLUMN($AM338:$BJ338),4)=MOD(COLUMN($AM338)+0,4)),$AM338:$BJ338)</f>
        <v/>
      </c>
      <c r="BM338" s="836">
        <f>SUMPRODUCT(--(MOD(COLUMN($O338:$AL338),4)=MOD(COLUMN($O338)+0,4)),$O338:$AL338)*
$I338+SUMPRODUCT(--(MOD(COLUMN($AM338:$BJ338),4)=MOD(COLUMN($AM338)+0,4)),$AM338:$BJ338)*$I338</f>
        <v/>
      </c>
      <c r="BN338" s="836">
        <f>SUMPRODUCT(--(MOD(COLUMN($O338:$AL338),4)=MOD(COLUMN($O338)+1,4)),$O338:$AL338)
+SUMPRODUCT(--(MOD(COLUMN($AM338:$BJ338),4)=MOD(COLUMN($AM338)+1,4)),$AM338:$BJ338)</f>
        <v/>
      </c>
      <c r="BO338" s="836">
        <f>SUMPRODUCT(--(MOD(COLUMN($O338:$AL338),4)=MOD(COLUMN($O338)+1,4)),$O338:$AL338)*
$I338+SUMPRODUCT(--(MOD(COLUMN($AM338:$BJ338),4)=MOD(COLUMN($AM338)+1,4)),$AM338:$BJ338)*$I338</f>
        <v/>
      </c>
      <c r="BP338" s="836">
        <f>SUMPRODUCT(--(MOD(COLUMN($O338:$AL338),4)=MOD(COLUMN($O338)+2,4)),$O338:$AL338)
+SUMPRODUCT(--(MOD(COLUMN($AM338:$BJ338),4)=MOD(COLUMN($AM338)+2,4)),$AM338:$BJ338)</f>
        <v/>
      </c>
      <c r="BQ338" s="836">
        <f>SUMPRODUCT(--(MOD(COLUMN($O338:$AL338),4)=MOD(COLUMN($O338)+2,4)),$O338:$AL338)*
$I338+SUMPRODUCT(--(MOD(COLUMN($AM338:$BJ338),4)=MOD(COLUMN($AM338)+2,4)),$AM338:$BJ338)*$I338</f>
        <v/>
      </c>
      <c r="BR338" s="814" t="n"/>
      <c r="BS338" s="816" t="n"/>
      <c r="BT338" s="836" t="n"/>
      <c r="BU338" s="836" t="n"/>
      <c r="BV338" s="836" t="n"/>
      <c r="BW338" s="836" t="n"/>
      <c r="BX338" s="836" t="n"/>
      <c r="BY338" s="836" t="n"/>
      <c r="BZ338" s="836" t="n"/>
      <c r="CA338" s="836" t="n"/>
      <c r="CB338" s="836" t="n"/>
      <c r="CC338" s="836" t="n"/>
      <c r="CD338" s="836" t="n"/>
      <c r="CE338" s="836" t="n"/>
      <c r="CF338" s="836" t="n"/>
      <c r="CG338" s="836" t="n"/>
      <c r="CH338" s="836" t="n"/>
      <c r="CI338" s="836" t="n"/>
      <c r="CJ338" s="836" t="n"/>
      <c r="CK338" s="836" t="n"/>
      <c r="CL338" s="836" t="n"/>
      <c r="CM338" s="836" t="n"/>
      <c r="CN338" s="836" t="n"/>
      <c r="CO338" s="836" t="n"/>
      <c r="CP338" s="836" t="n"/>
      <c r="CQ338" s="836" t="n"/>
      <c r="CR338" s="836" t="n"/>
      <c r="CS338" s="836" t="n"/>
      <c r="CT338" s="836" t="n"/>
      <c r="CU338" s="836" t="n"/>
      <c r="CV338" s="836" t="n"/>
      <c r="CW338" s="836" t="n"/>
      <c r="CX338" s="836" t="n"/>
      <c r="CY338" s="836" t="n"/>
      <c r="CZ338" s="836" t="n"/>
      <c r="DA338" s="836" t="n"/>
      <c r="DB338" s="836" t="n"/>
      <c r="DC338" s="836" t="n"/>
      <c r="DD338" s="836" t="n"/>
      <c r="DE338" s="836" t="n"/>
      <c r="DF338" s="836" t="n"/>
      <c r="DG338" s="836" t="n"/>
      <c r="DH338" s="836" t="n"/>
      <c r="DI338" s="836" t="n"/>
      <c r="DJ338" s="836" t="n"/>
      <c r="DK338" s="836" t="n"/>
      <c r="DL338" s="836" t="n"/>
      <c r="DM338" s="836" t="n"/>
      <c r="DN338" s="836" t="n"/>
      <c r="DO338" s="836" t="n"/>
      <c r="DP338" s="839" t="n"/>
      <c r="DQ338" s="836" t="n"/>
      <c r="DR338" s="836">
        <f>SUMPRODUCT(--(MOD(COLUMN(BT338:CQ338),4)=MOD(COLUMN(BT338),4)),BT338:CQ338)*$I338+SUMPRODUCT(--(MOD(COLUMN(CR338:DO338),4)=MOD(COLUMN(CR338),4)),CR338:DO338)*$I338</f>
        <v/>
      </c>
      <c r="DS338" s="814" t="n"/>
      <c r="DT338" s="816" t="n"/>
      <c r="DU338" s="836" t="n"/>
      <c r="DV338" s="836" t="n"/>
      <c r="DW338" s="836" t="n"/>
      <c r="DX338" s="836" t="n"/>
      <c r="DY338" s="836" t="n"/>
      <c r="DZ338" s="836" t="n"/>
      <c r="EA338" s="836" t="n"/>
      <c r="EB338" s="836" t="n"/>
      <c r="EC338" s="836" t="n"/>
      <c r="ED338" s="836" t="n"/>
      <c r="EE338" s="836" t="n"/>
      <c r="EF338" s="836" t="n"/>
      <c r="EG338" s="836" t="n"/>
      <c r="EH338" s="836" t="n"/>
      <c r="EI338" s="836" t="n"/>
      <c r="EJ338" s="836" t="n"/>
      <c r="EK338" s="836" t="n"/>
      <c r="EL338" s="836" t="n"/>
      <c r="EM338" s="836" t="n"/>
      <c r="EN338" s="836" t="n"/>
      <c r="EO338" s="836" t="n"/>
      <c r="EP338" s="836" t="n"/>
      <c r="EQ338" s="836" t="n"/>
      <c r="ER338" s="836" t="n"/>
      <c r="ES338" s="836" t="n"/>
      <c r="ET338" s="836" t="n"/>
      <c r="EU338" s="836" t="n"/>
      <c r="EV338" s="836" t="n"/>
      <c r="EW338" s="836" t="n"/>
      <c r="EX338" s="836" t="n"/>
      <c r="EY338" s="836" t="n"/>
      <c r="EZ338" s="836" t="n"/>
      <c r="FA338" s="836" t="n"/>
      <c r="FB338" s="836" t="n"/>
      <c r="FC338" s="836" t="n"/>
      <c r="FD338" s="836" t="n"/>
      <c r="FE338" s="836" t="n"/>
      <c r="FF338" s="836" t="n"/>
      <c r="FG338" s="836" t="n"/>
      <c r="FH338" s="836" t="n"/>
      <c r="FI338" s="836" t="n"/>
      <c r="FJ338" s="836" t="n"/>
      <c r="FK338" s="836" t="n"/>
      <c r="FL338" s="836" t="n"/>
      <c r="FM338" s="836" t="n"/>
      <c r="FN338" s="836" t="n"/>
      <c r="FO338" s="836" t="n"/>
      <c r="FP338" s="836" t="n"/>
      <c r="FQ338" s="839" t="n"/>
      <c r="FR338" s="836" t="n"/>
      <c r="FS338" s="836">
        <f>SUMPRODUCT(--(MOD(COLUMN(DU338:ER338),4)=MOD(COLUMN(DU338),4)),DU338:ER338)*$I338+SUMPRODUCT(--(MOD(COLUMN(ES338:FP338),4)=MOD(COLUMN(ES338),4)),ES338:FP338)*$I338</f>
        <v/>
      </c>
    </row>
    <row r="339" outlineLevel="2" customFormat="1" s="63">
      <c r="A339" s="64" t="inlineStr">
        <is>
          <t>АВТОВИК ООО / AVTOVIK OOO</t>
        </is>
      </c>
      <c r="B339" s="65" t="n"/>
      <c r="C339" s="655" t="n"/>
      <c r="D339" s="655" t="n"/>
      <c r="E339" s="508" t="n"/>
      <c r="F339" s="65" t="n"/>
      <c r="G339" s="137" t="n"/>
      <c r="H339" s="65" t="inlineStr">
        <is>
          <t>CNY, без НДС:</t>
        </is>
      </c>
      <c r="I339" s="635" t="n"/>
      <c r="J339" s="635" t="n"/>
      <c r="K339" s="138" t="n"/>
      <c r="L339" s="635" t="n"/>
      <c r="M339" s="873" t="n"/>
      <c r="N339" s="871">
        <f>IF(BP339&gt;0,1,IF(BN339&gt;0,2,))</f>
        <v/>
      </c>
      <c r="O339" s="836">
        <f>IFERROR(SUMPRODUCT(($A339=$A$6:$A$330)*$I$6:$I$330*O$6:O$330),"")</f>
        <v/>
      </c>
      <c r="P339" s="836">
        <f>IFERROR(SUMPRODUCT(($A339=$A$6:$A$330)*$I$6:$I$330*P$6:P$330),"")</f>
        <v/>
      </c>
      <c r="Q339" s="836">
        <f>IFERROR(SUMPRODUCT(($A339=$A$6:$A$330)*$I$6:$I$330*Q$6:Q$330),"")</f>
        <v/>
      </c>
      <c r="R339" s="836">
        <f>IFERROR(SUMPRODUCT(($A339=$A$6:$A$330)*$I$6:$I$330*R$6:R$330),"")</f>
        <v/>
      </c>
      <c r="S339" s="836">
        <f>IFERROR(SUMPRODUCT(($A339=$A$6:$A$330)*$I$6:$I$330*S$6:S$330),"")</f>
        <v/>
      </c>
      <c r="T339" s="836">
        <f>IFERROR(SUMPRODUCT(($A339=$A$6:$A$330)*$I$6:$I$330*T$6:T$330),"")</f>
        <v/>
      </c>
      <c r="U339" s="836">
        <f>IFERROR(SUMPRODUCT(($A339=$A$6:$A$330)*$I$6:$I$330*U$6:U$330),"")</f>
        <v/>
      </c>
      <c r="V339" s="836">
        <f>IFERROR(SUMPRODUCT(($A339=$A$6:$A$330)*$I$6:$I$330*V$6:V$330),"")</f>
        <v/>
      </c>
      <c r="W339" s="836">
        <f>IFERROR(SUMPRODUCT(($A339=$A$6:$A$330)*$I$6:$I$330*W$6:W$330),"")</f>
        <v/>
      </c>
      <c r="X339" s="836">
        <f>IFERROR(SUMPRODUCT(($A339=$A$6:$A$330)*$I$6:$I$330*X$6:X$330),"")</f>
        <v/>
      </c>
      <c r="Y339" s="836">
        <f>IFERROR(SUMPRODUCT(($A339=$A$6:$A$330)*$I$6:$I$330*Y$6:Y$330),"")</f>
        <v/>
      </c>
      <c r="Z339" s="836">
        <f>IFERROR(SUMPRODUCT(($A339=$A$6:$A$330)*$I$6:$I$330*Z$6:Z$330),"")</f>
        <v/>
      </c>
      <c r="AA339" s="836">
        <f>IFERROR(SUMPRODUCT(($A339=$A$6:$A$330)*$I$6:$I$330*AA$6:AA$330),"")</f>
        <v/>
      </c>
      <c r="AB339" s="836">
        <f>IFERROR(SUMPRODUCT(($A339=$A$6:$A$330)*$I$6:$I$330*AB$6:AB$330),"")</f>
        <v/>
      </c>
      <c r="AC339" s="836">
        <f>IFERROR(SUMPRODUCT(($A339=$A$6:$A$330)*$I$6:$I$330*AC$6:AC$330),"")</f>
        <v/>
      </c>
      <c r="AD339" s="836">
        <f>IFERROR(SUMPRODUCT(($A339=$A$6:$A$330)*$I$6:$I$330*AD$6:AD$330),"")</f>
        <v/>
      </c>
      <c r="AE339" s="836">
        <f>IFERROR(SUMPRODUCT(($A339=$A$6:$A$330)*$I$6:$I$330*AE$6:AE$330),"")</f>
        <v/>
      </c>
      <c r="AF339" s="836">
        <f>IFERROR(SUMPRODUCT(($A339=$A$6:$A$330)*$I$6:$I$330*AF$6:AF$330),"")</f>
        <v/>
      </c>
      <c r="AG339" s="836">
        <f>IFERROR(SUMPRODUCT(($A339=$A$6:$A$330)*$I$6:$I$330*AG$6:AG$330),"")</f>
        <v/>
      </c>
      <c r="AH339" s="836">
        <f>IFERROR(SUMPRODUCT(($A339=$A$6:$A$330)*$I$6:$I$330*AH$6:AH$330),"")</f>
        <v/>
      </c>
      <c r="AI339" s="836">
        <f>IFERROR(SUMPRODUCT(($A339=$A$6:$A$330)*$I$6:$I$330*AI$6:AI$330),"")</f>
        <v/>
      </c>
      <c r="AJ339" s="836">
        <f>IFERROR(SUMPRODUCT(($A339=$A$6:$A$330)*$I$6:$I$330*AJ$6:AJ$330),"")</f>
        <v/>
      </c>
      <c r="AK339" s="836">
        <f>IFERROR(SUMPRODUCT(($A339=$A$6:$A$330)*$I$6:$I$330*AK$6:AK$330),"")</f>
        <v/>
      </c>
      <c r="AL339" s="836">
        <f>IFERROR(SUMPRODUCT(($A339=$A$6:$A$330)*$I$6:$I$330*AL$6:AL$330),"")</f>
        <v/>
      </c>
      <c r="AM339" s="836">
        <f>IFERROR(SUMPRODUCT(($A339=$A$6:$A$330)*$I$6:$I$330*AM$6:AM$330),"")</f>
        <v/>
      </c>
      <c r="AN339" s="836">
        <f>IFERROR(SUMPRODUCT(($A339=$A$6:$A$330)*$I$6:$I$330*AN$6:AN$330),"")</f>
        <v/>
      </c>
      <c r="AO339" s="836">
        <f>IFERROR(SUMPRODUCT(($A339=$A$6:$A$330)*$I$6:$I$330*AO$6:AO$330),"")</f>
        <v/>
      </c>
      <c r="AP339" s="836">
        <f>IFERROR(SUMPRODUCT(($A339=$A$6:$A$330)*$I$6:$I$330*AP$6:AP$330),"")</f>
        <v/>
      </c>
      <c r="AQ339" s="836">
        <f>IFERROR(SUMPRODUCT(($A339=$A$6:$A$330)*$I$6:$I$330*AQ$6:AQ$330),"")</f>
        <v/>
      </c>
      <c r="AR339" s="836">
        <f>IFERROR(SUMPRODUCT(($A339=$A$6:$A$330)*$I$6:$I$330*AR$6:AR$330),"")</f>
        <v/>
      </c>
      <c r="AS339" s="836">
        <f>IFERROR(SUMPRODUCT(($A339=$A$6:$A$330)*$I$6:$I$330*AS$6:AS$330),"")</f>
        <v/>
      </c>
      <c r="AT339" s="836">
        <f>IFERROR(SUMPRODUCT(($A339=$A$6:$A$330)*$I$6:$I$330*AT$6:AT$330),"")</f>
        <v/>
      </c>
      <c r="AU339" s="836">
        <f>IFERROR(SUMPRODUCT(($A339=$A$6:$A$330)*$I$6:$I$330*AU$6:AU$330),"")</f>
        <v/>
      </c>
      <c r="AV339" s="836">
        <f>IFERROR(SUMPRODUCT(($A339=$A$6:$A$330)*$I$6:$I$330*AV$6:AV$330),"")</f>
        <v/>
      </c>
      <c r="AW339" s="836">
        <f>IFERROR(SUMPRODUCT(($A339=$A$6:$A$330)*$I$6:$I$330*AW$6:AW$330),"")</f>
        <v/>
      </c>
      <c r="AX339" s="836">
        <f>IFERROR(SUMPRODUCT(($A339=$A$6:$A$330)*$I$6:$I$330*AX$6:AX$330),"")</f>
        <v/>
      </c>
      <c r="AY339" s="836">
        <f>IFERROR(SUMPRODUCT(($A339=$A$6:$A$330)*$I$6:$I$330*AY$6:AY$330),"")</f>
        <v/>
      </c>
      <c r="AZ339" s="836">
        <f>IFERROR(SUMPRODUCT(($A339=$A$6:$A$330)*$I$6:$I$330*AZ$6:AZ$330),"")</f>
        <v/>
      </c>
      <c r="BA339" s="836">
        <f>IFERROR(SUMPRODUCT(($A339=$A$6:$A$330)*$I$6:$I$330*BA$6:BA$330),"")</f>
        <v/>
      </c>
      <c r="BB339" s="836">
        <f>IFERROR(SUMPRODUCT(($A339=$A$6:$A$330)*$I$6:$I$330*BB$6:BB$330),"")</f>
        <v/>
      </c>
      <c r="BC339" s="836">
        <f>IFERROR(SUMPRODUCT(($A339=$A$6:$A$330)*$I$6:$I$330*BC$6:BC$330),"")</f>
        <v/>
      </c>
      <c r="BD339" s="836">
        <f>IFERROR(SUMPRODUCT(($A339=$A$6:$A$330)*$I$6:$I$330*BD$6:BD$330),"")</f>
        <v/>
      </c>
      <c r="BE339" s="836">
        <f>IFERROR(SUMPRODUCT(($A339=$A$6:$A$330)*$I$6:$I$330*BE$6:BE$330),"")</f>
        <v/>
      </c>
      <c r="BF339" s="836">
        <f>IFERROR(SUMPRODUCT(($A339=$A$6:$A$330)*$I$6:$I$330*BF$6:BF$330),"")</f>
        <v/>
      </c>
      <c r="BG339" s="836">
        <f>IFERROR(SUMPRODUCT(($A339=$A$6:$A$330)*$I$6:$I$330*BG$6:BG$330),"")</f>
        <v/>
      </c>
      <c r="BH339" s="836">
        <f>IFERROR(SUMPRODUCT(($A339=$A$6:$A$330)*$I$6:$I$330*BH$6:BH$330),"")</f>
        <v/>
      </c>
      <c r="BI339" s="836">
        <f>IFERROR(SUMPRODUCT(($A339=$A$6:$A$330)*$I$6:$I$330*BI$6:BI$330),"")</f>
        <v/>
      </c>
      <c r="BJ339" s="836">
        <f>IFERROR(SUMPRODUCT(($A339=$A$6:$A$330)*$I$6:$I$330*BJ$6:BJ$330),"")</f>
        <v/>
      </c>
      <c r="BK339" s="839" t="n"/>
      <c r="BL339" s="836">
        <f>SUMPRODUCT(--(MOD(COLUMN($O339:$AL339),4)=MOD(COLUMN($O339)+0,4)),$O339:$AL339)
+SUMPRODUCT(--(MOD(COLUMN($AM339:$BJ339),4)=MOD(COLUMN($AM339)+0,4)),$AM339:$BJ339)</f>
        <v/>
      </c>
      <c r="BM339" s="836">
        <f>SUMPRODUCT(--(MOD(COLUMN($O339:$AL339),4)=MOD(COLUMN($O339)+0,4)),$O339:$AL339)*
$I339+SUMPRODUCT(--(MOD(COLUMN($AM339:$BJ339),4)=MOD(COLUMN($AM339)+0,4)),$AM339:$BJ339)*$I339</f>
        <v/>
      </c>
      <c r="BN339" s="836">
        <f>SUMPRODUCT(--(MOD(COLUMN($O339:$AL339),4)=MOD(COLUMN($O339)+1,4)),$O339:$AL339)
+SUMPRODUCT(--(MOD(COLUMN($AM339:$BJ339),4)=MOD(COLUMN($AM339)+1,4)),$AM339:$BJ339)</f>
        <v/>
      </c>
      <c r="BO339" s="836">
        <f>SUMPRODUCT(--(MOD(COLUMN($O339:$AL339),4)=MOD(COLUMN($O339)+1,4)),$O339:$AL339)*
$I339+SUMPRODUCT(--(MOD(COLUMN($AM339:$BJ339),4)=MOD(COLUMN($AM339)+1,4)),$AM339:$BJ339)*$I339</f>
        <v/>
      </c>
      <c r="BP339" s="836">
        <f>SUMPRODUCT(--(MOD(COLUMN($O339:$AL339),4)=MOD(COLUMN($O339)+2,4)),$O339:$AL339)
+SUMPRODUCT(--(MOD(COLUMN($AM339:$BJ339),4)=MOD(COLUMN($AM339)+2,4)),$AM339:$BJ339)</f>
        <v/>
      </c>
      <c r="BQ339" s="836">
        <f>SUMPRODUCT(--(MOD(COLUMN($O339:$AL339),4)=MOD(COLUMN($O339)+2,4)),$O339:$AL339)*
$I339+SUMPRODUCT(--(MOD(COLUMN($AM339:$BJ339),4)=MOD(COLUMN($AM339)+2,4)),$AM339:$BJ339)*$I339</f>
        <v/>
      </c>
      <c r="BR339" s="814" t="n"/>
      <c r="BS339" s="816" t="n"/>
      <c r="BT339" s="836" t="n"/>
      <c r="BU339" s="836" t="n"/>
      <c r="BV339" s="836" t="n"/>
      <c r="BW339" s="836" t="n"/>
      <c r="BX339" s="836" t="n"/>
      <c r="BY339" s="836" t="n"/>
      <c r="BZ339" s="836" t="n"/>
      <c r="CA339" s="836" t="n"/>
      <c r="CB339" s="836" t="n"/>
      <c r="CC339" s="836" t="n"/>
      <c r="CD339" s="836" t="n"/>
      <c r="CE339" s="836" t="n"/>
      <c r="CF339" s="836" t="n"/>
      <c r="CG339" s="836" t="n"/>
      <c r="CH339" s="836" t="n"/>
      <c r="CI339" s="836" t="n"/>
      <c r="CJ339" s="836" t="n"/>
      <c r="CK339" s="836" t="n"/>
      <c r="CL339" s="836" t="n"/>
      <c r="CM339" s="836" t="n"/>
      <c r="CN339" s="836" t="n"/>
      <c r="CO339" s="836" t="n"/>
      <c r="CP339" s="836" t="n"/>
      <c r="CQ339" s="836" t="n"/>
      <c r="CR339" s="836" t="n"/>
      <c r="CS339" s="836" t="n"/>
      <c r="CT339" s="836" t="n"/>
      <c r="CU339" s="836" t="n"/>
      <c r="CV339" s="836" t="n"/>
      <c r="CW339" s="836" t="n"/>
      <c r="CX339" s="836" t="n"/>
      <c r="CY339" s="836" t="n"/>
      <c r="CZ339" s="836" t="n"/>
      <c r="DA339" s="836" t="n"/>
      <c r="DB339" s="836" t="n"/>
      <c r="DC339" s="836" t="n"/>
      <c r="DD339" s="836" t="n"/>
      <c r="DE339" s="836" t="n"/>
      <c r="DF339" s="836" t="n"/>
      <c r="DG339" s="836" t="n"/>
      <c r="DH339" s="836" t="n"/>
      <c r="DI339" s="836" t="n"/>
      <c r="DJ339" s="836" t="n"/>
      <c r="DK339" s="836" t="n"/>
      <c r="DL339" s="836" t="n"/>
      <c r="DM339" s="836" t="n"/>
      <c r="DN339" s="836" t="n"/>
      <c r="DO339" s="836" t="n"/>
      <c r="DP339" s="839" t="n"/>
      <c r="DQ339" s="836" t="n"/>
      <c r="DR339" s="836">
        <f>SUMPRODUCT(--(MOD(COLUMN(BT339:CQ339),4)=MOD(COLUMN(BT339),4)),BT339:CQ339)*$I339+SUMPRODUCT(--(MOD(COLUMN(CR339:DO339),4)=MOD(COLUMN(CR339),4)),CR339:DO339)*$I339</f>
        <v/>
      </c>
      <c r="DS339" s="814" t="n"/>
      <c r="DT339" s="816" t="n"/>
      <c r="DU339" s="836" t="n"/>
      <c r="DV339" s="836" t="n"/>
      <c r="DW339" s="836" t="n"/>
      <c r="DX339" s="836" t="n"/>
      <c r="DY339" s="836" t="n"/>
      <c r="DZ339" s="836" t="n"/>
      <c r="EA339" s="836" t="n"/>
      <c r="EB339" s="836" t="n"/>
      <c r="EC339" s="836" t="n"/>
      <c r="ED339" s="836" t="n"/>
      <c r="EE339" s="836" t="n"/>
      <c r="EF339" s="836" t="n"/>
      <c r="EG339" s="836" t="n"/>
      <c r="EH339" s="836" t="n"/>
      <c r="EI339" s="836" t="n"/>
      <c r="EJ339" s="836" t="n"/>
      <c r="EK339" s="836" t="n"/>
      <c r="EL339" s="836" t="n"/>
      <c r="EM339" s="836" t="n"/>
      <c r="EN339" s="836" t="n"/>
      <c r="EO339" s="836" t="n"/>
      <c r="EP339" s="836" t="n"/>
      <c r="EQ339" s="836" t="n"/>
      <c r="ER339" s="836" t="n"/>
      <c r="ES339" s="836" t="n"/>
      <c r="ET339" s="836" t="n"/>
      <c r="EU339" s="836" t="n"/>
      <c r="EV339" s="836" t="n"/>
      <c r="EW339" s="836" t="n"/>
      <c r="EX339" s="836" t="n"/>
      <c r="EY339" s="836" t="n"/>
      <c r="EZ339" s="836" t="n"/>
      <c r="FA339" s="836" t="n"/>
      <c r="FB339" s="836" t="n"/>
      <c r="FC339" s="836" t="n"/>
      <c r="FD339" s="836" t="n"/>
      <c r="FE339" s="836" t="n"/>
      <c r="FF339" s="836" t="n"/>
      <c r="FG339" s="836" t="n"/>
      <c r="FH339" s="836" t="n"/>
      <c r="FI339" s="836" t="n"/>
      <c r="FJ339" s="836" t="n"/>
      <c r="FK339" s="836" t="n"/>
      <c r="FL339" s="836" t="n"/>
      <c r="FM339" s="836" t="n"/>
      <c r="FN339" s="836" t="n"/>
      <c r="FO339" s="836" t="n"/>
      <c r="FP339" s="836" t="n"/>
      <c r="FQ339" s="839" t="n"/>
      <c r="FR339" s="836" t="n"/>
      <c r="FS339" s="836">
        <f>SUMPRODUCT(--(MOD(COLUMN(DU339:ER339),4)=MOD(COLUMN(DU339),4)),DU339:ER339)*$I339+SUMPRODUCT(--(MOD(COLUMN(ES339:FP339),4)=MOD(COLUMN(ES339),4)),ES339:FP339)*$I339</f>
        <v/>
      </c>
    </row>
    <row r="340" outlineLevel="1" customFormat="1" s="69">
      <c r="A340" s="70" t="inlineStr">
        <is>
          <t>ВСЕ</t>
        </is>
      </c>
      <c r="C340" s="656" t="n"/>
      <c r="D340" s="656" t="n"/>
      <c r="E340" s="513" t="n"/>
      <c r="G340" s="139" t="n"/>
      <c r="H340" s="69" t="inlineStr">
        <is>
          <t>CNY, без НДС:</t>
        </is>
      </c>
      <c r="I340" s="636" t="n"/>
      <c r="J340" s="636" t="n"/>
      <c r="K340" s="140" t="n"/>
      <c r="L340" s="636" t="n"/>
      <c r="M340" s="890" t="n"/>
      <c r="N340" s="891">
        <f>IF(BP340&gt;0,1,IF(BN340&gt;0,2,))</f>
        <v/>
      </c>
      <c r="O340" s="841">
        <f>IFERROR(SUMPRODUCT($I$6:$I$330*O$6:O$330),"")</f>
        <v/>
      </c>
      <c r="P340" s="841">
        <f>IFERROR(SUMPRODUCT($I$6:$I$330*P$6:P$330),"")</f>
        <v/>
      </c>
      <c r="Q340" s="841">
        <f>IFERROR(SUMPRODUCT($I$6:$I$330*Q$6:Q$330),"")</f>
        <v/>
      </c>
      <c r="R340" s="841">
        <f>IFERROR(SUMPRODUCT($I$6:$I$330*R$6:R$330),"")</f>
        <v/>
      </c>
      <c r="S340" s="841">
        <f>IFERROR(SUMPRODUCT($I$6:$I$330*S$6:S$330),"")</f>
        <v/>
      </c>
      <c r="T340" s="841">
        <f>IFERROR(SUMPRODUCT($I$6:$I$330*T$6:T$330),"")</f>
        <v/>
      </c>
      <c r="U340" s="841">
        <f>IFERROR(SUMPRODUCT($I$6:$I$330*U$6:U$330),"")</f>
        <v/>
      </c>
      <c r="V340" s="841">
        <f>IFERROR(SUMPRODUCT($I$6:$I$330*V$6:V$330),"")</f>
        <v/>
      </c>
      <c r="W340" s="841">
        <f>IFERROR(SUMPRODUCT($I$6:$I$330*W$6:W$330),"")</f>
        <v/>
      </c>
      <c r="X340" s="841">
        <f>IFERROR(SUMPRODUCT($I$6:$I$330*X$6:X$330),"")</f>
        <v/>
      </c>
      <c r="Y340" s="841">
        <f>IFERROR(SUMPRODUCT($I$6:$I$330*Y$6:Y$330),"")</f>
        <v/>
      </c>
      <c r="Z340" s="841">
        <f>IFERROR(SUMPRODUCT($I$6:$I$330*Z$6:Z$330),"")</f>
        <v/>
      </c>
      <c r="AA340" s="841">
        <f>IFERROR(SUMPRODUCT($I$6:$I$330*AA$6:AA$330),"")</f>
        <v/>
      </c>
      <c r="AB340" s="841">
        <f>IFERROR(SUMPRODUCT($I$6:$I$330*AB$6:AB$330),"")</f>
        <v/>
      </c>
      <c r="AC340" s="841">
        <f>IFERROR(SUMPRODUCT($I$6:$I$330*AC$6:AC$330),"")</f>
        <v/>
      </c>
      <c r="AD340" s="841">
        <f>IFERROR(SUMPRODUCT($I$6:$I$330*AD$6:AD$330),"")</f>
        <v/>
      </c>
      <c r="AE340" s="841">
        <f>IFERROR(SUMPRODUCT($I$6:$I$330*AE$6:AE$330),"")</f>
        <v/>
      </c>
      <c r="AF340" s="841">
        <f>IFERROR(SUMPRODUCT($I$6:$I$330*AF$6:AF$330),"")</f>
        <v/>
      </c>
      <c r="AG340" s="841">
        <f>IFERROR(SUMPRODUCT($I$6:$I$330*AG$6:AG$330),"")</f>
        <v/>
      </c>
      <c r="AH340" s="841">
        <f>IFERROR(SUMPRODUCT($I$6:$I$330*AH$6:AH$330),"")</f>
        <v/>
      </c>
      <c r="AI340" s="841">
        <f>IFERROR(SUMPRODUCT($I$6:$I$330*AI$6:AI$330),"")</f>
        <v/>
      </c>
      <c r="AJ340" s="841">
        <f>IFERROR(SUMPRODUCT($I$6:$I$330*AJ$6:AJ$330),"")</f>
        <v/>
      </c>
      <c r="AK340" s="841">
        <f>IFERROR(SUMPRODUCT($I$6:$I$330*AK$6:AK$330),"")</f>
        <v/>
      </c>
      <c r="AL340" s="841">
        <f>IFERROR(SUMPRODUCT($I$6:$I$330*AL$6:AL$330),"")</f>
        <v/>
      </c>
      <c r="AM340" s="841">
        <f>IFERROR(SUMPRODUCT($I$6:$I$330*AM$6:AM$330),"")</f>
        <v/>
      </c>
      <c r="AN340" s="841">
        <f>IFERROR(SUMPRODUCT($I$6:$I$330*AN$6:AN$330),"")</f>
        <v/>
      </c>
      <c r="AO340" s="841">
        <f>IFERROR(SUMPRODUCT($I$6:$I$330*AO$6:AO$330),"")</f>
        <v/>
      </c>
      <c r="AP340" s="841">
        <f>IFERROR(SUMPRODUCT($I$6:$I$330*AP$6:AP$330),"")</f>
        <v/>
      </c>
      <c r="AQ340" s="841">
        <f>IFERROR(SUMPRODUCT($I$6:$I$330*AQ$6:AQ$330),"")</f>
        <v/>
      </c>
      <c r="AR340" s="841">
        <f>IFERROR(SUMPRODUCT($I$6:$I$330*AR$6:AR$330),"")</f>
        <v/>
      </c>
      <c r="AS340" s="841">
        <f>IFERROR(SUMPRODUCT($I$6:$I$330*AS$6:AS$330),"")</f>
        <v/>
      </c>
      <c r="AT340" s="841">
        <f>IFERROR(SUMPRODUCT($I$6:$I$330*AT$6:AT$330),"")</f>
        <v/>
      </c>
      <c r="AU340" s="841">
        <f>IFERROR(SUMPRODUCT($I$6:$I$330*AU$6:AU$330),"")</f>
        <v/>
      </c>
      <c r="AV340" s="841">
        <f>IFERROR(SUMPRODUCT($I$6:$I$330*AV$6:AV$330),"")</f>
        <v/>
      </c>
      <c r="AW340" s="841">
        <f>IFERROR(SUMPRODUCT($I$6:$I$330*AW$6:AW$330),"")</f>
        <v/>
      </c>
      <c r="AX340" s="841">
        <f>IFERROR(SUMPRODUCT($I$6:$I$330*AX$6:AX$330),"")</f>
        <v/>
      </c>
      <c r="AY340" s="841">
        <f>IFERROR(SUMPRODUCT($I$6:$I$330*AY$6:AY$330),"")</f>
        <v/>
      </c>
      <c r="AZ340" s="841">
        <f>IFERROR(SUMPRODUCT($I$6:$I$330*AZ$6:AZ$330),"")</f>
        <v/>
      </c>
      <c r="BA340" s="841">
        <f>IFERROR(SUMPRODUCT($I$6:$I$330*BA$6:BA$330),"")</f>
        <v/>
      </c>
      <c r="BB340" s="841">
        <f>IFERROR(SUMPRODUCT($I$6:$I$330*BB$6:BB$330),"")</f>
        <v/>
      </c>
      <c r="BC340" s="841">
        <f>IFERROR(SUMPRODUCT($I$6:$I$330*BC$6:BC$330),"")</f>
        <v/>
      </c>
      <c r="BD340" s="841">
        <f>IFERROR(SUMPRODUCT($I$6:$I$330*BD$6:BD$330),"")</f>
        <v/>
      </c>
      <c r="BE340" s="841">
        <f>IFERROR(SUMPRODUCT($I$6:$I$330*BE$6:BE$330),"")</f>
        <v/>
      </c>
      <c r="BF340" s="841">
        <f>IFERROR(SUMPRODUCT($I$6:$I$330*BF$6:BF$330),"")</f>
        <v/>
      </c>
      <c r="BG340" s="841">
        <f>IFERROR(SUMPRODUCT($I$6:$I$330*BG$6:BG$330),"")</f>
        <v/>
      </c>
      <c r="BH340" s="841">
        <f>IFERROR(SUMPRODUCT($I$6:$I$330*BH$6:BH$330),"")</f>
        <v/>
      </c>
      <c r="BI340" s="841">
        <f>IFERROR(SUMPRODUCT($I$6:$I$330*BI$6:BI$330),"")</f>
        <v/>
      </c>
      <c r="BJ340" s="841">
        <f>IFERROR(SUMPRODUCT($I$6:$I$330*BJ$6:BJ$330),"")</f>
        <v/>
      </c>
      <c r="BK340" s="892" t="n"/>
      <c r="BL340" s="841">
        <f>SUMPRODUCT(--(MOD(COLUMN($O340:$AL340),4)=MOD(COLUMN($O340)+0,4)),$O340:$AL340)
+SUMPRODUCT(--(MOD(COLUMN($AM340:$BJ340),4)=MOD(COLUMN($AM340)+0,4)),$AM340:$BJ340)</f>
        <v/>
      </c>
      <c r="BM340" s="841">
        <f>SUMPRODUCT(--(MOD(COLUMN($O340:$AL340),4)=MOD(COLUMN($O340)+0,4)),$O340:$AL340)*$I340
+SUMPRODUCT(--(MOD(COLUMN($AM340:$BJ340),4)=MOD(COLUMN($AM340)+0,4)),$AM340:$BJ340)*$I340</f>
        <v/>
      </c>
      <c r="BN340" s="841">
        <f>SUMPRODUCT(--(MOD(COLUMN($O340:$AL340),4)=MOD(COLUMN($O340)+1,4)),$O340:$AL340)
+SUMPRODUCT(--(MOD(COLUMN($AM340:$BJ340),4)=MOD(COLUMN($AM340)+1,4)),$AM340:$BJ340)</f>
        <v/>
      </c>
      <c r="BO340" s="841">
        <f>SUMPRODUCT(--(MOD(COLUMN($O340:$AL340),4)=MOD(COLUMN($O340)+1,4)),$O340:$AL340)*$I340
+SUMPRODUCT(--(MOD(COLUMN($AM340:$BJ340),4)=MOD(COLUMN($AM340)+1,4)),$AM340:$BJ340)*$I340</f>
        <v/>
      </c>
      <c r="BP340" s="841">
        <f>SUMPRODUCT(--(MOD(COLUMN($O340:$AL340),4)=MOD(COLUMN($O340)+2,4)),$O340:$AL340)
+SUMPRODUCT(--(MOD(COLUMN($AM340:$BJ340),4)=MOD(COLUMN($AM340)+2,4)),$AM340:$BJ340)</f>
        <v/>
      </c>
      <c r="BQ340" s="841">
        <f>SUMPRODUCT(--(MOD(COLUMN($O340:$AL340),4)=MOD(COLUMN($O340)+2,4)),$O340:$AL340)*$I340
+SUMPRODUCT(--(MOD(COLUMN($AM340:$BJ340),4)=MOD(COLUMN($AM340)+2,4)),$AM340:$BJ340)*$I340</f>
        <v/>
      </c>
      <c r="BR340" s="846" t="n"/>
      <c r="BS340" s="893" t="n"/>
      <c r="BT340" s="841" t="n"/>
      <c r="BU340" s="841" t="n"/>
      <c r="BV340" s="841" t="n"/>
      <c r="BW340" s="841" t="n"/>
      <c r="BX340" s="841" t="n"/>
      <c r="BY340" s="841" t="n"/>
      <c r="BZ340" s="841" t="n"/>
      <c r="CA340" s="841" t="n"/>
      <c r="CB340" s="841" t="n"/>
      <c r="CC340" s="841" t="n"/>
      <c r="CD340" s="841" t="n"/>
      <c r="CE340" s="841" t="n"/>
      <c r="CF340" s="841" t="n"/>
      <c r="CG340" s="841" t="n"/>
      <c r="CH340" s="841" t="n"/>
      <c r="CI340" s="841" t="n"/>
      <c r="CJ340" s="841" t="n"/>
      <c r="CK340" s="841" t="n"/>
      <c r="CL340" s="841" t="n"/>
      <c r="CM340" s="841" t="n"/>
      <c r="CN340" s="841" t="n"/>
      <c r="CO340" s="841" t="n"/>
      <c r="CP340" s="841" t="n"/>
      <c r="CQ340" s="841" t="n"/>
      <c r="CR340" s="841" t="n"/>
      <c r="CS340" s="841" t="n"/>
      <c r="CT340" s="841" t="n"/>
      <c r="CU340" s="841" t="n"/>
      <c r="CV340" s="841" t="n"/>
      <c r="CW340" s="841" t="n"/>
      <c r="CX340" s="841" t="n"/>
      <c r="CY340" s="841" t="n"/>
      <c r="CZ340" s="841" t="n"/>
      <c r="DA340" s="841" t="n"/>
      <c r="DB340" s="841" t="n"/>
      <c r="DC340" s="841" t="n"/>
      <c r="DD340" s="841" t="n"/>
      <c r="DE340" s="841" t="n"/>
      <c r="DF340" s="841" t="n"/>
      <c r="DG340" s="841" t="n"/>
      <c r="DH340" s="841" t="n"/>
      <c r="DI340" s="841" t="n"/>
      <c r="DJ340" s="841" t="n"/>
      <c r="DK340" s="841" t="n"/>
      <c r="DL340" s="841" t="n"/>
      <c r="DM340" s="841" t="n"/>
      <c r="DN340" s="841" t="n"/>
      <c r="DO340" s="841" t="n"/>
      <c r="DP340" s="892" t="n"/>
      <c r="DQ340" s="841" t="n"/>
      <c r="DR340" s="841">
        <f>SUMPRODUCT(--(MOD(COLUMN(BT340:CQ340),4)=MOD(COLUMN(BT340),4)),BT340:CQ340)*$I340+SUMPRODUCT(--(MOD(COLUMN(CR340:DO340),4)=MOD(COLUMN(CR340),4)),CR340:DO340)*$I340</f>
        <v/>
      </c>
      <c r="DS340" s="846" t="n"/>
      <c r="DT340" s="893" t="n"/>
      <c r="DU340" s="841" t="n"/>
      <c r="DV340" s="841" t="n"/>
      <c r="DW340" s="841" t="n"/>
      <c r="DX340" s="841" t="n"/>
      <c r="DY340" s="841" t="n"/>
      <c r="DZ340" s="841" t="n"/>
      <c r="EA340" s="841" t="n"/>
      <c r="EB340" s="841" t="n"/>
      <c r="EC340" s="841" t="n"/>
      <c r="ED340" s="841" t="n"/>
      <c r="EE340" s="841" t="n"/>
      <c r="EF340" s="841" t="n"/>
      <c r="EG340" s="841" t="n"/>
      <c r="EH340" s="841" t="n"/>
      <c r="EI340" s="841" t="n"/>
      <c r="EJ340" s="841" t="n"/>
      <c r="EK340" s="841" t="n"/>
      <c r="EL340" s="841" t="n"/>
      <c r="EM340" s="841" t="n"/>
      <c r="EN340" s="841" t="n"/>
      <c r="EO340" s="841" t="n"/>
      <c r="EP340" s="841" t="n"/>
      <c r="EQ340" s="841" t="n"/>
      <c r="ER340" s="841" t="n"/>
      <c r="ES340" s="841" t="n"/>
      <c r="ET340" s="841" t="n"/>
      <c r="EU340" s="841" t="n"/>
      <c r="EV340" s="841" t="n"/>
      <c r="EW340" s="841" t="n"/>
      <c r="EX340" s="841" t="n"/>
      <c r="EY340" s="841" t="n"/>
      <c r="EZ340" s="841" t="n"/>
      <c r="FA340" s="841" t="n"/>
      <c r="FB340" s="841" t="n"/>
      <c r="FC340" s="841" t="n"/>
      <c r="FD340" s="841" t="n"/>
      <c r="FE340" s="841" t="n"/>
      <c r="FF340" s="841" t="n"/>
      <c r="FG340" s="841" t="n"/>
      <c r="FH340" s="841" t="n"/>
      <c r="FI340" s="841" t="n"/>
      <c r="FJ340" s="841" t="n"/>
      <c r="FK340" s="841" t="n"/>
      <c r="FL340" s="841" t="n"/>
      <c r="FM340" s="841" t="n"/>
      <c r="FN340" s="841" t="n"/>
      <c r="FO340" s="841" t="n"/>
      <c r="FP340" s="841" t="n"/>
      <c r="FQ340" s="892" t="n"/>
      <c r="FR340" s="841" t="n"/>
      <c r="FS340" s="841">
        <f>SUMPRODUCT(--(MOD(COLUMN(DU340:ER340),4)=MOD(COLUMN(DU340),4)),DU340:ER340)*$I340+SUMPRODUCT(--(MOD(COLUMN(ES340:FP340),4)=MOD(COLUMN(ES340),4)),ES340:FP340)*$I340</f>
        <v/>
      </c>
    </row>
    <row r="341" outlineLevel="2" customFormat="1" s="77">
      <c r="A341" s="78" t="inlineStr">
        <is>
          <t>УЛЬТРА ГРУПП ООО</t>
        </is>
      </c>
      <c r="B341" s="79" t="n"/>
      <c r="C341" s="657" t="n"/>
      <c r="D341" s="657" t="n"/>
      <c r="E341" s="510" t="n"/>
      <c r="F341" s="79" t="n"/>
      <c r="G341" s="141" t="n"/>
      <c r="H341" s="614" t="inlineStr">
        <is>
          <t>шт.:</t>
        </is>
      </c>
      <c r="I341" s="637" t="n"/>
      <c r="J341" s="637" t="n"/>
      <c r="K341" s="142" t="n"/>
      <c r="L341" s="637" t="n"/>
      <c r="M341" s="894" t="n"/>
      <c r="N341" s="895">
        <f>IF(BP341&gt;0,1,IF(BN341&gt;0,2,))</f>
        <v/>
      </c>
      <c r="O341" s="849">
        <f>IFERROR(SUMPRODUCT(($A341=$A$6:$A$330)*($G$6:$G$330&gt;0)*O$6:O$330),"")</f>
        <v/>
      </c>
      <c r="P341" s="849">
        <f>IFERROR(SUMPRODUCT(($A341=$A$6:$A$330)*($G$6:$G$330&gt;0)*P$6:P$330),"")</f>
        <v/>
      </c>
      <c r="Q341" s="849">
        <f>IFERROR(SUMPRODUCT(($A341=$A$6:$A$330)*($G$6:$G$330&gt;0)*Q$6:Q$330),"")</f>
        <v/>
      </c>
      <c r="R341" s="849">
        <f>IFERROR(SUMPRODUCT(($A341=$A$6:$A$330)*($G$6:$G$330&gt;0)*R$6:R$330),"")</f>
        <v/>
      </c>
      <c r="S341" s="849">
        <f>IFERROR(SUMPRODUCT(($A341=$A$6:$A$330)*($G$6:$G$330&gt;0)*S$6:S$330),"")</f>
        <v/>
      </c>
      <c r="T341" s="849">
        <f>IFERROR(SUMPRODUCT(($A341=$A$6:$A$330)*($G$6:$G$330&gt;0)*T$6:T$330),"")</f>
        <v/>
      </c>
      <c r="U341" s="849">
        <f>IFERROR(SUMPRODUCT(($A341=$A$6:$A$330)*($G$6:$G$330&gt;0)*U$6:U$330),"")</f>
        <v/>
      </c>
      <c r="V341" s="849">
        <f>IFERROR(SUMPRODUCT(($A341=$A$6:$A$330)*($G$6:$G$330&gt;0)*V$6:V$330),"")</f>
        <v/>
      </c>
      <c r="W341" s="849">
        <f>IFERROR(SUMPRODUCT(($A341=$A$6:$A$330)*($G$6:$G$330&gt;0)*W$6:W$330),"")</f>
        <v/>
      </c>
      <c r="X341" s="849">
        <f>IFERROR(SUMPRODUCT(($A341=$A$6:$A$330)*($G$6:$G$330&gt;0)*X$6:X$330),"")</f>
        <v/>
      </c>
      <c r="Y341" s="849">
        <f>IFERROR(SUMPRODUCT(($A341=$A$6:$A$330)*($G$6:$G$330&gt;0)*Y$6:Y$330),"")</f>
        <v/>
      </c>
      <c r="Z341" s="849">
        <f>IFERROR(SUMPRODUCT(($A341=$A$6:$A$330)*($G$6:$G$330&gt;0)*Z$6:Z$330),"")</f>
        <v/>
      </c>
      <c r="AA341" s="849">
        <f>IFERROR(SUMPRODUCT(($A341=$A$6:$A$330)*($G$6:$G$330&gt;0)*AA$6:AA$330),"")</f>
        <v/>
      </c>
      <c r="AB341" s="849">
        <f>IFERROR(SUMPRODUCT(($A341=$A$6:$A$330)*($G$6:$G$330&gt;0)*AB$6:AB$330),"")</f>
        <v/>
      </c>
      <c r="AC341" s="849">
        <f>IFERROR(SUMPRODUCT(($A341=$A$6:$A$330)*($G$6:$G$330&gt;0)*AC$6:AC$330),"")</f>
        <v/>
      </c>
      <c r="AD341" s="849">
        <f>IFERROR(SUMPRODUCT(($A341=$A$6:$A$330)*($G$6:$G$330&gt;0)*AD$6:AD$330),"")</f>
        <v/>
      </c>
      <c r="AE341" s="849">
        <f>IFERROR(SUMPRODUCT(($A341=$A$6:$A$330)*($G$6:$G$330&gt;0)*AE$6:AE$330),"")</f>
        <v/>
      </c>
      <c r="AF341" s="849">
        <f>IFERROR(SUMPRODUCT(($A341=$A$6:$A$330)*($G$6:$G$330&gt;0)*AF$6:AF$330),"")</f>
        <v/>
      </c>
      <c r="AG341" s="849">
        <f>IFERROR(SUMPRODUCT(($A341=$A$6:$A$330)*($G$6:$G$330&gt;0)*AG$6:AG$330),"")</f>
        <v/>
      </c>
      <c r="AH341" s="849">
        <f>IFERROR(SUMPRODUCT(($A341=$A$6:$A$330)*($G$6:$G$330&gt;0)*AH$6:AH$330),"")</f>
        <v/>
      </c>
      <c r="AI341" s="849">
        <f>IFERROR(SUMPRODUCT(($A341=$A$6:$A$330)*($G$6:$G$330&gt;0)*AI$6:AI$330),"")</f>
        <v/>
      </c>
      <c r="AJ341" s="849">
        <f>IFERROR(SUMPRODUCT(($A341=$A$6:$A$330)*($G$6:$G$330&gt;0)*AJ$6:AJ$330),"")</f>
        <v/>
      </c>
      <c r="AK341" s="849">
        <f>IFERROR(SUMPRODUCT(($A341=$A$6:$A$330)*($G$6:$G$330&gt;0)*AK$6:AK$330),"")</f>
        <v/>
      </c>
      <c r="AL341" s="849">
        <f>IFERROR(SUMPRODUCT(($A341=$A$6:$A$330)*($G$6:$G$330&gt;0)*AL$6:AL$330),"")</f>
        <v/>
      </c>
      <c r="AM341" s="849">
        <f>IFERROR(SUMPRODUCT(($A341=$A$6:$A$330)*($G$6:$G$330&gt;0)*AM$6:AM$330),"")</f>
        <v/>
      </c>
      <c r="AN341" s="849">
        <f>IFERROR(SUMPRODUCT(($A341=$A$6:$A$330)*($G$6:$G$330&gt;0)*AN$6:AN$330),"")</f>
        <v/>
      </c>
      <c r="AO341" s="849">
        <f>IFERROR(SUMPRODUCT(($A341=$A$6:$A$330)*($G$6:$G$330&gt;0)*AO$6:AO$330),"")</f>
        <v/>
      </c>
      <c r="AP341" s="849">
        <f>IFERROR(SUMPRODUCT(($A341=$A$6:$A$330)*($G$6:$G$330&gt;0)*AP$6:AP$330),"")</f>
        <v/>
      </c>
      <c r="AQ341" s="849">
        <f>IFERROR(SUMPRODUCT(($A341=$A$6:$A$330)*($G$6:$G$330&gt;0)*AQ$6:AQ$330),"")</f>
        <v/>
      </c>
      <c r="AR341" s="849">
        <f>IFERROR(SUMPRODUCT(($A341=$A$6:$A$330)*($G$6:$G$330&gt;0)*AR$6:AR$330),"")</f>
        <v/>
      </c>
      <c r="AS341" s="849">
        <f>IFERROR(SUMPRODUCT(($A341=$A$6:$A$330)*($G$6:$G$330&gt;0)*AS$6:AS$330),"")</f>
        <v/>
      </c>
      <c r="AT341" s="849">
        <f>IFERROR(SUMPRODUCT(($A341=$A$6:$A$330)*($G$6:$G$330&gt;0)*AT$6:AT$330),"")</f>
        <v/>
      </c>
      <c r="AU341" s="849">
        <f>IFERROR(SUMPRODUCT(($A341=$A$6:$A$330)*($G$6:$G$330&gt;0)*AU$6:AU$330),"")</f>
        <v/>
      </c>
      <c r="AV341" s="849">
        <f>IFERROR(SUMPRODUCT(($A341=$A$6:$A$330)*($G$6:$G$330&gt;0)*AV$6:AV$330),"")</f>
        <v/>
      </c>
      <c r="AW341" s="849">
        <f>IFERROR(SUMPRODUCT(($A341=$A$6:$A$330)*($G$6:$G$330&gt;0)*AW$6:AW$330),"")</f>
        <v/>
      </c>
      <c r="AX341" s="849">
        <f>IFERROR(SUMPRODUCT(($A341=$A$6:$A$330)*($G$6:$G$330&gt;0)*AX$6:AX$330),"")</f>
        <v/>
      </c>
      <c r="AY341" s="849">
        <f>IFERROR(SUMPRODUCT(($A341=$A$6:$A$330)*($G$6:$G$330&gt;0)*AY$6:AY$330),"")</f>
        <v/>
      </c>
      <c r="AZ341" s="849">
        <f>IFERROR(SUMPRODUCT(($A341=$A$6:$A$330)*($G$6:$G$330&gt;0)*AZ$6:AZ$330),"")</f>
        <v/>
      </c>
      <c r="BA341" s="849">
        <f>IFERROR(SUMPRODUCT(($A341=$A$6:$A$330)*($G$6:$G$330&gt;0)*BA$6:BA$330),"")</f>
        <v/>
      </c>
      <c r="BB341" s="849">
        <f>IFERROR(SUMPRODUCT(($A341=$A$6:$A$330)*($G$6:$G$330&gt;0)*BB$6:BB$330),"")</f>
        <v/>
      </c>
      <c r="BC341" s="849">
        <f>IFERROR(SUMPRODUCT(($A341=$A$6:$A$330)*($G$6:$G$330&gt;0)*BC$6:BC$330),"")</f>
        <v/>
      </c>
      <c r="BD341" s="849">
        <f>IFERROR(SUMPRODUCT(($A341=$A$6:$A$330)*($G$6:$G$330&gt;0)*BD$6:BD$330),"")</f>
        <v/>
      </c>
      <c r="BE341" s="849">
        <f>IFERROR(SUMPRODUCT(($A341=$A$6:$A$330)*($G$6:$G$330&gt;0)*BE$6:BE$330),"")</f>
        <v/>
      </c>
      <c r="BF341" s="849">
        <f>IFERROR(SUMPRODUCT(($A341=$A$6:$A$330)*($G$6:$G$330&gt;0)*BF$6:BF$330),"")</f>
        <v/>
      </c>
      <c r="BG341" s="849">
        <f>IFERROR(SUMPRODUCT(($A341=$A$6:$A$330)*($G$6:$G$330&gt;0)*BG$6:BG$330),"")</f>
        <v/>
      </c>
      <c r="BH341" s="849">
        <f>IFERROR(SUMPRODUCT(($A341=$A$6:$A$330)*($G$6:$G$330&gt;0)*BH$6:BH$330),"")</f>
        <v/>
      </c>
      <c r="BI341" s="849">
        <f>IFERROR(SUMPRODUCT(($A341=$A$6:$A$330)*($G$6:$G$330&gt;0)*BI$6:BI$330),"")</f>
        <v/>
      </c>
      <c r="BJ341" s="849">
        <f>IFERROR(SUMPRODUCT(($A341=$A$6:$A$330)*($G$6:$G$330&gt;0)*BJ$6:BJ$330),"")</f>
        <v/>
      </c>
      <c r="BK341" s="855" t="n"/>
      <c r="BL341" s="849">
        <f>SUMPRODUCT(--(MOD(COLUMN($O341:$AL341),4)=MOD(COLUMN($O341)+0,4)),$O341:$AL341)
+SUMPRODUCT(--(MOD(COLUMN($AM341:$BJ341),4)=MOD(COLUMN($AM341)+0,4)),$AM341:$BJ341)</f>
        <v/>
      </c>
      <c r="BM341" s="849">
        <f>SUMPRODUCT(--(MOD(COLUMN($O341:$AL341),4)=MOD(COLUMN($O341)+0,4)),$O341:$AL341)*
$I341+SUMPRODUCT(--(MOD(COLUMN($AM341:$BJ341),4)=MOD(COLUMN($AM341)+0,4)),$AM341:$BJ341)*$I341</f>
        <v/>
      </c>
      <c r="BN341" s="849">
        <f>SUMPRODUCT(--(MOD(COLUMN($O341:$AL341),4)=MOD(COLUMN($O341)+1,4)),$O341:$AL341)
+SUMPRODUCT(--(MOD(COLUMN($AM341:$BJ341),4)=MOD(COLUMN($AM341)+1,4)),$AM341:$BJ341)</f>
        <v/>
      </c>
      <c r="BO341" s="849">
        <f>SUMPRODUCT(--(MOD(COLUMN($O341:$AL341),4)=MOD(COLUMN($O341)+1,4)),$O341:$AL341)*
$I341+SUMPRODUCT(--(MOD(COLUMN($AM341:$BJ341),4)=MOD(COLUMN($AM341)+1,4)),$AM341:$BJ341)*$I341</f>
        <v/>
      </c>
      <c r="BP341" s="849">
        <f>SUMPRODUCT(--(MOD(COLUMN($O341:$AL341),4)=MOD(COLUMN($O341)+2,4)),$O341:$AL341)
+SUMPRODUCT(--(MOD(COLUMN($AM341:$BJ341),4)=MOD(COLUMN($AM341)+2,4)),$AM341:$BJ341)</f>
        <v/>
      </c>
      <c r="BQ341" s="849">
        <f>SUMPRODUCT(--(MOD(COLUMN($O341:$AL341),4)=MOD(COLUMN($O341)+2,4)),$O341:$AL341)*
$I341+SUMPRODUCT(--(MOD(COLUMN($AM341:$BJ341),4)=MOD(COLUMN($AM341)+2,4)),$AM341:$BJ341)*$I341</f>
        <v/>
      </c>
      <c r="BR341" s="853" t="n"/>
      <c r="BS341" s="859" t="n"/>
      <c r="BT341" s="849" t="n"/>
      <c r="BU341" s="849" t="n"/>
      <c r="BV341" s="849" t="n"/>
      <c r="BW341" s="849" t="n"/>
      <c r="BX341" s="849" t="n"/>
      <c r="BY341" s="849" t="n"/>
      <c r="BZ341" s="849" t="n"/>
      <c r="CA341" s="849" t="n"/>
      <c r="CB341" s="849" t="n"/>
      <c r="CC341" s="849" t="n"/>
      <c r="CD341" s="849" t="n"/>
      <c r="CE341" s="849" t="n"/>
      <c r="CF341" s="849" t="n"/>
      <c r="CG341" s="849" t="n"/>
      <c r="CH341" s="849" t="n"/>
      <c r="CI341" s="849" t="n"/>
      <c r="CJ341" s="849" t="n"/>
      <c r="CK341" s="849" t="n"/>
      <c r="CL341" s="849" t="n"/>
      <c r="CM341" s="849" t="n"/>
      <c r="CN341" s="849" t="n"/>
      <c r="CO341" s="849" t="n"/>
      <c r="CP341" s="849" t="n"/>
      <c r="CQ341" s="849" t="n"/>
      <c r="CR341" s="849" t="n"/>
      <c r="CS341" s="849" t="n"/>
      <c r="CT341" s="849" t="n"/>
      <c r="CU341" s="849" t="n"/>
      <c r="CV341" s="849" t="n"/>
      <c r="CW341" s="849" t="n"/>
      <c r="CX341" s="849" t="n"/>
      <c r="CY341" s="849" t="n"/>
      <c r="CZ341" s="849" t="n"/>
      <c r="DA341" s="849" t="n"/>
      <c r="DB341" s="849" t="n"/>
      <c r="DC341" s="849" t="n"/>
      <c r="DD341" s="849" t="n"/>
      <c r="DE341" s="849" t="n"/>
      <c r="DF341" s="849" t="n"/>
      <c r="DG341" s="849" t="n"/>
      <c r="DH341" s="849" t="n"/>
      <c r="DI341" s="849" t="n"/>
      <c r="DJ341" s="849" t="n"/>
      <c r="DK341" s="849" t="n"/>
      <c r="DL341" s="849" t="n"/>
      <c r="DM341" s="849" t="n"/>
      <c r="DN341" s="849" t="n"/>
      <c r="DO341" s="849" t="n"/>
      <c r="DP341" s="855" t="n"/>
      <c r="DQ341" s="849" t="n"/>
      <c r="DR341" s="849">
        <f>SUMPRODUCT(--(MOD(COLUMN(BT341:CQ341),4)=MOD(COLUMN(BT341),4)),BT341:CQ341)*$I341+SUMPRODUCT(--(MOD(COLUMN(CR341:DO341),4)=MOD(COLUMN(CR341),4)),CR341:DO341)*$I341</f>
        <v/>
      </c>
      <c r="DS341" s="853" t="n"/>
      <c r="DT341" s="859" t="n"/>
      <c r="DU341" s="849" t="n"/>
      <c r="DV341" s="849" t="n"/>
      <c r="DW341" s="849" t="n"/>
      <c r="DX341" s="849" t="n"/>
      <c r="DY341" s="849" t="n"/>
      <c r="DZ341" s="849" t="n"/>
      <c r="EA341" s="849" t="n"/>
      <c r="EB341" s="849" t="n"/>
      <c r="EC341" s="849" t="n"/>
      <c r="ED341" s="849" t="n"/>
      <c r="EE341" s="849" t="n"/>
      <c r="EF341" s="849" t="n"/>
      <c r="EG341" s="849" t="n"/>
      <c r="EH341" s="849" t="n"/>
      <c r="EI341" s="849" t="n"/>
      <c r="EJ341" s="849" t="n"/>
      <c r="EK341" s="849" t="n"/>
      <c r="EL341" s="849" t="n"/>
      <c r="EM341" s="849" t="n"/>
      <c r="EN341" s="849" t="n"/>
      <c r="EO341" s="849" t="n"/>
      <c r="EP341" s="849" t="n"/>
      <c r="EQ341" s="849" t="n"/>
      <c r="ER341" s="849" t="n"/>
      <c r="ES341" s="849" t="n"/>
      <c r="ET341" s="849" t="n"/>
      <c r="EU341" s="849" t="n"/>
      <c r="EV341" s="849" t="n"/>
      <c r="EW341" s="849" t="n"/>
      <c r="EX341" s="849" t="n"/>
      <c r="EY341" s="849" t="n"/>
      <c r="EZ341" s="849" t="n"/>
      <c r="FA341" s="849" t="n"/>
      <c r="FB341" s="849" t="n"/>
      <c r="FC341" s="849" t="n"/>
      <c r="FD341" s="849" t="n"/>
      <c r="FE341" s="849" t="n"/>
      <c r="FF341" s="849" t="n"/>
      <c r="FG341" s="849" t="n"/>
      <c r="FH341" s="849" t="n"/>
      <c r="FI341" s="849" t="n"/>
      <c r="FJ341" s="849" t="n"/>
      <c r="FK341" s="849" t="n"/>
      <c r="FL341" s="849" t="n"/>
      <c r="FM341" s="849" t="n"/>
      <c r="FN341" s="849" t="n"/>
      <c r="FO341" s="849" t="n"/>
      <c r="FP341" s="849" t="n"/>
      <c r="FQ341" s="855" t="n"/>
      <c r="FR341" s="849" t="n"/>
      <c r="FS341" s="849">
        <f>SUMPRODUCT(--(MOD(COLUMN(DU341:ER341),4)=MOD(COLUMN(DU341),4)),DU341:ER341)*$I341+SUMPRODUCT(--(MOD(COLUMN(ES341:FP341),4)=MOD(COLUMN(ES341),4)),ES341:FP341)*$I341</f>
        <v/>
      </c>
    </row>
    <row r="342" outlineLevel="2" customFormat="1" s="77">
      <c r="A342" s="78" t="inlineStr">
        <is>
          <t>НОВОСИБАРЗ АО</t>
        </is>
      </c>
      <c r="B342" s="79" t="n"/>
      <c r="C342" s="657" t="n"/>
      <c r="D342" s="657" t="n"/>
      <c r="E342" s="510" t="n"/>
      <c r="F342" s="79" t="n"/>
      <c r="G342" s="141" t="n"/>
      <c r="H342" s="614" t="inlineStr">
        <is>
          <t>шт.:</t>
        </is>
      </c>
      <c r="I342" s="637" t="n"/>
      <c r="J342" s="637" t="n"/>
      <c r="K342" s="142" t="n"/>
      <c r="L342" s="637" t="n"/>
      <c r="M342" s="894" t="n"/>
      <c r="N342" s="895">
        <f>IF(BP342&gt;0,1,IF(BN342&gt;0,2,))</f>
        <v/>
      </c>
      <c r="O342" s="849">
        <f>IFERROR(SUMPRODUCT(($A342=$A$6:$A$330)*($G$6:$G$330&gt;0)*O$6:O$330),"")</f>
        <v/>
      </c>
      <c r="P342" s="849">
        <f>IFERROR(SUMPRODUCT(($A342=$A$6:$A$330)*($G$6:$G$330&gt;0)*P$6:P$330),"")</f>
        <v/>
      </c>
      <c r="Q342" s="849">
        <f>IFERROR(SUMPRODUCT(($A342=$A$6:$A$330)*($G$6:$G$330&gt;0)*Q$6:Q$330),"")</f>
        <v/>
      </c>
      <c r="R342" s="849">
        <f>IFERROR(SUMPRODUCT(($A342=$A$6:$A$330)*($G$6:$G$330&gt;0)*R$6:R$330),"")</f>
        <v/>
      </c>
      <c r="S342" s="849">
        <f>IFERROR(SUMPRODUCT(($A342=$A$6:$A$330)*($G$6:$G$330&gt;0)*S$6:S$330),"")</f>
        <v/>
      </c>
      <c r="T342" s="849">
        <f>IFERROR(SUMPRODUCT(($A342=$A$6:$A$330)*($G$6:$G$330&gt;0)*T$6:T$330),"")</f>
        <v/>
      </c>
      <c r="U342" s="849">
        <f>IFERROR(SUMPRODUCT(($A342=$A$6:$A$330)*($G$6:$G$330&gt;0)*U$6:U$330),"")</f>
        <v/>
      </c>
      <c r="V342" s="849">
        <f>IFERROR(SUMPRODUCT(($A342=$A$6:$A$330)*($G$6:$G$330&gt;0)*V$6:V$330),"")</f>
        <v/>
      </c>
      <c r="W342" s="849">
        <f>IFERROR(SUMPRODUCT(($A342=$A$6:$A$330)*($G$6:$G$330&gt;0)*W$6:W$330),"")</f>
        <v/>
      </c>
      <c r="X342" s="849">
        <f>IFERROR(SUMPRODUCT(($A342=$A$6:$A$330)*($G$6:$G$330&gt;0)*X$6:X$330),"")</f>
        <v/>
      </c>
      <c r="Y342" s="849">
        <f>IFERROR(SUMPRODUCT(($A342=$A$6:$A$330)*($G$6:$G$330&gt;0)*Y$6:Y$330),"")</f>
        <v/>
      </c>
      <c r="Z342" s="849">
        <f>IFERROR(SUMPRODUCT(($A342=$A$6:$A$330)*($G$6:$G$330&gt;0)*Z$6:Z$330),"")</f>
        <v/>
      </c>
      <c r="AA342" s="849">
        <f>IFERROR(SUMPRODUCT(($A342=$A$6:$A$330)*($G$6:$G$330&gt;0)*AA$6:AA$330),"")</f>
        <v/>
      </c>
      <c r="AB342" s="849">
        <f>IFERROR(SUMPRODUCT(($A342=$A$6:$A$330)*($G$6:$G$330&gt;0)*AB$6:AB$330),"")</f>
        <v/>
      </c>
      <c r="AC342" s="849">
        <f>IFERROR(SUMPRODUCT(($A342=$A$6:$A$330)*($G$6:$G$330&gt;0)*AC$6:AC$330),"")</f>
        <v/>
      </c>
      <c r="AD342" s="849">
        <f>IFERROR(SUMPRODUCT(($A342=$A$6:$A$330)*($G$6:$G$330&gt;0)*AD$6:AD$330),"")</f>
        <v/>
      </c>
      <c r="AE342" s="849">
        <f>IFERROR(SUMPRODUCT(($A342=$A$6:$A$330)*($G$6:$G$330&gt;0)*AE$6:AE$330),"")</f>
        <v/>
      </c>
      <c r="AF342" s="849">
        <f>IFERROR(SUMPRODUCT(($A342=$A$6:$A$330)*($G$6:$G$330&gt;0)*AF$6:AF$330),"")</f>
        <v/>
      </c>
      <c r="AG342" s="849">
        <f>IFERROR(SUMPRODUCT(($A342=$A$6:$A$330)*($G$6:$G$330&gt;0)*AG$6:AG$330),"")</f>
        <v/>
      </c>
      <c r="AH342" s="849">
        <f>IFERROR(SUMPRODUCT(($A342=$A$6:$A$330)*($G$6:$G$330&gt;0)*AH$6:AH$330),"")</f>
        <v/>
      </c>
      <c r="AI342" s="849">
        <f>IFERROR(SUMPRODUCT(($A342=$A$6:$A$330)*($G$6:$G$330&gt;0)*AI$6:AI$330),"")</f>
        <v/>
      </c>
      <c r="AJ342" s="849">
        <f>IFERROR(SUMPRODUCT(($A342=$A$6:$A$330)*($G$6:$G$330&gt;0)*AJ$6:AJ$330),"")</f>
        <v/>
      </c>
      <c r="AK342" s="849">
        <f>IFERROR(SUMPRODUCT(($A342=$A$6:$A$330)*($G$6:$G$330&gt;0)*AK$6:AK$330),"")</f>
        <v/>
      </c>
      <c r="AL342" s="849">
        <f>IFERROR(SUMPRODUCT(($A342=$A$6:$A$330)*($G$6:$G$330&gt;0)*AL$6:AL$330),"")</f>
        <v/>
      </c>
      <c r="AM342" s="849">
        <f>IFERROR(SUMPRODUCT(($A342=$A$6:$A$330)*($G$6:$G$330&gt;0)*AM$6:AM$330),"")</f>
        <v/>
      </c>
      <c r="AN342" s="849">
        <f>IFERROR(SUMPRODUCT(($A342=$A$6:$A$330)*($G$6:$G$330&gt;0)*AN$6:AN$330),"")</f>
        <v/>
      </c>
      <c r="AO342" s="849">
        <f>IFERROR(SUMPRODUCT(($A342=$A$6:$A$330)*($G$6:$G$330&gt;0)*AO$6:AO$330),"")</f>
        <v/>
      </c>
      <c r="AP342" s="849">
        <f>IFERROR(SUMPRODUCT(($A342=$A$6:$A$330)*($G$6:$G$330&gt;0)*AP$6:AP$330),"")</f>
        <v/>
      </c>
      <c r="AQ342" s="849">
        <f>IFERROR(SUMPRODUCT(($A342=$A$6:$A$330)*($G$6:$G$330&gt;0)*AQ$6:AQ$330),"")</f>
        <v/>
      </c>
      <c r="AR342" s="849">
        <f>IFERROR(SUMPRODUCT(($A342=$A$6:$A$330)*($G$6:$G$330&gt;0)*AR$6:AR$330),"")</f>
        <v/>
      </c>
      <c r="AS342" s="849">
        <f>IFERROR(SUMPRODUCT(($A342=$A$6:$A$330)*($G$6:$G$330&gt;0)*AS$6:AS$330),"")</f>
        <v/>
      </c>
      <c r="AT342" s="849">
        <f>IFERROR(SUMPRODUCT(($A342=$A$6:$A$330)*($G$6:$G$330&gt;0)*AT$6:AT$330),"")</f>
        <v/>
      </c>
      <c r="AU342" s="849">
        <f>IFERROR(SUMPRODUCT(($A342=$A$6:$A$330)*($G$6:$G$330&gt;0)*AU$6:AU$330),"")</f>
        <v/>
      </c>
      <c r="AV342" s="849">
        <f>IFERROR(SUMPRODUCT(($A342=$A$6:$A$330)*($G$6:$G$330&gt;0)*AV$6:AV$330),"")</f>
        <v/>
      </c>
      <c r="AW342" s="849">
        <f>IFERROR(SUMPRODUCT(($A342=$A$6:$A$330)*($G$6:$G$330&gt;0)*AW$6:AW$330),"")</f>
        <v/>
      </c>
      <c r="AX342" s="849">
        <f>IFERROR(SUMPRODUCT(($A342=$A$6:$A$330)*($G$6:$G$330&gt;0)*AX$6:AX$330),"")</f>
        <v/>
      </c>
      <c r="AY342" s="849">
        <f>IFERROR(SUMPRODUCT(($A342=$A$6:$A$330)*($G$6:$G$330&gt;0)*AY$6:AY$330),"")</f>
        <v/>
      </c>
      <c r="AZ342" s="849">
        <f>IFERROR(SUMPRODUCT(($A342=$A$6:$A$330)*($G$6:$G$330&gt;0)*AZ$6:AZ$330),"")</f>
        <v/>
      </c>
      <c r="BA342" s="849">
        <f>IFERROR(SUMPRODUCT(($A342=$A$6:$A$330)*($G$6:$G$330&gt;0)*BA$6:BA$330),"")</f>
        <v/>
      </c>
      <c r="BB342" s="849">
        <f>IFERROR(SUMPRODUCT(($A342=$A$6:$A$330)*($G$6:$G$330&gt;0)*BB$6:BB$330),"")</f>
        <v/>
      </c>
      <c r="BC342" s="849">
        <f>IFERROR(SUMPRODUCT(($A342=$A$6:$A$330)*($G$6:$G$330&gt;0)*BC$6:BC$330),"")</f>
        <v/>
      </c>
      <c r="BD342" s="849">
        <f>IFERROR(SUMPRODUCT(($A342=$A$6:$A$330)*($G$6:$G$330&gt;0)*BD$6:BD$330),"")</f>
        <v/>
      </c>
      <c r="BE342" s="849">
        <f>IFERROR(SUMPRODUCT(($A342=$A$6:$A$330)*($G$6:$G$330&gt;0)*BE$6:BE$330),"")</f>
        <v/>
      </c>
      <c r="BF342" s="849">
        <f>IFERROR(SUMPRODUCT(($A342=$A$6:$A$330)*($G$6:$G$330&gt;0)*BF$6:BF$330),"")</f>
        <v/>
      </c>
      <c r="BG342" s="849">
        <f>IFERROR(SUMPRODUCT(($A342=$A$6:$A$330)*($G$6:$G$330&gt;0)*BG$6:BG$330),"")</f>
        <v/>
      </c>
      <c r="BH342" s="849">
        <f>IFERROR(SUMPRODUCT(($A342=$A$6:$A$330)*($G$6:$G$330&gt;0)*BH$6:BH$330),"")</f>
        <v/>
      </c>
      <c r="BI342" s="849">
        <f>IFERROR(SUMPRODUCT(($A342=$A$6:$A$330)*($G$6:$G$330&gt;0)*BI$6:BI$330),"")</f>
        <v/>
      </c>
      <c r="BJ342" s="849">
        <f>IFERROR(SUMPRODUCT(($A342=$A$6:$A$330)*($G$6:$G$330&gt;0)*BJ$6:BJ$330),"")</f>
        <v/>
      </c>
      <c r="BK342" s="855" t="n"/>
      <c r="BL342" s="849">
        <f>SUMPRODUCT(--(MOD(COLUMN($O342:$AL342),4)=MOD(COLUMN($O342)+0,4)),$O342:$AL342)
+SUMPRODUCT(--(MOD(COLUMN($AM342:$BJ342),4)=MOD(COLUMN($AM342)+0,4)),$AM342:$BJ342)</f>
        <v/>
      </c>
      <c r="BM342" s="849">
        <f>SUMPRODUCT(--(MOD(COLUMN($O342:$AL342),4)=MOD(COLUMN($O342)+0,4)),$O342:$AL342)*
$I342+SUMPRODUCT(--(MOD(COLUMN($AM342:$BJ342),4)=MOD(COLUMN($AM342)+0,4)),$AM342:$BJ342)*$I342</f>
        <v/>
      </c>
      <c r="BN342" s="849">
        <f>SUMPRODUCT(--(MOD(COLUMN($O342:$AL342),4)=MOD(COLUMN($O342)+1,4)),$O342:$AL342)
+SUMPRODUCT(--(MOD(COLUMN($AM342:$BJ342),4)=MOD(COLUMN($AM342)+1,4)),$AM342:$BJ342)</f>
        <v/>
      </c>
      <c r="BO342" s="849">
        <f>SUMPRODUCT(--(MOD(COLUMN($O342:$AL342),4)=MOD(COLUMN($O342)+1,4)),$O342:$AL342)*
$I342+SUMPRODUCT(--(MOD(COLUMN($AM342:$BJ342),4)=MOD(COLUMN($AM342)+1,4)),$AM342:$BJ342)*$I342</f>
        <v/>
      </c>
      <c r="BP342" s="849">
        <f>SUMPRODUCT(--(MOD(COLUMN($O342:$AL342),4)=MOD(COLUMN($O342)+2,4)),$O342:$AL342)
+SUMPRODUCT(--(MOD(COLUMN($AM342:$BJ342),4)=MOD(COLUMN($AM342)+2,4)),$AM342:$BJ342)</f>
        <v/>
      </c>
      <c r="BQ342" s="849">
        <f>SUMPRODUCT(--(MOD(COLUMN($O342:$AL342),4)=MOD(COLUMN($O342)+2,4)),$O342:$AL342)*
$I342+SUMPRODUCT(--(MOD(COLUMN($AM342:$BJ342),4)=MOD(COLUMN($AM342)+2,4)),$AM342:$BJ342)*$I342</f>
        <v/>
      </c>
      <c r="BR342" s="853" t="n"/>
      <c r="BS342" s="859" t="n"/>
      <c r="BT342" s="849" t="n"/>
      <c r="BU342" s="849" t="n"/>
      <c r="BV342" s="849" t="n"/>
      <c r="BW342" s="849" t="n"/>
      <c r="BX342" s="849" t="n"/>
      <c r="BY342" s="849" t="n"/>
      <c r="BZ342" s="849" t="n"/>
      <c r="CA342" s="849" t="n"/>
      <c r="CB342" s="849" t="n"/>
      <c r="CC342" s="849" t="n"/>
      <c r="CD342" s="849" t="n"/>
      <c r="CE342" s="849" t="n"/>
      <c r="CF342" s="849" t="n"/>
      <c r="CG342" s="849" t="n"/>
      <c r="CH342" s="849" t="n"/>
      <c r="CI342" s="849" t="n"/>
      <c r="CJ342" s="849" t="n"/>
      <c r="CK342" s="849" t="n"/>
      <c r="CL342" s="849" t="n"/>
      <c r="CM342" s="849" t="n"/>
      <c r="CN342" s="849" t="n"/>
      <c r="CO342" s="849" t="n"/>
      <c r="CP342" s="849" t="n"/>
      <c r="CQ342" s="849" t="n"/>
      <c r="CR342" s="849" t="n"/>
      <c r="CS342" s="849" t="n"/>
      <c r="CT342" s="849" t="n"/>
      <c r="CU342" s="849" t="n"/>
      <c r="CV342" s="849" t="n"/>
      <c r="CW342" s="849" t="n"/>
      <c r="CX342" s="849" t="n"/>
      <c r="CY342" s="849" t="n"/>
      <c r="CZ342" s="849" t="n"/>
      <c r="DA342" s="849" t="n"/>
      <c r="DB342" s="849" t="n"/>
      <c r="DC342" s="849" t="n"/>
      <c r="DD342" s="849" t="n"/>
      <c r="DE342" s="849" t="n"/>
      <c r="DF342" s="849" t="n"/>
      <c r="DG342" s="849" t="n"/>
      <c r="DH342" s="849" t="n"/>
      <c r="DI342" s="849" t="n"/>
      <c r="DJ342" s="849" t="n"/>
      <c r="DK342" s="849" t="n"/>
      <c r="DL342" s="849" t="n"/>
      <c r="DM342" s="849" t="n"/>
      <c r="DN342" s="849" t="n"/>
      <c r="DO342" s="849" t="n"/>
      <c r="DP342" s="855" t="n"/>
      <c r="DQ342" s="849" t="n"/>
      <c r="DR342" s="849">
        <f>SUMPRODUCT(--(MOD(COLUMN(BT342:CQ342),4)=MOD(COLUMN(BT342),4)),BT342:CQ342)*$I342+SUMPRODUCT(--(MOD(COLUMN(CR342:DO342),4)=MOD(COLUMN(CR342),4)),CR342:DO342)*$I342</f>
        <v/>
      </c>
      <c r="DS342" s="853" t="n"/>
      <c r="DT342" s="859" t="n"/>
      <c r="DU342" s="849" t="n"/>
      <c r="DV342" s="849" t="n"/>
      <c r="DW342" s="849" t="n"/>
      <c r="DX342" s="849" t="n"/>
      <c r="DY342" s="849" t="n"/>
      <c r="DZ342" s="849" t="n"/>
      <c r="EA342" s="849" t="n"/>
      <c r="EB342" s="849" t="n"/>
      <c r="EC342" s="849" t="n"/>
      <c r="ED342" s="849" t="n"/>
      <c r="EE342" s="849" t="n"/>
      <c r="EF342" s="849" t="n"/>
      <c r="EG342" s="849" t="n"/>
      <c r="EH342" s="849" t="n"/>
      <c r="EI342" s="849" t="n"/>
      <c r="EJ342" s="849" t="n"/>
      <c r="EK342" s="849" t="n"/>
      <c r="EL342" s="849" t="n"/>
      <c r="EM342" s="849" t="n"/>
      <c r="EN342" s="849" t="n"/>
      <c r="EO342" s="849" t="n"/>
      <c r="EP342" s="849" t="n"/>
      <c r="EQ342" s="849" t="n"/>
      <c r="ER342" s="849" t="n"/>
      <c r="ES342" s="849" t="n"/>
      <c r="ET342" s="849" t="n"/>
      <c r="EU342" s="849" t="n"/>
      <c r="EV342" s="849" t="n"/>
      <c r="EW342" s="849" t="n"/>
      <c r="EX342" s="849" t="n"/>
      <c r="EY342" s="849" t="n"/>
      <c r="EZ342" s="849" t="n"/>
      <c r="FA342" s="849" t="n"/>
      <c r="FB342" s="849" t="n"/>
      <c r="FC342" s="849" t="n"/>
      <c r="FD342" s="849" t="n"/>
      <c r="FE342" s="849" t="n"/>
      <c r="FF342" s="849" t="n"/>
      <c r="FG342" s="849" t="n"/>
      <c r="FH342" s="849" t="n"/>
      <c r="FI342" s="849" t="n"/>
      <c r="FJ342" s="849" t="n"/>
      <c r="FK342" s="849" t="n"/>
      <c r="FL342" s="849" t="n"/>
      <c r="FM342" s="849" t="n"/>
      <c r="FN342" s="849" t="n"/>
      <c r="FO342" s="849" t="n"/>
      <c r="FP342" s="849" t="n"/>
      <c r="FQ342" s="855" t="n"/>
      <c r="FR342" s="849" t="n"/>
      <c r="FS342" s="849">
        <f>SUMPRODUCT(--(MOD(COLUMN(DU342:ER342),4)=MOD(COLUMN(DU342),4)),DU342:ER342)*$I342+SUMPRODUCT(--(MOD(COLUMN(ES342:FP342),4)=MOD(COLUMN(ES342),4)),ES342:FP342)*$I342</f>
        <v/>
      </c>
    </row>
    <row r="343" outlineLevel="2" customFormat="1" s="77">
      <c r="A343" s="78" t="inlineStr">
        <is>
          <t>СТК ООО</t>
        </is>
      </c>
      <c r="B343" s="79" t="n"/>
      <c r="C343" s="657" t="n"/>
      <c r="D343" s="657" t="n"/>
      <c r="E343" s="510" t="n"/>
      <c r="F343" s="79" t="n"/>
      <c r="G343" s="141" t="n"/>
      <c r="H343" s="614" t="inlineStr">
        <is>
          <t>шт.:</t>
        </is>
      </c>
      <c r="I343" s="637" t="n"/>
      <c r="J343" s="637" t="n"/>
      <c r="K343" s="142" t="n"/>
      <c r="L343" s="637" t="n"/>
      <c r="M343" s="894" t="n"/>
      <c r="N343" s="895">
        <f>IF(BP343&gt;0,1,IF(BN343&gt;0,2,))</f>
        <v/>
      </c>
      <c r="O343" s="849">
        <f>IFERROR(SUMPRODUCT(($A343=$A$6:$A$330)*($G$6:$G$330&gt;0)*O$6:O$330),"")</f>
        <v/>
      </c>
      <c r="P343" s="849">
        <f>IFERROR(SUMPRODUCT(($A343=$A$6:$A$330)*($G$6:$G$330&gt;0)*P$6:P$330),"")</f>
        <v/>
      </c>
      <c r="Q343" s="849">
        <f>IFERROR(SUMPRODUCT(($A343=$A$6:$A$330)*($G$6:$G$330&gt;0)*Q$6:Q$330),"")</f>
        <v/>
      </c>
      <c r="R343" s="849">
        <f>IFERROR(SUMPRODUCT(($A343=$A$6:$A$330)*($G$6:$G$330&gt;0)*R$6:R$330),"")</f>
        <v/>
      </c>
      <c r="S343" s="849">
        <f>IFERROR(SUMPRODUCT(($A343=$A$6:$A$330)*($G$6:$G$330&gt;0)*S$6:S$330),"")</f>
        <v/>
      </c>
      <c r="T343" s="849">
        <f>IFERROR(SUMPRODUCT(($A343=$A$6:$A$330)*($G$6:$G$330&gt;0)*T$6:T$330),"")</f>
        <v/>
      </c>
      <c r="U343" s="849">
        <f>IFERROR(SUMPRODUCT(($A343=$A$6:$A$330)*($G$6:$G$330&gt;0)*U$6:U$330),"")</f>
        <v/>
      </c>
      <c r="V343" s="849">
        <f>IFERROR(SUMPRODUCT(($A343=$A$6:$A$330)*($G$6:$G$330&gt;0)*V$6:V$330),"")</f>
        <v/>
      </c>
      <c r="W343" s="849">
        <f>IFERROR(SUMPRODUCT(($A343=$A$6:$A$330)*($G$6:$G$330&gt;0)*W$6:W$330),"")</f>
        <v/>
      </c>
      <c r="X343" s="849">
        <f>IFERROR(SUMPRODUCT(($A343=$A$6:$A$330)*($G$6:$G$330&gt;0)*X$6:X$330),"")</f>
        <v/>
      </c>
      <c r="Y343" s="849">
        <f>IFERROR(SUMPRODUCT(($A343=$A$6:$A$330)*($G$6:$G$330&gt;0)*Y$6:Y$330),"")</f>
        <v/>
      </c>
      <c r="Z343" s="849">
        <f>IFERROR(SUMPRODUCT(($A343=$A$6:$A$330)*($G$6:$G$330&gt;0)*Z$6:Z$330),"")</f>
        <v/>
      </c>
      <c r="AA343" s="849">
        <f>IFERROR(SUMPRODUCT(($A343=$A$6:$A$330)*($G$6:$G$330&gt;0)*AA$6:AA$330),"")</f>
        <v/>
      </c>
      <c r="AB343" s="849">
        <f>IFERROR(SUMPRODUCT(($A343=$A$6:$A$330)*($G$6:$G$330&gt;0)*AB$6:AB$330),"")</f>
        <v/>
      </c>
      <c r="AC343" s="849">
        <f>IFERROR(SUMPRODUCT(($A343=$A$6:$A$330)*($G$6:$G$330&gt;0)*AC$6:AC$330),"")</f>
        <v/>
      </c>
      <c r="AD343" s="849">
        <f>IFERROR(SUMPRODUCT(($A343=$A$6:$A$330)*($G$6:$G$330&gt;0)*AD$6:AD$330),"")</f>
        <v/>
      </c>
      <c r="AE343" s="849">
        <f>IFERROR(SUMPRODUCT(($A343=$A$6:$A$330)*($G$6:$G$330&gt;0)*AE$6:AE$330),"")</f>
        <v/>
      </c>
      <c r="AF343" s="849">
        <f>IFERROR(SUMPRODUCT(($A343=$A$6:$A$330)*($G$6:$G$330&gt;0)*AF$6:AF$330),"")</f>
        <v/>
      </c>
      <c r="AG343" s="849">
        <f>IFERROR(SUMPRODUCT(($A343=$A$6:$A$330)*($G$6:$G$330&gt;0)*AG$6:AG$330),"")</f>
        <v/>
      </c>
      <c r="AH343" s="849">
        <f>IFERROR(SUMPRODUCT(($A343=$A$6:$A$330)*($G$6:$G$330&gt;0)*AH$6:AH$330),"")</f>
        <v/>
      </c>
      <c r="AI343" s="849">
        <f>IFERROR(SUMPRODUCT(($A343=$A$6:$A$330)*($G$6:$G$330&gt;0)*AI$6:AI$330),"")</f>
        <v/>
      </c>
      <c r="AJ343" s="849">
        <f>IFERROR(SUMPRODUCT(($A343=$A$6:$A$330)*($G$6:$G$330&gt;0)*AJ$6:AJ$330),"")</f>
        <v/>
      </c>
      <c r="AK343" s="849">
        <f>IFERROR(SUMPRODUCT(($A343=$A$6:$A$330)*($G$6:$G$330&gt;0)*AK$6:AK$330),"")</f>
        <v/>
      </c>
      <c r="AL343" s="849">
        <f>IFERROR(SUMPRODUCT(($A343=$A$6:$A$330)*($G$6:$G$330&gt;0)*AL$6:AL$330),"")</f>
        <v/>
      </c>
      <c r="AM343" s="849">
        <f>IFERROR(SUMPRODUCT(($A343=$A$6:$A$330)*($G$6:$G$330&gt;0)*AM$6:AM$330),"")</f>
        <v/>
      </c>
      <c r="AN343" s="849">
        <f>IFERROR(SUMPRODUCT(($A343=$A$6:$A$330)*($G$6:$G$330&gt;0)*AN$6:AN$330),"")</f>
        <v/>
      </c>
      <c r="AO343" s="849">
        <f>IFERROR(SUMPRODUCT(($A343=$A$6:$A$330)*($G$6:$G$330&gt;0)*AO$6:AO$330),"")</f>
        <v/>
      </c>
      <c r="AP343" s="849">
        <f>IFERROR(SUMPRODUCT(($A343=$A$6:$A$330)*($G$6:$G$330&gt;0)*AP$6:AP$330),"")</f>
        <v/>
      </c>
      <c r="AQ343" s="849">
        <f>IFERROR(SUMPRODUCT(($A343=$A$6:$A$330)*($G$6:$G$330&gt;0)*AQ$6:AQ$330),"")</f>
        <v/>
      </c>
      <c r="AR343" s="849">
        <f>IFERROR(SUMPRODUCT(($A343=$A$6:$A$330)*($G$6:$G$330&gt;0)*AR$6:AR$330),"")</f>
        <v/>
      </c>
      <c r="AS343" s="849">
        <f>IFERROR(SUMPRODUCT(($A343=$A$6:$A$330)*($G$6:$G$330&gt;0)*AS$6:AS$330),"")</f>
        <v/>
      </c>
      <c r="AT343" s="849">
        <f>IFERROR(SUMPRODUCT(($A343=$A$6:$A$330)*($G$6:$G$330&gt;0)*AT$6:AT$330),"")</f>
        <v/>
      </c>
      <c r="AU343" s="849">
        <f>IFERROR(SUMPRODUCT(($A343=$A$6:$A$330)*($G$6:$G$330&gt;0)*AU$6:AU$330),"")</f>
        <v/>
      </c>
      <c r="AV343" s="849">
        <f>IFERROR(SUMPRODUCT(($A343=$A$6:$A$330)*($G$6:$G$330&gt;0)*AV$6:AV$330),"")</f>
        <v/>
      </c>
      <c r="AW343" s="849">
        <f>IFERROR(SUMPRODUCT(($A343=$A$6:$A$330)*($G$6:$G$330&gt;0)*AW$6:AW$330),"")</f>
        <v/>
      </c>
      <c r="AX343" s="849">
        <f>IFERROR(SUMPRODUCT(($A343=$A$6:$A$330)*($G$6:$G$330&gt;0)*AX$6:AX$330),"")</f>
        <v/>
      </c>
      <c r="AY343" s="849">
        <f>IFERROR(SUMPRODUCT(($A343=$A$6:$A$330)*($G$6:$G$330&gt;0)*AY$6:AY$330),"")</f>
        <v/>
      </c>
      <c r="AZ343" s="849">
        <f>IFERROR(SUMPRODUCT(($A343=$A$6:$A$330)*($G$6:$G$330&gt;0)*AZ$6:AZ$330),"")</f>
        <v/>
      </c>
      <c r="BA343" s="849">
        <f>IFERROR(SUMPRODUCT(($A343=$A$6:$A$330)*($G$6:$G$330&gt;0)*BA$6:BA$330),"")</f>
        <v/>
      </c>
      <c r="BB343" s="849">
        <f>IFERROR(SUMPRODUCT(($A343=$A$6:$A$330)*($G$6:$G$330&gt;0)*BB$6:BB$330),"")</f>
        <v/>
      </c>
      <c r="BC343" s="849">
        <f>IFERROR(SUMPRODUCT(($A343=$A$6:$A$330)*($G$6:$G$330&gt;0)*BC$6:BC$330),"")</f>
        <v/>
      </c>
      <c r="BD343" s="849">
        <f>IFERROR(SUMPRODUCT(($A343=$A$6:$A$330)*($G$6:$G$330&gt;0)*BD$6:BD$330),"")</f>
        <v/>
      </c>
      <c r="BE343" s="849">
        <f>IFERROR(SUMPRODUCT(($A343=$A$6:$A$330)*($G$6:$G$330&gt;0)*BE$6:BE$330),"")</f>
        <v/>
      </c>
      <c r="BF343" s="849">
        <f>IFERROR(SUMPRODUCT(($A343=$A$6:$A$330)*($G$6:$G$330&gt;0)*BF$6:BF$330),"")</f>
        <v/>
      </c>
      <c r="BG343" s="849">
        <f>IFERROR(SUMPRODUCT(($A343=$A$6:$A$330)*($G$6:$G$330&gt;0)*BG$6:BG$330),"")</f>
        <v/>
      </c>
      <c r="BH343" s="849">
        <f>IFERROR(SUMPRODUCT(($A343=$A$6:$A$330)*($G$6:$G$330&gt;0)*BH$6:BH$330),"")</f>
        <v/>
      </c>
      <c r="BI343" s="849">
        <f>IFERROR(SUMPRODUCT(($A343=$A$6:$A$330)*($G$6:$G$330&gt;0)*BI$6:BI$330),"")</f>
        <v/>
      </c>
      <c r="BJ343" s="849">
        <f>IFERROR(SUMPRODUCT(($A343=$A$6:$A$330)*($G$6:$G$330&gt;0)*BJ$6:BJ$330),"")</f>
        <v/>
      </c>
      <c r="BK343" s="855" t="n"/>
      <c r="BL343" s="849">
        <f>SUMPRODUCT(--(MOD(COLUMN($O343:$AL343),4)=MOD(COLUMN($O343)+0,4)),$O343:$AL343)
+SUMPRODUCT(--(MOD(COLUMN($AM343:$BJ343),4)=MOD(COLUMN($AM343)+0,4)),$AM343:$BJ343)</f>
        <v/>
      </c>
      <c r="BM343" s="849">
        <f>SUMPRODUCT(--(MOD(COLUMN($O343:$AL343),4)=MOD(COLUMN($O343)+0,4)),$O343:$AL343)*
$I343+SUMPRODUCT(--(MOD(COLUMN($AM343:$BJ343),4)=MOD(COLUMN($AM343)+0,4)),$AM343:$BJ343)*$I343</f>
        <v/>
      </c>
      <c r="BN343" s="849">
        <f>SUMPRODUCT(--(MOD(COLUMN($O343:$AL343),4)=MOD(COLUMN($O343)+1,4)),$O343:$AL343)
+SUMPRODUCT(--(MOD(COLUMN($AM343:$BJ343),4)=MOD(COLUMN($AM343)+1,4)),$AM343:$BJ343)</f>
        <v/>
      </c>
      <c r="BO343" s="849">
        <f>SUMPRODUCT(--(MOD(COLUMN($O343:$AL343),4)=MOD(COLUMN($O343)+1,4)),$O343:$AL343)*
$I343+SUMPRODUCT(--(MOD(COLUMN($AM343:$BJ343),4)=MOD(COLUMN($AM343)+1,4)),$AM343:$BJ343)*$I343</f>
        <v/>
      </c>
      <c r="BP343" s="849">
        <f>SUMPRODUCT(--(MOD(COLUMN($O343:$AL343),4)=MOD(COLUMN($O343)+2,4)),$O343:$AL343)
+SUMPRODUCT(--(MOD(COLUMN($AM343:$BJ343),4)=MOD(COLUMN($AM343)+2,4)),$AM343:$BJ343)</f>
        <v/>
      </c>
      <c r="BQ343" s="849">
        <f>SUMPRODUCT(--(MOD(COLUMN($O343:$AL343),4)=MOD(COLUMN($O343)+2,4)),$O343:$AL343)*
$I343+SUMPRODUCT(--(MOD(COLUMN($AM343:$BJ343),4)=MOD(COLUMN($AM343)+2,4)),$AM343:$BJ343)*$I343</f>
        <v/>
      </c>
      <c r="BR343" s="853" t="n"/>
      <c r="BS343" s="859" t="n"/>
      <c r="BT343" s="849" t="n"/>
      <c r="BU343" s="849" t="n"/>
      <c r="BV343" s="849" t="n"/>
      <c r="BW343" s="849" t="n"/>
      <c r="BX343" s="849" t="n"/>
      <c r="BY343" s="849" t="n"/>
      <c r="BZ343" s="849" t="n"/>
      <c r="CA343" s="849" t="n"/>
      <c r="CB343" s="849" t="n"/>
      <c r="CC343" s="849" t="n"/>
      <c r="CD343" s="849" t="n"/>
      <c r="CE343" s="849" t="n"/>
      <c r="CF343" s="849" t="n"/>
      <c r="CG343" s="849" t="n"/>
      <c r="CH343" s="849" t="n"/>
      <c r="CI343" s="849" t="n"/>
      <c r="CJ343" s="849" t="n"/>
      <c r="CK343" s="849" t="n"/>
      <c r="CL343" s="849" t="n"/>
      <c r="CM343" s="849" t="n"/>
      <c r="CN343" s="849" t="n"/>
      <c r="CO343" s="849" t="n"/>
      <c r="CP343" s="849" t="n"/>
      <c r="CQ343" s="849" t="n"/>
      <c r="CR343" s="849" t="n"/>
      <c r="CS343" s="849" t="n"/>
      <c r="CT343" s="849" t="n"/>
      <c r="CU343" s="849" t="n"/>
      <c r="CV343" s="849" t="n"/>
      <c r="CW343" s="849" t="n"/>
      <c r="CX343" s="849" t="n"/>
      <c r="CY343" s="849" t="n"/>
      <c r="CZ343" s="849" t="n"/>
      <c r="DA343" s="849" t="n"/>
      <c r="DB343" s="849" t="n"/>
      <c r="DC343" s="849" t="n"/>
      <c r="DD343" s="849" t="n"/>
      <c r="DE343" s="849" t="n"/>
      <c r="DF343" s="849" t="n"/>
      <c r="DG343" s="849" t="n"/>
      <c r="DH343" s="849" t="n"/>
      <c r="DI343" s="849" t="n"/>
      <c r="DJ343" s="849" t="n"/>
      <c r="DK343" s="849" t="n"/>
      <c r="DL343" s="849" t="n"/>
      <c r="DM343" s="849" t="n"/>
      <c r="DN343" s="849" t="n"/>
      <c r="DO343" s="849" t="n"/>
      <c r="DP343" s="855" t="n"/>
      <c r="DQ343" s="849" t="n"/>
      <c r="DR343" s="849">
        <f>SUMPRODUCT(--(MOD(COLUMN(BT343:CQ343),4)=MOD(COLUMN(BT343),4)),BT343:CQ343)*$I343+SUMPRODUCT(--(MOD(COLUMN(CR343:DO343),4)=MOD(COLUMN(CR343),4)),CR343:DO343)*$I343</f>
        <v/>
      </c>
      <c r="DS343" s="853" t="n"/>
      <c r="DT343" s="859" t="n"/>
      <c r="DU343" s="849" t="n"/>
      <c r="DV343" s="849" t="n"/>
      <c r="DW343" s="849" t="n"/>
      <c r="DX343" s="849" t="n"/>
      <c r="DY343" s="849" t="n"/>
      <c r="DZ343" s="849" t="n"/>
      <c r="EA343" s="849" t="n"/>
      <c r="EB343" s="849" t="n"/>
      <c r="EC343" s="849" t="n"/>
      <c r="ED343" s="849" t="n"/>
      <c r="EE343" s="849" t="n"/>
      <c r="EF343" s="849" t="n"/>
      <c r="EG343" s="849" t="n"/>
      <c r="EH343" s="849" t="n"/>
      <c r="EI343" s="849" t="n"/>
      <c r="EJ343" s="849" t="n"/>
      <c r="EK343" s="849" t="n"/>
      <c r="EL343" s="849" t="n"/>
      <c r="EM343" s="849" t="n"/>
      <c r="EN343" s="849" t="n"/>
      <c r="EO343" s="849" t="n"/>
      <c r="EP343" s="849" t="n"/>
      <c r="EQ343" s="849" t="n"/>
      <c r="ER343" s="849" t="n"/>
      <c r="ES343" s="849" t="n"/>
      <c r="ET343" s="849" t="n"/>
      <c r="EU343" s="849" t="n"/>
      <c r="EV343" s="849" t="n"/>
      <c r="EW343" s="849" t="n"/>
      <c r="EX343" s="849" t="n"/>
      <c r="EY343" s="849" t="n"/>
      <c r="EZ343" s="849" t="n"/>
      <c r="FA343" s="849" t="n"/>
      <c r="FB343" s="849" t="n"/>
      <c r="FC343" s="849" t="n"/>
      <c r="FD343" s="849" t="n"/>
      <c r="FE343" s="849" t="n"/>
      <c r="FF343" s="849" t="n"/>
      <c r="FG343" s="849" t="n"/>
      <c r="FH343" s="849" t="n"/>
      <c r="FI343" s="849" t="n"/>
      <c r="FJ343" s="849" t="n"/>
      <c r="FK343" s="849" t="n"/>
      <c r="FL343" s="849" t="n"/>
      <c r="FM343" s="849" t="n"/>
      <c r="FN343" s="849" t="n"/>
      <c r="FO343" s="849" t="n"/>
      <c r="FP343" s="849" t="n"/>
      <c r="FQ343" s="855" t="n"/>
      <c r="FR343" s="849" t="n"/>
      <c r="FS343" s="849">
        <f>SUMPRODUCT(--(MOD(COLUMN(DU343:ER343),4)=MOD(COLUMN(DU343),4)),DU343:ER343)*$I343+SUMPRODUCT(--(MOD(COLUMN(ES343:FP343),4)=MOD(COLUMN(ES343),4)),ES343:FP343)*$I343</f>
        <v/>
      </c>
    </row>
    <row r="344" outlineLevel="2" customFormat="1" s="77">
      <c r="A344" s="78" t="inlineStr">
        <is>
          <t>ПРИЦЕПНАЯ ТЕХНИКА ООО</t>
        </is>
      </c>
      <c r="B344" s="79" t="n"/>
      <c r="C344" s="657" t="n"/>
      <c r="D344" s="657" t="n"/>
      <c r="E344" s="510" t="n"/>
      <c r="F344" s="79" t="n"/>
      <c r="G344" s="141" t="n"/>
      <c r="H344" s="614" t="inlineStr">
        <is>
          <t>шт.:</t>
        </is>
      </c>
      <c r="I344" s="637" t="n"/>
      <c r="J344" s="637" t="n"/>
      <c r="K344" s="142" t="n"/>
      <c r="L344" s="637" t="n"/>
      <c r="M344" s="894" t="n"/>
      <c r="N344" s="895">
        <f>IF(BP344&gt;0,1,IF(BN344&gt;0,2,))</f>
        <v/>
      </c>
      <c r="O344" s="849">
        <f>IFERROR(SUMPRODUCT(($A344=$A$6:$A$330)*($G$6:$G$330&gt;0)*O$6:O$330),"")</f>
        <v/>
      </c>
      <c r="P344" s="849">
        <f>IFERROR(SUMPRODUCT(($A344=$A$6:$A$330)*($G$6:$G$330&gt;0)*P$6:P$330),"")</f>
        <v/>
      </c>
      <c r="Q344" s="849">
        <f>IFERROR(SUMPRODUCT(($A344=$A$6:$A$330)*($G$6:$G$330&gt;0)*Q$6:Q$330),"")</f>
        <v/>
      </c>
      <c r="R344" s="849">
        <f>IFERROR(SUMPRODUCT(($A344=$A$6:$A$330)*($G$6:$G$330&gt;0)*R$6:R$330),"")</f>
        <v/>
      </c>
      <c r="S344" s="849">
        <f>IFERROR(SUMPRODUCT(($A344=$A$6:$A$330)*($G$6:$G$330&gt;0)*S$6:S$330),"")</f>
        <v/>
      </c>
      <c r="T344" s="849">
        <f>IFERROR(SUMPRODUCT(($A344=$A$6:$A$330)*($G$6:$G$330&gt;0)*T$6:T$330),"")</f>
        <v/>
      </c>
      <c r="U344" s="849">
        <f>IFERROR(SUMPRODUCT(($A344=$A$6:$A$330)*($G$6:$G$330&gt;0)*U$6:U$330),"")</f>
        <v/>
      </c>
      <c r="V344" s="849">
        <f>IFERROR(SUMPRODUCT(($A344=$A$6:$A$330)*($G$6:$G$330&gt;0)*V$6:V$330),"")</f>
        <v/>
      </c>
      <c r="W344" s="849">
        <f>IFERROR(SUMPRODUCT(($A344=$A$6:$A$330)*($G$6:$G$330&gt;0)*W$6:W$330),"")</f>
        <v/>
      </c>
      <c r="X344" s="849">
        <f>IFERROR(SUMPRODUCT(($A344=$A$6:$A$330)*($G$6:$G$330&gt;0)*X$6:X$330),"")</f>
        <v/>
      </c>
      <c r="Y344" s="849">
        <f>IFERROR(SUMPRODUCT(($A344=$A$6:$A$330)*($G$6:$G$330&gt;0)*Y$6:Y$330),"")</f>
        <v/>
      </c>
      <c r="Z344" s="849">
        <f>IFERROR(SUMPRODUCT(($A344=$A$6:$A$330)*($G$6:$G$330&gt;0)*Z$6:Z$330),"")</f>
        <v/>
      </c>
      <c r="AA344" s="849">
        <f>IFERROR(SUMPRODUCT(($A344=$A$6:$A$330)*($G$6:$G$330&gt;0)*AA$6:AA$330),"")</f>
        <v/>
      </c>
      <c r="AB344" s="849">
        <f>IFERROR(SUMPRODUCT(($A344=$A$6:$A$330)*($G$6:$G$330&gt;0)*AB$6:AB$330),"")</f>
        <v/>
      </c>
      <c r="AC344" s="849">
        <f>IFERROR(SUMPRODUCT(($A344=$A$6:$A$330)*($G$6:$G$330&gt;0)*AC$6:AC$330),"")</f>
        <v/>
      </c>
      <c r="AD344" s="849">
        <f>IFERROR(SUMPRODUCT(($A344=$A$6:$A$330)*($G$6:$G$330&gt;0)*AD$6:AD$330),"")</f>
        <v/>
      </c>
      <c r="AE344" s="849">
        <f>IFERROR(SUMPRODUCT(($A344=$A$6:$A$330)*($G$6:$G$330&gt;0)*AE$6:AE$330),"")</f>
        <v/>
      </c>
      <c r="AF344" s="849">
        <f>IFERROR(SUMPRODUCT(($A344=$A$6:$A$330)*($G$6:$G$330&gt;0)*AF$6:AF$330),"")</f>
        <v/>
      </c>
      <c r="AG344" s="849">
        <f>IFERROR(SUMPRODUCT(($A344=$A$6:$A$330)*($G$6:$G$330&gt;0)*AG$6:AG$330),"")</f>
        <v/>
      </c>
      <c r="AH344" s="849">
        <f>IFERROR(SUMPRODUCT(($A344=$A$6:$A$330)*($G$6:$G$330&gt;0)*AH$6:AH$330),"")</f>
        <v/>
      </c>
      <c r="AI344" s="849">
        <f>IFERROR(SUMPRODUCT(($A344=$A$6:$A$330)*($G$6:$G$330&gt;0)*AI$6:AI$330),"")</f>
        <v/>
      </c>
      <c r="AJ344" s="849">
        <f>IFERROR(SUMPRODUCT(($A344=$A$6:$A$330)*($G$6:$G$330&gt;0)*AJ$6:AJ$330),"")</f>
        <v/>
      </c>
      <c r="AK344" s="849">
        <f>IFERROR(SUMPRODUCT(($A344=$A$6:$A$330)*($G$6:$G$330&gt;0)*AK$6:AK$330),"")</f>
        <v/>
      </c>
      <c r="AL344" s="849">
        <f>IFERROR(SUMPRODUCT(($A344=$A$6:$A$330)*($G$6:$G$330&gt;0)*AL$6:AL$330),"")</f>
        <v/>
      </c>
      <c r="AM344" s="849">
        <f>IFERROR(SUMPRODUCT(($A344=$A$6:$A$330)*($G$6:$G$330&gt;0)*AM$6:AM$330),"")</f>
        <v/>
      </c>
      <c r="AN344" s="849">
        <f>IFERROR(SUMPRODUCT(($A344=$A$6:$A$330)*($G$6:$G$330&gt;0)*AN$6:AN$330),"")</f>
        <v/>
      </c>
      <c r="AO344" s="849">
        <f>IFERROR(SUMPRODUCT(($A344=$A$6:$A$330)*($G$6:$G$330&gt;0)*AO$6:AO$330),"")</f>
        <v/>
      </c>
      <c r="AP344" s="849">
        <f>IFERROR(SUMPRODUCT(($A344=$A$6:$A$330)*($G$6:$G$330&gt;0)*AP$6:AP$330),"")</f>
        <v/>
      </c>
      <c r="AQ344" s="849">
        <f>IFERROR(SUMPRODUCT(($A344=$A$6:$A$330)*($G$6:$G$330&gt;0)*AQ$6:AQ$330),"")</f>
        <v/>
      </c>
      <c r="AR344" s="849">
        <f>IFERROR(SUMPRODUCT(($A344=$A$6:$A$330)*($G$6:$G$330&gt;0)*AR$6:AR$330),"")</f>
        <v/>
      </c>
      <c r="AS344" s="849">
        <f>IFERROR(SUMPRODUCT(($A344=$A$6:$A$330)*($G$6:$G$330&gt;0)*AS$6:AS$330),"")</f>
        <v/>
      </c>
      <c r="AT344" s="849">
        <f>IFERROR(SUMPRODUCT(($A344=$A$6:$A$330)*($G$6:$G$330&gt;0)*AT$6:AT$330),"")</f>
        <v/>
      </c>
      <c r="AU344" s="849">
        <f>IFERROR(SUMPRODUCT(($A344=$A$6:$A$330)*($G$6:$G$330&gt;0)*AU$6:AU$330),"")</f>
        <v/>
      </c>
      <c r="AV344" s="849">
        <f>IFERROR(SUMPRODUCT(($A344=$A$6:$A$330)*($G$6:$G$330&gt;0)*AV$6:AV$330),"")</f>
        <v/>
      </c>
      <c r="AW344" s="849">
        <f>IFERROR(SUMPRODUCT(($A344=$A$6:$A$330)*($G$6:$G$330&gt;0)*AW$6:AW$330),"")</f>
        <v/>
      </c>
      <c r="AX344" s="849">
        <f>IFERROR(SUMPRODUCT(($A344=$A$6:$A$330)*($G$6:$G$330&gt;0)*AX$6:AX$330),"")</f>
        <v/>
      </c>
      <c r="AY344" s="849">
        <f>IFERROR(SUMPRODUCT(($A344=$A$6:$A$330)*($G$6:$G$330&gt;0)*AY$6:AY$330),"")</f>
        <v/>
      </c>
      <c r="AZ344" s="849">
        <f>IFERROR(SUMPRODUCT(($A344=$A$6:$A$330)*($G$6:$G$330&gt;0)*AZ$6:AZ$330),"")</f>
        <v/>
      </c>
      <c r="BA344" s="849">
        <f>IFERROR(SUMPRODUCT(($A344=$A$6:$A$330)*($G$6:$G$330&gt;0)*BA$6:BA$330),"")</f>
        <v/>
      </c>
      <c r="BB344" s="849">
        <f>IFERROR(SUMPRODUCT(($A344=$A$6:$A$330)*($G$6:$G$330&gt;0)*BB$6:BB$330),"")</f>
        <v/>
      </c>
      <c r="BC344" s="849">
        <f>IFERROR(SUMPRODUCT(($A344=$A$6:$A$330)*($G$6:$G$330&gt;0)*BC$6:BC$330),"")</f>
        <v/>
      </c>
      <c r="BD344" s="849">
        <f>IFERROR(SUMPRODUCT(($A344=$A$6:$A$330)*($G$6:$G$330&gt;0)*BD$6:BD$330),"")</f>
        <v/>
      </c>
      <c r="BE344" s="849">
        <f>IFERROR(SUMPRODUCT(($A344=$A$6:$A$330)*($G$6:$G$330&gt;0)*BE$6:BE$330),"")</f>
        <v/>
      </c>
      <c r="BF344" s="849">
        <f>IFERROR(SUMPRODUCT(($A344=$A$6:$A$330)*($G$6:$G$330&gt;0)*BF$6:BF$330),"")</f>
        <v/>
      </c>
      <c r="BG344" s="849">
        <f>IFERROR(SUMPRODUCT(($A344=$A$6:$A$330)*($G$6:$G$330&gt;0)*BG$6:BG$330),"")</f>
        <v/>
      </c>
      <c r="BH344" s="849">
        <f>IFERROR(SUMPRODUCT(($A344=$A$6:$A$330)*($G$6:$G$330&gt;0)*BH$6:BH$330),"")</f>
        <v/>
      </c>
      <c r="BI344" s="849">
        <f>IFERROR(SUMPRODUCT(($A344=$A$6:$A$330)*($G$6:$G$330&gt;0)*BI$6:BI$330),"")</f>
        <v/>
      </c>
      <c r="BJ344" s="849">
        <f>IFERROR(SUMPRODUCT(($A344=$A$6:$A$330)*($G$6:$G$330&gt;0)*BJ$6:BJ$330),"")</f>
        <v/>
      </c>
      <c r="BK344" s="855" t="n"/>
      <c r="BL344" s="849">
        <f>SUMPRODUCT(--(MOD(COLUMN($O344:$AL344),4)=MOD(COLUMN($O344)+0,4)),$O344:$AL344)
+SUMPRODUCT(--(MOD(COLUMN($AM344:$BJ344),4)=MOD(COLUMN($AM344)+0,4)),$AM344:$BJ344)</f>
        <v/>
      </c>
      <c r="BM344" s="849">
        <f>SUMPRODUCT(--(MOD(COLUMN($O344:$AL344),4)=MOD(COLUMN($O344)+0,4)),$O344:$AL344)*
$I344+SUMPRODUCT(--(MOD(COLUMN($AM344:$BJ344),4)=MOD(COLUMN($AM344)+0,4)),$AM344:$BJ344)*$I344</f>
        <v/>
      </c>
      <c r="BN344" s="849">
        <f>SUMPRODUCT(--(MOD(COLUMN($O344:$AL344),4)=MOD(COLUMN($O344)+1,4)),$O344:$AL344)
+SUMPRODUCT(--(MOD(COLUMN($AM344:$BJ344),4)=MOD(COLUMN($AM344)+1,4)),$AM344:$BJ344)</f>
        <v/>
      </c>
      <c r="BO344" s="849">
        <f>SUMPRODUCT(--(MOD(COLUMN($O344:$AL344),4)=MOD(COLUMN($O344)+1,4)),$O344:$AL344)*
$I344+SUMPRODUCT(--(MOD(COLUMN($AM344:$BJ344),4)=MOD(COLUMN($AM344)+1,4)),$AM344:$BJ344)*$I344</f>
        <v/>
      </c>
      <c r="BP344" s="849">
        <f>SUMPRODUCT(--(MOD(COLUMN($O344:$AL344),4)=MOD(COLUMN($O344)+2,4)),$O344:$AL344)
+SUMPRODUCT(--(MOD(COLUMN($AM344:$BJ344),4)=MOD(COLUMN($AM344)+2,4)),$AM344:$BJ344)</f>
        <v/>
      </c>
      <c r="BQ344" s="849">
        <f>SUMPRODUCT(--(MOD(COLUMN($O344:$AL344),4)=MOD(COLUMN($O344)+2,4)),$O344:$AL344)*
$I344+SUMPRODUCT(--(MOD(COLUMN($AM344:$BJ344),4)=MOD(COLUMN($AM344)+2,4)),$AM344:$BJ344)*$I344</f>
        <v/>
      </c>
      <c r="BR344" s="853" t="n"/>
      <c r="BS344" s="859" t="n"/>
      <c r="BT344" s="849" t="n"/>
      <c r="BU344" s="849" t="n"/>
      <c r="BV344" s="849" t="n"/>
      <c r="BW344" s="849" t="n"/>
      <c r="BX344" s="849" t="n"/>
      <c r="BY344" s="849" t="n"/>
      <c r="BZ344" s="849" t="n"/>
      <c r="CA344" s="849" t="n"/>
      <c r="CB344" s="849" t="n"/>
      <c r="CC344" s="849" t="n"/>
      <c r="CD344" s="849" t="n"/>
      <c r="CE344" s="849" t="n"/>
      <c r="CF344" s="849" t="n"/>
      <c r="CG344" s="849" t="n"/>
      <c r="CH344" s="849" t="n"/>
      <c r="CI344" s="849" t="n"/>
      <c r="CJ344" s="849" t="n"/>
      <c r="CK344" s="849" t="n"/>
      <c r="CL344" s="849" t="n"/>
      <c r="CM344" s="849" t="n"/>
      <c r="CN344" s="849" t="n"/>
      <c r="CO344" s="849" t="n"/>
      <c r="CP344" s="849" t="n"/>
      <c r="CQ344" s="849" t="n"/>
      <c r="CR344" s="849" t="n"/>
      <c r="CS344" s="849" t="n"/>
      <c r="CT344" s="849" t="n"/>
      <c r="CU344" s="849" t="n"/>
      <c r="CV344" s="849" t="n"/>
      <c r="CW344" s="849" t="n"/>
      <c r="CX344" s="849" t="n"/>
      <c r="CY344" s="849" t="n"/>
      <c r="CZ344" s="849" t="n"/>
      <c r="DA344" s="849" t="n"/>
      <c r="DB344" s="849" t="n"/>
      <c r="DC344" s="849" t="n"/>
      <c r="DD344" s="849" t="n"/>
      <c r="DE344" s="849" t="n"/>
      <c r="DF344" s="849" t="n"/>
      <c r="DG344" s="849" t="n"/>
      <c r="DH344" s="849" t="n"/>
      <c r="DI344" s="849" t="n"/>
      <c r="DJ344" s="849" t="n"/>
      <c r="DK344" s="849" t="n"/>
      <c r="DL344" s="849" t="n"/>
      <c r="DM344" s="849" t="n"/>
      <c r="DN344" s="849" t="n"/>
      <c r="DO344" s="849" t="n"/>
      <c r="DP344" s="855" t="n"/>
      <c r="DQ344" s="849" t="n"/>
      <c r="DR344" s="849">
        <f>SUMPRODUCT(--(MOD(COLUMN(BT344:CQ344),4)=MOD(COLUMN(BT344),4)),BT344:CQ344)*$I344+SUMPRODUCT(--(MOD(COLUMN(CR344:DO344),4)=MOD(COLUMN(CR344),4)),CR344:DO344)*$I344</f>
        <v/>
      </c>
      <c r="DS344" s="853" t="n"/>
      <c r="DT344" s="859" t="n"/>
      <c r="DU344" s="849" t="n"/>
      <c r="DV344" s="849" t="n"/>
      <c r="DW344" s="849" t="n"/>
      <c r="DX344" s="849" t="n"/>
      <c r="DY344" s="849" t="n"/>
      <c r="DZ344" s="849" t="n"/>
      <c r="EA344" s="849" t="n"/>
      <c r="EB344" s="849" t="n"/>
      <c r="EC344" s="849" t="n"/>
      <c r="ED344" s="849" t="n"/>
      <c r="EE344" s="849" t="n"/>
      <c r="EF344" s="849" t="n"/>
      <c r="EG344" s="849" t="n"/>
      <c r="EH344" s="849" t="n"/>
      <c r="EI344" s="849" t="n"/>
      <c r="EJ344" s="849" t="n"/>
      <c r="EK344" s="849" t="n"/>
      <c r="EL344" s="849" t="n"/>
      <c r="EM344" s="849" t="n"/>
      <c r="EN344" s="849" t="n"/>
      <c r="EO344" s="849" t="n"/>
      <c r="EP344" s="849" t="n"/>
      <c r="EQ344" s="849" t="n"/>
      <c r="ER344" s="849" t="n"/>
      <c r="ES344" s="849" t="n"/>
      <c r="ET344" s="849" t="n"/>
      <c r="EU344" s="849" t="n"/>
      <c r="EV344" s="849" t="n"/>
      <c r="EW344" s="849" t="n"/>
      <c r="EX344" s="849" t="n"/>
      <c r="EY344" s="849" t="n"/>
      <c r="EZ344" s="849" t="n"/>
      <c r="FA344" s="849" t="n"/>
      <c r="FB344" s="849" t="n"/>
      <c r="FC344" s="849" t="n"/>
      <c r="FD344" s="849" t="n"/>
      <c r="FE344" s="849" t="n"/>
      <c r="FF344" s="849" t="n"/>
      <c r="FG344" s="849" t="n"/>
      <c r="FH344" s="849" t="n"/>
      <c r="FI344" s="849" t="n"/>
      <c r="FJ344" s="849" t="n"/>
      <c r="FK344" s="849" t="n"/>
      <c r="FL344" s="849" t="n"/>
      <c r="FM344" s="849" t="n"/>
      <c r="FN344" s="849" t="n"/>
      <c r="FO344" s="849" t="n"/>
      <c r="FP344" s="849" t="n"/>
      <c r="FQ344" s="855" t="n"/>
      <c r="FR344" s="849" t="n"/>
      <c r="FS344" s="849">
        <f>SUMPRODUCT(--(MOD(COLUMN(DU344:ER344),4)=MOD(COLUMN(DU344),4)),DU344:ER344)*$I344+SUMPRODUCT(--(MOD(COLUMN(ES344:FP344),4)=MOD(COLUMN(ES344),4)),ES344:FP344)*$I344</f>
        <v/>
      </c>
    </row>
    <row r="345" outlineLevel="2" customFormat="1" s="77">
      <c r="A345" s="78" t="inlineStr">
        <is>
          <t>ПОЛИТРАНС ООО ПКФ</t>
        </is>
      </c>
      <c r="B345" s="79" t="n"/>
      <c r="C345" s="657" t="n"/>
      <c r="D345" s="657" t="n"/>
      <c r="E345" s="510" t="n"/>
      <c r="F345" s="79" t="n"/>
      <c r="G345" s="141" t="n"/>
      <c r="H345" s="614" t="inlineStr">
        <is>
          <t>шт.:</t>
        </is>
      </c>
      <c r="I345" s="637" t="n"/>
      <c r="J345" s="637" t="n"/>
      <c r="K345" s="142" t="n"/>
      <c r="L345" s="637" t="n"/>
      <c r="M345" s="894" t="n"/>
      <c r="N345" s="895">
        <f>IF(BP345&gt;0,1,IF(BN345&gt;0,2,))</f>
        <v/>
      </c>
      <c r="O345" s="849">
        <f>IFERROR(SUMPRODUCT(($A345=$A$6:$A$330)*($G$6:$G$330&gt;0)*O$6:O$330),"")</f>
        <v/>
      </c>
      <c r="P345" s="849">
        <f>IFERROR(SUMPRODUCT(($A345=$A$6:$A$330)*($G$6:$G$330&gt;0)*P$6:P$330),"")</f>
        <v/>
      </c>
      <c r="Q345" s="849">
        <f>IFERROR(SUMPRODUCT(($A345=$A$6:$A$330)*($G$6:$G$330&gt;0)*Q$6:Q$330),"")</f>
        <v/>
      </c>
      <c r="R345" s="849">
        <f>IFERROR(SUMPRODUCT(($A345=$A$6:$A$330)*($G$6:$G$330&gt;0)*R$6:R$330),"")</f>
        <v/>
      </c>
      <c r="S345" s="849">
        <f>IFERROR(SUMPRODUCT(($A345=$A$6:$A$330)*($G$6:$G$330&gt;0)*S$6:S$330),"")</f>
        <v/>
      </c>
      <c r="T345" s="849">
        <f>IFERROR(SUMPRODUCT(($A345=$A$6:$A$330)*($G$6:$G$330&gt;0)*T$6:T$330),"")</f>
        <v/>
      </c>
      <c r="U345" s="849">
        <f>IFERROR(SUMPRODUCT(($A345=$A$6:$A$330)*($G$6:$G$330&gt;0)*U$6:U$330),"")</f>
        <v/>
      </c>
      <c r="V345" s="849">
        <f>IFERROR(SUMPRODUCT(($A345=$A$6:$A$330)*($G$6:$G$330&gt;0)*V$6:V$330),"")</f>
        <v/>
      </c>
      <c r="W345" s="849">
        <f>IFERROR(SUMPRODUCT(($A345=$A$6:$A$330)*($G$6:$G$330&gt;0)*W$6:W$330),"")</f>
        <v/>
      </c>
      <c r="X345" s="849">
        <f>IFERROR(SUMPRODUCT(($A345=$A$6:$A$330)*($G$6:$G$330&gt;0)*X$6:X$330),"")</f>
        <v/>
      </c>
      <c r="Y345" s="849">
        <f>IFERROR(SUMPRODUCT(($A345=$A$6:$A$330)*($G$6:$G$330&gt;0)*Y$6:Y$330),"")</f>
        <v/>
      </c>
      <c r="Z345" s="849">
        <f>IFERROR(SUMPRODUCT(($A345=$A$6:$A$330)*($G$6:$G$330&gt;0)*Z$6:Z$330),"")</f>
        <v/>
      </c>
      <c r="AA345" s="849">
        <f>IFERROR(SUMPRODUCT(($A345=$A$6:$A$330)*($G$6:$G$330&gt;0)*AA$6:AA$330),"")</f>
        <v/>
      </c>
      <c r="AB345" s="849">
        <f>IFERROR(SUMPRODUCT(($A345=$A$6:$A$330)*($G$6:$G$330&gt;0)*AB$6:AB$330),"")</f>
        <v/>
      </c>
      <c r="AC345" s="849">
        <f>IFERROR(SUMPRODUCT(($A345=$A$6:$A$330)*($G$6:$G$330&gt;0)*AC$6:AC$330),"")</f>
        <v/>
      </c>
      <c r="AD345" s="849">
        <f>IFERROR(SUMPRODUCT(($A345=$A$6:$A$330)*($G$6:$G$330&gt;0)*AD$6:AD$330),"")</f>
        <v/>
      </c>
      <c r="AE345" s="849">
        <f>IFERROR(SUMPRODUCT(($A345=$A$6:$A$330)*($G$6:$G$330&gt;0)*AE$6:AE$330),"")</f>
        <v/>
      </c>
      <c r="AF345" s="849">
        <f>IFERROR(SUMPRODUCT(($A345=$A$6:$A$330)*($G$6:$G$330&gt;0)*AF$6:AF$330),"")</f>
        <v/>
      </c>
      <c r="AG345" s="849">
        <f>IFERROR(SUMPRODUCT(($A345=$A$6:$A$330)*($G$6:$G$330&gt;0)*AG$6:AG$330),"")</f>
        <v/>
      </c>
      <c r="AH345" s="849">
        <f>IFERROR(SUMPRODUCT(($A345=$A$6:$A$330)*($G$6:$G$330&gt;0)*AH$6:AH$330),"")</f>
        <v/>
      </c>
      <c r="AI345" s="849">
        <f>IFERROR(SUMPRODUCT(($A345=$A$6:$A$330)*($G$6:$G$330&gt;0)*AI$6:AI$330),"")</f>
        <v/>
      </c>
      <c r="AJ345" s="849">
        <f>IFERROR(SUMPRODUCT(($A345=$A$6:$A$330)*($G$6:$G$330&gt;0)*AJ$6:AJ$330),"")</f>
        <v/>
      </c>
      <c r="AK345" s="849">
        <f>IFERROR(SUMPRODUCT(($A345=$A$6:$A$330)*($G$6:$G$330&gt;0)*AK$6:AK$330),"")</f>
        <v/>
      </c>
      <c r="AL345" s="849">
        <f>IFERROR(SUMPRODUCT(($A345=$A$6:$A$330)*($G$6:$G$330&gt;0)*AL$6:AL$330),"")</f>
        <v/>
      </c>
      <c r="AM345" s="849">
        <f>IFERROR(SUMPRODUCT(($A345=$A$6:$A$330)*($G$6:$G$330&gt;0)*AM$6:AM$330),"")</f>
        <v/>
      </c>
      <c r="AN345" s="849">
        <f>IFERROR(SUMPRODUCT(($A345=$A$6:$A$330)*($G$6:$G$330&gt;0)*AN$6:AN$330),"")</f>
        <v/>
      </c>
      <c r="AO345" s="849">
        <f>IFERROR(SUMPRODUCT(($A345=$A$6:$A$330)*($G$6:$G$330&gt;0)*AO$6:AO$330),"")</f>
        <v/>
      </c>
      <c r="AP345" s="849">
        <f>IFERROR(SUMPRODUCT(($A345=$A$6:$A$330)*($G$6:$G$330&gt;0)*AP$6:AP$330),"")</f>
        <v/>
      </c>
      <c r="AQ345" s="849">
        <f>IFERROR(SUMPRODUCT(($A345=$A$6:$A$330)*($G$6:$G$330&gt;0)*AQ$6:AQ$330),"")</f>
        <v/>
      </c>
      <c r="AR345" s="849">
        <f>IFERROR(SUMPRODUCT(($A345=$A$6:$A$330)*($G$6:$G$330&gt;0)*AR$6:AR$330),"")</f>
        <v/>
      </c>
      <c r="AS345" s="849">
        <f>IFERROR(SUMPRODUCT(($A345=$A$6:$A$330)*($G$6:$G$330&gt;0)*AS$6:AS$330),"")</f>
        <v/>
      </c>
      <c r="AT345" s="849">
        <f>IFERROR(SUMPRODUCT(($A345=$A$6:$A$330)*($G$6:$G$330&gt;0)*AT$6:AT$330),"")</f>
        <v/>
      </c>
      <c r="AU345" s="849">
        <f>IFERROR(SUMPRODUCT(($A345=$A$6:$A$330)*($G$6:$G$330&gt;0)*AU$6:AU$330),"")</f>
        <v/>
      </c>
      <c r="AV345" s="849">
        <f>IFERROR(SUMPRODUCT(($A345=$A$6:$A$330)*($G$6:$G$330&gt;0)*AV$6:AV$330),"")</f>
        <v/>
      </c>
      <c r="AW345" s="849">
        <f>IFERROR(SUMPRODUCT(($A345=$A$6:$A$330)*($G$6:$G$330&gt;0)*AW$6:AW$330),"")</f>
        <v/>
      </c>
      <c r="AX345" s="849">
        <f>IFERROR(SUMPRODUCT(($A345=$A$6:$A$330)*($G$6:$G$330&gt;0)*AX$6:AX$330),"")</f>
        <v/>
      </c>
      <c r="AY345" s="849">
        <f>IFERROR(SUMPRODUCT(($A345=$A$6:$A$330)*($G$6:$G$330&gt;0)*AY$6:AY$330),"")</f>
        <v/>
      </c>
      <c r="AZ345" s="849">
        <f>IFERROR(SUMPRODUCT(($A345=$A$6:$A$330)*($G$6:$G$330&gt;0)*AZ$6:AZ$330),"")</f>
        <v/>
      </c>
      <c r="BA345" s="849">
        <f>IFERROR(SUMPRODUCT(($A345=$A$6:$A$330)*($G$6:$G$330&gt;0)*BA$6:BA$330),"")</f>
        <v/>
      </c>
      <c r="BB345" s="849">
        <f>IFERROR(SUMPRODUCT(($A345=$A$6:$A$330)*($G$6:$G$330&gt;0)*BB$6:BB$330),"")</f>
        <v/>
      </c>
      <c r="BC345" s="849">
        <f>IFERROR(SUMPRODUCT(($A345=$A$6:$A$330)*($G$6:$G$330&gt;0)*BC$6:BC$330),"")</f>
        <v/>
      </c>
      <c r="BD345" s="849">
        <f>IFERROR(SUMPRODUCT(($A345=$A$6:$A$330)*($G$6:$G$330&gt;0)*BD$6:BD$330),"")</f>
        <v/>
      </c>
      <c r="BE345" s="849">
        <f>IFERROR(SUMPRODUCT(($A345=$A$6:$A$330)*($G$6:$G$330&gt;0)*BE$6:BE$330),"")</f>
        <v/>
      </c>
      <c r="BF345" s="849">
        <f>IFERROR(SUMPRODUCT(($A345=$A$6:$A$330)*($G$6:$G$330&gt;0)*BF$6:BF$330),"")</f>
        <v/>
      </c>
      <c r="BG345" s="849">
        <f>IFERROR(SUMPRODUCT(($A345=$A$6:$A$330)*($G$6:$G$330&gt;0)*BG$6:BG$330),"")</f>
        <v/>
      </c>
      <c r="BH345" s="849">
        <f>IFERROR(SUMPRODUCT(($A345=$A$6:$A$330)*($G$6:$G$330&gt;0)*BH$6:BH$330),"")</f>
        <v/>
      </c>
      <c r="BI345" s="849">
        <f>IFERROR(SUMPRODUCT(($A345=$A$6:$A$330)*($G$6:$G$330&gt;0)*BI$6:BI$330),"")</f>
        <v/>
      </c>
      <c r="BJ345" s="849">
        <f>IFERROR(SUMPRODUCT(($A345=$A$6:$A$330)*($G$6:$G$330&gt;0)*BJ$6:BJ$330),"")</f>
        <v/>
      </c>
      <c r="BK345" s="855" t="n"/>
      <c r="BL345" s="849">
        <f>SUMPRODUCT(--(MOD(COLUMN($O345:$AL345),4)=MOD(COLUMN($O345)+0,4)),$O345:$AL345)
+SUMPRODUCT(--(MOD(COLUMN($AM345:$BJ345),4)=MOD(COLUMN($AM345)+0,4)),$AM345:$BJ345)</f>
        <v/>
      </c>
      <c r="BM345" s="849">
        <f>SUMPRODUCT(--(MOD(COLUMN($O345:$AL345),4)=MOD(COLUMN($O345)+0,4)),$O345:$AL345)*
$I345+SUMPRODUCT(--(MOD(COLUMN($AM345:$BJ345),4)=MOD(COLUMN($AM345)+0,4)),$AM345:$BJ345)*$I345</f>
        <v/>
      </c>
      <c r="BN345" s="849">
        <f>SUMPRODUCT(--(MOD(COLUMN($O345:$AL345),4)=MOD(COLUMN($O345)+1,4)),$O345:$AL345)
+SUMPRODUCT(--(MOD(COLUMN($AM345:$BJ345),4)=MOD(COLUMN($AM345)+1,4)),$AM345:$BJ345)</f>
        <v/>
      </c>
      <c r="BO345" s="849">
        <f>SUMPRODUCT(--(MOD(COLUMN($O345:$AL345),4)=MOD(COLUMN($O345)+1,4)),$O345:$AL345)*
$I345+SUMPRODUCT(--(MOD(COLUMN($AM345:$BJ345),4)=MOD(COLUMN($AM345)+1,4)),$AM345:$BJ345)*$I345</f>
        <v/>
      </c>
      <c r="BP345" s="849">
        <f>SUMPRODUCT(--(MOD(COLUMN($O345:$AL345),4)=MOD(COLUMN($O345)+2,4)),$O345:$AL345)
+SUMPRODUCT(--(MOD(COLUMN($AM345:$BJ345),4)=MOD(COLUMN($AM345)+2,4)),$AM345:$BJ345)</f>
        <v/>
      </c>
      <c r="BQ345" s="849">
        <f>SUMPRODUCT(--(MOD(COLUMN($O345:$AL345),4)=MOD(COLUMN($O345)+2,4)),$O345:$AL345)*
$I345+SUMPRODUCT(--(MOD(COLUMN($AM345:$BJ345),4)=MOD(COLUMN($AM345)+2,4)),$AM345:$BJ345)*$I345</f>
        <v/>
      </c>
      <c r="BR345" s="853" t="n"/>
      <c r="BS345" s="859" t="n"/>
      <c r="BT345" s="849" t="n"/>
      <c r="BU345" s="849" t="n"/>
      <c r="BV345" s="849" t="n"/>
      <c r="BW345" s="849" t="n"/>
      <c r="BX345" s="849" t="n"/>
      <c r="BY345" s="849" t="n"/>
      <c r="BZ345" s="849" t="n"/>
      <c r="CA345" s="849" t="n"/>
      <c r="CB345" s="849" t="n"/>
      <c r="CC345" s="849" t="n"/>
      <c r="CD345" s="849" t="n"/>
      <c r="CE345" s="849" t="n"/>
      <c r="CF345" s="849" t="n"/>
      <c r="CG345" s="849" t="n"/>
      <c r="CH345" s="849" t="n"/>
      <c r="CI345" s="849" t="n"/>
      <c r="CJ345" s="849" t="n"/>
      <c r="CK345" s="849" t="n"/>
      <c r="CL345" s="849" t="n"/>
      <c r="CM345" s="849" t="n"/>
      <c r="CN345" s="849" t="n"/>
      <c r="CO345" s="849" t="n"/>
      <c r="CP345" s="849" t="n"/>
      <c r="CQ345" s="849" t="n"/>
      <c r="CR345" s="849" t="n"/>
      <c r="CS345" s="849" t="n"/>
      <c r="CT345" s="849" t="n"/>
      <c r="CU345" s="849" t="n"/>
      <c r="CV345" s="849" t="n"/>
      <c r="CW345" s="849" t="n"/>
      <c r="CX345" s="849" t="n"/>
      <c r="CY345" s="849" t="n"/>
      <c r="CZ345" s="849" t="n"/>
      <c r="DA345" s="849" t="n"/>
      <c r="DB345" s="849" t="n"/>
      <c r="DC345" s="849" t="n"/>
      <c r="DD345" s="849" t="n"/>
      <c r="DE345" s="849" t="n"/>
      <c r="DF345" s="849" t="n"/>
      <c r="DG345" s="849" t="n"/>
      <c r="DH345" s="849" t="n"/>
      <c r="DI345" s="849" t="n"/>
      <c r="DJ345" s="849" t="n"/>
      <c r="DK345" s="849" t="n"/>
      <c r="DL345" s="849" t="n"/>
      <c r="DM345" s="849" t="n"/>
      <c r="DN345" s="849" t="n"/>
      <c r="DO345" s="849" t="n"/>
      <c r="DP345" s="855" t="n"/>
      <c r="DQ345" s="849" t="n"/>
      <c r="DR345" s="849">
        <f>SUMPRODUCT(--(MOD(COLUMN(BT345:CQ345),4)=MOD(COLUMN(BT345),4)),BT345:CQ345)*$I345+SUMPRODUCT(--(MOD(COLUMN(CR345:DO345),4)=MOD(COLUMN(CR345),4)),CR345:DO345)*$I345</f>
        <v/>
      </c>
      <c r="DS345" s="853" t="n"/>
      <c r="DT345" s="859" t="n"/>
      <c r="DU345" s="849" t="n"/>
      <c r="DV345" s="849" t="n"/>
      <c r="DW345" s="849" t="n"/>
      <c r="DX345" s="849" t="n"/>
      <c r="DY345" s="849" t="n"/>
      <c r="DZ345" s="849" t="n"/>
      <c r="EA345" s="849" t="n"/>
      <c r="EB345" s="849" t="n"/>
      <c r="EC345" s="849" t="n"/>
      <c r="ED345" s="849" t="n"/>
      <c r="EE345" s="849" t="n"/>
      <c r="EF345" s="849" t="n"/>
      <c r="EG345" s="849" t="n"/>
      <c r="EH345" s="849" t="n"/>
      <c r="EI345" s="849" t="n"/>
      <c r="EJ345" s="849" t="n"/>
      <c r="EK345" s="849" t="n"/>
      <c r="EL345" s="849" t="n"/>
      <c r="EM345" s="849" t="n"/>
      <c r="EN345" s="849" t="n"/>
      <c r="EO345" s="849" t="n"/>
      <c r="EP345" s="849" t="n"/>
      <c r="EQ345" s="849" t="n"/>
      <c r="ER345" s="849" t="n"/>
      <c r="ES345" s="849" t="n"/>
      <c r="ET345" s="849" t="n"/>
      <c r="EU345" s="849" t="n"/>
      <c r="EV345" s="849" t="n"/>
      <c r="EW345" s="849" t="n"/>
      <c r="EX345" s="849" t="n"/>
      <c r="EY345" s="849" t="n"/>
      <c r="EZ345" s="849" t="n"/>
      <c r="FA345" s="849" t="n"/>
      <c r="FB345" s="849" t="n"/>
      <c r="FC345" s="849" t="n"/>
      <c r="FD345" s="849" t="n"/>
      <c r="FE345" s="849" t="n"/>
      <c r="FF345" s="849" t="n"/>
      <c r="FG345" s="849" t="n"/>
      <c r="FH345" s="849" t="n"/>
      <c r="FI345" s="849" t="n"/>
      <c r="FJ345" s="849" t="n"/>
      <c r="FK345" s="849" t="n"/>
      <c r="FL345" s="849" t="n"/>
      <c r="FM345" s="849" t="n"/>
      <c r="FN345" s="849" t="n"/>
      <c r="FO345" s="849" t="n"/>
      <c r="FP345" s="849" t="n"/>
      <c r="FQ345" s="855" t="n"/>
      <c r="FR345" s="849" t="n"/>
      <c r="FS345" s="849">
        <f>SUMPRODUCT(--(MOD(COLUMN(DU345:ER345),4)=MOD(COLUMN(DU345),4)),DU345:ER345)*$I345+SUMPRODUCT(--(MOD(COLUMN(ES345:FP345),4)=MOD(COLUMN(ES345),4)),ES345:FP345)*$I345</f>
        <v/>
      </c>
    </row>
    <row r="346" outlineLevel="2" customFormat="1" s="77">
      <c r="A346" s="78" t="inlineStr">
        <is>
          <t>ПАО «Уралавтоприцеп»</t>
        </is>
      </c>
      <c r="B346" s="79" t="n"/>
      <c r="C346" s="657" t="n"/>
      <c r="D346" s="657" t="n"/>
      <c r="E346" s="510" t="n"/>
      <c r="F346" s="79" t="n"/>
      <c r="G346" s="141" t="n"/>
      <c r="H346" s="614" t="inlineStr">
        <is>
          <t>шт.:</t>
        </is>
      </c>
      <c r="I346" s="637" t="n"/>
      <c r="J346" s="637" t="n"/>
      <c r="K346" s="142" t="n"/>
      <c r="L346" s="637" t="n"/>
      <c r="M346" s="894" t="n"/>
      <c r="N346" s="895">
        <f>IF(BP346&gt;0,1,IF(BN346&gt;0,2,))</f>
        <v/>
      </c>
      <c r="O346" s="849">
        <f>IFERROR(SUMPRODUCT(($A346=$A$6:$A$330)*($G$6:$G$330&gt;0)*O$6:O$330),"")</f>
        <v/>
      </c>
      <c r="P346" s="849">
        <f>IFERROR(SUMPRODUCT(($A346=$A$6:$A$330)*($G$6:$G$330&gt;0)*P$6:P$330),"")</f>
        <v/>
      </c>
      <c r="Q346" s="849">
        <f>IFERROR(SUMPRODUCT(($A346=$A$6:$A$330)*($G$6:$G$330&gt;0)*Q$6:Q$330),"")</f>
        <v/>
      </c>
      <c r="R346" s="849">
        <f>IFERROR(SUMPRODUCT(($A346=$A$6:$A$330)*($G$6:$G$330&gt;0)*R$6:R$330),"")</f>
        <v/>
      </c>
      <c r="S346" s="849">
        <f>IFERROR(SUMPRODUCT(($A346=$A$6:$A$330)*($G$6:$G$330&gt;0)*S$6:S$330),"")</f>
        <v/>
      </c>
      <c r="T346" s="849">
        <f>IFERROR(SUMPRODUCT(($A346=$A$6:$A$330)*($G$6:$G$330&gt;0)*T$6:T$330),"")</f>
        <v/>
      </c>
      <c r="U346" s="849">
        <f>IFERROR(SUMPRODUCT(($A346=$A$6:$A$330)*($G$6:$G$330&gt;0)*U$6:U$330),"")</f>
        <v/>
      </c>
      <c r="V346" s="849">
        <f>IFERROR(SUMPRODUCT(($A346=$A$6:$A$330)*($G$6:$G$330&gt;0)*V$6:V$330),"")</f>
        <v/>
      </c>
      <c r="W346" s="849">
        <f>IFERROR(SUMPRODUCT(($A346=$A$6:$A$330)*($G$6:$G$330&gt;0)*W$6:W$330),"")</f>
        <v/>
      </c>
      <c r="X346" s="849">
        <f>IFERROR(SUMPRODUCT(($A346=$A$6:$A$330)*($G$6:$G$330&gt;0)*X$6:X$330),"")</f>
        <v/>
      </c>
      <c r="Y346" s="849">
        <f>IFERROR(SUMPRODUCT(($A346=$A$6:$A$330)*($G$6:$G$330&gt;0)*Y$6:Y$330),"")</f>
        <v/>
      </c>
      <c r="Z346" s="849">
        <f>IFERROR(SUMPRODUCT(($A346=$A$6:$A$330)*($G$6:$G$330&gt;0)*Z$6:Z$330),"")</f>
        <v/>
      </c>
      <c r="AA346" s="849">
        <f>IFERROR(SUMPRODUCT(($A346=$A$6:$A$330)*($G$6:$G$330&gt;0)*AA$6:AA$330),"")</f>
        <v/>
      </c>
      <c r="AB346" s="849">
        <f>IFERROR(SUMPRODUCT(($A346=$A$6:$A$330)*($G$6:$G$330&gt;0)*AB$6:AB$330),"")</f>
        <v/>
      </c>
      <c r="AC346" s="849">
        <f>IFERROR(SUMPRODUCT(($A346=$A$6:$A$330)*($G$6:$G$330&gt;0)*AC$6:AC$330),"")</f>
        <v/>
      </c>
      <c r="AD346" s="849">
        <f>IFERROR(SUMPRODUCT(($A346=$A$6:$A$330)*($G$6:$G$330&gt;0)*AD$6:AD$330),"")</f>
        <v/>
      </c>
      <c r="AE346" s="849">
        <f>IFERROR(SUMPRODUCT(($A346=$A$6:$A$330)*($G$6:$G$330&gt;0)*AE$6:AE$330),"")</f>
        <v/>
      </c>
      <c r="AF346" s="849">
        <f>IFERROR(SUMPRODUCT(($A346=$A$6:$A$330)*($G$6:$G$330&gt;0)*AF$6:AF$330),"")</f>
        <v/>
      </c>
      <c r="AG346" s="849">
        <f>IFERROR(SUMPRODUCT(($A346=$A$6:$A$330)*($G$6:$G$330&gt;0)*AG$6:AG$330),"")</f>
        <v/>
      </c>
      <c r="AH346" s="849">
        <f>IFERROR(SUMPRODUCT(($A346=$A$6:$A$330)*($G$6:$G$330&gt;0)*AH$6:AH$330),"")</f>
        <v/>
      </c>
      <c r="AI346" s="849">
        <f>IFERROR(SUMPRODUCT(($A346=$A$6:$A$330)*($G$6:$G$330&gt;0)*AI$6:AI$330),"")</f>
        <v/>
      </c>
      <c r="AJ346" s="849">
        <f>IFERROR(SUMPRODUCT(($A346=$A$6:$A$330)*($G$6:$G$330&gt;0)*AJ$6:AJ$330),"")</f>
        <v/>
      </c>
      <c r="AK346" s="849">
        <f>IFERROR(SUMPRODUCT(($A346=$A$6:$A$330)*($G$6:$G$330&gt;0)*AK$6:AK$330),"")</f>
        <v/>
      </c>
      <c r="AL346" s="849">
        <f>IFERROR(SUMPRODUCT(($A346=$A$6:$A$330)*($G$6:$G$330&gt;0)*AL$6:AL$330),"")</f>
        <v/>
      </c>
      <c r="AM346" s="849">
        <f>IFERROR(SUMPRODUCT(($A346=$A$6:$A$330)*($G$6:$G$330&gt;0)*AM$6:AM$330),"")</f>
        <v/>
      </c>
      <c r="AN346" s="849">
        <f>IFERROR(SUMPRODUCT(($A346=$A$6:$A$330)*($G$6:$G$330&gt;0)*AN$6:AN$330),"")</f>
        <v/>
      </c>
      <c r="AO346" s="849">
        <f>IFERROR(SUMPRODUCT(($A346=$A$6:$A$330)*($G$6:$G$330&gt;0)*AO$6:AO$330),"")</f>
        <v/>
      </c>
      <c r="AP346" s="849">
        <f>IFERROR(SUMPRODUCT(($A346=$A$6:$A$330)*($G$6:$G$330&gt;0)*AP$6:AP$330),"")</f>
        <v/>
      </c>
      <c r="AQ346" s="849">
        <f>IFERROR(SUMPRODUCT(($A346=$A$6:$A$330)*($G$6:$G$330&gt;0)*AQ$6:AQ$330),"")</f>
        <v/>
      </c>
      <c r="AR346" s="849">
        <f>IFERROR(SUMPRODUCT(($A346=$A$6:$A$330)*($G$6:$G$330&gt;0)*AR$6:AR$330),"")</f>
        <v/>
      </c>
      <c r="AS346" s="849">
        <f>IFERROR(SUMPRODUCT(($A346=$A$6:$A$330)*($G$6:$G$330&gt;0)*AS$6:AS$330),"")</f>
        <v/>
      </c>
      <c r="AT346" s="849">
        <f>IFERROR(SUMPRODUCT(($A346=$A$6:$A$330)*($G$6:$G$330&gt;0)*AT$6:AT$330),"")</f>
        <v/>
      </c>
      <c r="AU346" s="849">
        <f>IFERROR(SUMPRODUCT(($A346=$A$6:$A$330)*($G$6:$G$330&gt;0)*AU$6:AU$330),"")</f>
        <v/>
      </c>
      <c r="AV346" s="849">
        <f>IFERROR(SUMPRODUCT(($A346=$A$6:$A$330)*($G$6:$G$330&gt;0)*AV$6:AV$330),"")</f>
        <v/>
      </c>
      <c r="AW346" s="849">
        <f>IFERROR(SUMPRODUCT(($A346=$A$6:$A$330)*($G$6:$G$330&gt;0)*AW$6:AW$330),"")</f>
        <v/>
      </c>
      <c r="AX346" s="849">
        <f>IFERROR(SUMPRODUCT(($A346=$A$6:$A$330)*($G$6:$G$330&gt;0)*AX$6:AX$330),"")</f>
        <v/>
      </c>
      <c r="AY346" s="849">
        <f>IFERROR(SUMPRODUCT(($A346=$A$6:$A$330)*($G$6:$G$330&gt;0)*AY$6:AY$330),"")</f>
        <v/>
      </c>
      <c r="AZ346" s="849">
        <f>IFERROR(SUMPRODUCT(($A346=$A$6:$A$330)*($G$6:$G$330&gt;0)*AZ$6:AZ$330),"")</f>
        <v/>
      </c>
      <c r="BA346" s="849">
        <f>IFERROR(SUMPRODUCT(($A346=$A$6:$A$330)*($G$6:$G$330&gt;0)*BA$6:BA$330),"")</f>
        <v/>
      </c>
      <c r="BB346" s="849">
        <f>IFERROR(SUMPRODUCT(($A346=$A$6:$A$330)*($G$6:$G$330&gt;0)*BB$6:BB$330),"")</f>
        <v/>
      </c>
      <c r="BC346" s="849">
        <f>IFERROR(SUMPRODUCT(($A346=$A$6:$A$330)*($G$6:$G$330&gt;0)*BC$6:BC$330),"")</f>
        <v/>
      </c>
      <c r="BD346" s="849">
        <f>IFERROR(SUMPRODUCT(($A346=$A$6:$A$330)*($G$6:$G$330&gt;0)*BD$6:BD$330),"")</f>
        <v/>
      </c>
      <c r="BE346" s="849">
        <f>IFERROR(SUMPRODUCT(($A346=$A$6:$A$330)*($G$6:$G$330&gt;0)*BE$6:BE$330),"")</f>
        <v/>
      </c>
      <c r="BF346" s="849">
        <f>IFERROR(SUMPRODUCT(($A346=$A$6:$A$330)*($G$6:$G$330&gt;0)*BF$6:BF$330),"")</f>
        <v/>
      </c>
      <c r="BG346" s="849">
        <f>IFERROR(SUMPRODUCT(($A346=$A$6:$A$330)*($G$6:$G$330&gt;0)*BG$6:BG$330),"")</f>
        <v/>
      </c>
      <c r="BH346" s="849">
        <f>IFERROR(SUMPRODUCT(($A346=$A$6:$A$330)*($G$6:$G$330&gt;0)*BH$6:BH$330),"")</f>
        <v/>
      </c>
      <c r="BI346" s="849">
        <f>IFERROR(SUMPRODUCT(($A346=$A$6:$A$330)*($G$6:$G$330&gt;0)*BI$6:BI$330),"")</f>
        <v/>
      </c>
      <c r="BJ346" s="849">
        <f>IFERROR(SUMPRODUCT(($A346=$A$6:$A$330)*($G$6:$G$330&gt;0)*BJ$6:BJ$330),"")</f>
        <v/>
      </c>
      <c r="BK346" s="855" t="n"/>
      <c r="BL346" s="849">
        <f>SUMPRODUCT(--(MOD(COLUMN($O346:$AL346),4)=MOD(COLUMN($O346)+0,4)),$O346:$AL346)
+SUMPRODUCT(--(MOD(COLUMN($AM346:$BJ346),4)=MOD(COLUMN($AM346)+0,4)),$AM346:$BJ346)</f>
        <v/>
      </c>
      <c r="BM346" s="849">
        <f>SUMPRODUCT(--(MOD(COLUMN($O346:$AL346),4)=MOD(COLUMN($O346)+0,4)),$O346:$AL346)*
$I346+SUMPRODUCT(--(MOD(COLUMN($AM346:$BJ346),4)=MOD(COLUMN($AM346)+0,4)),$AM346:$BJ346)*$I346</f>
        <v/>
      </c>
      <c r="BN346" s="849">
        <f>SUMPRODUCT(--(MOD(COLUMN($O346:$AL346),4)=MOD(COLUMN($O346)+1,4)),$O346:$AL346)
+SUMPRODUCT(--(MOD(COLUMN($AM346:$BJ346),4)=MOD(COLUMN($AM346)+1,4)),$AM346:$BJ346)</f>
        <v/>
      </c>
      <c r="BO346" s="849">
        <f>SUMPRODUCT(--(MOD(COLUMN($O346:$AL346),4)=MOD(COLUMN($O346)+1,4)),$O346:$AL346)*
$I346+SUMPRODUCT(--(MOD(COLUMN($AM346:$BJ346),4)=MOD(COLUMN($AM346)+1,4)),$AM346:$BJ346)*$I346</f>
        <v/>
      </c>
      <c r="BP346" s="849">
        <f>SUMPRODUCT(--(MOD(COLUMN($O346:$AL346),4)=MOD(COLUMN($O346)+2,4)),$O346:$AL346)
+SUMPRODUCT(--(MOD(COLUMN($AM346:$BJ346),4)=MOD(COLUMN($AM346)+2,4)),$AM346:$BJ346)</f>
        <v/>
      </c>
      <c r="BQ346" s="849">
        <f>SUMPRODUCT(--(MOD(COLUMN($O346:$AL346),4)=MOD(COLUMN($O346)+2,4)),$O346:$AL346)*
$I346+SUMPRODUCT(--(MOD(COLUMN($AM346:$BJ346),4)=MOD(COLUMN($AM346)+2,4)),$AM346:$BJ346)*$I346</f>
        <v/>
      </c>
      <c r="BR346" s="853" t="n"/>
      <c r="BS346" s="859" t="n"/>
      <c r="BT346" s="849" t="n"/>
      <c r="BU346" s="849" t="n"/>
      <c r="BV346" s="849" t="n"/>
      <c r="BW346" s="849" t="n"/>
      <c r="BX346" s="849" t="n"/>
      <c r="BY346" s="849" t="n"/>
      <c r="BZ346" s="849" t="n"/>
      <c r="CA346" s="849" t="n"/>
      <c r="CB346" s="849" t="n"/>
      <c r="CC346" s="849" t="n"/>
      <c r="CD346" s="849" t="n"/>
      <c r="CE346" s="849" t="n"/>
      <c r="CF346" s="849" t="n"/>
      <c r="CG346" s="849" t="n"/>
      <c r="CH346" s="849" t="n"/>
      <c r="CI346" s="849" t="n"/>
      <c r="CJ346" s="849" t="n"/>
      <c r="CK346" s="849" t="n"/>
      <c r="CL346" s="849" t="n"/>
      <c r="CM346" s="849" t="n"/>
      <c r="CN346" s="849" t="n"/>
      <c r="CO346" s="849" t="n"/>
      <c r="CP346" s="849" t="n"/>
      <c r="CQ346" s="849" t="n"/>
      <c r="CR346" s="849" t="n"/>
      <c r="CS346" s="849" t="n"/>
      <c r="CT346" s="849" t="n"/>
      <c r="CU346" s="849" t="n"/>
      <c r="CV346" s="849" t="n"/>
      <c r="CW346" s="849" t="n"/>
      <c r="CX346" s="849" t="n"/>
      <c r="CY346" s="849" t="n"/>
      <c r="CZ346" s="849" t="n"/>
      <c r="DA346" s="849" t="n"/>
      <c r="DB346" s="849" t="n"/>
      <c r="DC346" s="849" t="n"/>
      <c r="DD346" s="849" t="n"/>
      <c r="DE346" s="849" t="n"/>
      <c r="DF346" s="849" t="n"/>
      <c r="DG346" s="849" t="n"/>
      <c r="DH346" s="849" t="n"/>
      <c r="DI346" s="849" t="n"/>
      <c r="DJ346" s="849" t="n"/>
      <c r="DK346" s="849" t="n"/>
      <c r="DL346" s="849" t="n"/>
      <c r="DM346" s="849" t="n"/>
      <c r="DN346" s="849" t="n"/>
      <c r="DO346" s="849" t="n"/>
      <c r="DP346" s="855" t="n"/>
      <c r="DQ346" s="849" t="n"/>
      <c r="DR346" s="849">
        <f>SUMPRODUCT(--(MOD(COLUMN(BT346:CQ346),4)=MOD(COLUMN(BT346),4)),BT346:CQ346)*$I346+SUMPRODUCT(--(MOD(COLUMN(CR346:DO346),4)=MOD(COLUMN(CR346),4)),CR346:DO346)*$I346</f>
        <v/>
      </c>
      <c r="DS346" s="853" t="n"/>
      <c r="DT346" s="859" t="n"/>
      <c r="DU346" s="849" t="n"/>
      <c r="DV346" s="849" t="n"/>
      <c r="DW346" s="849" t="n"/>
      <c r="DX346" s="849" t="n"/>
      <c r="DY346" s="849" t="n"/>
      <c r="DZ346" s="849" t="n"/>
      <c r="EA346" s="849" t="n"/>
      <c r="EB346" s="849" t="n"/>
      <c r="EC346" s="849" t="n"/>
      <c r="ED346" s="849" t="n"/>
      <c r="EE346" s="849" t="n"/>
      <c r="EF346" s="849" t="n"/>
      <c r="EG346" s="849" t="n"/>
      <c r="EH346" s="849" t="n"/>
      <c r="EI346" s="849" t="n"/>
      <c r="EJ346" s="849" t="n"/>
      <c r="EK346" s="849" t="n"/>
      <c r="EL346" s="849" t="n"/>
      <c r="EM346" s="849" t="n"/>
      <c r="EN346" s="849" t="n"/>
      <c r="EO346" s="849" t="n"/>
      <c r="EP346" s="849" t="n"/>
      <c r="EQ346" s="849" t="n"/>
      <c r="ER346" s="849" t="n"/>
      <c r="ES346" s="849" t="n"/>
      <c r="ET346" s="849" t="n"/>
      <c r="EU346" s="849" t="n"/>
      <c r="EV346" s="849" t="n"/>
      <c r="EW346" s="849" t="n"/>
      <c r="EX346" s="849" t="n"/>
      <c r="EY346" s="849" t="n"/>
      <c r="EZ346" s="849" t="n"/>
      <c r="FA346" s="849" t="n"/>
      <c r="FB346" s="849" t="n"/>
      <c r="FC346" s="849" t="n"/>
      <c r="FD346" s="849" t="n"/>
      <c r="FE346" s="849" t="n"/>
      <c r="FF346" s="849" t="n"/>
      <c r="FG346" s="849" t="n"/>
      <c r="FH346" s="849" t="n"/>
      <c r="FI346" s="849" t="n"/>
      <c r="FJ346" s="849" t="n"/>
      <c r="FK346" s="849" t="n"/>
      <c r="FL346" s="849" t="n"/>
      <c r="FM346" s="849" t="n"/>
      <c r="FN346" s="849" t="n"/>
      <c r="FO346" s="849" t="n"/>
      <c r="FP346" s="849" t="n"/>
      <c r="FQ346" s="855" t="n"/>
      <c r="FR346" s="849" t="n"/>
      <c r="FS346" s="849">
        <f>SUMPRODUCT(--(MOD(COLUMN(DU346:ER346),4)=MOD(COLUMN(DU346),4)),DU346:ER346)*$I346+SUMPRODUCT(--(MOD(COLUMN(ES346:FP346),4)=MOD(COLUMN(ES346),4)),ES346:FP346)*$I346</f>
        <v/>
      </c>
    </row>
    <row r="347" outlineLevel="2" customFormat="1" s="77">
      <c r="A347" s="78" t="inlineStr">
        <is>
          <t>СПЕЦАВТО-ВОСТОК ООО</t>
        </is>
      </c>
      <c r="B347" s="79" t="n"/>
      <c r="C347" s="657" t="n"/>
      <c r="D347" s="657" t="n"/>
      <c r="E347" s="510" t="n"/>
      <c r="F347" s="79" t="n"/>
      <c r="G347" s="141" t="n"/>
      <c r="H347" s="614" t="inlineStr">
        <is>
          <t>шт.:</t>
        </is>
      </c>
      <c r="I347" s="637" t="n"/>
      <c r="J347" s="637" t="n"/>
      <c r="K347" s="142" t="n"/>
      <c r="L347" s="637" t="n"/>
      <c r="M347" s="894" t="n"/>
      <c r="N347" s="895">
        <f>IF(BP347&gt;0,1,IF(BN347&gt;0,2,))</f>
        <v/>
      </c>
      <c r="O347" s="849">
        <f>IFERROR(SUMPRODUCT(($A347=$A$6:$A$330)*($G$6:$G$330&gt;0)*O$6:O$330),"")</f>
        <v/>
      </c>
      <c r="P347" s="849">
        <f>IFERROR(SUMPRODUCT(($A347=$A$6:$A$330)*($G$6:$G$330&gt;0)*P$6:P$330),"")</f>
        <v/>
      </c>
      <c r="Q347" s="849">
        <f>IFERROR(SUMPRODUCT(($A347=$A$6:$A$330)*($G$6:$G$330&gt;0)*Q$6:Q$330),"")</f>
        <v/>
      </c>
      <c r="R347" s="849">
        <f>IFERROR(SUMPRODUCT(($A347=$A$6:$A$330)*($G$6:$G$330&gt;0)*R$6:R$330),"")</f>
        <v/>
      </c>
      <c r="S347" s="849">
        <f>IFERROR(SUMPRODUCT(($A347=$A$6:$A$330)*($G$6:$G$330&gt;0)*S$6:S$330),"")</f>
        <v/>
      </c>
      <c r="T347" s="849">
        <f>IFERROR(SUMPRODUCT(($A347=$A$6:$A$330)*($G$6:$G$330&gt;0)*T$6:T$330),"")</f>
        <v/>
      </c>
      <c r="U347" s="849">
        <f>IFERROR(SUMPRODUCT(($A347=$A$6:$A$330)*($G$6:$G$330&gt;0)*U$6:U$330),"")</f>
        <v/>
      </c>
      <c r="V347" s="849">
        <f>IFERROR(SUMPRODUCT(($A347=$A$6:$A$330)*($G$6:$G$330&gt;0)*V$6:V$330),"")</f>
        <v/>
      </c>
      <c r="W347" s="849">
        <f>IFERROR(SUMPRODUCT(($A347=$A$6:$A$330)*($G$6:$G$330&gt;0)*W$6:W$330),"")</f>
        <v/>
      </c>
      <c r="X347" s="849">
        <f>IFERROR(SUMPRODUCT(($A347=$A$6:$A$330)*($G$6:$G$330&gt;0)*X$6:X$330),"")</f>
        <v/>
      </c>
      <c r="Y347" s="849">
        <f>IFERROR(SUMPRODUCT(($A347=$A$6:$A$330)*($G$6:$G$330&gt;0)*Y$6:Y$330),"")</f>
        <v/>
      </c>
      <c r="Z347" s="849">
        <f>IFERROR(SUMPRODUCT(($A347=$A$6:$A$330)*($G$6:$G$330&gt;0)*Z$6:Z$330),"")</f>
        <v/>
      </c>
      <c r="AA347" s="849">
        <f>IFERROR(SUMPRODUCT(($A347=$A$6:$A$330)*($G$6:$G$330&gt;0)*AA$6:AA$330),"")</f>
        <v/>
      </c>
      <c r="AB347" s="849">
        <f>IFERROR(SUMPRODUCT(($A347=$A$6:$A$330)*($G$6:$G$330&gt;0)*AB$6:AB$330),"")</f>
        <v/>
      </c>
      <c r="AC347" s="849">
        <f>IFERROR(SUMPRODUCT(($A347=$A$6:$A$330)*($G$6:$G$330&gt;0)*AC$6:AC$330),"")</f>
        <v/>
      </c>
      <c r="AD347" s="849">
        <f>IFERROR(SUMPRODUCT(($A347=$A$6:$A$330)*($G$6:$G$330&gt;0)*AD$6:AD$330),"")</f>
        <v/>
      </c>
      <c r="AE347" s="849">
        <f>IFERROR(SUMPRODUCT(($A347=$A$6:$A$330)*($G$6:$G$330&gt;0)*AE$6:AE$330),"")</f>
        <v/>
      </c>
      <c r="AF347" s="849">
        <f>IFERROR(SUMPRODUCT(($A347=$A$6:$A$330)*($G$6:$G$330&gt;0)*AF$6:AF$330),"")</f>
        <v/>
      </c>
      <c r="AG347" s="849">
        <f>IFERROR(SUMPRODUCT(($A347=$A$6:$A$330)*($G$6:$G$330&gt;0)*AG$6:AG$330),"")</f>
        <v/>
      </c>
      <c r="AH347" s="849">
        <f>IFERROR(SUMPRODUCT(($A347=$A$6:$A$330)*($G$6:$G$330&gt;0)*AH$6:AH$330),"")</f>
        <v/>
      </c>
      <c r="AI347" s="849">
        <f>IFERROR(SUMPRODUCT(($A347=$A$6:$A$330)*($G$6:$G$330&gt;0)*AI$6:AI$330),"")</f>
        <v/>
      </c>
      <c r="AJ347" s="849">
        <f>IFERROR(SUMPRODUCT(($A347=$A$6:$A$330)*($G$6:$G$330&gt;0)*AJ$6:AJ$330),"")</f>
        <v/>
      </c>
      <c r="AK347" s="849">
        <f>IFERROR(SUMPRODUCT(($A347=$A$6:$A$330)*($G$6:$G$330&gt;0)*AK$6:AK$330),"")</f>
        <v/>
      </c>
      <c r="AL347" s="849">
        <f>IFERROR(SUMPRODUCT(($A347=$A$6:$A$330)*($G$6:$G$330&gt;0)*AL$6:AL$330),"")</f>
        <v/>
      </c>
      <c r="AM347" s="849">
        <f>IFERROR(SUMPRODUCT(($A347=$A$6:$A$330)*($G$6:$G$330&gt;0)*AM$6:AM$330),"")</f>
        <v/>
      </c>
      <c r="AN347" s="849">
        <f>IFERROR(SUMPRODUCT(($A347=$A$6:$A$330)*($G$6:$G$330&gt;0)*AN$6:AN$330),"")</f>
        <v/>
      </c>
      <c r="AO347" s="849">
        <f>IFERROR(SUMPRODUCT(($A347=$A$6:$A$330)*($G$6:$G$330&gt;0)*AO$6:AO$330),"")</f>
        <v/>
      </c>
      <c r="AP347" s="849">
        <f>IFERROR(SUMPRODUCT(($A347=$A$6:$A$330)*($G$6:$G$330&gt;0)*AP$6:AP$330),"")</f>
        <v/>
      </c>
      <c r="AQ347" s="849">
        <f>IFERROR(SUMPRODUCT(($A347=$A$6:$A$330)*($G$6:$G$330&gt;0)*AQ$6:AQ$330),"")</f>
        <v/>
      </c>
      <c r="AR347" s="849">
        <f>IFERROR(SUMPRODUCT(($A347=$A$6:$A$330)*($G$6:$G$330&gt;0)*AR$6:AR$330),"")</f>
        <v/>
      </c>
      <c r="AS347" s="849">
        <f>IFERROR(SUMPRODUCT(($A347=$A$6:$A$330)*($G$6:$G$330&gt;0)*AS$6:AS$330),"")</f>
        <v/>
      </c>
      <c r="AT347" s="849">
        <f>IFERROR(SUMPRODUCT(($A347=$A$6:$A$330)*($G$6:$G$330&gt;0)*AT$6:AT$330),"")</f>
        <v/>
      </c>
      <c r="AU347" s="849">
        <f>IFERROR(SUMPRODUCT(($A347=$A$6:$A$330)*($G$6:$G$330&gt;0)*AU$6:AU$330),"")</f>
        <v/>
      </c>
      <c r="AV347" s="849">
        <f>IFERROR(SUMPRODUCT(($A347=$A$6:$A$330)*($G$6:$G$330&gt;0)*AV$6:AV$330),"")</f>
        <v/>
      </c>
      <c r="AW347" s="849">
        <f>IFERROR(SUMPRODUCT(($A347=$A$6:$A$330)*($G$6:$G$330&gt;0)*AW$6:AW$330),"")</f>
        <v/>
      </c>
      <c r="AX347" s="849">
        <f>IFERROR(SUMPRODUCT(($A347=$A$6:$A$330)*($G$6:$G$330&gt;0)*AX$6:AX$330),"")</f>
        <v/>
      </c>
      <c r="AY347" s="849">
        <f>IFERROR(SUMPRODUCT(($A347=$A$6:$A$330)*($G$6:$G$330&gt;0)*AY$6:AY$330),"")</f>
        <v/>
      </c>
      <c r="AZ347" s="849">
        <f>IFERROR(SUMPRODUCT(($A347=$A$6:$A$330)*($G$6:$G$330&gt;0)*AZ$6:AZ$330),"")</f>
        <v/>
      </c>
      <c r="BA347" s="849">
        <f>IFERROR(SUMPRODUCT(($A347=$A$6:$A$330)*($G$6:$G$330&gt;0)*BA$6:BA$330),"")</f>
        <v/>
      </c>
      <c r="BB347" s="849">
        <f>IFERROR(SUMPRODUCT(($A347=$A$6:$A$330)*($G$6:$G$330&gt;0)*BB$6:BB$330),"")</f>
        <v/>
      </c>
      <c r="BC347" s="849">
        <f>IFERROR(SUMPRODUCT(($A347=$A$6:$A$330)*($G$6:$G$330&gt;0)*BC$6:BC$330),"")</f>
        <v/>
      </c>
      <c r="BD347" s="849">
        <f>IFERROR(SUMPRODUCT(($A347=$A$6:$A$330)*($G$6:$G$330&gt;0)*BD$6:BD$330),"")</f>
        <v/>
      </c>
      <c r="BE347" s="849">
        <f>IFERROR(SUMPRODUCT(($A347=$A$6:$A$330)*($G$6:$G$330&gt;0)*BE$6:BE$330),"")</f>
        <v/>
      </c>
      <c r="BF347" s="849">
        <f>IFERROR(SUMPRODUCT(($A347=$A$6:$A$330)*($G$6:$G$330&gt;0)*BF$6:BF$330),"")</f>
        <v/>
      </c>
      <c r="BG347" s="849">
        <f>IFERROR(SUMPRODUCT(($A347=$A$6:$A$330)*($G$6:$G$330&gt;0)*BG$6:BG$330),"")</f>
        <v/>
      </c>
      <c r="BH347" s="849">
        <f>IFERROR(SUMPRODUCT(($A347=$A$6:$A$330)*($G$6:$G$330&gt;0)*BH$6:BH$330),"")</f>
        <v/>
      </c>
      <c r="BI347" s="849">
        <f>IFERROR(SUMPRODUCT(($A347=$A$6:$A$330)*($G$6:$G$330&gt;0)*BI$6:BI$330),"")</f>
        <v/>
      </c>
      <c r="BJ347" s="849">
        <f>IFERROR(SUMPRODUCT(($A347=$A$6:$A$330)*($G$6:$G$330&gt;0)*BJ$6:BJ$330),"")</f>
        <v/>
      </c>
      <c r="BK347" s="855" t="n"/>
      <c r="BL347" s="849">
        <f>SUMPRODUCT(--(MOD(COLUMN($O347:$AL347),4)=MOD(COLUMN($O347)+0,4)),$O347:$AL347)
+SUMPRODUCT(--(MOD(COLUMN($AM347:$BJ347),4)=MOD(COLUMN($AM347)+0,4)),$AM347:$BJ347)</f>
        <v/>
      </c>
      <c r="BM347" s="849">
        <f>SUMPRODUCT(--(MOD(COLUMN($O347:$AL347),4)=MOD(COLUMN($O347)+0,4)),$O347:$AL347)*
$I347+SUMPRODUCT(--(MOD(COLUMN($AM347:$BJ347),4)=MOD(COLUMN($AM347)+0,4)),$AM347:$BJ347)*$I347</f>
        <v/>
      </c>
      <c r="BN347" s="849">
        <f>SUMPRODUCT(--(MOD(COLUMN($O347:$AL347),4)=MOD(COLUMN($O347)+1,4)),$O347:$AL347)
+SUMPRODUCT(--(MOD(COLUMN($AM347:$BJ347),4)=MOD(COLUMN($AM347)+1,4)),$AM347:$BJ347)</f>
        <v/>
      </c>
      <c r="BO347" s="849">
        <f>SUMPRODUCT(--(MOD(COLUMN($O347:$AL347),4)=MOD(COLUMN($O347)+1,4)),$O347:$AL347)*
$I347+SUMPRODUCT(--(MOD(COLUMN($AM347:$BJ347),4)=MOD(COLUMN($AM347)+1,4)),$AM347:$BJ347)*$I347</f>
        <v/>
      </c>
      <c r="BP347" s="849">
        <f>SUMPRODUCT(--(MOD(COLUMN($O347:$AL347),4)=MOD(COLUMN($O347)+2,4)),$O347:$AL347)
+SUMPRODUCT(--(MOD(COLUMN($AM347:$BJ347),4)=MOD(COLUMN($AM347)+2,4)),$AM347:$BJ347)</f>
        <v/>
      </c>
      <c r="BQ347" s="849">
        <f>SUMPRODUCT(--(MOD(COLUMN($O347:$AL347),4)=MOD(COLUMN($O347)+2,4)),$O347:$AL347)*
$I347+SUMPRODUCT(--(MOD(COLUMN($AM347:$BJ347),4)=MOD(COLUMN($AM347)+2,4)),$AM347:$BJ347)*$I347</f>
        <v/>
      </c>
      <c r="BR347" s="853" t="n"/>
      <c r="BS347" s="859" t="n"/>
      <c r="BT347" s="849" t="n"/>
      <c r="BU347" s="849" t="n"/>
      <c r="BV347" s="849" t="n"/>
      <c r="BW347" s="849" t="n"/>
      <c r="BX347" s="849" t="n"/>
      <c r="BY347" s="849" t="n"/>
      <c r="BZ347" s="849" t="n"/>
      <c r="CA347" s="849" t="n"/>
      <c r="CB347" s="849" t="n"/>
      <c r="CC347" s="849" t="n"/>
      <c r="CD347" s="849" t="n"/>
      <c r="CE347" s="849" t="n"/>
      <c r="CF347" s="849" t="n"/>
      <c r="CG347" s="849" t="n"/>
      <c r="CH347" s="849" t="n"/>
      <c r="CI347" s="849" t="n"/>
      <c r="CJ347" s="849" t="n"/>
      <c r="CK347" s="849" t="n"/>
      <c r="CL347" s="849" t="n"/>
      <c r="CM347" s="849" t="n"/>
      <c r="CN347" s="849" t="n"/>
      <c r="CO347" s="849" t="n"/>
      <c r="CP347" s="849" t="n"/>
      <c r="CQ347" s="849" t="n"/>
      <c r="CR347" s="849" t="n"/>
      <c r="CS347" s="849" t="n"/>
      <c r="CT347" s="849" t="n"/>
      <c r="CU347" s="849" t="n"/>
      <c r="CV347" s="849" t="n"/>
      <c r="CW347" s="849" t="n"/>
      <c r="CX347" s="849" t="n"/>
      <c r="CY347" s="849" t="n"/>
      <c r="CZ347" s="849" t="n"/>
      <c r="DA347" s="849" t="n"/>
      <c r="DB347" s="849" t="n"/>
      <c r="DC347" s="849" t="n"/>
      <c r="DD347" s="849" t="n"/>
      <c r="DE347" s="849" t="n"/>
      <c r="DF347" s="849" t="n"/>
      <c r="DG347" s="849" t="n"/>
      <c r="DH347" s="849" t="n"/>
      <c r="DI347" s="849" t="n"/>
      <c r="DJ347" s="849" t="n"/>
      <c r="DK347" s="849" t="n"/>
      <c r="DL347" s="849" t="n"/>
      <c r="DM347" s="849" t="n"/>
      <c r="DN347" s="849" t="n"/>
      <c r="DO347" s="849" t="n"/>
      <c r="DP347" s="855" t="n"/>
      <c r="DQ347" s="849" t="n"/>
      <c r="DR347" s="849">
        <f>SUMPRODUCT(--(MOD(COLUMN(BT347:CQ347),4)=MOD(COLUMN(BT347),4)),BT347:CQ347)*$I347+SUMPRODUCT(--(MOD(COLUMN(CR347:DO347),4)=MOD(COLUMN(CR347),4)),CR347:DO347)*$I347</f>
        <v/>
      </c>
      <c r="DS347" s="853" t="n"/>
      <c r="DT347" s="859" t="n"/>
      <c r="DU347" s="849" t="n"/>
      <c r="DV347" s="849" t="n"/>
      <c r="DW347" s="849" t="n"/>
      <c r="DX347" s="849" t="n"/>
      <c r="DY347" s="849" t="n"/>
      <c r="DZ347" s="849" t="n"/>
      <c r="EA347" s="849" t="n"/>
      <c r="EB347" s="849" t="n"/>
      <c r="EC347" s="849" t="n"/>
      <c r="ED347" s="849" t="n"/>
      <c r="EE347" s="849" t="n"/>
      <c r="EF347" s="849" t="n"/>
      <c r="EG347" s="849" t="n"/>
      <c r="EH347" s="849" t="n"/>
      <c r="EI347" s="849" t="n"/>
      <c r="EJ347" s="849" t="n"/>
      <c r="EK347" s="849" t="n"/>
      <c r="EL347" s="849" t="n"/>
      <c r="EM347" s="849" t="n"/>
      <c r="EN347" s="849" t="n"/>
      <c r="EO347" s="849" t="n"/>
      <c r="EP347" s="849" t="n"/>
      <c r="EQ347" s="849" t="n"/>
      <c r="ER347" s="849" t="n"/>
      <c r="ES347" s="849" t="n"/>
      <c r="ET347" s="849" t="n"/>
      <c r="EU347" s="849" t="n"/>
      <c r="EV347" s="849" t="n"/>
      <c r="EW347" s="849" t="n"/>
      <c r="EX347" s="849" t="n"/>
      <c r="EY347" s="849" t="n"/>
      <c r="EZ347" s="849" t="n"/>
      <c r="FA347" s="849" t="n"/>
      <c r="FB347" s="849" t="n"/>
      <c r="FC347" s="849" t="n"/>
      <c r="FD347" s="849" t="n"/>
      <c r="FE347" s="849" t="n"/>
      <c r="FF347" s="849" t="n"/>
      <c r="FG347" s="849" t="n"/>
      <c r="FH347" s="849" t="n"/>
      <c r="FI347" s="849" t="n"/>
      <c r="FJ347" s="849" t="n"/>
      <c r="FK347" s="849" t="n"/>
      <c r="FL347" s="849" t="n"/>
      <c r="FM347" s="849" t="n"/>
      <c r="FN347" s="849" t="n"/>
      <c r="FO347" s="849" t="n"/>
      <c r="FP347" s="849" t="n"/>
      <c r="FQ347" s="855" t="n"/>
      <c r="FR347" s="849" t="n"/>
      <c r="FS347" s="849">
        <f>SUMPRODUCT(--(MOD(COLUMN(DU347:ER347),4)=MOD(COLUMN(DU347),4)),DU347:ER347)*$I347+SUMPRODUCT(--(MOD(COLUMN(ES347:FP347),4)=MOD(COLUMN(ES347),4)),ES347:FP347)*$I347</f>
        <v/>
      </c>
    </row>
    <row r="348" outlineLevel="2" customFormat="1" s="77">
      <c r="A348" s="78" t="inlineStr">
        <is>
          <t>АВТОВИК ООО / AVTOVIK OOO</t>
        </is>
      </c>
      <c r="B348" s="79" t="n"/>
      <c r="C348" s="657" t="n"/>
      <c r="D348" s="657" t="n"/>
      <c r="E348" s="510" t="n"/>
      <c r="F348" s="79" t="n"/>
      <c r="G348" s="141" t="n"/>
      <c r="H348" s="614" t="inlineStr">
        <is>
          <t>шт.:</t>
        </is>
      </c>
      <c r="I348" s="637" t="n"/>
      <c r="J348" s="637" t="n"/>
      <c r="K348" s="142" t="n"/>
      <c r="L348" s="637" t="n"/>
      <c r="M348" s="894" t="n"/>
      <c r="N348" s="895">
        <f>IF(BP348&gt;0,1,IF(BN348&gt;0,2,))</f>
        <v/>
      </c>
      <c r="O348" s="849">
        <f>IFERROR(SUMPRODUCT(($A348=$A$6:$A$330)*($G$6:$G$330&gt;0)*O$6:O$330),"")</f>
        <v/>
      </c>
      <c r="P348" s="849">
        <f>IFERROR(SUMPRODUCT(($A348=$A$6:$A$330)*($G$6:$G$330&gt;0)*P$6:P$330),"")</f>
        <v/>
      </c>
      <c r="Q348" s="849">
        <f>IFERROR(SUMPRODUCT(($A348=$A$6:$A$330)*($G$6:$G$330&gt;0)*Q$6:Q$330),"")</f>
        <v/>
      </c>
      <c r="R348" s="849">
        <f>IFERROR(SUMPRODUCT(($A348=$A$6:$A$330)*($G$6:$G$330&gt;0)*R$6:R$330),"")</f>
        <v/>
      </c>
      <c r="S348" s="849">
        <f>IFERROR(SUMPRODUCT(($A348=$A$6:$A$330)*($G$6:$G$330&gt;0)*S$6:S$330),"")</f>
        <v/>
      </c>
      <c r="T348" s="849">
        <f>IFERROR(SUMPRODUCT(($A348=$A$6:$A$330)*($G$6:$G$330&gt;0)*T$6:T$330),"")</f>
        <v/>
      </c>
      <c r="U348" s="849">
        <f>IFERROR(SUMPRODUCT(($A348=$A$6:$A$330)*($G$6:$G$330&gt;0)*U$6:U$330),"")</f>
        <v/>
      </c>
      <c r="V348" s="849">
        <f>IFERROR(SUMPRODUCT(($A348=$A$6:$A$330)*($G$6:$G$330&gt;0)*V$6:V$330),"")</f>
        <v/>
      </c>
      <c r="W348" s="849">
        <f>IFERROR(SUMPRODUCT(($A348=$A$6:$A$330)*($G$6:$G$330&gt;0)*W$6:W$330),"")</f>
        <v/>
      </c>
      <c r="X348" s="849">
        <f>IFERROR(SUMPRODUCT(($A348=$A$6:$A$330)*($G$6:$G$330&gt;0)*X$6:X$330),"")</f>
        <v/>
      </c>
      <c r="Y348" s="849">
        <f>IFERROR(SUMPRODUCT(($A348=$A$6:$A$330)*($G$6:$G$330&gt;0)*Y$6:Y$330),"")</f>
        <v/>
      </c>
      <c r="Z348" s="849">
        <f>IFERROR(SUMPRODUCT(($A348=$A$6:$A$330)*($G$6:$G$330&gt;0)*Z$6:Z$330),"")</f>
        <v/>
      </c>
      <c r="AA348" s="849">
        <f>IFERROR(SUMPRODUCT(($A348=$A$6:$A$330)*($G$6:$G$330&gt;0)*AA$6:AA$330),"")</f>
        <v/>
      </c>
      <c r="AB348" s="849">
        <f>IFERROR(SUMPRODUCT(($A348=$A$6:$A$330)*($G$6:$G$330&gt;0)*AB$6:AB$330),"")</f>
        <v/>
      </c>
      <c r="AC348" s="849">
        <f>IFERROR(SUMPRODUCT(($A348=$A$6:$A$330)*($G$6:$G$330&gt;0)*AC$6:AC$330),"")</f>
        <v/>
      </c>
      <c r="AD348" s="849">
        <f>IFERROR(SUMPRODUCT(($A348=$A$6:$A$330)*($G$6:$G$330&gt;0)*AD$6:AD$330),"")</f>
        <v/>
      </c>
      <c r="AE348" s="849">
        <f>IFERROR(SUMPRODUCT(($A348=$A$6:$A$330)*($G$6:$G$330&gt;0)*AE$6:AE$330),"")</f>
        <v/>
      </c>
      <c r="AF348" s="849">
        <f>IFERROR(SUMPRODUCT(($A348=$A$6:$A$330)*($G$6:$G$330&gt;0)*AF$6:AF$330),"")</f>
        <v/>
      </c>
      <c r="AG348" s="849">
        <f>IFERROR(SUMPRODUCT(($A348=$A$6:$A$330)*($G$6:$G$330&gt;0)*AG$6:AG$330),"")</f>
        <v/>
      </c>
      <c r="AH348" s="849">
        <f>IFERROR(SUMPRODUCT(($A348=$A$6:$A$330)*($G$6:$G$330&gt;0)*AH$6:AH$330),"")</f>
        <v/>
      </c>
      <c r="AI348" s="849">
        <f>IFERROR(SUMPRODUCT(($A348=$A$6:$A$330)*($G$6:$G$330&gt;0)*AI$6:AI$330),"")</f>
        <v/>
      </c>
      <c r="AJ348" s="849">
        <f>IFERROR(SUMPRODUCT(($A348=$A$6:$A$330)*($G$6:$G$330&gt;0)*AJ$6:AJ$330),"")</f>
        <v/>
      </c>
      <c r="AK348" s="849">
        <f>IFERROR(SUMPRODUCT(($A348=$A$6:$A$330)*($G$6:$G$330&gt;0)*AK$6:AK$330),"")</f>
        <v/>
      </c>
      <c r="AL348" s="849">
        <f>IFERROR(SUMPRODUCT(($A348=$A$6:$A$330)*($G$6:$G$330&gt;0)*AL$6:AL$330),"")</f>
        <v/>
      </c>
      <c r="AM348" s="849">
        <f>IFERROR(SUMPRODUCT(($A348=$A$6:$A$330)*($G$6:$G$330&gt;0)*AM$6:AM$330),"")</f>
        <v/>
      </c>
      <c r="AN348" s="849">
        <f>IFERROR(SUMPRODUCT(($A348=$A$6:$A$330)*($G$6:$G$330&gt;0)*AN$6:AN$330),"")</f>
        <v/>
      </c>
      <c r="AO348" s="849">
        <f>IFERROR(SUMPRODUCT(($A348=$A$6:$A$330)*($G$6:$G$330&gt;0)*AO$6:AO$330),"")</f>
        <v/>
      </c>
      <c r="AP348" s="849">
        <f>IFERROR(SUMPRODUCT(($A348=$A$6:$A$330)*($G$6:$G$330&gt;0)*AP$6:AP$330),"")</f>
        <v/>
      </c>
      <c r="AQ348" s="849">
        <f>IFERROR(SUMPRODUCT(($A348=$A$6:$A$330)*($G$6:$G$330&gt;0)*AQ$6:AQ$330),"")</f>
        <v/>
      </c>
      <c r="AR348" s="849">
        <f>IFERROR(SUMPRODUCT(($A348=$A$6:$A$330)*($G$6:$G$330&gt;0)*AR$6:AR$330),"")</f>
        <v/>
      </c>
      <c r="AS348" s="849">
        <f>IFERROR(SUMPRODUCT(($A348=$A$6:$A$330)*($G$6:$G$330&gt;0)*AS$6:AS$330),"")</f>
        <v/>
      </c>
      <c r="AT348" s="849">
        <f>IFERROR(SUMPRODUCT(($A348=$A$6:$A$330)*($G$6:$G$330&gt;0)*AT$6:AT$330),"")</f>
        <v/>
      </c>
      <c r="AU348" s="849">
        <f>IFERROR(SUMPRODUCT(($A348=$A$6:$A$330)*($G$6:$G$330&gt;0)*AU$6:AU$330),"")</f>
        <v/>
      </c>
      <c r="AV348" s="849">
        <f>IFERROR(SUMPRODUCT(($A348=$A$6:$A$330)*($G$6:$G$330&gt;0)*AV$6:AV$330),"")</f>
        <v/>
      </c>
      <c r="AW348" s="849">
        <f>IFERROR(SUMPRODUCT(($A348=$A$6:$A$330)*($G$6:$G$330&gt;0)*AW$6:AW$330),"")</f>
        <v/>
      </c>
      <c r="AX348" s="849">
        <f>IFERROR(SUMPRODUCT(($A348=$A$6:$A$330)*($G$6:$G$330&gt;0)*AX$6:AX$330),"")</f>
        <v/>
      </c>
      <c r="AY348" s="849">
        <f>IFERROR(SUMPRODUCT(($A348=$A$6:$A$330)*($G$6:$G$330&gt;0)*AY$6:AY$330),"")</f>
        <v/>
      </c>
      <c r="AZ348" s="849">
        <f>IFERROR(SUMPRODUCT(($A348=$A$6:$A$330)*($G$6:$G$330&gt;0)*AZ$6:AZ$330),"")</f>
        <v/>
      </c>
      <c r="BA348" s="849">
        <f>IFERROR(SUMPRODUCT(($A348=$A$6:$A$330)*($G$6:$G$330&gt;0)*BA$6:BA$330),"")</f>
        <v/>
      </c>
      <c r="BB348" s="849">
        <f>IFERROR(SUMPRODUCT(($A348=$A$6:$A$330)*($G$6:$G$330&gt;0)*BB$6:BB$330),"")</f>
        <v/>
      </c>
      <c r="BC348" s="849">
        <f>IFERROR(SUMPRODUCT(($A348=$A$6:$A$330)*($G$6:$G$330&gt;0)*BC$6:BC$330),"")</f>
        <v/>
      </c>
      <c r="BD348" s="849">
        <f>IFERROR(SUMPRODUCT(($A348=$A$6:$A$330)*($G$6:$G$330&gt;0)*BD$6:BD$330),"")</f>
        <v/>
      </c>
      <c r="BE348" s="849">
        <f>IFERROR(SUMPRODUCT(($A348=$A$6:$A$330)*($G$6:$G$330&gt;0)*BE$6:BE$330),"")</f>
        <v/>
      </c>
      <c r="BF348" s="849">
        <f>IFERROR(SUMPRODUCT(($A348=$A$6:$A$330)*($G$6:$G$330&gt;0)*BF$6:BF$330),"")</f>
        <v/>
      </c>
      <c r="BG348" s="849">
        <f>IFERROR(SUMPRODUCT(($A348=$A$6:$A$330)*($G$6:$G$330&gt;0)*BG$6:BG$330),"")</f>
        <v/>
      </c>
      <c r="BH348" s="849">
        <f>IFERROR(SUMPRODUCT(($A348=$A$6:$A$330)*($G$6:$G$330&gt;0)*BH$6:BH$330),"")</f>
        <v/>
      </c>
      <c r="BI348" s="849">
        <f>IFERROR(SUMPRODUCT(($A348=$A$6:$A$330)*($G$6:$G$330&gt;0)*BI$6:BI$330),"")</f>
        <v/>
      </c>
      <c r="BJ348" s="849">
        <f>IFERROR(SUMPRODUCT(($A348=$A$6:$A$330)*($G$6:$G$330&gt;0)*BJ$6:BJ$330),"")</f>
        <v/>
      </c>
      <c r="BK348" s="855" t="n"/>
      <c r="BL348" s="849">
        <f>SUMPRODUCT(--(MOD(COLUMN($O348:$AL348),4)=MOD(COLUMN($O348)+0,4)),$O348:$AL348)
+SUMPRODUCT(--(MOD(COLUMN($AM348:$BJ348),4)=MOD(COLUMN($AM348)+0,4)),$AM348:$BJ348)</f>
        <v/>
      </c>
      <c r="BM348" s="849">
        <f>SUMPRODUCT(--(MOD(COLUMN($O348:$AL348),4)=MOD(COLUMN($O348)+0,4)),$O348:$AL348)*
$I348+SUMPRODUCT(--(MOD(COLUMN($AM348:$BJ348),4)=MOD(COLUMN($AM348)+0,4)),$AM348:$BJ348)*$I348</f>
        <v/>
      </c>
      <c r="BN348" s="849">
        <f>SUMPRODUCT(--(MOD(COLUMN($O348:$AL348),4)=MOD(COLUMN($O348)+1,4)),$O348:$AL348)
+SUMPRODUCT(--(MOD(COLUMN($AM348:$BJ348),4)=MOD(COLUMN($AM348)+1,4)),$AM348:$BJ348)</f>
        <v/>
      </c>
      <c r="BO348" s="849">
        <f>SUMPRODUCT(--(MOD(COLUMN($O348:$AL348),4)=MOD(COLUMN($O348)+1,4)),$O348:$AL348)*
$I348+SUMPRODUCT(--(MOD(COLUMN($AM348:$BJ348),4)=MOD(COLUMN($AM348)+1,4)),$AM348:$BJ348)*$I348</f>
        <v/>
      </c>
      <c r="BP348" s="849">
        <f>SUMPRODUCT(--(MOD(COLUMN($O348:$AL348),4)=MOD(COLUMN($O348)+2,4)),$O348:$AL348)
+SUMPRODUCT(--(MOD(COLUMN($AM348:$BJ348),4)=MOD(COLUMN($AM348)+2,4)),$AM348:$BJ348)</f>
        <v/>
      </c>
      <c r="BQ348" s="849">
        <f>SUMPRODUCT(--(MOD(COLUMN($O348:$AL348),4)=MOD(COLUMN($O348)+2,4)),$O348:$AL348)*
$I348+SUMPRODUCT(--(MOD(COLUMN($AM348:$BJ348),4)=MOD(COLUMN($AM348)+2,4)),$AM348:$BJ348)*$I348</f>
        <v/>
      </c>
      <c r="BR348" s="853" t="n"/>
      <c r="BS348" s="859" t="n"/>
      <c r="BT348" s="849" t="n"/>
      <c r="BU348" s="849" t="n"/>
      <c r="BV348" s="849" t="n"/>
      <c r="BW348" s="849" t="n"/>
      <c r="BX348" s="849" t="n"/>
      <c r="BY348" s="849" t="n"/>
      <c r="BZ348" s="849" t="n"/>
      <c r="CA348" s="849" t="n"/>
      <c r="CB348" s="849" t="n"/>
      <c r="CC348" s="849" t="n"/>
      <c r="CD348" s="849" t="n"/>
      <c r="CE348" s="849" t="n"/>
      <c r="CF348" s="849" t="n"/>
      <c r="CG348" s="849" t="n"/>
      <c r="CH348" s="849" t="n"/>
      <c r="CI348" s="849" t="n"/>
      <c r="CJ348" s="849" t="n"/>
      <c r="CK348" s="849" t="n"/>
      <c r="CL348" s="849" t="n"/>
      <c r="CM348" s="849" t="n"/>
      <c r="CN348" s="849" t="n"/>
      <c r="CO348" s="849" t="n"/>
      <c r="CP348" s="849" t="n"/>
      <c r="CQ348" s="849" t="n"/>
      <c r="CR348" s="849" t="n"/>
      <c r="CS348" s="849" t="n"/>
      <c r="CT348" s="849" t="n"/>
      <c r="CU348" s="849" t="n"/>
      <c r="CV348" s="849" t="n"/>
      <c r="CW348" s="849" t="n"/>
      <c r="CX348" s="849" t="n"/>
      <c r="CY348" s="849" t="n"/>
      <c r="CZ348" s="849" t="n"/>
      <c r="DA348" s="849" t="n"/>
      <c r="DB348" s="849" t="n"/>
      <c r="DC348" s="849" t="n"/>
      <c r="DD348" s="849" t="n"/>
      <c r="DE348" s="849" t="n"/>
      <c r="DF348" s="849" t="n"/>
      <c r="DG348" s="849" t="n"/>
      <c r="DH348" s="849" t="n"/>
      <c r="DI348" s="849" t="n"/>
      <c r="DJ348" s="849" t="n"/>
      <c r="DK348" s="849" t="n"/>
      <c r="DL348" s="849" t="n"/>
      <c r="DM348" s="849" t="n"/>
      <c r="DN348" s="849" t="n"/>
      <c r="DO348" s="849" t="n"/>
      <c r="DP348" s="855" t="n"/>
      <c r="DQ348" s="849" t="n"/>
      <c r="DR348" s="849">
        <f>SUMPRODUCT(--(MOD(COLUMN(BT348:CQ348),4)=MOD(COLUMN(BT348),4)),BT348:CQ348)*$I348+SUMPRODUCT(--(MOD(COLUMN(CR348:DO348),4)=MOD(COLUMN(CR348),4)),CR348:DO348)*$I348</f>
        <v/>
      </c>
      <c r="DS348" s="853" t="n"/>
      <c r="DT348" s="859" t="n"/>
      <c r="DU348" s="849" t="n"/>
      <c r="DV348" s="849" t="n"/>
      <c r="DW348" s="849" t="n"/>
      <c r="DX348" s="849" t="n"/>
      <c r="DY348" s="849" t="n"/>
      <c r="DZ348" s="849" t="n"/>
      <c r="EA348" s="849" t="n"/>
      <c r="EB348" s="849" t="n"/>
      <c r="EC348" s="849" t="n"/>
      <c r="ED348" s="849" t="n"/>
      <c r="EE348" s="849" t="n"/>
      <c r="EF348" s="849" t="n"/>
      <c r="EG348" s="849" t="n"/>
      <c r="EH348" s="849" t="n"/>
      <c r="EI348" s="849" t="n"/>
      <c r="EJ348" s="849" t="n"/>
      <c r="EK348" s="849" t="n"/>
      <c r="EL348" s="849" t="n"/>
      <c r="EM348" s="849" t="n"/>
      <c r="EN348" s="849" t="n"/>
      <c r="EO348" s="849" t="n"/>
      <c r="EP348" s="849" t="n"/>
      <c r="EQ348" s="849" t="n"/>
      <c r="ER348" s="849" t="n"/>
      <c r="ES348" s="849" t="n"/>
      <c r="ET348" s="849" t="n"/>
      <c r="EU348" s="849" t="n"/>
      <c r="EV348" s="849" t="n"/>
      <c r="EW348" s="849" t="n"/>
      <c r="EX348" s="849" t="n"/>
      <c r="EY348" s="849" t="n"/>
      <c r="EZ348" s="849" t="n"/>
      <c r="FA348" s="849" t="n"/>
      <c r="FB348" s="849" t="n"/>
      <c r="FC348" s="849" t="n"/>
      <c r="FD348" s="849" t="n"/>
      <c r="FE348" s="849" t="n"/>
      <c r="FF348" s="849" t="n"/>
      <c r="FG348" s="849" t="n"/>
      <c r="FH348" s="849" t="n"/>
      <c r="FI348" s="849" t="n"/>
      <c r="FJ348" s="849" t="n"/>
      <c r="FK348" s="849" t="n"/>
      <c r="FL348" s="849" t="n"/>
      <c r="FM348" s="849" t="n"/>
      <c r="FN348" s="849" t="n"/>
      <c r="FO348" s="849" t="n"/>
      <c r="FP348" s="849" t="n"/>
      <c r="FQ348" s="855" t="n"/>
      <c r="FR348" s="849" t="n"/>
      <c r="FS348" s="849">
        <f>SUMPRODUCT(--(MOD(COLUMN(DU348:ER348),4)=MOD(COLUMN(DU348),4)),DU348:ER348)*$I348+SUMPRODUCT(--(MOD(COLUMN(ES348:FP348),4)=MOD(COLUMN(ES348),4)),ES348:FP348)*$I348</f>
        <v/>
      </c>
    </row>
    <row r="349" outlineLevel="1" customFormat="1" s="88">
      <c r="A349" s="89" t="inlineStr">
        <is>
          <t>ВСЕ</t>
        </is>
      </c>
      <c r="B349" s="90" t="n"/>
      <c r="C349" s="658" t="n"/>
      <c r="D349" s="658" t="n"/>
      <c r="E349" s="512" t="n"/>
      <c r="F349" s="90" t="n"/>
      <c r="G349" s="143" t="n"/>
      <c r="H349" s="615" t="inlineStr">
        <is>
          <t>шт.:</t>
        </is>
      </c>
      <c r="I349" s="638" t="n"/>
      <c r="J349" s="638" t="n"/>
      <c r="K349" s="144" t="n"/>
      <c r="L349" s="638" t="n"/>
      <c r="M349" s="896" t="n"/>
      <c r="N349" s="897">
        <f>IF(BP349&gt;0,1,IF(BN349&gt;0,2,))</f>
        <v/>
      </c>
      <c r="O349" s="862">
        <f>IFERROR(SUMPRODUCT(($G$6:$G$330&gt;0)*O$6:O$330),"")</f>
        <v/>
      </c>
      <c r="P349" s="862">
        <f>IFERROR(SUMPRODUCT(($G$6:$G$330&gt;0)*P$6:P$330),"")</f>
        <v/>
      </c>
      <c r="Q349" s="862">
        <f>IFERROR(SUMPRODUCT(($G$6:$G$330&gt;0)*Q$6:Q$330),"")</f>
        <v/>
      </c>
      <c r="R349" s="862">
        <f>IFERROR(SUMPRODUCT(($G$6:$G$330&gt;0)*R$6:R$330),"")</f>
        <v/>
      </c>
      <c r="S349" s="862">
        <f>IFERROR(SUMPRODUCT(($G$6:$G$330&gt;0)*S$6:S$330),"")</f>
        <v/>
      </c>
      <c r="T349" s="862">
        <f>IFERROR(SUMPRODUCT(($G$6:$G$330&gt;0)*T$6:T$330),"")</f>
        <v/>
      </c>
      <c r="U349" s="862">
        <f>IFERROR(SUMPRODUCT(($G$6:$G$330&gt;0)*U$6:U$330),"")</f>
        <v/>
      </c>
      <c r="V349" s="862">
        <f>IFERROR(SUMPRODUCT(($G$6:$G$330&gt;0)*V$6:V$330),"")</f>
        <v/>
      </c>
      <c r="W349" s="862">
        <f>IFERROR(SUMPRODUCT(($G$6:$G$330&gt;0)*W$6:W$330),"")</f>
        <v/>
      </c>
      <c r="X349" s="862">
        <f>IFERROR(SUMPRODUCT(($G$6:$G$330&gt;0)*X$6:X$330),"")</f>
        <v/>
      </c>
      <c r="Y349" s="862">
        <f>IFERROR(SUMPRODUCT(($G$6:$G$330&gt;0)*Y$6:Y$330),"")</f>
        <v/>
      </c>
      <c r="Z349" s="862">
        <f>IFERROR(SUMPRODUCT(($G$6:$G$330&gt;0)*Z$6:Z$330),"")</f>
        <v/>
      </c>
      <c r="AA349" s="862">
        <f>IFERROR(SUMPRODUCT(($G$6:$G$330&gt;0)*AA$6:AA$330),"")</f>
        <v/>
      </c>
      <c r="AB349" s="862">
        <f>IFERROR(SUMPRODUCT(($G$6:$G$330&gt;0)*AB$6:AB$330),"")</f>
        <v/>
      </c>
      <c r="AC349" s="862">
        <f>IFERROR(SUMPRODUCT(($G$6:$G$330&gt;0)*AC$6:AC$330),"")</f>
        <v/>
      </c>
      <c r="AD349" s="862">
        <f>IFERROR(SUMPRODUCT(($G$6:$G$330&gt;0)*AD$6:AD$330),"")</f>
        <v/>
      </c>
      <c r="AE349" s="862">
        <f>IFERROR(SUMPRODUCT(($G$6:$G$330&gt;0)*AE$6:AE$330),"")</f>
        <v/>
      </c>
      <c r="AF349" s="862">
        <f>IFERROR(SUMPRODUCT(($G$6:$G$330&gt;0)*AF$6:AF$330),"")</f>
        <v/>
      </c>
      <c r="AG349" s="862">
        <f>IFERROR(SUMPRODUCT(($G$6:$G$330&gt;0)*AG$6:AG$330),"")</f>
        <v/>
      </c>
      <c r="AH349" s="862">
        <f>IFERROR(SUMPRODUCT(($G$6:$G$330&gt;0)*AH$6:AH$330),"")</f>
        <v/>
      </c>
      <c r="AI349" s="862">
        <f>IFERROR(SUMPRODUCT(($G$6:$G$330&gt;0)*AI$6:AI$330),"")</f>
        <v/>
      </c>
      <c r="AJ349" s="862">
        <f>IFERROR(SUMPRODUCT(($G$6:$G$330&gt;0)*AJ$6:AJ$330),"")</f>
        <v/>
      </c>
      <c r="AK349" s="862">
        <f>IFERROR(SUMPRODUCT(($G$6:$G$330&gt;0)*AK$6:AK$330),"")</f>
        <v/>
      </c>
      <c r="AL349" s="862">
        <f>IFERROR(SUMPRODUCT(($G$6:$G$330&gt;0)*AL$6:AL$330),"")</f>
        <v/>
      </c>
      <c r="AM349" s="862">
        <f>IFERROR(SUMPRODUCT(($G$6:$G$330&gt;0)*AM$6:AM$330),"")</f>
        <v/>
      </c>
      <c r="AN349" s="862">
        <f>IFERROR(SUMPRODUCT(($G$6:$G$330&gt;0)*AN$6:AN$330),"")</f>
        <v/>
      </c>
      <c r="AO349" s="862">
        <f>IFERROR(SUMPRODUCT(($G$6:$G$330&gt;0)*AO$6:AO$330),"")</f>
        <v/>
      </c>
      <c r="AP349" s="862">
        <f>IFERROR(SUMPRODUCT(($G$6:$G$330&gt;0)*AP$6:AP$330),"")</f>
        <v/>
      </c>
      <c r="AQ349" s="862">
        <f>IFERROR(SUMPRODUCT(($G$6:$G$330&gt;0)*AQ$6:AQ$330),"")</f>
        <v/>
      </c>
      <c r="AR349" s="862">
        <f>IFERROR(SUMPRODUCT(($G$6:$G$330&gt;0)*AR$6:AR$330),"")</f>
        <v/>
      </c>
      <c r="AS349" s="862">
        <f>IFERROR(SUMPRODUCT(($G$6:$G$330&gt;0)*AS$6:AS$330),"")</f>
        <v/>
      </c>
      <c r="AT349" s="862">
        <f>IFERROR(SUMPRODUCT(($G$6:$G$330&gt;0)*AT$6:AT$330),"")</f>
        <v/>
      </c>
      <c r="AU349" s="862">
        <f>IFERROR(SUMPRODUCT(($G$6:$G$330&gt;0)*AU$6:AU$330),"")</f>
        <v/>
      </c>
      <c r="AV349" s="862">
        <f>IFERROR(SUMPRODUCT(($G$6:$G$330&gt;0)*AV$6:AV$330),"")</f>
        <v/>
      </c>
      <c r="AW349" s="862">
        <f>IFERROR(SUMPRODUCT(($G$6:$G$330&gt;0)*AW$6:AW$330),"")</f>
        <v/>
      </c>
      <c r="AX349" s="862">
        <f>IFERROR(SUMPRODUCT(($G$6:$G$330&gt;0)*AX$6:AX$330),"")</f>
        <v/>
      </c>
      <c r="AY349" s="862">
        <f>IFERROR(SUMPRODUCT(($G$6:$G$330&gt;0)*AY$6:AY$330),"")</f>
        <v/>
      </c>
      <c r="AZ349" s="862">
        <f>IFERROR(SUMPRODUCT(($G$6:$G$330&gt;0)*AZ$6:AZ$330),"")</f>
        <v/>
      </c>
      <c r="BA349" s="862">
        <f>IFERROR(SUMPRODUCT(($G$6:$G$330&gt;0)*BA$6:BA$330),"")</f>
        <v/>
      </c>
      <c r="BB349" s="862">
        <f>IFERROR(SUMPRODUCT(($G$6:$G$330&gt;0)*BB$6:BB$330),"")</f>
        <v/>
      </c>
      <c r="BC349" s="862">
        <f>IFERROR(SUMPRODUCT(($G$6:$G$330&gt;0)*BC$6:BC$330),"")</f>
        <v/>
      </c>
      <c r="BD349" s="862">
        <f>IFERROR(SUMPRODUCT(($G$6:$G$330&gt;0)*BD$6:BD$330),"")</f>
        <v/>
      </c>
      <c r="BE349" s="862">
        <f>IFERROR(SUMPRODUCT(($G$6:$G$330&gt;0)*BE$6:BE$330),"")</f>
        <v/>
      </c>
      <c r="BF349" s="862">
        <f>IFERROR(SUMPRODUCT(($G$6:$G$330&gt;0)*BF$6:BF$330),"")</f>
        <v/>
      </c>
      <c r="BG349" s="862">
        <f>IFERROR(SUMPRODUCT(($G$6:$G$330&gt;0)*BG$6:BG$330),"")</f>
        <v/>
      </c>
      <c r="BH349" s="862">
        <f>IFERROR(SUMPRODUCT(($G$6:$G$330&gt;0)*BH$6:BH$330),"")</f>
        <v/>
      </c>
      <c r="BI349" s="862">
        <f>IFERROR(SUMPRODUCT(($G$6:$G$330&gt;0)*BI$6:BI$330),"")</f>
        <v/>
      </c>
      <c r="BJ349" s="862">
        <f>IFERROR(SUMPRODUCT(($G$6:$G$330&gt;0)*BJ$6:BJ$330),"")</f>
        <v/>
      </c>
      <c r="BK349" s="898" t="n"/>
      <c r="BL349" s="862">
        <f>SUMPRODUCT(--(MOD(COLUMN($O349:$AL349),4)=MOD(COLUMN($O349)+0,4)),$O349:$AL349)
+SUMPRODUCT(--(MOD(COLUMN($AM349:$BJ349),4)=MOD(COLUMN($AM349)+0,4)),$AM349:$BJ349)</f>
        <v/>
      </c>
      <c r="BM349" s="862">
        <f>SUMPRODUCT(--(MOD(COLUMN($O349:$AL349),4)=MOD(COLUMN($O349)+0,4)),$O349:$AL349)*
$I349+SUMPRODUCT(--(MOD(COLUMN($AM349:$BJ349),4)=MOD(COLUMN($AM349)+0,4)),$AM349:$BJ349)*$I349</f>
        <v/>
      </c>
      <c r="BN349" s="862">
        <f>SUMPRODUCT(--(MOD(COLUMN($O349:$AL349),4)=MOD(COLUMN($O349)+1,4)),$O349:$AL349)
+SUMPRODUCT(--(MOD(COLUMN($AM349:$BJ349),4)=MOD(COLUMN($AM349)+1,4)),$AM349:$BJ349)</f>
        <v/>
      </c>
      <c r="BO349" s="862">
        <f>SUMPRODUCT(--(MOD(COLUMN($O349:$AL349),4)=MOD(COLUMN($O349)+1,4)),$O349:$AL349)*
$I349+SUMPRODUCT(--(MOD(COLUMN($AM349:$BJ349),4)=MOD(COLUMN($AM349)+1,4)),$AM349:$BJ349)*$I349</f>
        <v/>
      </c>
      <c r="BP349" s="862">
        <f>SUMPRODUCT(--(MOD(COLUMN($O349:$AL349),4)=MOD(COLUMN($O349)+2,4)),$O349:$AL349)
+SUMPRODUCT(--(MOD(COLUMN($AM349:$BJ349),4)=MOD(COLUMN($AM349)+2,4)),$AM349:$BJ349)</f>
        <v/>
      </c>
      <c r="BQ349" s="862">
        <f>SUMPRODUCT(--(MOD(COLUMN($O349:$AL349),4)=MOD(COLUMN($O349)+2,4)),$O349:$AL349)*
$I349+SUMPRODUCT(--(MOD(COLUMN($AM349:$BJ349),4)=MOD(COLUMN($AM349)+2,4)),$AM349:$BJ349)*$I349</f>
        <v/>
      </c>
      <c r="BR349" s="866" t="n"/>
      <c r="BS349" s="899" t="n"/>
      <c r="BT349" s="862" t="n"/>
      <c r="BU349" s="862" t="n"/>
      <c r="BV349" s="862" t="n"/>
      <c r="BW349" s="862" t="n"/>
      <c r="BX349" s="862" t="n"/>
      <c r="BY349" s="862" t="n"/>
      <c r="BZ349" s="862" t="n"/>
      <c r="CA349" s="862" t="n"/>
      <c r="CB349" s="862" t="n"/>
      <c r="CC349" s="862" t="n"/>
      <c r="CD349" s="862" t="n"/>
      <c r="CE349" s="862" t="n"/>
      <c r="CF349" s="862" t="n"/>
      <c r="CG349" s="862" t="n"/>
      <c r="CH349" s="862" t="n"/>
      <c r="CI349" s="862" t="n"/>
      <c r="CJ349" s="862" t="n"/>
      <c r="CK349" s="862" t="n"/>
      <c r="CL349" s="862" t="n"/>
      <c r="CM349" s="862" t="n"/>
      <c r="CN349" s="862" t="n"/>
      <c r="CO349" s="862" t="n"/>
      <c r="CP349" s="862" t="n"/>
      <c r="CQ349" s="862" t="n"/>
      <c r="CR349" s="862" t="n"/>
      <c r="CS349" s="862" t="n"/>
      <c r="CT349" s="862" t="n"/>
      <c r="CU349" s="862" t="n"/>
      <c r="CV349" s="862" t="n"/>
      <c r="CW349" s="862" t="n"/>
      <c r="CX349" s="862" t="n"/>
      <c r="CY349" s="862" t="n"/>
      <c r="CZ349" s="862" t="n"/>
      <c r="DA349" s="862" t="n"/>
      <c r="DB349" s="862" t="n"/>
      <c r="DC349" s="862" t="n"/>
      <c r="DD349" s="862" t="n"/>
      <c r="DE349" s="862" t="n"/>
      <c r="DF349" s="862" t="n"/>
      <c r="DG349" s="862" t="n"/>
      <c r="DH349" s="862" t="n"/>
      <c r="DI349" s="862" t="n"/>
      <c r="DJ349" s="862" t="n"/>
      <c r="DK349" s="862" t="n"/>
      <c r="DL349" s="862" t="n"/>
      <c r="DM349" s="862" t="n"/>
      <c r="DN349" s="862" t="n"/>
      <c r="DO349" s="862" t="n"/>
      <c r="DP349" s="898" t="n"/>
      <c r="DQ349" s="862" t="n"/>
      <c r="DR349" s="862">
        <f>SUMPRODUCT(--(MOD(COLUMN(BT349:CQ349),4)=MOD(COLUMN(BT349),4)),BT349:CQ349)*$I349+SUMPRODUCT(--(MOD(COLUMN(CR349:DO349),4)=MOD(COLUMN(CR349),4)),CR349:DO349)*$I349</f>
        <v/>
      </c>
      <c r="DS349" s="866" t="n"/>
      <c r="DT349" s="899" t="n"/>
      <c r="DU349" s="862" t="n"/>
      <c r="DV349" s="862" t="n"/>
      <c r="DW349" s="862" t="n"/>
      <c r="DX349" s="862" t="n"/>
      <c r="DY349" s="862" t="n"/>
      <c r="DZ349" s="862" t="n"/>
      <c r="EA349" s="862" t="n"/>
      <c r="EB349" s="862" t="n"/>
      <c r="EC349" s="862" t="n"/>
      <c r="ED349" s="862" t="n"/>
      <c r="EE349" s="862" t="n"/>
      <c r="EF349" s="862" t="n"/>
      <c r="EG349" s="862" t="n"/>
      <c r="EH349" s="862" t="n"/>
      <c r="EI349" s="862" t="n"/>
      <c r="EJ349" s="862" t="n"/>
      <c r="EK349" s="862" t="n"/>
      <c r="EL349" s="862" t="n"/>
      <c r="EM349" s="862" t="n"/>
      <c r="EN349" s="862" t="n"/>
      <c r="EO349" s="862" t="n"/>
      <c r="EP349" s="862" t="n"/>
      <c r="EQ349" s="862" t="n"/>
      <c r="ER349" s="862" t="n"/>
      <c r="ES349" s="862" t="n"/>
      <c r="ET349" s="862" t="n"/>
      <c r="EU349" s="862" t="n"/>
      <c r="EV349" s="862" t="n"/>
      <c r="EW349" s="862" t="n"/>
      <c r="EX349" s="862" t="n"/>
      <c r="EY349" s="862" t="n"/>
      <c r="EZ349" s="862" t="n"/>
      <c r="FA349" s="862" t="n"/>
      <c r="FB349" s="862" t="n"/>
      <c r="FC349" s="862" t="n"/>
      <c r="FD349" s="862" t="n"/>
      <c r="FE349" s="862" t="n"/>
      <c r="FF349" s="862" t="n"/>
      <c r="FG349" s="862" t="n"/>
      <c r="FH349" s="862" t="n"/>
      <c r="FI349" s="862" t="n"/>
      <c r="FJ349" s="862" t="n"/>
      <c r="FK349" s="862" t="n"/>
      <c r="FL349" s="862" t="n"/>
      <c r="FM349" s="862" t="n"/>
      <c r="FN349" s="862" t="n"/>
      <c r="FO349" s="862" t="n"/>
      <c r="FP349" s="862" t="n"/>
      <c r="FQ349" s="898" t="n"/>
      <c r="FR349" s="862" t="n"/>
      <c r="FS349" s="862">
        <f>SUMPRODUCT(--(MOD(COLUMN(DU349:ER349),4)=MOD(COLUMN(DU349),4)),DU349:ER349)*$I349+SUMPRODUCT(--(MOD(COLUMN(ES349:FP349),4)=MOD(COLUMN(ES349),4)),ES349:FP349)*$I349</f>
        <v/>
      </c>
    </row>
    <row r="350" outlineLevel="1" customFormat="1" s="900">
      <c r="A350" s="559" t="inlineStr">
        <is>
          <t>ВСЕ ТОРМОЗ</t>
        </is>
      </c>
      <c r="B350" s="560" t="n"/>
      <c r="C350" s="659" t="n"/>
      <c r="D350" s="659" t="n"/>
      <c r="E350" s="561" t="n"/>
      <c r="F350" s="560" t="n"/>
      <c r="G350" s="562" t="n"/>
      <c r="H350" s="560" t="inlineStr">
        <is>
          <t>CNY, без НДС:</t>
        </is>
      </c>
      <c r="I350" s="639" t="n"/>
      <c r="J350" s="639" t="n"/>
      <c r="K350" s="563" t="n"/>
      <c r="L350" s="639" t="n"/>
      <c r="M350" s="891" t="n"/>
      <c r="N350" s="891">
        <f>IF(BP350&gt;0,1,IF(BN350&gt;0,2,))</f>
        <v/>
      </c>
      <c r="O350" s="892">
        <f>ТОРМОЗ!O72</f>
        <v/>
      </c>
      <c r="P350" s="892">
        <f>ТОРМОЗ!P72</f>
        <v/>
      </c>
      <c r="Q350" s="892">
        <f>ТОРМОЗ!Q72</f>
        <v/>
      </c>
      <c r="R350" s="892">
        <f>ТОРМОЗ!R72</f>
        <v/>
      </c>
      <c r="S350" s="892">
        <f>ТОРМОЗ!S72</f>
        <v/>
      </c>
      <c r="T350" s="892">
        <f>ТОРМОЗ!T72</f>
        <v/>
      </c>
      <c r="U350" s="892">
        <f>ТОРМОЗ!U72</f>
        <v/>
      </c>
      <c r="V350" s="892">
        <f>ТОРМОЗ!V72</f>
        <v/>
      </c>
      <c r="W350" s="892">
        <f>ТОРМОЗ!W72</f>
        <v/>
      </c>
      <c r="X350" s="892">
        <f>ТОРМОЗ!X72</f>
        <v/>
      </c>
      <c r="Y350" s="892">
        <f>ТОРМОЗ!Y72</f>
        <v/>
      </c>
      <c r="Z350" s="892">
        <f>ТОРМОЗ!Z72</f>
        <v/>
      </c>
      <c r="AA350" s="892">
        <f>ТОРМОЗ!AA72</f>
        <v/>
      </c>
      <c r="AB350" s="892">
        <f>ТОРМОЗ!AB72</f>
        <v/>
      </c>
      <c r="AC350" s="892">
        <f>ТОРМОЗ!AC72</f>
        <v/>
      </c>
      <c r="AD350" s="892">
        <f>ТОРМОЗ!AD72</f>
        <v/>
      </c>
      <c r="AE350" s="892">
        <f>ТОРМОЗ!AE72</f>
        <v/>
      </c>
      <c r="AF350" s="892">
        <f>ТОРМОЗ!AF72</f>
        <v/>
      </c>
      <c r="AG350" s="892">
        <f>ТОРМОЗ!AG72</f>
        <v/>
      </c>
      <c r="AH350" s="892">
        <f>ТОРМОЗ!AH72</f>
        <v/>
      </c>
      <c r="AI350" s="892">
        <f>ТОРМОЗ!AI72</f>
        <v/>
      </c>
      <c r="AJ350" s="892">
        <f>ТОРМОЗ!AJ72</f>
        <v/>
      </c>
      <c r="AK350" s="892">
        <f>ТОРМОЗ!AK72</f>
        <v/>
      </c>
      <c r="AL350" s="892">
        <f>ТОРМОЗ!AL72</f>
        <v/>
      </c>
      <c r="AM350" s="892">
        <f>ТОРМОЗ!AM72</f>
        <v/>
      </c>
      <c r="AN350" s="892">
        <f>ТОРМОЗ!AN72</f>
        <v/>
      </c>
      <c r="AO350" s="892">
        <f>ТОРМОЗ!AO72</f>
        <v/>
      </c>
      <c r="AP350" s="892">
        <f>ТОРМОЗ!AP72</f>
        <v/>
      </c>
      <c r="AQ350" s="892">
        <f>ТОРМОЗ!AQ72</f>
        <v/>
      </c>
      <c r="AR350" s="892">
        <f>ТОРМОЗ!AR72</f>
        <v/>
      </c>
      <c r="AS350" s="892">
        <f>ТОРМОЗ!AS72</f>
        <v/>
      </c>
      <c r="AT350" s="892">
        <f>ТОРМОЗ!AT72</f>
        <v/>
      </c>
      <c r="AU350" s="892">
        <f>ТОРМОЗ!AU72</f>
        <v/>
      </c>
      <c r="AV350" s="892">
        <f>ТОРМОЗ!AV72</f>
        <v/>
      </c>
      <c r="AW350" s="892">
        <f>ТОРМОЗ!AW72</f>
        <v/>
      </c>
      <c r="AX350" s="892">
        <f>ТОРМОЗ!AX72</f>
        <v/>
      </c>
      <c r="AY350" s="892">
        <f>ТОРМОЗ!AY72</f>
        <v/>
      </c>
      <c r="AZ350" s="892">
        <f>ТОРМОЗ!AZ72</f>
        <v/>
      </c>
      <c r="BA350" s="892">
        <f>ТОРМОЗ!BA72</f>
        <v/>
      </c>
      <c r="BB350" s="892">
        <f>ТОРМОЗ!BB72</f>
        <v/>
      </c>
      <c r="BC350" s="892">
        <f>ТОРМОЗ!BC72</f>
        <v/>
      </c>
      <c r="BD350" s="892">
        <f>ТОРМОЗ!BD72</f>
        <v/>
      </c>
      <c r="BE350" s="892">
        <f>ТОРМОЗ!BE72</f>
        <v/>
      </c>
      <c r="BF350" s="892">
        <f>ТОРМОЗ!BF72</f>
        <v/>
      </c>
      <c r="BG350" s="892">
        <f>ТОРМОЗ!BG72</f>
        <v/>
      </c>
      <c r="BH350" s="892">
        <f>ТОРМОЗ!BH72</f>
        <v/>
      </c>
      <c r="BI350" s="892">
        <f>ТОРМОЗ!BI72</f>
        <v/>
      </c>
      <c r="BJ350" s="892">
        <f>ТОРМОЗ!BJ72</f>
        <v/>
      </c>
      <c r="BK350" s="892" t="n"/>
      <c r="BL350" s="892">
        <f>SUMPRODUCT(--(MOD(COLUMN($O350:$AL350),4)=MOD(COLUMN($O350)+0,4)),$O350:$AL350)
+SUMPRODUCT(--(MOD(COLUMN($AM350:$BJ350),4)=MOD(COLUMN($AM350)+0,4)),$AM350:$BJ350)</f>
        <v/>
      </c>
      <c r="BM350" s="892">
        <f>SUMPRODUCT(--(MOD(COLUMN($O350:$AL350),4)=MOD(COLUMN($O350)+0,4)),$O350:$AL350)*
$I350+SUMPRODUCT(--(MOD(COLUMN($AM350:$BJ350),4)=MOD(COLUMN($AM350)+0,4)),$AM350:$BJ350)*$I350</f>
        <v/>
      </c>
      <c r="BN350" s="893">
        <f>SUMPRODUCT(--(MOD(COLUMN($O350:$AL350),4)=MOD(COLUMN($O350)+1,4)),$O350:$AL350)
+SUMPRODUCT(--(MOD(COLUMN($AM350:$BJ350),4)=MOD(COLUMN($AM350)+1,4)),$AM350:$BJ350)</f>
        <v/>
      </c>
      <c r="BO350" s="893">
        <f>SUMPRODUCT(--(MOD(COLUMN($O350:$AL350),4)=MOD(COLUMN($O350)+1,4)),$O350:$AL350)*
$I350+SUMPRODUCT(--(MOD(COLUMN($AM350:$BJ350),4)=MOD(COLUMN($AM350)+1,4)),$AM350:$BJ350)*$I350</f>
        <v/>
      </c>
      <c r="BP350" s="892">
        <f>SUMPRODUCT(--(MOD(COLUMN($O350:$AL350),4)=MOD(COLUMN($O350)+2,4)),$O350:$AL350)
+SUMPRODUCT(--(MOD(COLUMN($AM350:$BJ350),4)=MOD(COLUMN($AM350)+2,4)),$AM350:$BJ350)</f>
        <v/>
      </c>
      <c r="BQ350" s="892">
        <f>SUMPRODUCT(--(MOD(COLUMN($O350:$AL350),4)=MOD(COLUMN($O350)+2,4)),$O350:$AL350)*
$I350+SUMPRODUCT(--(MOD(COLUMN($AM350:$BJ350),4)=MOD(COLUMN($AM350)+2,4)),$AM350:$BJ350)*$I350</f>
        <v/>
      </c>
      <c r="BR350" s="892" t="n"/>
      <c r="BS350" s="892" t="n"/>
      <c r="BT350" s="892" t="n"/>
      <c r="BU350" s="892" t="n"/>
      <c r="BV350" s="892" t="n"/>
      <c r="BW350" s="892" t="n"/>
      <c r="BX350" s="892" t="n"/>
      <c r="BY350" s="892" t="n"/>
      <c r="BZ350" s="892" t="n"/>
      <c r="CA350" s="892" t="n"/>
      <c r="CB350" s="892" t="n"/>
      <c r="CC350" s="892" t="n"/>
      <c r="CD350" s="892" t="n"/>
      <c r="CE350" s="892" t="n"/>
      <c r="CF350" s="892" t="n"/>
      <c r="CG350" s="892" t="n"/>
      <c r="CH350" s="892" t="n"/>
      <c r="CI350" s="892" t="n"/>
      <c r="CJ350" s="892" t="n"/>
      <c r="CK350" s="892" t="n"/>
      <c r="CL350" s="892" t="n"/>
      <c r="CM350" s="892" t="n"/>
      <c r="CN350" s="892" t="n"/>
      <c r="CO350" s="892" t="n"/>
      <c r="CP350" s="892" t="n"/>
      <c r="CQ350" s="892" t="n"/>
      <c r="CR350" s="892" t="n"/>
      <c r="CS350" s="892" t="n"/>
      <c r="CT350" s="892" t="n"/>
      <c r="CU350" s="892" t="n"/>
      <c r="CV350" s="892" t="n"/>
      <c r="CW350" s="892" t="n"/>
      <c r="CX350" s="892" t="n"/>
      <c r="CY350" s="892" t="n"/>
      <c r="CZ350" s="892" t="n"/>
      <c r="DA350" s="892" t="n"/>
      <c r="DB350" s="892" t="n"/>
      <c r="DC350" s="892" t="n"/>
      <c r="DD350" s="892" t="n"/>
      <c r="DE350" s="892" t="n"/>
      <c r="DF350" s="892" t="n"/>
      <c r="DG350" s="892" t="n"/>
      <c r="DH350" s="892" t="n"/>
      <c r="DI350" s="892" t="n"/>
      <c r="DJ350" s="892" t="n"/>
      <c r="DK350" s="892" t="n"/>
      <c r="DL350" s="892" t="n"/>
      <c r="DM350" s="892" t="n"/>
      <c r="DN350" s="892" t="n"/>
      <c r="DO350" s="893" t="n"/>
      <c r="DP350" s="893" t="n"/>
      <c r="DQ350" s="892" t="n"/>
      <c r="DR350" s="892">
        <f>SUMPRODUCT(--(MOD(COLUMN(BT350:CQ350),4)=MOD(COLUMN(BT350),4)),BT350:CQ350)*$I350+SUMPRODUCT(--(MOD(COLUMN(CR350:DO350),4)=MOD(COLUMN(CR350),4)),CR350:DO350)*$I350</f>
        <v/>
      </c>
      <c r="DS350" s="892" t="n"/>
      <c r="DT350" s="892" t="n"/>
      <c r="DU350" s="892" t="n"/>
      <c r="DV350" s="892" t="n"/>
      <c r="DW350" s="892" t="n"/>
      <c r="DX350" s="892" t="n"/>
      <c r="DY350" s="892" t="n"/>
      <c r="DZ350" s="892" t="n"/>
      <c r="EA350" s="892" t="n"/>
      <c r="EB350" s="892" t="n"/>
      <c r="EC350" s="892" t="n"/>
      <c r="ED350" s="892" t="n"/>
      <c r="EE350" s="892" t="n"/>
      <c r="EF350" s="892" t="n"/>
      <c r="EG350" s="892" t="n"/>
      <c r="EH350" s="892" t="n"/>
      <c r="EI350" s="892" t="n"/>
      <c r="EJ350" s="892" t="n"/>
      <c r="EK350" s="892" t="n"/>
      <c r="EL350" s="892" t="n"/>
      <c r="EM350" s="892" t="n"/>
      <c r="EN350" s="892" t="n"/>
      <c r="EO350" s="892" t="n"/>
      <c r="EP350" s="892" t="n"/>
      <c r="EQ350" s="892" t="n"/>
      <c r="ER350" s="892" t="n"/>
      <c r="ES350" s="892" t="n"/>
      <c r="ET350" s="892" t="n"/>
      <c r="EU350" s="892" t="n"/>
      <c r="EV350" s="892" t="n"/>
      <c r="EW350" s="892" t="n"/>
      <c r="EX350" s="892" t="n"/>
      <c r="EY350" s="892" t="n"/>
      <c r="EZ350" s="892" t="n"/>
      <c r="FA350" s="892" t="n"/>
      <c r="FB350" s="892" t="n"/>
      <c r="FC350" s="892" t="n"/>
      <c r="FD350" s="892" t="n"/>
      <c r="FE350" s="892" t="n"/>
      <c r="FF350" s="892" t="n"/>
      <c r="FG350" s="892" t="n"/>
      <c r="FH350" s="892" t="n"/>
      <c r="FI350" s="892" t="n"/>
      <c r="FJ350" s="892" t="n"/>
      <c r="FK350" s="892" t="n"/>
      <c r="FL350" s="892" t="n"/>
      <c r="FM350" s="892" t="n"/>
      <c r="FN350" s="892" t="n"/>
      <c r="FO350" s="892" t="n"/>
      <c r="FS350" s="900">
        <f>SUMPRODUCT(--(MOD(COLUMN(DU350:ER350),4)=MOD(COLUMN(DU350),4)),DU350:ER350)*$I350+SUMPRODUCT(--(MOD(COLUMN(ES350:FP350),4)=MOD(COLUMN(ES350),4)),ES350:FP350)*$I350</f>
        <v/>
      </c>
    </row>
    <row r="351" outlineLevel="1" customFormat="1" s="901">
      <c r="A351" s="491" t="inlineStr">
        <is>
          <t>ИТОГО</t>
        </is>
      </c>
      <c r="B351" s="492" t="n"/>
      <c r="C351" s="660" t="n"/>
      <c r="D351" s="660" t="n"/>
      <c r="E351" s="514" t="n"/>
      <c r="F351" s="492" t="n"/>
      <c r="G351" s="493" t="n"/>
      <c r="H351" s="492" t="inlineStr">
        <is>
          <t>CNY, без НДС:</t>
        </is>
      </c>
      <c r="I351" s="640" t="n"/>
      <c r="J351" s="640" t="n"/>
      <c r="K351" s="494" t="n"/>
      <c r="L351" s="640" t="n"/>
      <c r="M351" s="902" t="n"/>
      <c r="N351" s="902">
        <f>IF(BP351&gt;0,1,IF(BN351&gt;0,2,))</f>
        <v/>
      </c>
      <c r="O351" s="903">
        <f>IFERROR(O350+O340,"")</f>
        <v/>
      </c>
      <c r="P351" s="903">
        <f>IFERROR(P350+P340,"")</f>
        <v/>
      </c>
      <c r="Q351" s="903">
        <f>IFERROR(Q350+Q340,"")</f>
        <v/>
      </c>
      <c r="R351" s="903">
        <f>IFERROR(R350+R340,"")</f>
        <v/>
      </c>
      <c r="S351" s="903">
        <f>IFERROR(S350+S340,"")</f>
        <v/>
      </c>
      <c r="T351" s="903">
        <f>IFERROR(T350+T340,"")</f>
        <v/>
      </c>
      <c r="U351" s="903">
        <f>IFERROR(U350+U340,"")</f>
        <v/>
      </c>
      <c r="V351" s="903">
        <f>IFERROR(V350+V340,"")</f>
        <v/>
      </c>
      <c r="W351" s="903">
        <f>IFERROR(W350+W340,"")</f>
        <v/>
      </c>
      <c r="X351" s="903">
        <f>IFERROR(X350+X340,"")</f>
        <v/>
      </c>
      <c r="Y351" s="903">
        <f>IFERROR(Y350+Y340,"")</f>
        <v/>
      </c>
      <c r="Z351" s="903">
        <f>IFERROR(Z350+Z340,"")</f>
        <v/>
      </c>
      <c r="AA351" s="903">
        <f>IFERROR(AA350+AA340,"")</f>
        <v/>
      </c>
      <c r="AB351" s="903">
        <f>IFERROR(AB350+AB340,"")</f>
        <v/>
      </c>
      <c r="AC351" s="903">
        <f>IFERROR(AC350+AC340,"")</f>
        <v/>
      </c>
      <c r="AD351" s="903">
        <f>IFERROR(AD350+AD340,"")</f>
        <v/>
      </c>
      <c r="AE351" s="903">
        <f>IFERROR(AE350+AE340,"")</f>
        <v/>
      </c>
      <c r="AF351" s="903">
        <f>IFERROR(AF350+AF340,"")</f>
        <v/>
      </c>
      <c r="AG351" s="903">
        <f>IFERROR(AG350+AG340,"")</f>
        <v/>
      </c>
      <c r="AH351" s="903">
        <f>IFERROR(AH350+AH340,"")</f>
        <v/>
      </c>
      <c r="AI351" s="903">
        <f>IFERROR(AI350+AI340,"")</f>
        <v/>
      </c>
      <c r="AJ351" s="903">
        <f>IFERROR(AJ350+AJ340,"")</f>
        <v/>
      </c>
      <c r="AK351" s="903">
        <f>IFERROR(AK350+AK340,"")</f>
        <v/>
      </c>
      <c r="AL351" s="903">
        <f>IFERROR(AL350+AL340,"")</f>
        <v/>
      </c>
      <c r="AM351" s="903">
        <f>IFERROR(AM350+AM340,"")</f>
        <v/>
      </c>
      <c r="AN351" s="903">
        <f>IFERROR(AN350+AN340,"")</f>
        <v/>
      </c>
      <c r="AO351" s="903">
        <f>IFERROR(AO350+AO340,"")</f>
        <v/>
      </c>
      <c r="AP351" s="903">
        <f>IFERROR(AP350+AP340,"")</f>
        <v/>
      </c>
      <c r="AQ351" s="903">
        <f>IFERROR(AQ350+AQ340,"")</f>
        <v/>
      </c>
      <c r="AR351" s="903">
        <f>IFERROR(AR350+AR340,"")</f>
        <v/>
      </c>
      <c r="AS351" s="903">
        <f>IFERROR(AS350+AS340,"")</f>
        <v/>
      </c>
      <c r="AT351" s="903">
        <f>IFERROR(AT350+AT340,"")</f>
        <v/>
      </c>
      <c r="AU351" s="903">
        <f>IFERROR(AU350+AU340,"")</f>
        <v/>
      </c>
      <c r="AV351" s="903">
        <f>IFERROR(AV350+AV340,"")</f>
        <v/>
      </c>
      <c r="AW351" s="903">
        <f>IFERROR(AW350+AW340,"")</f>
        <v/>
      </c>
      <c r="AX351" s="903">
        <f>IFERROR(AX350+AX340,"")</f>
        <v/>
      </c>
      <c r="AY351" s="903">
        <f>IFERROR(AY350+AY340,"")</f>
        <v/>
      </c>
      <c r="AZ351" s="903">
        <f>IFERROR(AZ350+AZ340,"")</f>
        <v/>
      </c>
      <c r="BA351" s="903">
        <f>IFERROR(BA350+BA340,"")</f>
        <v/>
      </c>
      <c r="BB351" s="903">
        <f>IFERROR(BB350+BB340,"")</f>
        <v/>
      </c>
      <c r="BC351" s="903">
        <f>IFERROR(BC350+BC340,"")</f>
        <v/>
      </c>
      <c r="BD351" s="903">
        <f>IFERROR(BD350+BD340,"")</f>
        <v/>
      </c>
      <c r="BE351" s="903">
        <f>IFERROR(BE350+BE340,"")</f>
        <v/>
      </c>
      <c r="BF351" s="903">
        <f>IFERROR(BF350+BF340,"")</f>
        <v/>
      </c>
      <c r="BG351" s="903">
        <f>IFERROR(BG350+BG340,"")</f>
        <v/>
      </c>
      <c r="BH351" s="903">
        <f>IFERROR(BH350+BH340,"")</f>
        <v/>
      </c>
      <c r="BI351" s="903">
        <f>IFERROR(BI350+BI340,"")</f>
        <v/>
      </c>
      <c r="BJ351" s="903">
        <f>IFERROR(BJ350+BJ340,"")</f>
        <v/>
      </c>
      <c r="BK351" s="903" t="n"/>
      <c r="BL351" s="903">
        <f>SUMPRODUCT(--(MOD(COLUMN($O351:$AL351),4)=MOD(COLUMN($O351)+0,4)),$O351:$AL351)
+SUMPRODUCT(--(MOD(COLUMN($AM351:$BJ351),4)=MOD(COLUMN($AM351)+0,4)),$AM351:$BJ351)</f>
        <v/>
      </c>
      <c r="BM351" s="903">
        <f>SUMPRODUCT(--(MOD(COLUMN($O351:$AL351),4)=MOD(COLUMN($O351)+0,4)),$O351:$AL351)*
$I351+SUMPRODUCT(--(MOD(COLUMN($AM351:$BJ351),4)=MOD(COLUMN($AM351)+0,4)),$AM351:$BJ351)*$I351</f>
        <v/>
      </c>
      <c r="BN351" s="904">
        <f>SUMPRODUCT(--(MOD(COLUMN($O351:$AL351),4)=MOD(COLUMN($O351)+1,4)),$O351:$AL351)
+SUMPRODUCT(--(MOD(COLUMN($AM351:$BJ351),4)=MOD(COLUMN($AM351)+1,4)),$AM351:$BJ351)</f>
        <v/>
      </c>
      <c r="BO351" s="904">
        <f>SUMPRODUCT(--(MOD(COLUMN($O351:$AL351),4)=MOD(COLUMN($O351)+1,4)),$O351:$AL351)*
$I351+SUMPRODUCT(--(MOD(COLUMN($AM351:$BJ351),4)=MOD(COLUMN($AM351)+1,4)),$AM351:$BJ351)*$I351</f>
        <v/>
      </c>
      <c r="BP351" s="903">
        <f>SUMPRODUCT(--(MOD(COLUMN($O351:$AL351),4)=MOD(COLUMN($O351)+2,4)),$O351:$AL351)
+SUMPRODUCT(--(MOD(COLUMN($AM351:$BJ351),4)=MOD(COLUMN($AM351)+2,4)),$AM351:$BJ351)</f>
        <v/>
      </c>
      <c r="BQ351" s="903">
        <f>SUMPRODUCT(--(MOD(COLUMN($O351:$AL351),4)=MOD(COLUMN($O351)+2,4)),$O351:$AL351)*
$I351+SUMPRODUCT(--(MOD(COLUMN($AM351:$BJ351),4)=MOD(COLUMN($AM351)+2,4)),$AM351:$BJ351)*$I351</f>
        <v/>
      </c>
      <c r="BR351" s="903" t="n"/>
      <c r="BS351" s="903" t="n"/>
      <c r="BT351" s="903" t="n"/>
      <c r="BU351" s="903" t="n"/>
      <c r="BV351" s="903" t="n"/>
      <c r="BW351" s="903" t="n"/>
      <c r="BX351" s="903" t="n"/>
      <c r="BY351" s="903" t="n"/>
      <c r="BZ351" s="903" t="n"/>
      <c r="CA351" s="903" t="n"/>
      <c r="CB351" s="903" t="n"/>
      <c r="CC351" s="903" t="n"/>
      <c r="CD351" s="903" t="n"/>
      <c r="CE351" s="903" t="n"/>
      <c r="CF351" s="903" t="n"/>
      <c r="CG351" s="903" t="n"/>
      <c r="CH351" s="903" t="n"/>
      <c r="CI351" s="903" t="n"/>
      <c r="CJ351" s="903" t="n"/>
      <c r="CK351" s="903" t="n"/>
      <c r="CL351" s="903" t="n"/>
      <c r="CM351" s="903" t="n"/>
      <c r="CN351" s="903" t="n"/>
      <c r="CO351" s="903" t="n"/>
      <c r="CP351" s="903" t="n"/>
      <c r="CQ351" s="903" t="n"/>
      <c r="CR351" s="903" t="n"/>
      <c r="CS351" s="903" t="n"/>
      <c r="CT351" s="903" t="n"/>
      <c r="CU351" s="903" t="n"/>
      <c r="CV351" s="903" t="n"/>
      <c r="CW351" s="903" t="n"/>
      <c r="CX351" s="903" t="n"/>
      <c r="CY351" s="903" t="n"/>
      <c r="CZ351" s="903" t="n"/>
      <c r="DA351" s="903" t="n"/>
      <c r="DB351" s="903" t="n"/>
      <c r="DC351" s="903" t="n"/>
      <c r="DD351" s="903" t="n"/>
      <c r="DE351" s="903" t="n"/>
      <c r="DF351" s="903" t="n"/>
      <c r="DG351" s="903" t="n"/>
      <c r="DH351" s="903" t="n"/>
      <c r="DI351" s="903" t="n"/>
      <c r="DJ351" s="903" t="n"/>
      <c r="DK351" s="903" t="n"/>
      <c r="DL351" s="903" t="n"/>
      <c r="DM351" s="903" t="n"/>
      <c r="DN351" s="903" t="n"/>
      <c r="DO351" s="904" t="n"/>
      <c r="DP351" s="904" t="n"/>
      <c r="DQ351" s="903" t="n"/>
      <c r="DR351" s="903">
        <f>SUMPRODUCT(--(MOD(COLUMN(BT351:CQ351),4)=MOD(COLUMN(BT351),4)),BT351:CQ351)*$I351+SUMPRODUCT(--(MOD(COLUMN(CR351:DO351),4)=MOD(COLUMN(CR351),4)),CR351:DO351)*$I351</f>
        <v/>
      </c>
      <c r="DS351" s="903" t="n"/>
      <c r="DT351" s="903" t="n"/>
      <c r="DU351" s="903" t="n"/>
      <c r="DV351" s="903" t="n"/>
      <c r="DW351" s="903" t="n"/>
      <c r="DX351" s="903" t="n"/>
      <c r="DY351" s="903" t="n"/>
      <c r="DZ351" s="903" t="n"/>
      <c r="EA351" s="903" t="n"/>
      <c r="EB351" s="903" t="n"/>
      <c r="EC351" s="903" t="n"/>
      <c r="ED351" s="903" t="n"/>
      <c r="EE351" s="903" t="n"/>
      <c r="EF351" s="903" t="n"/>
      <c r="EG351" s="903" t="n"/>
      <c r="EH351" s="903" t="n"/>
      <c r="EI351" s="903" t="n"/>
      <c r="EJ351" s="903" t="n"/>
      <c r="EK351" s="903" t="n"/>
      <c r="EL351" s="903" t="n"/>
      <c r="EM351" s="903" t="n"/>
      <c r="EN351" s="903" t="n"/>
      <c r="EO351" s="903" t="n"/>
      <c r="EP351" s="903" t="n"/>
      <c r="EQ351" s="903" t="n"/>
      <c r="ER351" s="903" t="n"/>
      <c r="ES351" s="903" t="n"/>
      <c r="ET351" s="903" t="n"/>
      <c r="EU351" s="903" t="n"/>
      <c r="EV351" s="903" t="n"/>
      <c r="EW351" s="903" t="n"/>
      <c r="EX351" s="903" t="n"/>
      <c r="EY351" s="903" t="n"/>
      <c r="EZ351" s="903" t="n"/>
      <c r="FA351" s="903" t="n"/>
      <c r="FB351" s="903" t="n"/>
      <c r="FC351" s="903" t="n"/>
      <c r="FD351" s="903" t="n"/>
      <c r="FE351" s="903" t="n"/>
      <c r="FF351" s="903" t="n"/>
      <c r="FG351" s="903" t="n"/>
      <c r="FH351" s="903" t="n"/>
      <c r="FI351" s="903" t="n"/>
      <c r="FJ351" s="903" t="n"/>
      <c r="FK351" s="903" t="n"/>
      <c r="FL351" s="903" t="n"/>
      <c r="FM351" s="903" t="n"/>
      <c r="FN351" s="903" t="n"/>
      <c r="FO351" s="903" t="n"/>
      <c r="FS351" s="901">
        <f>SUMPRODUCT(--(MOD(COLUMN(DU351:ER351),4)=MOD(COLUMN(DU351),4)),DU351:ER351)*$I351+SUMPRODUCT(--(MOD(COLUMN(ES351:FP351),4)=MOD(COLUMN(ES351),4)),ES351:FP351)*$I351</f>
        <v/>
      </c>
    </row>
  </sheetData>
  <autoFilter ref="A5:FU351"/>
  <mergeCells count="65">
    <mergeCell ref="EK4:EN4"/>
    <mergeCell ref="C4:C5"/>
    <mergeCell ref="AM4:AP4"/>
    <mergeCell ref="E4:E5"/>
    <mergeCell ref="AQ4:AT4"/>
    <mergeCell ref="DP4:DP5"/>
    <mergeCell ref="BC4:BF4"/>
    <mergeCell ref="BT4:BW4"/>
    <mergeCell ref="CB4:CE4"/>
    <mergeCell ref="CN4:CQ4"/>
    <mergeCell ref="BK4:BK5"/>
    <mergeCell ref="CF4:CI4"/>
    <mergeCell ref="BS4:BS5"/>
    <mergeCell ref="FE4:FH4"/>
    <mergeCell ref="FR4:FS4"/>
    <mergeCell ref="EW4:EZ4"/>
    <mergeCell ref="FI4:FL4"/>
    <mergeCell ref="FT4:FT5"/>
    <mergeCell ref="BL4:BQ4"/>
    <mergeCell ref="N3:BR3"/>
    <mergeCell ref="S4:V4"/>
    <mergeCell ref="AE4:AH4"/>
    <mergeCell ref="D4:D5"/>
    <mergeCell ref="J4:J5"/>
    <mergeCell ref="W4:Z4"/>
    <mergeCell ref="DS4:DS5"/>
    <mergeCell ref="L4:L5"/>
    <mergeCell ref="CZ4:DC4"/>
    <mergeCell ref="BS3:DS3"/>
    <mergeCell ref="CR4:CU4"/>
    <mergeCell ref="DD4:DG4"/>
    <mergeCell ref="EC4:EF4"/>
    <mergeCell ref="DL4:DO4"/>
    <mergeCell ref="EO4:ER4"/>
    <mergeCell ref="DY4:EB4"/>
    <mergeCell ref="A4:A5"/>
    <mergeCell ref="G4:G5"/>
    <mergeCell ref="AU4:AX4"/>
    <mergeCell ref="BR4:BR5"/>
    <mergeCell ref="I4:I5"/>
    <mergeCell ref="AY4:BB4"/>
    <mergeCell ref="K4:K5"/>
    <mergeCell ref="DT4:DT5"/>
    <mergeCell ref="BG4:BJ4"/>
    <mergeCell ref="BX4:CA4"/>
    <mergeCell ref="DT3:FT3"/>
    <mergeCell ref="CJ4:CM4"/>
    <mergeCell ref="FA4:FD4"/>
    <mergeCell ref="FM4:FP4"/>
    <mergeCell ref="DU4:DX4"/>
    <mergeCell ref="M4:M5"/>
    <mergeCell ref="B4:B5"/>
    <mergeCell ref="O4:R4"/>
    <mergeCell ref="I3:L3"/>
    <mergeCell ref="F4:F5"/>
    <mergeCell ref="AI4:AL4"/>
    <mergeCell ref="H4:H5"/>
    <mergeCell ref="N4:N5"/>
    <mergeCell ref="AA4:AD4"/>
    <mergeCell ref="DQ4:DR4"/>
    <mergeCell ref="CV4:CY4"/>
    <mergeCell ref="DH4:DK4"/>
    <mergeCell ref="FQ4:FQ5"/>
    <mergeCell ref="EG4:EJ4"/>
    <mergeCell ref="ES4:EV4"/>
  </mergeCells>
  <conditionalFormatting sqref="A6:FT330">
    <cfRule type="expression" priority="2" dxfId="51">
      <formula>IF($F6="S",1,0)</formula>
    </cfRule>
  </conditionalFormatting>
  <conditionalFormatting sqref="F6:F330">
    <cfRule type="containsText" priority="90" operator="containsText" dxfId="50" text="S">
      <formula>NOT(ISERROR(SEARCH("S",F6)))</formula>
    </cfRule>
    <cfRule type="cellIs" priority="1397" operator="equal" dxfId="1">
      <formula>2</formula>
    </cfRule>
  </conditionalFormatting>
  <conditionalFormatting sqref="F6:G330">
    <cfRule type="expression" priority="2362" dxfId="48">
      <formula>IF($G6&gt;0,IF(SUMPRODUCT((Список_Сводная_Пневматика_2026=($F6&amp;"_"&amp;$G6))*1)&gt;0,0,1),0)</formula>
    </cfRule>
  </conditionalFormatting>
  <conditionalFormatting sqref="G6:G330">
    <cfRule type="expression" priority="2932" dxfId="46">
      <formula>IF($F6="S",IF(SUMPRODUCT((Список_комплектов=$G6)*1)&gt;0,0,1),0)</formula>
    </cfRule>
    <cfRule type="expression" priority="2933" dxfId="45">
      <formula>IF($G6&gt;0,IF(SUMPRODUCT((Список_артикулов=$G6)*1)&gt;0,0,1),0)</formula>
    </cfRule>
    <cfRule type="expression" priority="2934" dxfId="7">
      <formula>IF($G6&gt;0,IF(SUMPRODUCT(($A$6:$A$329=$A6)*($F$6:$F$329=$F6)*($G$6:$G$329=$G6)*($I$6:$I$329=$I6))&gt;1,1,0),0)</formula>
    </cfRule>
  </conditionalFormatting>
  <conditionalFormatting sqref="I6:J330">
    <cfRule type="expression" priority="3" dxfId="43">
      <formula>IF($J$1&gt;0,IF(IFERROR(SEARCH("НДС_20",_xlfn.FORMULATEXT(I6),1),0)&gt;0,1,0),0)</formula>
    </cfRule>
    <cfRule type="expression" priority="16" dxfId="42">
      <formula>IF($J$2&gt;0,IF(IFERROR(SEARCH("НДС",_xlfn.FORMULATEXT(I6),1),0)&gt;0,1,0),0)</formula>
    </cfRule>
  </conditionalFormatting>
  <conditionalFormatting sqref="I6:BJ330">
    <cfRule type="expression" priority="2818" dxfId="41">
      <formula>IF(AND($G6&gt;0,$I6=0),1,0)</formula>
    </cfRule>
  </conditionalFormatting>
  <conditionalFormatting sqref="K6:K330">
    <cfRule type="containsText" priority="65" operator="containsText" dxfId="40" text="EUR">
      <formula>NOT(ISERROR(SEARCH("EUR",K6)))</formula>
    </cfRule>
    <cfRule type="containsText" priority="66" operator="containsText" dxfId="39" text="RUB">
      <formula>NOT(ISERROR(SEARCH("RUB",K6)))</formula>
    </cfRule>
  </conditionalFormatting>
  <conditionalFormatting sqref="L6:L330">
    <cfRule type="expression" priority="67" dxfId="13">
      <formula>IF($L6="",0,IF($L6&lt;$I6,1,0))</formula>
    </cfRule>
    <cfRule type="expression" priority="68" dxfId="11">
      <formula>IF($L6="",0,IF($L6&gt;$I6,1,0))</formula>
    </cfRule>
  </conditionalFormatting>
  <conditionalFormatting sqref="N6:N351 O332:BJ351 BL6:BQ351">
    <cfRule type="expression" priority="89" dxfId="25">
      <formula>IF(_xlfn.ISFORMULA(N6),0,1)</formula>
    </cfRule>
  </conditionalFormatting>
  <conditionalFormatting sqref="O6:BJ330">
    <cfRule type="expression" priority="78" dxfId="35">
      <formula>IF(IFERROR(SEARCH("Ч(",_xlfn.FORMULATEXT(O6),1),0)&gt;0,1,0)</formula>
    </cfRule>
    <cfRule type="expression" priority="79" dxfId="34">
      <formula>_xlfn.ISFORMULA(O6)</formula>
    </cfRule>
  </conditionalFormatting>
  <dataValidations disablePrompts="1" count="1">
    <dataValidation sqref="J1:J2" showDropDown="0" showInputMessage="1" showErrorMessage="1" allowBlank="1" type="list">
      <formula1>"х"</formula1>
    </dataValidation>
  </dataValidations>
  <hyperlinks>
    <hyperlink xmlns:r="http://schemas.openxmlformats.org/officeDocument/2006/relationships" ref="A1" display="https://cbr.ru/currency_base/dynamics/?UniDbQuery.Posted=True&amp;UniDbQuery.VAL_NM_RQ=R01239" r:id="rId1"/>
    <hyperlink xmlns:r="http://schemas.openxmlformats.org/officeDocument/2006/relationships" ref="A2" display="https://cbr.ru/currency_base/dynamics/?UniDbQuery.Posted=True&amp;UniDbQuery.VAL_NM_RQ=R01375" r:id="rId2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73"/>
  <sheetViews>
    <sheetView zoomScale="70" workbookViewId="0">
      <pane xSplit="9" ySplit="4" topLeftCell="J5" activePane="bottomRight" state="frozen"/>
      <selection activeCell="J5" sqref="J5"/>
      <selection pane="topRight" activeCell="A1" sqref="A1"/>
      <selection pane="bottomLeft" activeCell="A1" sqref="A1"/>
      <selection pane="bottomRight" activeCell="J5" sqref="J5"/>
    </sheetView>
  </sheetViews>
  <sheetFormatPr baseColWidth="8" defaultColWidth="12.6640625" defaultRowHeight="14.4"/>
  <cols>
    <col outlineLevel="1" width="5" customWidth="1" style="145" min="1" max="1"/>
    <col width="15" bestFit="1" customWidth="1" style="145" min="2" max="2"/>
    <col hidden="1" outlineLevel="2" width="12.5546875" customWidth="1" style="145" min="3" max="3"/>
    <col hidden="1" outlineLevel="2" width="20.6640625" customWidth="1" style="145" min="4" max="4"/>
    <col hidden="1" outlineLevel="2" width="7.6640625" customWidth="1" style="145" min="5" max="5"/>
    <col collapsed="1" width="5.6640625" customWidth="1" style="145" min="6" max="6"/>
    <col width="9.6640625" customWidth="1" style="145" min="7" max="7"/>
    <col width="13.5546875" customWidth="1" style="145" min="8" max="8"/>
    <col width="53.6640625" customWidth="1" style="146" min="9" max="9"/>
    <col outlineLevel="1" width="10.33203125" customWidth="1" style="147" min="10" max="10"/>
    <col outlineLevel="2" width="10.33203125" customWidth="1" style="147" min="11" max="11"/>
    <col outlineLevel="2" width="7.6640625" customWidth="1" style="147" min="12" max="12"/>
    <col outlineLevel="2" width="9.6640625" customWidth="1" style="147" min="13" max="13"/>
    <col outlineLevel="2" width="7.6640625" customWidth="1" style="147" min="14" max="14"/>
    <col outlineLevel="2" width="14.6640625" customWidth="1" style="147" min="15" max="15"/>
    <col outlineLevel="2" width="7.6640625" customWidth="1" style="147" min="16" max="16"/>
    <col outlineLevel="2" width="9.6640625" customWidth="1" style="147" min="17" max="17"/>
    <col outlineLevel="2" width="7.6640625" customWidth="1" style="147" min="18" max="18"/>
    <col outlineLevel="2" width="14.6640625" customWidth="1" style="147" min="19" max="19"/>
    <col outlineLevel="2" width="7.6640625" customWidth="1" style="147" min="20" max="20"/>
    <col outlineLevel="2" width="9.6640625" customWidth="1" style="147" min="21" max="21"/>
    <col outlineLevel="2" width="7.6640625" customWidth="1" style="147" min="22" max="22"/>
    <col outlineLevel="2" width="14.6640625" customWidth="1" style="147" min="23" max="23"/>
    <col outlineLevel="2" width="7.6640625" customWidth="1" style="147" min="24" max="24"/>
    <col outlineLevel="2" width="9.6640625" customWidth="1" style="147" min="25" max="25"/>
    <col outlineLevel="2" width="7.6640625" customWidth="1" style="147" min="26" max="26"/>
    <col outlineLevel="2" width="14.6640625" customWidth="1" style="147" min="27" max="27"/>
    <col outlineLevel="2" width="7.6640625" customWidth="1" style="147" min="28" max="28"/>
    <col outlineLevel="2" width="9.6640625" customWidth="1" style="147" min="29" max="29"/>
    <col outlineLevel="2" width="7.6640625" customWidth="1" style="147" min="30" max="30"/>
    <col outlineLevel="2" width="14.6640625" customWidth="1" style="147" min="31" max="31"/>
    <col outlineLevel="2" width="7.6640625" customWidth="1" style="147" min="32" max="32"/>
    <col outlineLevel="2" width="9.6640625" customWidth="1" style="147" min="33" max="33"/>
    <col outlineLevel="2" width="7.6640625" customWidth="1" style="146" min="34" max="34"/>
    <col outlineLevel="2" width="14.6640625" customWidth="1" style="146" min="35" max="35"/>
    <col outlineLevel="2" width="7.6640625" customWidth="1" style="146" min="36" max="36"/>
    <col outlineLevel="2" width="9.6640625" customWidth="1" style="146" min="37" max="37"/>
    <col outlineLevel="2" width="7.6640625" customWidth="1" style="146" min="38" max="38"/>
    <col outlineLevel="2" width="14.6640625" customWidth="1" style="146" min="39" max="39"/>
    <col outlineLevel="2" collapsed="1" width="7.6640625" customWidth="1" style="146" min="40" max="40"/>
    <col outlineLevel="2" width="9.6640625" customWidth="1" style="146" min="41" max="41"/>
    <col outlineLevel="2" width="7.6640625" customWidth="1" style="146" min="42" max="42"/>
    <col outlineLevel="2" width="14.6640625" customWidth="1" style="146" min="43" max="43"/>
    <col outlineLevel="2" collapsed="1" width="7.6640625" customWidth="1" style="146" min="44" max="44"/>
    <col outlineLevel="2" width="9.6640625" customWidth="1" style="146" min="45" max="45"/>
    <col outlineLevel="2" width="7.6640625" customWidth="1" style="146" min="46" max="46"/>
    <col outlineLevel="2" width="14.6640625" customWidth="1" style="146" min="47" max="47"/>
    <col outlineLevel="1" width="7.6640625" customWidth="1" style="146" min="48" max="48"/>
    <col outlineLevel="1" width="9.6640625" customWidth="1" style="146" min="49" max="49"/>
    <col outlineLevel="1" width="7.6640625" customWidth="1" style="146" min="50" max="50"/>
    <col outlineLevel="1" width="14.6640625" customWidth="1" style="146" min="51" max="51"/>
    <col outlineLevel="1" width="7.6640625" customWidth="1" style="146" min="52" max="52"/>
    <col outlineLevel="1" width="9.6640625" customWidth="1" style="146" min="53" max="53"/>
    <col outlineLevel="1" width="7.6640625" customWidth="1" style="147" min="54" max="54"/>
    <col outlineLevel="1" width="14.6640625" customWidth="1" style="146" min="55" max="55"/>
    <col outlineLevel="1" width="7.6640625" customWidth="1" style="146" min="56" max="56"/>
    <col outlineLevel="1" width="9.6640625" customWidth="1" style="146" min="57" max="57"/>
    <col outlineLevel="1" width="7.6640625" customWidth="1" style="147" min="58" max="58"/>
    <col outlineLevel="1" width="14.6640625" customWidth="1" style="146" min="59" max="59"/>
    <col width="6.6640625" bestFit="1" customWidth="1" style="146" min="60" max="60"/>
    <col width="16" customWidth="1" style="146" min="61" max="61"/>
    <col outlineLevel="1" width="9.6640625" customWidth="1" style="146" min="62" max="62"/>
    <col outlineLevel="1" width="15.44140625" bestFit="1" customWidth="1" style="147" min="63" max="63"/>
    <col width="7.6640625" customWidth="1" style="145" min="64" max="64"/>
    <col width="12.6640625" customWidth="1" style="145" min="65" max="65"/>
    <col width="7.6640625" customWidth="1" style="145" min="66" max="66"/>
    <col width="9.6640625" customWidth="1" style="145" min="67" max="68"/>
    <col width="7.6640625" customWidth="1" style="145" min="69" max="69"/>
    <col width="14.6640625" customWidth="1" style="145" min="70" max="70"/>
    <col width="7.6640625" customWidth="1" style="145" min="71" max="71"/>
    <col width="9.6640625" customWidth="1" style="145" min="72" max="73"/>
    <col width="7.6640625" customWidth="1" style="145" min="74" max="74"/>
    <col width="14.6640625" customWidth="1" style="145" min="75" max="75"/>
    <col width="7.6640625" customWidth="1" style="145" min="76" max="76"/>
    <col width="9.6640625" customWidth="1" style="145" min="77" max="78"/>
    <col width="7.6640625" customWidth="1" style="145" min="79" max="79"/>
    <col width="14.6640625" customWidth="1" style="145" min="80" max="80"/>
    <col width="7.6640625" customWidth="1" style="145" min="81" max="81"/>
    <col width="9.6640625" customWidth="1" style="145" min="82" max="83"/>
    <col width="7.6640625" customWidth="1" style="145" min="84" max="84"/>
    <col width="14.6640625" customWidth="1" style="145" min="85" max="85"/>
    <col width="7.6640625" customWidth="1" style="145" min="86" max="86"/>
    <col width="9.6640625" customWidth="1" style="145" min="87" max="88"/>
    <col width="7.6640625" customWidth="1" style="145" min="89" max="89"/>
    <col width="14.6640625" customWidth="1" style="145" min="90" max="90"/>
    <col width="7.6640625" customWidth="1" style="145" min="91" max="91"/>
    <col width="9.6640625" customWidth="1" style="145" min="92" max="93"/>
    <col width="7.6640625" customWidth="1" style="145" min="94" max="94"/>
    <col width="14.6640625" customWidth="1" style="145" min="95" max="95"/>
    <col width="7.6640625" customWidth="1" style="145" min="96" max="96"/>
    <col width="9.6640625" customWidth="1" style="145" min="97" max="98"/>
    <col width="7.6640625" customWidth="1" style="145" min="99" max="99"/>
    <col width="14.6640625" customWidth="1" style="145" min="100" max="100"/>
    <col width="7.6640625" customWidth="1" style="145" min="101" max="101"/>
    <col width="9.6640625" customWidth="1" style="145" min="102" max="103"/>
    <col width="7.6640625" customWidth="1" style="145" min="104" max="104"/>
    <col width="14.6640625" customWidth="1" style="145" min="105" max="105"/>
    <col width="7.6640625" customWidth="1" style="145" min="106" max="106"/>
    <col width="9.6640625" customWidth="1" style="145" min="107" max="108"/>
    <col width="7.6640625" customWidth="1" style="145" min="109" max="109"/>
    <col width="14.6640625" customWidth="1" style="145" min="110" max="110"/>
    <col width="7.6640625" customWidth="1" style="145" min="111" max="111"/>
    <col width="9.6640625" customWidth="1" style="145" min="112" max="113"/>
    <col width="7.6640625" customWidth="1" style="145" min="114" max="114"/>
    <col width="14.6640625" customWidth="1" style="145" min="115" max="115"/>
    <col width="7.6640625" customWidth="1" style="145" min="116" max="116"/>
    <col width="9.6640625" customWidth="1" style="145" min="117" max="118"/>
    <col width="7.6640625" customWidth="1" style="145" min="119" max="119"/>
    <col width="14.6640625" customWidth="1" style="145" min="120" max="120"/>
    <col width="7.6640625" customWidth="1" style="145" min="121" max="121"/>
    <col width="9.6640625" customWidth="1" style="145" min="122" max="123"/>
    <col width="7.6640625" customWidth="1" style="145" min="124" max="124"/>
    <col width="14.6640625" customWidth="1" style="145" min="125" max="125"/>
    <col width="6.6640625" bestFit="1" customWidth="1" style="145" min="126" max="126"/>
    <col width="16" customWidth="1" style="145" min="127" max="127"/>
    <col width="9.6640625" customWidth="1" style="145" min="128" max="128"/>
    <col width="16" customWidth="1" style="145" min="129" max="129"/>
    <col width="9.6640625" customWidth="1" style="145" min="130" max="130"/>
    <col width="15.44140625" bestFit="1" customWidth="1" style="145" min="131" max="131"/>
    <col width="7.6640625" customWidth="1" style="145" min="132" max="132"/>
    <col width="12.6640625" customWidth="1" style="145" min="133" max="133"/>
    <col width="12.6640625" customWidth="1" style="145" min="134" max="16384"/>
  </cols>
  <sheetData>
    <row r="1">
      <c r="E1" s="148" t="n"/>
      <c r="F1" s="148" t="n"/>
      <c r="G1" s="148" t="inlineStr">
        <is>
          <t>Дата</t>
        </is>
      </c>
      <c r="H1" s="149">
        <f>ПНЕВМАТИКА!G1</f>
        <v/>
      </c>
    </row>
    <row r="2" ht="15" customHeight="1">
      <c r="A2" s="150" t="n"/>
      <c r="B2" s="151">
        <f>ПНЕВМАТИКА!A2</f>
        <v/>
      </c>
      <c r="C2" s="152" t="inlineStr">
        <is>
          <t xml:space="preserve"> - курс юань/рубль</t>
        </is>
      </c>
      <c r="D2" s="153" t="n"/>
      <c r="E2" s="153" t="n"/>
      <c r="F2" s="153" t="n"/>
      <c r="G2" s="154">
        <f>ПНЕВМАТИКА!E2</f>
        <v/>
      </c>
      <c r="H2" s="155" t="inlineStr">
        <is>
          <t xml:space="preserve"> - курс евро/юань</t>
        </is>
      </c>
      <c r="I2" s="156" t="n"/>
      <c r="J2" s="771" t="inlineStr">
        <is>
          <t>Продажи 2024</t>
        </is>
      </c>
      <c r="K2" s="905" t="n"/>
      <c r="L2" s="905" t="n"/>
      <c r="M2" s="905" t="n"/>
      <c r="N2" s="905" t="n"/>
      <c r="O2" s="905" t="n"/>
      <c r="P2" s="905" t="n"/>
      <c r="Q2" s="905" t="n"/>
      <c r="R2" s="905" t="n"/>
      <c r="S2" s="905" t="n"/>
      <c r="T2" s="905" t="n"/>
      <c r="U2" s="905" t="n"/>
      <c r="V2" s="905" t="n"/>
      <c r="W2" s="905" t="n"/>
      <c r="X2" s="905" t="n"/>
      <c r="Y2" s="905" t="n"/>
      <c r="Z2" s="905" t="n"/>
      <c r="AA2" s="905" t="n"/>
      <c r="AB2" s="905" t="n"/>
      <c r="AC2" s="905" t="n"/>
      <c r="AD2" s="905" t="n"/>
      <c r="AE2" s="905" t="n"/>
      <c r="AF2" s="905" t="n"/>
      <c r="AG2" s="905" t="n"/>
      <c r="AH2" s="905" t="n"/>
      <c r="AI2" s="905" t="n"/>
      <c r="AJ2" s="905" t="n"/>
      <c r="AK2" s="905" t="n"/>
      <c r="AL2" s="905" t="n"/>
      <c r="AM2" s="905" t="n"/>
      <c r="AN2" s="905" t="n"/>
      <c r="AO2" s="905" t="n"/>
      <c r="AP2" s="905" t="n"/>
      <c r="AQ2" s="905" t="n"/>
      <c r="AR2" s="905" t="n"/>
      <c r="AS2" s="905" t="n"/>
      <c r="AT2" s="905" t="n"/>
      <c r="AU2" s="905" t="n"/>
      <c r="AV2" s="905" t="n"/>
      <c r="AW2" s="905" t="n"/>
      <c r="AX2" s="905" t="n"/>
      <c r="AY2" s="905" t="n"/>
      <c r="AZ2" s="905" t="n"/>
      <c r="BA2" s="905" t="n"/>
      <c r="BB2" s="905" t="n"/>
      <c r="BC2" s="905" t="n"/>
      <c r="BD2" s="905" t="n"/>
      <c r="BE2" s="905" t="n"/>
      <c r="BF2" s="905" t="n"/>
      <c r="BG2" s="905" t="n"/>
      <c r="BH2" s="905" t="n"/>
      <c r="BI2" s="905" t="n"/>
      <c r="BJ2" s="905" t="n"/>
      <c r="BK2" s="905" t="n"/>
      <c r="BL2" s="905" t="n"/>
      <c r="BM2" s="906" t="n"/>
      <c r="BN2" s="771" t="inlineStr">
        <is>
          <t>Продажи 2025</t>
        </is>
      </c>
      <c r="BO2" s="905" t="n"/>
      <c r="BP2" s="905" t="n"/>
      <c r="BQ2" s="905" t="n"/>
      <c r="BR2" s="905" t="n"/>
      <c r="BS2" s="905" t="n"/>
      <c r="BT2" s="905" t="n"/>
      <c r="BU2" s="905" t="n"/>
      <c r="BV2" s="905" t="n"/>
      <c r="BW2" s="905" t="n"/>
      <c r="BX2" s="905" t="n"/>
      <c r="BY2" s="905" t="n"/>
      <c r="BZ2" s="905" t="n"/>
      <c r="CA2" s="905" t="n"/>
      <c r="CB2" s="905" t="n"/>
      <c r="CC2" s="905" t="n"/>
      <c r="CD2" s="905" t="n"/>
      <c r="CE2" s="905" t="n"/>
      <c r="CF2" s="905" t="n"/>
      <c r="CG2" s="905" t="n"/>
      <c r="CH2" s="905" t="n"/>
      <c r="CI2" s="905" t="n"/>
      <c r="CJ2" s="905" t="n"/>
      <c r="CK2" s="905" t="n"/>
      <c r="CL2" s="905" t="n"/>
      <c r="CM2" s="905" t="n"/>
      <c r="CN2" s="905" t="n"/>
      <c r="CO2" s="905" t="n"/>
      <c r="CP2" s="905" t="n"/>
      <c r="CQ2" s="905" t="n"/>
      <c r="CR2" s="905" t="n"/>
      <c r="CS2" s="905" t="n"/>
      <c r="CT2" s="905" t="n"/>
      <c r="CU2" s="905" t="n"/>
      <c r="CV2" s="905" t="n"/>
      <c r="CW2" s="905" t="n"/>
      <c r="CX2" s="905" t="n"/>
      <c r="CY2" s="905" t="n"/>
      <c r="CZ2" s="905" t="n"/>
      <c r="DA2" s="905" t="n"/>
      <c r="DB2" s="905" t="n"/>
      <c r="DC2" s="905" t="n"/>
      <c r="DD2" s="905" t="n"/>
      <c r="DE2" s="905" t="n"/>
      <c r="DF2" s="905" t="n"/>
      <c r="DG2" s="905" t="n"/>
      <c r="DH2" s="905" t="n"/>
      <c r="DI2" s="905" t="n"/>
      <c r="DJ2" s="905" t="n"/>
      <c r="DK2" s="905" t="n"/>
      <c r="DL2" s="905" t="n"/>
      <c r="DM2" s="905" t="n"/>
      <c r="DN2" s="905" t="n"/>
      <c r="DO2" s="905" t="n"/>
      <c r="DP2" s="905" t="n"/>
      <c r="DQ2" s="905" t="n"/>
      <c r="DR2" s="905" t="n"/>
      <c r="DS2" s="905" t="n"/>
      <c r="DT2" s="905" t="n"/>
      <c r="DU2" s="905" t="n"/>
      <c r="DV2" s="905" t="n"/>
      <c r="DW2" s="905" t="n"/>
      <c r="DX2" s="905" t="n"/>
      <c r="DY2" s="905" t="n"/>
      <c r="DZ2" s="905" t="n"/>
      <c r="EA2" s="905" t="n"/>
      <c r="EB2" s="905" t="n"/>
      <c r="EC2" s="906" t="n"/>
    </row>
    <row r="3" ht="15" customHeight="1">
      <c r="A3" s="907" t="inlineStr">
        <is>
          <t>Подсветить артикул:</t>
        </is>
      </c>
      <c r="B3" s="905" t="n"/>
      <c r="C3" s="905" t="n"/>
      <c r="D3" s="905" t="n"/>
      <c r="E3" s="905" t="n"/>
      <c r="F3" s="905" t="n"/>
      <c r="G3" s="906" t="n"/>
      <c r="H3" s="10" t="inlineStr">
        <is>
          <t>-</t>
        </is>
      </c>
      <c r="I3" s="157" t="n"/>
      <c r="J3" s="158" t="inlineStr">
        <is>
          <t>1 п/г 2024</t>
        </is>
      </c>
      <c r="K3" s="158" t="inlineStr">
        <is>
          <t>2 п/г 2024</t>
        </is>
      </c>
      <c r="L3" s="775" t="inlineStr">
        <is>
          <t>Январь 2024</t>
        </is>
      </c>
      <c r="M3" s="905" t="n"/>
      <c r="N3" s="905" t="n"/>
      <c r="O3" s="906" t="n"/>
      <c r="P3" s="775" t="inlineStr">
        <is>
          <t>Февраль 2024</t>
        </is>
      </c>
      <c r="Q3" s="905" t="n"/>
      <c r="R3" s="905" t="n"/>
      <c r="S3" s="906" t="n"/>
      <c r="T3" s="775" t="inlineStr">
        <is>
          <t>Март 2024</t>
        </is>
      </c>
      <c r="U3" s="905" t="n"/>
      <c r="V3" s="905" t="n"/>
      <c r="W3" s="906" t="n"/>
      <c r="X3" s="775" t="inlineStr">
        <is>
          <t>Апрель 2024</t>
        </is>
      </c>
      <c r="Y3" s="905" t="n"/>
      <c r="Z3" s="905" t="n"/>
      <c r="AA3" s="906" t="n"/>
      <c r="AB3" s="775" t="inlineStr">
        <is>
          <t>Май 2024</t>
        </is>
      </c>
      <c r="AC3" s="905" t="n"/>
      <c r="AD3" s="905" t="n"/>
      <c r="AE3" s="906" t="n"/>
      <c r="AF3" s="775" t="inlineStr">
        <is>
          <t>Июнь 2024</t>
        </is>
      </c>
      <c r="AG3" s="905" t="n"/>
      <c r="AH3" s="905" t="n"/>
      <c r="AI3" s="906" t="n"/>
      <c r="AJ3" s="775" t="inlineStr">
        <is>
          <t>Июль 2024</t>
        </is>
      </c>
      <c r="AK3" s="905" t="n"/>
      <c r="AL3" s="905" t="n"/>
      <c r="AM3" s="906" t="n"/>
      <c r="AN3" s="775" t="inlineStr">
        <is>
          <t>Август 2024</t>
        </is>
      </c>
      <c r="AO3" s="905" t="n"/>
      <c r="AP3" s="905" t="n"/>
      <c r="AQ3" s="906" t="n"/>
      <c r="AR3" s="775" t="inlineStr">
        <is>
          <t>Сентябрь 2024</t>
        </is>
      </c>
      <c r="AS3" s="905" t="n"/>
      <c r="AT3" s="905" t="n"/>
      <c r="AU3" s="906" t="n"/>
      <c r="AV3" s="775" t="inlineStr">
        <is>
          <t>Октябрь 2024</t>
        </is>
      </c>
      <c r="AW3" s="905" t="n"/>
      <c r="AX3" s="905" t="n"/>
      <c r="AY3" s="906" t="n"/>
      <c r="AZ3" s="908" t="n">
        <v>45597</v>
      </c>
      <c r="BA3" s="905" t="n"/>
      <c r="BB3" s="905" t="n"/>
      <c r="BC3" s="906" t="n"/>
      <c r="BD3" s="908" t="n">
        <v>45627</v>
      </c>
      <c r="BE3" s="905" t="n"/>
      <c r="BF3" s="905" t="n"/>
      <c r="BG3" s="906" t="n"/>
      <c r="BH3" s="769" t="inlineStr">
        <is>
          <t>ИТОГО, 2024</t>
        </is>
      </c>
      <c r="BI3" s="905" t="n"/>
      <c r="BJ3" s="905" t="n"/>
      <c r="BK3" s="905" t="n"/>
      <c r="BL3" s="905" t="n"/>
      <c r="BM3" s="906" t="n"/>
      <c r="BN3" s="908" t="inlineStr">
        <is>
          <t>Январь 2025</t>
        </is>
      </c>
      <c r="BO3" s="905" t="n"/>
      <c r="BP3" s="905" t="n"/>
      <c r="BQ3" s="905" t="n"/>
      <c r="BR3" s="906" t="n"/>
      <c r="BS3" s="908" t="inlineStr">
        <is>
          <t>Февраль 2025</t>
        </is>
      </c>
      <c r="BT3" s="905" t="n"/>
      <c r="BU3" s="905" t="n"/>
      <c r="BV3" s="905" t="n"/>
      <c r="BW3" s="906" t="n"/>
      <c r="BX3" s="908" t="inlineStr">
        <is>
          <t>Март 2025</t>
        </is>
      </c>
      <c r="BY3" s="905" t="n"/>
      <c r="BZ3" s="905" t="n"/>
      <c r="CA3" s="905" t="n"/>
      <c r="CB3" s="906" t="n"/>
      <c r="CC3" s="908" t="n">
        <v>45748</v>
      </c>
      <c r="CD3" s="905" t="n"/>
      <c r="CE3" s="905" t="n"/>
      <c r="CF3" s="905" t="n"/>
      <c r="CG3" s="906" t="n"/>
      <c r="CH3" s="908" t="n">
        <v>45778</v>
      </c>
      <c r="CI3" s="905" t="n"/>
      <c r="CJ3" s="905" t="n"/>
      <c r="CK3" s="905" t="n"/>
      <c r="CL3" s="906" t="n"/>
      <c r="CM3" s="908" t="n">
        <v>45809</v>
      </c>
      <c r="CN3" s="905" t="n"/>
      <c r="CO3" s="905" t="n"/>
      <c r="CP3" s="905" t="n"/>
      <c r="CQ3" s="906" t="n"/>
      <c r="CR3" s="908" t="n">
        <v>45839</v>
      </c>
      <c r="CS3" s="905" t="n"/>
      <c r="CT3" s="905" t="n"/>
      <c r="CU3" s="905" t="n"/>
      <c r="CV3" s="906" t="n"/>
      <c r="CW3" s="908" t="n">
        <v>45870</v>
      </c>
      <c r="CX3" s="905" t="n"/>
      <c r="CY3" s="905" t="n"/>
      <c r="CZ3" s="905" t="n"/>
      <c r="DA3" s="906" t="n"/>
      <c r="DB3" s="908" t="n">
        <v>45901</v>
      </c>
      <c r="DC3" s="905" t="n"/>
      <c r="DD3" s="905" t="n"/>
      <c r="DE3" s="905" t="n"/>
      <c r="DF3" s="906" t="n"/>
      <c r="DG3" s="908" t="n">
        <v>45931</v>
      </c>
      <c r="DH3" s="905" t="n"/>
      <c r="DI3" s="905" t="n"/>
      <c r="DJ3" s="905" t="n"/>
      <c r="DK3" s="906" t="n"/>
      <c r="DL3" s="908" t="n">
        <v>45962</v>
      </c>
      <c r="DM3" s="905" t="n"/>
      <c r="DN3" s="905" t="n"/>
      <c r="DO3" s="905" t="n"/>
      <c r="DP3" s="906" t="n"/>
      <c r="DQ3" s="908" t="n">
        <v>45992</v>
      </c>
      <c r="DR3" s="905" t="n"/>
      <c r="DS3" s="905" t="n"/>
      <c r="DT3" s="905" t="n"/>
      <c r="DU3" s="906" t="n"/>
      <c r="DV3" s="769" t="inlineStr">
        <is>
          <t>ИТОГО, 2025</t>
        </is>
      </c>
      <c r="DW3" s="905" t="n"/>
      <c r="DX3" s="905" t="n"/>
      <c r="DY3" s="905" t="n"/>
      <c r="DZ3" s="905" t="n"/>
      <c r="EA3" s="905" t="n"/>
      <c r="EB3" s="905" t="n"/>
      <c r="EC3" s="906" t="n"/>
    </row>
    <row r="4" ht="43.2" customHeight="1">
      <c r="A4" s="159" t="inlineStr">
        <is>
          <t>№</t>
        </is>
      </c>
      <c r="B4" s="160" t="inlineStr">
        <is>
          <t>Клиент</t>
        </is>
      </c>
      <c r="C4" s="161" t="inlineStr">
        <is>
          <t>Раздел</t>
        </is>
      </c>
      <c r="D4" s="161" t="inlineStr">
        <is>
          <t>Сет</t>
        </is>
      </c>
      <c r="E4" s="160" t="inlineStr">
        <is>
          <t>Кол-во в сете</t>
        </is>
      </c>
      <c r="F4" s="161" t="inlineStr">
        <is>
          <t>п\п</t>
        </is>
      </c>
      <c r="G4" s="160" t="inlineStr">
        <is>
          <t>2 - продукт WABCO</t>
        </is>
      </c>
      <c r="H4" s="160" t="inlineStr">
        <is>
          <t>Номер изделия/ артикул</t>
        </is>
      </c>
      <c r="I4" s="160" t="inlineStr">
        <is>
          <t>Наименование</t>
        </is>
      </c>
      <c r="J4" s="162" t="inlineStr">
        <is>
          <t>Цена, 
юань, без НДС 1</t>
        </is>
      </c>
      <c r="K4" s="162" t="inlineStr">
        <is>
          <t>Цена, 
юань, без НДС 2</t>
        </is>
      </c>
      <c r="L4" s="163" t="inlineStr">
        <is>
          <t>AOP,
шт 01_24</t>
        </is>
      </c>
      <c r="M4" s="164" t="inlineStr">
        <is>
          <t>Прогноз,
шт 01_24</t>
        </is>
      </c>
      <c r="N4" s="165" t="inlineStr">
        <is>
          <t>Факт,
шт 01_24</t>
        </is>
      </c>
      <c r="O4" s="166" t="inlineStr">
        <is>
          <t>Комментарий 01_24</t>
        </is>
      </c>
      <c r="P4" s="163" t="inlineStr">
        <is>
          <t>AOP,
шт 02_24</t>
        </is>
      </c>
      <c r="Q4" s="164" t="inlineStr">
        <is>
          <t>Прогноз,
шт 02_24</t>
        </is>
      </c>
      <c r="R4" s="165" t="inlineStr">
        <is>
          <t>Факт,
шт 02_24</t>
        </is>
      </c>
      <c r="S4" s="166" t="inlineStr">
        <is>
          <t>Комментарий 02_24</t>
        </is>
      </c>
      <c r="T4" s="163" t="inlineStr">
        <is>
          <t>AOP,
шт 03_24</t>
        </is>
      </c>
      <c r="U4" s="164" t="inlineStr">
        <is>
          <t>Прогноз,
шт 03_24</t>
        </is>
      </c>
      <c r="V4" s="165" t="inlineStr">
        <is>
          <t>Факт,
шт 03_24</t>
        </is>
      </c>
      <c r="W4" s="166" t="inlineStr">
        <is>
          <t>Комментарий 03_24</t>
        </is>
      </c>
      <c r="X4" s="163" t="inlineStr">
        <is>
          <t>AOP,
шт 04_24</t>
        </is>
      </c>
      <c r="Y4" s="164" t="inlineStr">
        <is>
          <t>Прогноз,
шт 04_24</t>
        </is>
      </c>
      <c r="Z4" s="165" t="inlineStr">
        <is>
          <t>Факт,
шт 04_24</t>
        </is>
      </c>
      <c r="AA4" s="166" t="inlineStr">
        <is>
          <t>Комментарий 04_24</t>
        </is>
      </c>
      <c r="AB4" s="163" t="inlineStr">
        <is>
          <t>AOP,
шт 05_24</t>
        </is>
      </c>
      <c r="AC4" s="164" t="inlineStr">
        <is>
          <t>Прогноз,
шт 05_24</t>
        </is>
      </c>
      <c r="AD4" s="165" t="inlineStr">
        <is>
          <t>Факт,
шт 05_24</t>
        </is>
      </c>
      <c r="AE4" s="166" t="inlineStr">
        <is>
          <t>Комментарий 05_24</t>
        </is>
      </c>
      <c r="AF4" s="163" t="inlineStr">
        <is>
          <t>AOP,
шт 06_24</t>
        </is>
      </c>
      <c r="AG4" s="164" t="inlineStr">
        <is>
          <t>Прогноз,
шт 06_24</t>
        </is>
      </c>
      <c r="AH4" s="165" t="inlineStr">
        <is>
          <t>Факт,
шт 06_24</t>
        </is>
      </c>
      <c r="AI4" s="166" t="inlineStr">
        <is>
          <t>Комментарий 06_24</t>
        </is>
      </c>
      <c r="AJ4" s="163" t="inlineStr">
        <is>
          <t>AOP,
шт 07_24</t>
        </is>
      </c>
      <c r="AK4" s="164" t="inlineStr">
        <is>
          <t>Прогноз,
шт 07_24</t>
        </is>
      </c>
      <c r="AL4" s="165" t="inlineStr">
        <is>
          <t>Факт,
шт 07_24</t>
        </is>
      </c>
      <c r="AM4" s="166" t="inlineStr">
        <is>
          <t>Комментарий 07_24</t>
        </is>
      </c>
      <c r="AN4" s="163" t="inlineStr">
        <is>
          <t>AOP,
шт 08_24</t>
        </is>
      </c>
      <c r="AO4" s="164" t="inlineStr">
        <is>
          <t>Прогноз,
шт 08_24</t>
        </is>
      </c>
      <c r="AP4" s="165" t="inlineStr">
        <is>
          <t>Факт,
шт 08_24</t>
        </is>
      </c>
      <c r="AQ4" s="166" t="inlineStr">
        <is>
          <t>Комментарий 08_24</t>
        </is>
      </c>
      <c r="AR4" s="163" t="inlineStr">
        <is>
          <t>AOP,
шт 09_24</t>
        </is>
      </c>
      <c r="AS4" s="164" t="inlineStr">
        <is>
          <t>Прогноз,
шт 09_24</t>
        </is>
      </c>
      <c r="AT4" s="165" t="inlineStr">
        <is>
          <t>Факт,
шт 09_24</t>
        </is>
      </c>
      <c r="AU4" s="166" t="inlineStr">
        <is>
          <t>Комментарий 09_24</t>
        </is>
      </c>
      <c r="AV4" s="163" t="inlineStr">
        <is>
          <t>AOP,
шт 10_24</t>
        </is>
      </c>
      <c r="AW4" s="164" t="inlineStr">
        <is>
          <t>Прогноз,
шт 10_24</t>
        </is>
      </c>
      <c r="AX4" s="165" t="inlineStr">
        <is>
          <t>Факт,
шт 10_24</t>
        </is>
      </c>
      <c r="AY4" s="166" t="inlineStr">
        <is>
          <t>Комментарий 10_24</t>
        </is>
      </c>
      <c r="AZ4" s="163" t="inlineStr">
        <is>
          <t>AOP,
шт 11_24</t>
        </is>
      </c>
      <c r="BA4" s="164" t="inlineStr">
        <is>
          <t>Прогноз,
шт 11_24</t>
        </is>
      </c>
      <c r="BB4" s="165" t="inlineStr">
        <is>
          <t>Факт,
шт 11_24</t>
        </is>
      </c>
      <c r="BC4" s="166" t="inlineStr">
        <is>
          <t>Комментарий 11_24</t>
        </is>
      </c>
      <c r="BD4" s="163" t="inlineStr">
        <is>
          <t>AOP,
шт 12_24</t>
        </is>
      </c>
      <c r="BE4" s="164" t="inlineStr">
        <is>
          <t>Прогноз,
шт 12_24</t>
        </is>
      </c>
      <c r="BF4" s="165" t="inlineStr">
        <is>
          <t>Факт,
шт 12_24</t>
        </is>
      </c>
      <c r="BG4" s="166" t="inlineStr">
        <is>
          <t>Комментарий 12_24</t>
        </is>
      </c>
      <c r="BH4" s="163" t="inlineStr">
        <is>
          <t>AOP,
шт 2024</t>
        </is>
      </c>
      <c r="BI4" s="163" t="inlineStr">
        <is>
          <t>Продажи AOP, CNY 2024</t>
        </is>
      </c>
      <c r="BJ4" s="164" t="inlineStr">
        <is>
          <t>Прогноз,
шт 2024</t>
        </is>
      </c>
      <c r="BK4" s="164" t="inlineStr">
        <is>
          <t>Прогноз,
СNY 2024</t>
        </is>
      </c>
      <c r="BL4" s="165" t="inlineStr">
        <is>
          <t>Факт,
шт 2024</t>
        </is>
      </c>
      <c r="BM4" s="165" t="inlineStr">
        <is>
          <t>Факт,
CNY 2024</t>
        </is>
      </c>
      <c r="BN4" s="163" t="inlineStr">
        <is>
          <t>AOP,
шт 01_25</t>
        </is>
      </c>
      <c r="BO4" s="167" t="inlineStr">
        <is>
          <t>AOP негатив,
шт 01_25</t>
        </is>
      </c>
      <c r="BP4" s="164" t="inlineStr">
        <is>
          <t>Прогноз,
шт 01_25</t>
        </is>
      </c>
      <c r="BQ4" s="165" t="inlineStr">
        <is>
          <t>Факт,
шт 01_25</t>
        </is>
      </c>
      <c r="BR4" s="166" t="inlineStr">
        <is>
          <t>Комментарий 01_25</t>
        </is>
      </c>
      <c r="BS4" s="163" t="inlineStr">
        <is>
          <t>AOP,
шт 02_25</t>
        </is>
      </c>
      <c r="BT4" s="167" t="inlineStr">
        <is>
          <t>AOP негатив,
шт 02_25</t>
        </is>
      </c>
      <c r="BU4" s="164" t="inlineStr">
        <is>
          <t>Прогноз,
шт 02_25</t>
        </is>
      </c>
      <c r="BV4" s="165" t="inlineStr">
        <is>
          <t>Факт,
шт 02_25</t>
        </is>
      </c>
      <c r="BW4" s="166" t="inlineStr">
        <is>
          <t>Комментарий 02_25</t>
        </is>
      </c>
      <c r="BX4" s="163" t="inlineStr">
        <is>
          <t>AOP,
шт 03_25</t>
        </is>
      </c>
      <c r="BY4" s="167" t="inlineStr">
        <is>
          <t>AOP негатив,
шт 03_25</t>
        </is>
      </c>
      <c r="BZ4" s="164" t="inlineStr">
        <is>
          <t>Прогноз,
шт 03_25</t>
        </is>
      </c>
      <c r="CA4" s="165" t="inlineStr">
        <is>
          <t>Факт,
шт 03_25</t>
        </is>
      </c>
      <c r="CB4" s="166" t="inlineStr">
        <is>
          <t>Комментарий 03_25</t>
        </is>
      </c>
      <c r="CC4" s="163" t="inlineStr">
        <is>
          <t>AOP,
шт 04_25</t>
        </is>
      </c>
      <c r="CD4" s="167" t="inlineStr">
        <is>
          <t>AOP негатив,
шт 04_25</t>
        </is>
      </c>
      <c r="CE4" s="164" t="inlineStr">
        <is>
          <t>Прогноз,
шт 04_25</t>
        </is>
      </c>
      <c r="CF4" s="165" t="inlineStr">
        <is>
          <t>Факт,
шт 04_25</t>
        </is>
      </c>
      <c r="CG4" s="166" t="inlineStr">
        <is>
          <t>Комментарий 04_25</t>
        </is>
      </c>
      <c r="CH4" s="163" t="inlineStr">
        <is>
          <t>AOP,
шт 05_25</t>
        </is>
      </c>
      <c r="CI4" s="167" t="inlineStr">
        <is>
          <t>AOP негатив,
шт 05_25</t>
        </is>
      </c>
      <c r="CJ4" s="164" t="inlineStr">
        <is>
          <t>Прогноз,
шт 05_25</t>
        </is>
      </c>
      <c r="CK4" s="165" t="inlineStr">
        <is>
          <t>Факт,
шт 05_25</t>
        </is>
      </c>
      <c r="CL4" s="166" t="inlineStr">
        <is>
          <t>Комментарий 05_25</t>
        </is>
      </c>
      <c r="CM4" s="163" t="inlineStr">
        <is>
          <t>AOP,
шт 06_25</t>
        </is>
      </c>
      <c r="CN4" s="167" t="inlineStr">
        <is>
          <t>AOP негатив,
шт 06_25</t>
        </is>
      </c>
      <c r="CO4" s="164" t="inlineStr">
        <is>
          <t>Прогноз,
шт 06_25</t>
        </is>
      </c>
      <c r="CP4" s="165" t="inlineStr">
        <is>
          <t>Факт,
шт 06_25</t>
        </is>
      </c>
      <c r="CQ4" s="166" t="inlineStr">
        <is>
          <t>Комментарий 06_25</t>
        </is>
      </c>
      <c r="CR4" s="163" t="inlineStr">
        <is>
          <t>AOP,
шт 07_25</t>
        </is>
      </c>
      <c r="CS4" s="167" t="inlineStr">
        <is>
          <t>AOP негатив,
шт 07_25</t>
        </is>
      </c>
      <c r="CT4" s="164" t="inlineStr">
        <is>
          <t>Прогноз,
шт 07_25</t>
        </is>
      </c>
      <c r="CU4" s="165" t="inlineStr">
        <is>
          <t>Факт,
шт 07_25</t>
        </is>
      </c>
      <c r="CV4" s="166" t="inlineStr">
        <is>
          <t>Комментарий 07_25</t>
        </is>
      </c>
      <c r="CW4" s="163" t="inlineStr">
        <is>
          <t>AOP,
шт 08_25</t>
        </is>
      </c>
      <c r="CX4" s="167" t="inlineStr">
        <is>
          <t>AOP негатив,
шт 08_25</t>
        </is>
      </c>
      <c r="CY4" s="164" t="inlineStr">
        <is>
          <t>Прогноз,
шт 08_25</t>
        </is>
      </c>
      <c r="CZ4" s="165" t="inlineStr">
        <is>
          <t>Факт,
шт 08_25</t>
        </is>
      </c>
      <c r="DA4" s="166" t="inlineStr">
        <is>
          <t>Комментарий 08_25</t>
        </is>
      </c>
      <c r="DB4" s="163" t="inlineStr">
        <is>
          <t>AOP,
шт 09_25</t>
        </is>
      </c>
      <c r="DC4" s="167" t="inlineStr">
        <is>
          <t>AOP негатив,
шт 09_25</t>
        </is>
      </c>
      <c r="DD4" s="164" t="inlineStr">
        <is>
          <t>Прогноз,
шт 09_25</t>
        </is>
      </c>
      <c r="DE4" s="165" t="inlineStr">
        <is>
          <t>Факт,
шт 09_25</t>
        </is>
      </c>
      <c r="DF4" s="166" t="inlineStr">
        <is>
          <t>Комментарий 09_25</t>
        </is>
      </c>
      <c r="DG4" s="163" t="inlineStr">
        <is>
          <t>AOP,
шт 10_25</t>
        </is>
      </c>
      <c r="DH4" s="167" t="inlineStr">
        <is>
          <t>AOP негатив,
шт 10_25</t>
        </is>
      </c>
      <c r="DI4" s="164" t="inlineStr">
        <is>
          <t>Прогноз,
шт 10_25</t>
        </is>
      </c>
      <c r="DJ4" s="165" t="inlineStr">
        <is>
          <t>Факт,
шт 10_25</t>
        </is>
      </c>
      <c r="DK4" s="166" t="inlineStr">
        <is>
          <t>Комментарий 10_25</t>
        </is>
      </c>
      <c r="DL4" s="163" t="inlineStr">
        <is>
          <t>AOP,
шт 11_25</t>
        </is>
      </c>
      <c r="DM4" s="167" t="inlineStr">
        <is>
          <t>AOP негатив,
шт 11_25</t>
        </is>
      </c>
      <c r="DN4" s="164" t="inlineStr">
        <is>
          <t>Прогноз,
шт 11_25</t>
        </is>
      </c>
      <c r="DO4" s="165" t="inlineStr">
        <is>
          <t>Факт,
шт 11_25</t>
        </is>
      </c>
      <c r="DP4" s="166" t="inlineStr">
        <is>
          <t>Комментарий 11_25</t>
        </is>
      </c>
      <c r="DQ4" s="163" t="inlineStr">
        <is>
          <t>AOP,
шт 12_25</t>
        </is>
      </c>
      <c r="DR4" s="167" t="inlineStr">
        <is>
          <t>AOP негатив,
шт 12_25</t>
        </is>
      </c>
      <c r="DS4" s="164" t="inlineStr">
        <is>
          <t>Прогноз,
шт 12_25</t>
        </is>
      </c>
      <c r="DT4" s="165" t="inlineStr">
        <is>
          <t>Факт,
шт 12_25</t>
        </is>
      </c>
      <c r="DU4" s="166" t="inlineStr">
        <is>
          <t>Комментарий 12_25</t>
        </is>
      </c>
      <c r="DV4" s="163" t="inlineStr">
        <is>
          <t>AOP,
шт 2025</t>
        </is>
      </c>
      <c r="DW4" s="163" t="inlineStr">
        <is>
          <t>Продажи AOP, CNY 2025</t>
        </is>
      </c>
      <c r="DX4" s="168" t="inlineStr">
        <is>
          <t>AOP негатив,
шт 2025</t>
        </is>
      </c>
      <c r="DY4" s="169" t="inlineStr">
        <is>
          <t>Продажи AOP негатив, CNY 2025</t>
        </is>
      </c>
      <c r="DZ4" s="164" t="inlineStr">
        <is>
          <t>Прогноз,
шт 20252</t>
        </is>
      </c>
      <c r="EA4" s="164" t="inlineStr">
        <is>
          <t>Прогноз,
CNY 2025</t>
        </is>
      </c>
      <c r="EB4" s="165" t="inlineStr">
        <is>
          <t>Факт,
шт 20253</t>
        </is>
      </c>
      <c r="EC4" s="170" t="inlineStr">
        <is>
          <t>Факт,
CNY 2025</t>
        </is>
      </c>
    </row>
    <row r="5">
      <c r="A5" s="171" t="n"/>
      <c r="B5" s="172" t="n"/>
      <c r="C5" s="173" t="inlineStr">
        <is>
          <t>TEBS</t>
        </is>
      </c>
      <c r="D5" s="173" t="inlineStr">
        <is>
          <t xml:space="preserve">TEBS 2s/2m 
12м </t>
        </is>
      </c>
      <c r="E5" s="174" t="n">
        <v>1</v>
      </c>
      <c r="F5" s="174" t="n">
        <v>1</v>
      </c>
      <c r="G5" s="174" t="n"/>
      <c r="H5" s="175" t="n">
        <v>9522010010</v>
      </c>
      <c r="I5" s="176" t="inlineStr">
        <is>
          <t>Головка соединительная (управляющая)</t>
        </is>
      </c>
      <c r="J5" s="909">
        <f>89.6/1.2</f>
        <v/>
      </c>
      <c r="K5" s="909" t="n"/>
      <c r="L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" s="180">
        <f>SUMPRODUCT(--(MOD(COLUMN($L5:$BG5),4)=MOD(COLUMN($L5),4)),$L5:$BG5)</f>
        <v/>
      </c>
      <c r="BI5" s="181">
        <f>Автовик[[#This Row],[Цена, 
юань, без НДС 1]]*BH5</f>
        <v/>
      </c>
      <c r="BJ5" s="130">
        <f>SUMPRODUCT(--(MOD(COLUMN($L5:$BG5),4)=MOD(COLUMN($L5)+1,4)),$L5:$BG5)</f>
        <v/>
      </c>
      <c r="BK5" s="182">
        <f>Автовик[[#This Row],[Цена, 
юань, без НДС 1]]*BJ5</f>
        <v/>
      </c>
      <c r="BL5" s="109">
        <f>SUMPRODUCT(--(MOD(COLUMN($L5:$BG5),4)=MOD(COLUMN($L5)+2,4)),$L5:$BG5)</f>
        <v/>
      </c>
      <c r="BM5" s="183">
        <f>Автовик[[#This Row],[Цена, 
юань, без НДС 1]]*BL5</f>
        <v/>
      </c>
      <c r="BN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" s="180">
        <f>SUMPRODUCT(--(MOD(COLUMN($BN5:$DU5),5)=MOD(COLUMN($BN5),5)),$BN5:$DU5)</f>
        <v/>
      </c>
      <c r="DW5" s="181">
        <f>Автовик[[#This Row],[Цена, 
юань, без НДС 1]]*DV5</f>
        <v/>
      </c>
      <c r="DX5" s="185">
        <f>SUMPRODUCT(--(MOD(COLUMN($BN5:$DU5),5)=MOD(COLUMN($BN5)+1,5)),$BN5:$DU5)</f>
        <v/>
      </c>
      <c r="DY5" s="186">
        <f>Автовик[[#This Row],[Цена, 
юань, без НДС 1]]*DX5</f>
        <v/>
      </c>
      <c r="DZ5" s="130">
        <f>SUMPRODUCT(--(MOD(COLUMN($BN5:$DU5),5)=MOD(COLUMN($BN5)+2,5)),$BN5:$DU5)</f>
        <v/>
      </c>
      <c r="EA5" s="187">
        <f>Автовик[[#This Row],[Цена, 
юань, без НДС 1]]*DZ5</f>
        <v/>
      </c>
      <c r="EB5" s="109">
        <f>SUMPRODUCT(--(MOD(COLUMN($BN5:$DU5),5)=MOD(COLUMN($BN5)+3,5)),$BN5:$DU5)</f>
        <v/>
      </c>
      <c r="EC5" s="188">
        <f>Автовик[[#This Row],[Цена, 
юань, без НДС 1]]*EB5</f>
        <v/>
      </c>
    </row>
    <row r="6">
      <c r="A6" s="171" t="n"/>
      <c r="B6" s="172" t="n"/>
      <c r="C6" s="173" t="inlineStr">
        <is>
          <t>TEBS</t>
        </is>
      </c>
      <c r="D6" s="173" t="inlineStr">
        <is>
          <t xml:space="preserve">TEBS 2s/2m 
12м </t>
        </is>
      </c>
      <c r="E6" s="174" t="n">
        <v>1</v>
      </c>
      <c r="F6" s="174" t="n">
        <v>2</v>
      </c>
      <c r="G6" s="174" t="n"/>
      <c r="H6" s="175" t="n">
        <v>9522010020</v>
      </c>
      <c r="I6" s="176" t="inlineStr">
        <is>
          <t>Головка соединительная (питающая)</t>
        </is>
      </c>
      <c r="J6" s="909">
        <f>89.6/1.2</f>
        <v/>
      </c>
      <c r="K6" s="909" t="n"/>
      <c r="L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" s="180">
        <f>SUMPRODUCT(--(MOD(COLUMN($L6:$BG6),4)=MOD(COLUMN($L6),4)),$L6:$BG6)</f>
        <v/>
      </c>
      <c r="BI6" s="181">
        <f>Автовик[[#This Row],[Цена, 
юань, без НДС 1]]*BH6</f>
        <v/>
      </c>
      <c r="BJ6" s="130">
        <f>SUMPRODUCT(--(MOD(COLUMN($L6:$BG6),4)=MOD(COLUMN($L6)+1,4)),$L6:$BG6)</f>
        <v/>
      </c>
      <c r="BK6" s="182">
        <f>Автовик[[#This Row],[Цена, 
юань, без НДС 1]]*BJ6</f>
        <v/>
      </c>
      <c r="BL6" s="109">
        <f>SUMPRODUCT(--(MOD(COLUMN($L6:$BG6),4)=MOD(COLUMN($L6)+2,4)),$L6:$BG6)</f>
        <v/>
      </c>
      <c r="BM6" s="183">
        <f>Автовик[[#This Row],[Цена, 
юань, без НДС 1]]*BL6</f>
        <v/>
      </c>
      <c r="BN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" s="180">
        <f>SUMPRODUCT(--(MOD(COLUMN($BN6:$DU6),5)=MOD(COLUMN($BN6),5)),$BN6:$DU6)</f>
        <v/>
      </c>
      <c r="DW6" s="181">
        <f>Автовик[[#This Row],[Цена, 
юань, без НДС 1]]*DV6</f>
        <v/>
      </c>
      <c r="DX6" s="185">
        <f>SUMPRODUCT(--(MOD(COLUMN($BN6:$DU6),5)=MOD(COLUMN($BN6)+1,5)),$BN6:$DU6)</f>
        <v/>
      </c>
      <c r="DY6" s="186">
        <f>Автовик[[#This Row],[Цена, 
юань, без НДС 1]]*DX6</f>
        <v/>
      </c>
      <c r="DZ6" s="130">
        <f>SUMPRODUCT(--(MOD(COLUMN($BN6:$DU6),5)=MOD(COLUMN($BN6)+2,5)),$BN6:$DU6)</f>
        <v/>
      </c>
      <c r="EA6" s="187">
        <f>Автовик[[#This Row],[Цена, 
юань, без НДС 1]]*DZ6</f>
        <v/>
      </c>
      <c r="EB6" s="109">
        <f>SUMPRODUCT(--(MOD(COLUMN($BN6:$DU6),5)=MOD(COLUMN($BN6)+3,5)),$BN6:$DU6)</f>
        <v/>
      </c>
      <c r="EC6" s="188">
        <f>Автовик[[#This Row],[Цена, 
юань, без НДС 1]]*EB6</f>
        <v/>
      </c>
    </row>
    <row r="7">
      <c r="A7" s="171" t="n"/>
      <c r="B7" s="172" t="n"/>
      <c r="C7" s="173" t="inlineStr">
        <is>
          <t>TEBS</t>
        </is>
      </c>
      <c r="D7" s="173" t="inlineStr">
        <is>
          <t xml:space="preserve">TEBS 2s/2m 
12м </t>
        </is>
      </c>
      <c r="E7" s="174" t="n">
        <v>1</v>
      </c>
      <c r="F7" s="174" t="n">
        <v>3</v>
      </c>
      <c r="G7" s="174" t="n"/>
      <c r="H7" s="175" t="n">
        <v>9710029000</v>
      </c>
      <c r="I7" s="176" t="inlineStr">
        <is>
          <t>Воздухораспределитель с клапаном растормаживания</t>
        </is>
      </c>
      <c r="J7" s="909">
        <f>639/1.2</f>
        <v/>
      </c>
      <c r="K7" s="909" t="n"/>
      <c r="L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7" s="180">
        <f>SUMPRODUCT(--(MOD(COLUMN($L7:$BG7),4)=MOD(COLUMN($L7),4)),$L7:$BG7)</f>
        <v/>
      </c>
      <c r="BI7" s="181">
        <f>Автовик[[#This Row],[Цена, 
юань, без НДС 1]]*BH7</f>
        <v/>
      </c>
      <c r="BJ7" s="130">
        <f>SUMPRODUCT(--(MOD(COLUMN($L7:$BG7),4)=MOD(COLUMN($L7)+1,4)),$L7:$BG7)</f>
        <v/>
      </c>
      <c r="BK7" s="182">
        <f>Автовик[[#This Row],[Цена, 
юань, без НДС 1]]*BJ7</f>
        <v/>
      </c>
      <c r="BL7" s="109">
        <f>SUMPRODUCT(--(MOD(COLUMN($L7:$BG7),4)=MOD(COLUMN($L7)+2,4)),$L7:$BG7)</f>
        <v/>
      </c>
      <c r="BM7" s="183">
        <f>Автовик[[#This Row],[Цена, 
юань, без НДС 1]]*BL7</f>
        <v/>
      </c>
      <c r="BN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7" s="180">
        <f>SUMPRODUCT(--(MOD(COLUMN($BN7:$DU7),5)=MOD(COLUMN($BN7),5)),$BN7:$DU7)</f>
        <v/>
      </c>
      <c r="DW7" s="181">
        <f>Автовик[[#This Row],[Цена, 
юань, без НДС 1]]*DV7</f>
        <v/>
      </c>
      <c r="DX7" s="185">
        <f>SUMPRODUCT(--(MOD(COLUMN($BN7:$DU7),5)=MOD(COLUMN($BN7)+1,5)),$BN7:$DU7)</f>
        <v/>
      </c>
      <c r="DY7" s="186">
        <f>Автовик[[#This Row],[Цена, 
юань, без НДС 1]]*DX7</f>
        <v/>
      </c>
      <c r="DZ7" s="130">
        <f>SUMPRODUCT(--(MOD(COLUMN($BN7:$DU7),5)=MOD(COLUMN($BN7)+2,5)),$BN7:$DU7)</f>
        <v/>
      </c>
      <c r="EA7" s="187">
        <f>Автовик[[#This Row],[Цена, 
юань, без НДС 1]]*DZ7</f>
        <v/>
      </c>
      <c r="EB7" s="109">
        <f>SUMPRODUCT(--(MOD(COLUMN($BN7:$DU7),5)=MOD(COLUMN($BN7)+3,5)),$BN7:$DU7)</f>
        <v/>
      </c>
      <c r="EC7" s="188">
        <f>Автовик[[#This Row],[Цена, 
юань, без НДС 1]]*EB7</f>
        <v/>
      </c>
    </row>
    <row r="8">
      <c r="A8" s="171" t="n"/>
      <c r="B8" s="172" t="n"/>
      <c r="C8" s="173" t="inlineStr">
        <is>
          <t>TEBS</t>
        </is>
      </c>
      <c r="D8" s="173" t="inlineStr">
        <is>
          <t xml:space="preserve">TEBS 2s/2m 
12м </t>
        </is>
      </c>
      <c r="E8" s="174" t="n">
        <v>1</v>
      </c>
      <c r="F8" s="174" t="n">
        <v>4</v>
      </c>
      <c r="G8" s="174" t="n"/>
      <c r="H8" s="175" t="n">
        <v>4801020640</v>
      </c>
      <c r="I8" s="176" t="inlineStr">
        <is>
          <t>Модулятор EBS, с PEM, без фит.</t>
        </is>
      </c>
      <c r="J8" s="909">
        <f>4032.9/1.2</f>
        <v/>
      </c>
      <c r="K8" s="909" t="n"/>
      <c r="L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8" s="180">
        <f>SUMPRODUCT(--(MOD(COLUMN($L8:$BG8),4)=MOD(COLUMN($L8),4)),$L8:$BG8)</f>
        <v/>
      </c>
      <c r="BI8" s="181">
        <f>Автовик[[#This Row],[Цена, 
юань, без НДС 1]]*BH8</f>
        <v/>
      </c>
      <c r="BJ8" s="130">
        <f>SUMPRODUCT(--(MOD(COLUMN($L8:$BG8),4)=MOD(COLUMN($L8)+1,4)),$L8:$BG8)</f>
        <v/>
      </c>
      <c r="BK8" s="182">
        <f>Автовик[[#This Row],[Цена, 
юань, без НДС 1]]*BJ8</f>
        <v/>
      </c>
      <c r="BL8" s="109">
        <f>SUMPRODUCT(--(MOD(COLUMN($L8:$BG8),4)=MOD(COLUMN($L8)+2,4)),$L8:$BG8)</f>
        <v/>
      </c>
      <c r="BM8" s="183">
        <f>Автовик[[#This Row],[Цена, 
юань, без НДС 1]]*BL8</f>
        <v/>
      </c>
      <c r="BN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8" s="180">
        <f>SUMPRODUCT(--(MOD(COLUMN($BN8:$DU8),5)=MOD(COLUMN($BN8),5)),$BN8:$DU8)</f>
        <v/>
      </c>
      <c r="DW8" s="181">
        <f>Автовик[[#This Row],[Цена, 
юань, без НДС 1]]*DV8</f>
        <v/>
      </c>
      <c r="DX8" s="185">
        <f>SUMPRODUCT(--(MOD(COLUMN($BN8:$DU8),5)=MOD(COLUMN($BN8)+1,5)),$BN8:$DU8)</f>
        <v/>
      </c>
      <c r="DY8" s="186">
        <f>Автовик[[#This Row],[Цена, 
юань, без НДС 1]]*DX8</f>
        <v/>
      </c>
      <c r="DZ8" s="130">
        <f>SUMPRODUCT(--(MOD(COLUMN($BN8:$DU8),5)=MOD(COLUMN($BN8)+2,5)),$BN8:$DU8)</f>
        <v/>
      </c>
      <c r="EA8" s="187">
        <f>Автовик[[#This Row],[Цена, 
юань, без НДС 1]]*DZ8</f>
        <v/>
      </c>
      <c r="EB8" s="109">
        <f>SUMPRODUCT(--(MOD(COLUMN($BN8:$DU8),5)=MOD(COLUMN($BN8)+3,5)),$BN8:$DU8)</f>
        <v/>
      </c>
      <c r="EC8" s="188">
        <f>Автовик[[#This Row],[Цена, 
юань, без НДС 1]]*EB8</f>
        <v/>
      </c>
    </row>
    <row r="9">
      <c r="A9" s="171" t="n"/>
      <c r="B9" s="172" t="n"/>
      <c r="C9" s="173" t="inlineStr">
        <is>
          <t>TEBS</t>
        </is>
      </c>
      <c r="D9" s="173" t="inlineStr">
        <is>
          <t xml:space="preserve">TEBS 2s/2m 
12м </t>
        </is>
      </c>
      <c r="E9" s="174" t="n">
        <v>1</v>
      </c>
      <c r="F9" s="174" t="n">
        <v>5</v>
      </c>
      <c r="G9" s="174" t="n"/>
      <c r="H9" s="175" t="n">
        <v>4491731200</v>
      </c>
      <c r="I9" s="176" t="inlineStr">
        <is>
          <t>Кабель питания, 12 м</t>
        </is>
      </c>
      <c r="J9" s="909">
        <f>842.2/1.2</f>
        <v/>
      </c>
      <c r="K9" s="909" t="n"/>
      <c r="L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9" s="180">
        <f>SUMPRODUCT(--(MOD(COLUMN($L9:$BG9),4)=MOD(COLUMN($L9),4)),$L9:$BG9)</f>
        <v/>
      </c>
      <c r="BI9" s="181">
        <f>Автовик[[#This Row],[Цена, 
юань, без НДС 1]]*BH9</f>
        <v/>
      </c>
      <c r="BJ9" s="130">
        <f>SUMPRODUCT(--(MOD(COLUMN($L9:$BG9),4)=MOD(COLUMN($L9)+1,4)),$L9:$BG9)</f>
        <v/>
      </c>
      <c r="BK9" s="182">
        <f>Автовик[[#This Row],[Цена, 
юань, без НДС 1]]*BJ9</f>
        <v/>
      </c>
      <c r="BL9" s="109">
        <f>SUMPRODUCT(--(MOD(COLUMN($L9:$BG9),4)=MOD(COLUMN($L9)+2,4)),$L9:$BG9)</f>
        <v/>
      </c>
      <c r="BM9" s="183">
        <f>Автовик[[#This Row],[Цена, 
юань, без НДС 1]]*BL9</f>
        <v/>
      </c>
      <c r="BN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9" s="180">
        <f>SUMPRODUCT(--(MOD(COLUMN($BN9:$DU9),5)=MOD(COLUMN($BN9),5)),$BN9:$DU9)</f>
        <v/>
      </c>
      <c r="DW9" s="181">
        <f>Автовик[[#This Row],[Цена, 
юань, без НДС 1]]*DV9</f>
        <v/>
      </c>
      <c r="DX9" s="185">
        <f>SUMPRODUCT(--(MOD(COLUMN($BN9:$DU9),5)=MOD(COLUMN($BN9)+1,5)),$BN9:$DU9)</f>
        <v/>
      </c>
      <c r="DY9" s="186">
        <f>Автовик[[#This Row],[Цена, 
юань, без НДС 1]]*DX9</f>
        <v/>
      </c>
      <c r="DZ9" s="130">
        <f>SUMPRODUCT(--(MOD(COLUMN($BN9:$DU9),5)=MOD(COLUMN($BN9)+2,5)),$BN9:$DU9)</f>
        <v/>
      </c>
      <c r="EA9" s="187">
        <f>Автовик[[#This Row],[Цена, 
юань, без НДС 1]]*DZ9</f>
        <v/>
      </c>
      <c r="EB9" s="109">
        <f>SUMPRODUCT(--(MOD(COLUMN($BN9:$DU9),5)=MOD(COLUMN($BN9)+3,5)),$BN9:$DU9)</f>
        <v/>
      </c>
      <c r="EC9" s="188">
        <f>Автовик[[#This Row],[Цена, 
юань, без НДС 1]]*EB9</f>
        <v/>
      </c>
    </row>
    <row r="10">
      <c r="A10" s="171" t="n"/>
      <c r="B10" s="172" t="n"/>
      <c r="C10" s="173" t="inlineStr">
        <is>
          <t>TEBS</t>
        </is>
      </c>
      <c r="D10" s="173" t="inlineStr">
        <is>
          <t xml:space="preserve">TEBS 2s/2m 
12м </t>
        </is>
      </c>
      <c r="E10" s="174" t="n"/>
      <c r="F10" s="174" t="n">
        <v>6</v>
      </c>
      <c r="G10" s="174" t="n"/>
      <c r="H10" s="175" t="n">
        <v>4491731500</v>
      </c>
      <c r="I10" s="176" t="inlineStr">
        <is>
          <t>Кабель питания, 15 м</t>
        </is>
      </c>
      <c r="J10" s="909">
        <f>1090.2/1.2</f>
        <v/>
      </c>
      <c r="K10" s="909" t="n"/>
      <c r="L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1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1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10" s="180">
        <f>SUMPRODUCT(--(MOD(COLUMN($L10:$BG10),4)=MOD(COLUMN($L10),4)),$L10:$BG10)</f>
        <v/>
      </c>
      <c r="BI10" s="181">
        <f>Автовик[[#This Row],[Цена, 
юань, без НДС 1]]*BH10</f>
        <v/>
      </c>
      <c r="BJ10" s="130">
        <f>SUMPRODUCT(--(MOD(COLUMN($L10:$BG10),4)=MOD(COLUMN($L10)+1,4)),$L10:$BG10)</f>
        <v/>
      </c>
      <c r="BK10" s="182">
        <f>Автовик[[#This Row],[Цена, 
юань, без НДС 1]]*BJ10</f>
        <v/>
      </c>
      <c r="BL10" s="109">
        <f>SUMPRODUCT(--(MOD(COLUMN($L10:$BG10),4)=MOD(COLUMN($L10)+2,4)),$L10:$BG10)</f>
        <v/>
      </c>
      <c r="BM10" s="183">
        <f>Автовик[[#This Row],[Цена, 
юань, без НДС 1]]*BL10</f>
        <v/>
      </c>
      <c r="BN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1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1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10" s="180">
        <f>SUMPRODUCT(--(MOD(COLUMN($BN10:$DU10),5)=MOD(COLUMN($BN10),5)),$BN10:$DU10)</f>
        <v/>
      </c>
      <c r="DW10" s="181">
        <f>Автовик[[#This Row],[Цена, 
юань, без НДС 1]]*DV10</f>
        <v/>
      </c>
      <c r="DX10" s="185">
        <f>SUMPRODUCT(--(MOD(COLUMN($BN10:$DU10),5)=MOD(COLUMN($BN10)+1,5)),$BN10:$DU10)</f>
        <v/>
      </c>
      <c r="DY10" s="186">
        <f>Автовик[[#This Row],[Цена, 
юань, без НДС 1]]*DX10</f>
        <v/>
      </c>
      <c r="DZ10" s="130">
        <f>SUMPRODUCT(--(MOD(COLUMN($BN10:$DU10),5)=MOD(COLUMN($BN10)+2,5)),$BN10:$DU10)</f>
        <v/>
      </c>
      <c r="EA10" s="187">
        <f>Автовик[[#This Row],[Цена, 
юань, без НДС 1]]*DZ10</f>
        <v/>
      </c>
      <c r="EB10" s="109">
        <f>SUMPRODUCT(--(MOD(COLUMN($BN10:$DU10),5)=MOD(COLUMN($BN10)+3,5)),$BN10:$DU10)</f>
        <v/>
      </c>
      <c r="EC10" s="188">
        <f>Автовик[[#This Row],[Цена, 
юань, без НДС 1]]*EB10</f>
        <v/>
      </c>
    </row>
    <row r="11">
      <c r="A11" s="171" t="n"/>
      <c r="B11" s="172" t="n"/>
      <c r="C11" s="173" t="inlineStr">
        <is>
          <t>TEBS</t>
        </is>
      </c>
      <c r="D11" s="173" t="inlineStr">
        <is>
          <t xml:space="preserve">TEBS 2s/2m 
12м </t>
        </is>
      </c>
      <c r="E11" s="174" t="n"/>
      <c r="F11" s="174" t="n">
        <v>7</v>
      </c>
      <c r="G11" s="174" t="n">
        <v>2</v>
      </c>
      <c r="H11" s="175" t="n">
        <v>4493711800</v>
      </c>
      <c r="I11" s="176" t="inlineStr">
        <is>
          <t>Кабель питания, 18 м</t>
        </is>
      </c>
      <c r="J11" s="909">
        <f>908.5*0.8</f>
        <v/>
      </c>
      <c r="K11" s="909" t="n"/>
      <c r="L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1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1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11" s="180">
        <f>SUMPRODUCT(--(MOD(COLUMN($L11:$BG11),4)=MOD(COLUMN($L11),4)),$L11:$BG11)</f>
        <v/>
      </c>
      <c r="BI11" s="181">
        <f>Автовик[[#This Row],[Цена, 
юань, без НДС 1]]*BH11</f>
        <v/>
      </c>
      <c r="BJ11" s="130">
        <f>SUMPRODUCT(--(MOD(COLUMN($L11:$BG11),4)=MOD(COLUMN($L11)+1,4)),$L11:$BG11)</f>
        <v/>
      </c>
      <c r="BK11" s="182">
        <f>Автовик[[#This Row],[Цена, 
юань, без НДС 1]]*BJ11</f>
        <v/>
      </c>
      <c r="BL11" s="109">
        <f>SUMPRODUCT(--(MOD(COLUMN($L11:$BG11),4)=MOD(COLUMN($L11)+2,4)),$L11:$BG11)</f>
        <v/>
      </c>
      <c r="BM11" s="183">
        <f>Автовик[[#This Row],[Цена, 
юань, без НДС 1]]*BL11</f>
        <v/>
      </c>
      <c r="BN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1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1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11" s="180">
        <f>SUMPRODUCT(--(MOD(COLUMN($BN11:$DU11),5)=MOD(COLUMN($BN11),5)),$BN11:$DU11)</f>
        <v/>
      </c>
      <c r="DW11" s="181">
        <f>Автовик[[#This Row],[Цена, 
юань, без НДС 1]]*DV11</f>
        <v/>
      </c>
      <c r="DX11" s="185">
        <f>SUMPRODUCT(--(MOD(COLUMN($BN11:$DU11),5)=MOD(COLUMN($BN11)+1,5)),$BN11:$DU11)</f>
        <v/>
      </c>
      <c r="DY11" s="186">
        <f>Автовик[[#This Row],[Цена, 
юань, без НДС 1]]*DX11</f>
        <v/>
      </c>
      <c r="DZ11" s="130">
        <f>SUMPRODUCT(--(MOD(COLUMN($BN11:$DU11),5)=MOD(COLUMN($BN11)+2,5)),$BN11:$DU11)</f>
        <v/>
      </c>
      <c r="EA11" s="187">
        <f>Автовик[[#This Row],[Цена, 
юань, без НДС 1]]*DZ11</f>
        <v/>
      </c>
      <c r="EB11" s="109">
        <f>SUMPRODUCT(--(MOD(COLUMN($BN11:$DU11),5)=MOD(COLUMN($BN11)+3,5)),$BN11:$DU11)</f>
        <v/>
      </c>
      <c r="EC11" s="188">
        <f>Автовик[[#This Row],[Цена, 
юань, без НДС 1]]*EB11</f>
        <v/>
      </c>
    </row>
    <row r="12">
      <c r="A12" s="171" t="n"/>
      <c r="B12" s="172" t="n"/>
      <c r="C12" s="173" t="inlineStr">
        <is>
          <t>TEBS</t>
        </is>
      </c>
      <c r="D12" s="173" t="inlineStr">
        <is>
          <t xml:space="preserve">TEBS 2s/2m 
12м </t>
        </is>
      </c>
      <c r="E12" s="174" t="n"/>
      <c r="F12" s="174" t="n">
        <v>8</v>
      </c>
      <c r="G12" s="174" t="n">
        <v>2</v>
      </c>
      <c r="H12" s="175" t="n">
        <v>4460084042</v>
      </c>
      <c r="I12" s="176" t="inlineStr">
        <is>
          <t>Розетка АБС (7 контактов)</t>
        </is>
      </c>
      <c r="J12" s="909">
        <f>908.5*0.2</f>
        <v/>
      </c>
      <c r="K12" s="909" t="n"/>
      <c r="L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1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1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12" s="180">
        <f>SUMPRODUCT(--(MOD(COLUMN($L12:$BG12),4)=MOD(COLUMN($L12),4)),$L12:$BG12)</f>
        <v/>
      </c>
      <c r="BI12" s="181">
        <f>Автовик[[#This Row],[Цена, 
юань, без НДС 1]]*BH12</f>
        <v/>
      </c>
      <c r="BJ12" s="130">
        <f>SUMPRODUCT(--(MOD(COLUMN($L12:$BG12),4)=MOD(COLUMN($L12)+1,4)),$L12:$BG12)</f>
        <v/>
      </c>
      <c r="BK12" s="182">
        <f>Автовик[[#This Row],[Цена, 
юань, без НДС 1]]*BJ12</f>
        <v/>
      </c>
      <c r="BL12" s="109">
        <f>SUMPRODUCT(--(MOD(COLUMN($L12:$BG12),4)=MOD(COLUMN($L12)+2,4)),$L12:$BG12)</f>
        <v/>
      </c>
      <c r="BM12" s="183">
        <f>Автовик[[#This Row],[Цена, 
юань, без НДС 1]]*BL12</f>
        <v/>
      </c>
      <c r="BN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1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1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12" s="180">
        <f>SUMPRODUCT(--(MOD(COLUMN($BN12:$DU12),5)=MOD(COLUMN($BN12),5)),$BN12:$DU12)</f>
        <v/>
      </c>
      <c r="DW12" s="181">
        <f>Автовик[[#This Row],[Цена, 
юань, без НДС 1]]*DV12</f>
        <v/>
      </c>
      <c r="DX12" s="185">
        <f>SUMPRODUCT(--(MOD(COLUMN($BN12:$DU12),5)=MOD(COLUMN($BN12)+1,5)),$BN12:$DU12)</f>
        <v/>
      </c>
      <c r="DY12" s="186">
        <f>Автовик[[#This Row],[Цена, 
юань, без НДС 1]]*DX12</f>
        <v/>
      </c>
      <c r="DZ12" s="130">
        <f>SUMPRODUCT(--(MOD(COLUMN($BN12:$DU12),5)=MOD(COLUMN($BN12)+2,5)),$BN12:$DU12)</f>
        <v/>
      </c>
      <c r="EA12" s="187">
        <f>Автовик[[#This Row],[Цена, 
юань, без НДС 1]]*DZ12</f>
        <v/>
      </c>
      <c r="EB12" s="109">
        <f>SUMPRODUCT(--(MOD(COLUMN($BN12:$DU12),5)=MOD(COLUMN($BN12)+3,5)),$BN12:$DU12)</f>
        <v/>
      </c>
      <c r="EC12" s="188">
        <f>Автовик[[#This Row],[Цена, 
юань, без НДС 1]]*EB12</f>
        <v/>
      </c>
    </row>
    <row r="13">
      <c r="A13" s="171" t="n"/>
      <c r="B13" s="172" t="n"/>
      <c r="C13" s="173" t="inlineStr">
        <is>
          <t>TEBS</t>
        </is>
      </c>
      <c r="D13" s="173" t="inlineStr">
        <is>
          <t xml:space="preserve">TEBS 2s/2m 
12м </t>
        </is>
      </c>
      <c r="E13" s="174" t="n"/>
      <c r="F13" s="174" t="n">
        <v>9</v>
      </c>
      <c r="G13" s="174" t="n"/>
      <c r="H13" s="175" t="n">
        <v>4497230400</v>
      </c>
      <c r="I13" s="176" t="inlineStr">
        <is>
          <t>Кабель датчика, 4 м</t>
        </is>
      </c>
      <c r="J13" s="909">
        <f>71.7/1.2</f>
        <v/>
      </c>
      <c r="K13" s="909" t="n"/>
      <c r="L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1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1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13" s="180">
        <f>SUMPRODUCT(--(MOD(COLUMN($L13:$BG13),4)=MOD(COLUMN($L13),4)),$L13:$BG13)</f>
        <v/>
      </c>
      <c r="BI13" s="181">
        <f>Автовик[[#This Row],[Цена, 
юань, без НДС 1]]*BH13</f>
        <v/>
      </c>
      <c r="BJ13" s="130">
        <f>SUMPRODUCT(--(MOD(COLUMN($L13:$BG13),4)=MOD(COLUMN($L13)+1,4)),$L13:$BG13)</f>
        <v/>
      </c>
      <c r="BK13" s="182">
        <f>Автовик[[#This Row],[Цена, 
юань, без НДС 1]]*BJ13</f>
        <v/>
      </c>
      <c r="BL13" s="109">
        <f>SUMPRODUCT(--(MOD(COLUMN($L13:$BG13),4)=MOD(COLUMN($L13)+2,4)),$L13:$BG13)</f>
        <v/>
      </c>
      <c r="BM13" s="183">
        <f>Автовик[[#This Row],[Цена, 
юань, без НДС 1]]*BL13</f>
        <v/>
      </c>
      <c r="BN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1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1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13" s="180">
        <f>SUMPRODUCT(--(MOD(COLUMN($BN13:$DU13),5)=MOD(COLUMN($BN13),5)),$BN13:$DU13)</f>
        <v/>
      </c>
      <c r="DW13" s="181">
        <f>Автовик[[#This Row],[Цена, 
юань, без НДС 1]]*DV13</f>
        <v/>
      </c>
      <c r="DX13" s="185">
        <f>SUMPRODUCT(--(MOD(COLUMN($BN13:$DU13),5)=MOD(COLUMN($BN13)+1,5)),$BN13:$DU13)</f>
        <v/>
      </c>
      <c r="DY13" s="186">
        <f>Автовик[[#This Row],[Цена, 
юань, без НДС 1]]*DX13</f>
        <v/>
      </c>
      <c r="DZ13" s="130">
        <f>SUMPRODUCT(--(MOD(COLUMN($BN13:$DU13),5)=MOD(COLUMN($BN13)+2,5)),$BN13:$DU13)</f>
        <v/>
      </c>
      <c r="EA13" s="187">
        <f>Автовик[[#This Row],[Цена, 
юань, без НДС 1]]*DZ13</f>
        <v/>
      </c>
      <c r="EB13" s="109">
        <f>SUMPRODUCT(--(MOD(COLUMN($BN13:$DU13),5)=MOD(COLUMN($BN13)+3,5)),$BN13:$DU13)</f>
        <v/>
      </c>
      <c r="EC13" s="188">
        <f>Автовик[[#This Row],[Цена, 
юань, без НДС 1]]*EB13</f>
        <v/>
      </c>
    </row>
    <row r="14">
      <c r="A14" s="171" t="n"/>
      <c r="B14" s="172" t="n"/>
      <c r="C14" s="173" t="inlineStr">
        <is>
          <t>TEBS</t>
        </is>
      </c>
      <c r="D14" s="173" t="inlineStr">
        <is>
          <t xml:space="preserve">TEBS 2s/2m 
12м </t>
        </is>
      </c>
      <c r="E14" s="174" t="n">
        <v>2</v>
      </c>
      <c r="F14" s="174" t="n">
        <v>10</v>
      </c>
      <c r="G14" s="174" t="n"/>
      <c r="H14" s="175" t="n">
        <v>4497230500</v>
      </c>
      <c r="I14" s="176" t="inlineStr">
        <is>
          <t>Кабель датчика, 5 м</t>
        </is>
      </c>
      <c r="J14" s="909">
        <f>71.7/1.2</f>
        <v/>
      </c>
      <c r="K14" s="909" t="n"/>
      <c r="L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1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1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14" s="180">
        <f>SUMPRODUCT(--(MOD(COLUMN($L14:$BG14),4)=MOD(COLUMN($L14),4)),$L14:$BG14)</f>
        <v/>
      </c>
      <c r="BI14" s="181">
        <f>Автовик[[#This Row],[Цена, 
юань, без НДС 1]]*BH14</f>
        <v/>
      </c>
      <c r="BJ14" s="130">
        <f>SUMPRODUCT(--(MOD(COLUMN($L14:$BG14),4)=MOD(COLUMN($L14)+1,4)),$L14:$BG14)</f>
        <v/>
      </c>
      <c r="BK14" s="182">
        <f>Автовик[[#This Row],[Цена, 
юань, без НДС 1]]*BJ14</f>
        <v/>
      </c>
      <c r="BL14" s="109">
        <f>SUMPRODUCT(--(MOD(COLUMN($L14:$BG14),4)=MOD(COLUMN($L14)+2,4)),$L14:$BG14)</f>
        <v/>
      </c>
      <c r="BM14" s="183">
        <f>Автовик[[#This Row],[Цена, 
юань, без НДС 1]]*BL14</f>
        <v/>
      </c>
      <c r="BN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1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1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14" s="180">
        <f>SUMPRODUCT(--(MOD(COLUMN($BN14:$DU14),5)=MOD(COLUMN($BN14),5)),$BN14:$DU14)</f>
        <v/>
      </c>
      <c r="DW14" s="181">
        <f>Автовик[[#This Row],[Цена, 
юань, без НДС 1]]*DV14</f>
        <v/>
      </c>
      <c r="DX14" s="185">
        <f>SUMPRODUCT(--(MOD(COLUMN($BN14:$DU14),5)=MOD(COLUMN($BN14)+1,5)),$BN14:$DU14)</f>
        <v/>
      </c>
      <c r="DY14" s="186">
        <f>Автовик[[#This Row],[Цена, 
юань, без НДС 1]]*DX14</f>
        <v/>
      </c>
      <c r="DZ14" s="130">
        <f>SUMPRODUCT(--(MOD(COLUMN($BN14:$DU14),5)=MOD(COLUMN($BN14)+2,5)),$BN14:$DU14)</f>
        <v/>
      </c>
      <c r="EA14" s="187">
        <f>Автовик[[#This Row],[Цена, 
юань, без НДС 1]]*DZ14</f>
        <v/>
      </c>
      <c r="EB14" s="109">
        <f>SUMPRODUCT(--(MOD(COLUMN($BN14:$DU14),5)=MOD(COLUMN($BN14)+3,5)),$BN14:$DU14)</f>
        <v/>
      </c>
      <c r="EC14" s="188">
        <f>Автовик[[#This Row],[Цена, 
юань, без НДС 1]]*EB14</f>
        <v/>
      </c>
    </row>
    <row r="15">
      <c r="A15" s="171" t="n"/>
      <c r="B15" s="172" t="n"/>
      <c r="C15" s="173" t="inlineStr">
        <is>
          <t>TEBS</t>
        </is>
      </c>
      <c r="D15" s="173" t="inlineStr">
        <is>
          <t xml:space="preserve">TEBS 2s/2m 
12м </t>
        </is>
      </c>
      <c r="E15" s="174" t="n">
        <v>1</v>
      </c>
      <c r="F15" s="174" t="n">
        <v>11</v>
      </c>
      <c r="G15" s="174" t="n"/>
      <c r="H15" s="175" t="n">
        <v>4640061000</v>
      </c>
      <c r="I15" s="176" t="inlineStr">
        <is>
          <t>Кран уровня пола, 5-ти портовый</t>
        </is>
      </c>
      <c r="J15" s="909">
        <f>584/1.2</f>
        <v/>
      </c>
      <c r="K15" s="909" t="n"/>
      <c r="L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1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15" s="180">
        <f>SUMPRODUCT(--(MOD(COLUMN($L15:$BG15),4)=MOD(COLUMN($L15),4)),$L15:$BG15)</f>
        <v/>
      </c>
      <c r="BI15" s="181">
        <f>Автовик[[#This Row],[Цена, 
юань, без НДС 1]]*BH15</f>
        <v/>
      </c>
      <c r="BJ15" s="130">
        <f>SUMPRODUCT(--(MOD(COLUMN($L15:$BG15),4)=MOD(COLUMN($L15)+1,4)),$L15:$BG15)</f>
        <v/>
      </c>
      <c r="BK15" s="182">
        <f>Автовик[[#This Row],[Цена, 
юань, без НДС 1]]*BJ15</f>
        <v/>
      </c>
      <c r="BL15" s="109">
        <f>SUMPRODUCT(--(MOD(COLUMN($L15:$BG15),4)=MOD(COLUMN($L15)+2,4)),$L15:$BG15)</f>
        <v/>
      </c>
      <c r="BM15" s="183">
        <f>Автовик[[#This Row],[Цена, 
юань, без НДС 1]]*BL15</f>
        <v/>
      </c>
      <c r="BN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1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15" s="180">
        <f>SUMPRODUCT(--(MOD(COLUMN($BN15:$DU15),5)=MOD(COLUMN($BN15),5)),$BN15:$DU15)</f>
        <v/>
      </c>
      <c r="DW15" s="181">
        <f>Автовик[[#This Row],[Цена, 
юань, без НДС 1]]*DV15</f>
        <v/>
      </c>
      <c r="DX15" s="185">
        <f>SUMPRODUCT(--(MOD(COLUMN($BN15:$DU15),5)=MOD(COLUMN($BN15)+1,5)),$BN15:$DU15)</f>
        <v/>
      </c>
      <c r="DY15" s="186">
        <f>Автовик[[#This Row],[Цена, 
юань, без НДС 1]]*DX15</f>
        <v/>
      </c>
      <c r="DZ15" s="130">
        <f>SUMPRODUCT(--(MOD(COLUMN($BN15:$DU15),5)=MOD(COLUMN($BN15)+2,5)),$BN15:$DU15)</f>
        <v/>
      </c>
      <c r="EA15" s="187">
        <f>Автовик[[#This Row],[Цена, 
юань, без НДС 1]]*DZ15</f>
        <v/>
      </c>
      <c r="EB15" s="109">
        <f>SUMPRODUCT(--(MOD(COLUMN($BN15:$DU15),5)=MOD(COLUMN($BN15)+3,5)),$BN15:$DU15)</f>
        <v/>
      </c>
      <c r="EC15" s="188">
        <f>Автовик[[#This Row],[Цена, 
юань, без НДС 1]]*EB15</f>
        <v/>
      </c>
    </row>
    <row r="16">
      <c r="A16" s="171" t="n"/>
      <c r="B16" s="172" t="n"/>
      <c r="C16" s="173" t="inlineStr">
        <is>
          <t>TEBS</t>
        </is>
      </c>
      <c r="D16" s="173" t="inlineStr">
        <is>
          <t xml:space="preserve">TEBS 2s/2m 
12м </t>
        </is>
      </c>
      <c r="E16" s="174" t="n">
        <v>1</v>
      </c>
      <c r="F16" s="174" t="n">
        <v>12</v>
      </c>
      <c r="G16" s="174" t="n"/>
      <c r="H16" s="175" t="n">
        <v>4630320200</v>
      </c>
      <c r="I16" s="176" t="inlineStr">
        <is>
          <t>Кран ручного управления</t>
        </is>
      </c>
      <c r="J16" s="909">
        <f>537.4/1.2</f>
        <v/>
      </c>
      <c r="K16" s="909" t="n"/>
      <c r="L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1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16" s="180">
        <f>SUMPRODUCT(--(MOD(COLUMN($L16:$BG16),4)=MOD(COLUMN($L16),4)),$L16:$BG16)</f>
        <v/>
      </c>
      <c r="BI16" s="181">
        <f>Автовик[[#This Row],[Цена, 
юань, без НДС 1]]*BH16</f>
        <v/>
      </c>
      <c r="BJ16" s="130">
        <f>SUMPRODUCT(--(MOD(COLUMN($L16:$BG16),4)=MOD(COLUMN($L16)+1,4)),$L16:$BG16)</f>
        <v/>
      </c>
      <c r="BK16" s="182">
        <f>Автовик[[#This Row],[Цена, 
юань, без НДС 1]]*BJ16</f>
        <v/>
      </c>
      <c r="BL16" s="109">
        <f>SUMPRODUCT(--(MOD(COLUMN($L16:$BG16),4)=MOD(COLUMN($L16)+2,4)),$L16:$BG16)</f>
        <v/>
      </c>
      <c r="BM16" s="183">
        <f>Автовик[[#This Row],[Цена, 
юань, без НДС 1]]*BL16</f>
        <v/>
      </c>
      <c r="BN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1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16" s="180">
        <f>SUMPRODUCT(--(MOD(COLUMN($BN16:$DU16),5)=MOD(COLUMN($BN16),5)),$BN16:$DU16)</f>
        <v/>
      </c>
      <c r="DW16" s="181">
        <f>Автовик[[#This Row],[Цена, 
юань, без НДС 1]]*DV16</f>
        <v/>
      </c>
      <c r="DX16" s="185">
        <f>SUMPRODUCT(--(MOD(COLUMN($BN16:$DU16),5)=MOD(COLUMN($BN16)+1,5)),$BN16:$DU16)</f>
        <v/>
      </c>
      <c r="DY16" s="186">
        <f>Автовик[[#This Row],[Цена, 
юань, без НДС 1]]*DX16</f>
        <v/>
      </c>
      <c r="DZ16" s="130">
        <f>SUMPRODUCT(--(MOD(COLUMN($BN16:$DU16),5)=MOD(COLUMN($BN16)+2,5)),$BN16:$DU16)</f>
        <v/>
      </c>
      <c r="EA16" s="187">
        <f>Автовик[[#This Row],[Цена, 
юань, без НДС 1]]*DZ16</f>
        <v/>
      </c>
      <c r="EB16" s="109">
        <f>SUMPRODUCT(--(MOD(COLUMN($BN16:$DU16),5)=MOD(COLUMN($BN16)+3,5)),$BN16:$DU16)</f>
        <v/>
      </c>
      <c r="EC16" s="188">
        <f>Автовик[[#This Row],[Цена, 
юань, без НДС 1]]*EB16</f>
        <v/>
      </c>
    </row>
    <row r="17">
      <c r="A17" s="171" t="n"/>
      <c r="B17" s="172" t="n"/>
      <c r="C17" s="173" t="inlineStr">
        <is>
          <t>TEBS</t>
        </is>
      </c>
      <c r="D17" s="173" t="inlineStr">
        <is>
          <t xml:space="preserve">TEBS 2s/2m 
12м </t>
        </is>
      </c>
      <c r="E17" s="174" t="n"/>
      <c r="F17" s="174" t="n">
        <v>13</v>
      </c>
      <c r="G17" s="174" t="n"/>
      <c r="H17" s="175" t="inlineStr">
        <is>
          <t>PRO0320200</t>
        </is>
      </c>
      <c r="I17" s="176" t="inlineStr">
        <is>
          <t>Кран ручного управления</t>
        </is>
      </c>
      <c r="J17" s="909" t="n">
        <v>447.8333333333333</v>
      </c>
      <c r="K17" s="909" t="n"/>
      <c r="L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1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17" s="180">
        <f>SUMPRODUCT(--(MOD(COLUMN($L17:$BG17),4)=MOD(COLUMN($L17),4)),$L17:$BG17)</f>
        <v/>
      </c>
      <c r="BI17" s="181">
        <f>Автовик[[#This Row],[Цена, 
юань, без НДС 1]]*BH17</f>
        <v/>
      </c>
      <c r="BJ17" s="130">
        <f>SUMPRODUCT(--(MOD(COLUMN($L17:$BG17),4)=MOD(COLUMN($L17)+1,4)),$L17:$BG17)</f>
        <v/>
      </c>
      <c r="BK17" s="182">
        <f>Автовик[[#This Row],[Цена, 
юань, без НДС 1]]*BJ17</f>
        <v/>
      </c>
      <c r="BL17" s="109">
        <f>SUMPRODUCT(--(MOD(COLUMN($L17:$BG17),4)=MOD(COLUMN($L17)+2,4)),$L17:$BG17)</f>
        <v/>
      </c>
      <c r="BM17" s="183">
        <f>Автовик[[#This Row],[Цена, 
юань, без НДС 1]]*BL17</f>
        <v/>
      </c>
      <c r="BN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1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17" s="180">
        <f>SUMPRODUCT(--(MOD(COLUMN($BN17:$DU17),5)=MOD(COLUMN($BN17),5)),$BN17:$DU17)</f>
        <v/>
      </c>
      <c r="DW17" s="181">
        <f>Автовик[[#This Row],[Цена, 
юань, без НДС 1]]*DV17</f>
        <v/>
      </c>
      <c r="DX17" s="185">
        <f>SUMPRODUCT(--(MOD(COLUMN($BN17:$DU17),5)=MOD(COLUMN($BN17)+1,5)),$BN17:$DU17)</f>
        <v/>
      </c>
      <c r="DY17" s="186">
        <f>Автовик[[#This Row],[Цена, 
юань, без НДС 1]]*DX17</f>
        <v/>
      </c>
      <c r="DZ17" s="130">
        <f>SUMPRODUCT(--(MOD(COLUMN($BN17:$DU17),5)=MOD(COLUMN($BN17)+2,5)),$BN17:$DU17)</f>
        <v/>
      </c>
      <c r="EA17" s="187">
        <f>Автовик[[#This Row],[Цена, 
юань, без НДС 1]]*DZ17</f>
        <v/>
      </c>
      <c r="EB17" s="109">
        <f>SUMPRODUCT(--(MOD(COLUMN($BN17:$DU17),5)=MOD(COLUMN($BN17)+3,5)),$BN17:$DU17)</f>
        <v/>
      </c>
      <c r="EC17" s="188">
        <f>Автовик[[#This Row],[Цена, 
юань, без НДС 1]]*EB17</f>
        <v/>
      </c>
    </row>
    <row r="18">
      <c r="A18" s="171" t="n"/>
      <c r="B18" s="172" t="n"/>
      <c r="C18" s="173" t="inlineStr">
        <is>
          <t>TEBS</t>
        </is>
      </c>
      <c r="D18" s="173" t="inlineStr">
        <is>
          <t xml:space="preserve">TEBS 2s/2m 
12м </t>
        </is>
      </c>
      <c r="E18" s="174" t="n">
        <v>1</v>
      </c>
      <c r="F18" s="174" t="n">
        <v>14</v>
      </c>
      <c r="G18" s="174" t="n"/>
      <c r="H18" s="175" t="n">
        <v>4334010030</v>
      </c>
      <c r="I18" s="176" t="inlineStr">
        <is>
          <t>Упругий элемент</t>
        </is>
      </c>
      <c r="J18" s="909">
        <f>41.9/1.2</f>
        <v/>
      </c>
      <c r="K18" s="909" t="n"/>
      <c r="L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1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18" s="180">
        <f>SUMPRODUCT(--(MOD(COLUMN($L18:$BG18),4)=MOD(COLUMN($L18),4)),$L18:$BG18)</f>
        <v/>
      </c>
      <c r="BI18" s="181">
        <f>Автовик[[#This Row],[Цена, 
юань, без НДС 1]]*BH18</f>
        <v/>
      </c>
      <c r="BJ18" s="130">
        <f>SUMPRODUCT(--(MOD(COLUMN($L18:$BG18),4)=MOD(COLUMN($L18)+1,4)),$L18:$BG18)</f>
        <v/>
      </c>
      <c r="BK18" s="182">
        <f>Автовик[[#This Row],[Цена, 
юань, без НДС 1]]*BJ18</f>
        <v/>
      </c>
      <c r="BL18" s="109">
        <f>SUMPRODUCT(--(MOD(COLUMN($L18:$BG18),4)=MOD(COLUMN($L18)+2,4)),$L18:$BG18)</f>
        <v/>
      </c>
      <c r="BM18" s="183">
        <f>Автовик[[#This Row],[Цена, 
юань, без НДС 1]]*BL18</f>
        <v/>
      </c>
      <c r="BN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1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18" s="180">
        <f>SUMPRODUCT(--(MOD(COLUMN($BN18:$DU18),5)=MOD(COLUMN($BN18),5)),$BN18:$DU18)</f>
        <v/>
      </c>
      <c r="DW18" s="181">
        <f>Автовик[[#This Row],[Цена, 
юань, без НДС 1]]*DV18</f>
        <v/>
      </c>
      <c r="DX18" s="185">
        <f>SUMPRODUCT(--(MOD(COLUMN($BN18:$DU18),5)=MOD(COLUMN($BN18)+1,5)),$BN18:$DU18)</f>
        <v/>
      </c>
      <c r="DY18" s="186">
        <f>Автовик[[#This Row],[Цена, 
юань, без НДС 1]]*DX18</f>
        <v/>
      </c>
      <c r="DZ18" s="130">
        <f>SUMPRODUCT(--(MOD(COLUMN($BN18:$DU18),5)=MOD(COLUMN($BN18)+2,5)),$BN18:$DU18)</f>
        <v/>
      </c>
      <c r="EA18" s="187">
        <f>Автовик[[#This Row],[Цена, 
юань, без НДС 1]]*DZ18</f>
        <v/>
      </c>
      <c r="EB18" s="109">
        <f>SUMPRODUCT(--(MOD(COLUMN($BN18:$DU18),5)=MOD(COLUMN($BN18)+3,5)),$BN18:$DU18)</f>
        <v/>
      </c>
      <c r="EC18" s="188">
        <f>Автовик[[#This Row],[Цена, 
юань, без НДС 1]]*EB18</f>
        <v/>
      </c>
    </row>
    <row r="19">
      <c r="A19" s="171" t="n"/>
      <c r="B19" s="172" t="n"/>
      <c r="C19" s="173" t="inlineStr">
        <is>
          <t>TEBS</t>
        </is>
      </c>
      <c r="D19" s="173" t="inlineStr">
        <is>
          <t>LACV</t>
        </is>
      </c>
      <c r="E19" s="174" t="n">
        <v>1</v>
      </c>
      <c r="F19" s="174" t="n">
        <v>15</v>
      </c>
      <c r="G19" s="174" t="n"/>
      <c r="H19" s="175" t="n">
        <v>4630840310</v>
      </c>
      <c r="I19" s="176" t="inlineStr">
        <is>
          <t>Клапан управления подъемом оси (LACV)</t>
        </is>
      </c>
      <c r="J19" s="909">
        <f>550.4/1.2</f>
        <v/>
      </c>
      <c r="K19" s="909" t="n"/>
      <c r="L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1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19" s="180">
        <f>SUMPRODUCT(--(MOD(COLUMN($L19:$BG19),4)=MOD(COLUMN($L19),4)),$L19:$BG19)</f>
        <v/>
      </c>
      <c r="BI19" s="181">
        <f>Автовик[[#This Row],[Цена, 
юань, без НДС 1]]*BH19</f>
        <v/>
      </c>
      <c r="BJ19" s="130">
        <f>SUMPRODUCT(--(MOD(COLUMN($L19:$BG19),4)=MOD(COLUMN($L19)+1,4)),$L19:$BG19)</f>
        <v/>
      </c>
      <c r="BK19" s="182">
        <f>Автовик[[#This Row],[Цена, 
юань, без НДС 1]]*BJ19</f>
        <v/>
      </c>
      <c r="BL19" s="109">
        <f>SUMPRODUCT(--(MOD(COLUMN($L19:$BG19),4)=MOD(COLUMN($L19)+2,4)),$L19:$BG19)</f>
        <v/>
      </c>
      <c r="BM19" s="183">
        <f>Автовик[[#This Row],[Цена, 
юань, без НДС 1]]*BL19</f>
        <v/>
      </c>
      <c r="BN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1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19" s="180">
        <f>SUMPRODUCT(--(MOD(COLUMN($BN19:$DU19),5)=MOD(COLUMN($BN19),5)),$BN19:$DU19)</f>
        <v/>
      </c>
      <c r="DW19" s="181">
        <f>Автовик[[#This Row],[Цена, 
юань, без НДС 1]]*DV19</f>
        <v/>
      </c>
      <c r="DX19" s="185">
        <f>SUMPRODUCT(--(MOD(COLUMN($BN19:$DU19),5)=MOD(COLUMN($BN19)+1,5)),$BN19:$DU19)</f>
        <v/>
      </c>
      <c r="DY19" s="186">
        <f>Автовик[[#This Row],[Цена, 
юань, без НДС 1]]*DX19</f>
        <v/>
      </c>
      <c r="DZ19" s="130">
        <f>SUMPRODUCT(--(MOD(COLUMN($BN19:$DU19),5)=MOD(COLUMN($BN19)+2,5)),$BN19:$DU19)</f>
        <v/>
      </c>
      <c r="EA19" s="187">
        <f>Автовик[[#This Row],[Цена, 
юань, без НДС 1]]*DZ19</f>
        <v/>
      </c>
      <c r="EB19" s="109">
        <f>SUMPRODUCT(--(MOD(COLUMN($BN19:$DU19),5)=MOD(COLUMN($BN19)+3,5)),$BN19:$DU19)</f>
        <v/>
      </c>
      <c r="EC19" s="188">
        <f>Автовик[[#This Row],[Цена, 
юань, без НДС 1]]*EB19</f>
        <v/>
      </c>
    </row>
    <row r="20">
      <c r="A20" s="171" t="n"/>
      <c r="B20" s="172" t="n"/>
      <c r="C20" s="173" t="inlineStr">
        <is>
          <t>TEBS</t>
        </is>
      </c>
      <c r="D20" s="173" t="inlineStr">
        <is>
          <t>LACV</t>
        </is>
      </c>
      <c r="E20" s="174" t="n"/>
      <c r="F20" s="174" t="n">
        <v>16</v>
      </c>
      <c r="G20" s="174" t="n"/>
      <c r="H20" s="175" t="n">
        <v>4494430400</v>
      </c>
      <c r="I20" s="176" t="inlineStr">
        <is>
          <t>Кабель клапана управления подъемом оси, 4 м</t>
        </is>
      </c>
      <c r="J20" s="910">
        <f>164.1/1.2</f>
        <v/>
      </c>
      <c r="K20" s="909" t="n"/>
      <c r="L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2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2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20" s="180">
        <f>SUMPRODUCT(--(MOD(COLUMN($L20:$BG20),4)=MOD(COLUMN($L20),4)),$L20:$BG20)</f>
        <v/>
      </c>
      <c r="BI20" s="181">
        <f>Автовик[[#This Row],[Цена, 
юань, без НДС 1]]*BH20</f>
        <v/>
      </c>
      <c r="BJ20" s="130">
        <f>SUMPRODUCT(--(MOD(COLUMN($L20:$BG20),4)=MOD(COLUMN($L20)+1,4)),$L20:$BG20)</f>
        <v/>
      </c>
      <c r="BK20" s="182">
        <f>Автовик[[#This Row],[Цена, 
юань, без НДС 1]]*BJ20</f>
        <v/>
      </c>
      <c r="BL20" s="109">
        <f>SUMPRODUCT(--(MOD(COLUMN($L20:$BG20),4)=MOD(COLUMN($L20)+2,4)),$L20:$BG20)</f>
        <v/>
      </c>
      <c r="BM20" s="183">
        <f>Автовик[[#This Row],[Цена, 
юань, без НДС 1]]*BL20</f>
        <v/>
      </c>
      <c r="BN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2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2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20" s="180">
        <f>SUMPRODUCT(--(MOD(COLUMN($BN20:$DU20),5)=MOD(COLUMN($BN20),5)),$BN20:$DU20)</f>
        <v/>
      </c>
      <c r="DW20" s="181">
        <f>Автовик[[#This Row],[Цена, 
юань, без НДС 1]]*DV20</f>
        <v/>
      </c>
      <c r="DX20" s="185">
        <f>SUMPRODUCT(--(MOD(COLUMN($BN20:$DU20),5)=MOD(COLUMN($BN20)+1,5)),$BN20:$DU20)</f>
        <v/>
      </c>
      <c r="DY20" s="186">
        <f>Автовик[[#This Row],[Цена, 
юань, без НДС 1]]*DX20</f>
        <v/>
      </c>
      <c r="DZ20" s="130">
        <f>SUMPRODUCT(--(MOD(COLUMN($BN20:$DU20),5)=MOD(COLUMN($BN20)+2,5)),$BN20:$DU20)</f>
        <v/>
      </c>
      <c r="EA20" s="187">
        <f>Автовик[[#This Row],[Цена, 
юань, без НДС 1]]*DZ20</f>
        <v/>
      </c>
      <c r="EB20" s="109">
        <f>SUMPRODUCT(--(MOD(COLUMN($BN20:$DU20),5)=MOD(COLUMN($BN20)+3,5)),$BN20:$DU20)</f>
        <v/>
      </c>
      <c r="EC20" s="188">
        <f>Автовик[[#This Row],[Цена, 
юань, без НДС 1]]*EB20</f>
        <v/>
      </c>
    </row>
    <row r="21">
      <c r="A21" s="171" t="n"/>
      <c r="B21" s="172" t="n"/>
      <c r="C21" s="173" t="inlineStr">
        <is>
          <t>TEBS</t>
        </is>
      </c>
      <c r="D21" s="173" t="inlineStr">
        <is>
          <t>LACV</t>
        </is>
      </c>
      <c r="E21" s="174" t="n">
        <v>1</v>
      </c>
      <c r="F21" s="174" t="n">
        <v>17</v>
      </c>
      <c r="G21" s="174" t="n"/>
      <c r="H21" s="175" t="n">
        <v>4494430600</v>
      </c>
      <c r="I21" s="176" t="inlineStr">
        <is>
          <t>Кабель клапана управления подъемом оси, 6 м</t>
        </is>
      </c>
      <c r="J21" s="909">
        <f>174.6/1.2</f>
        <v/>
      </c>
      <c r="K21" s="909" t="n"/>
      <c r="L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2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21" s="180">
        <f>SUMPRODUCT(--(MOD(COLUMN($L21:$BG21),4)=MOD(COLUMN($L21),4)),$L21:$BG21)</f>
        <v/>
      </c>
      <c r="BI21" s="181">
        <f>Автовик[[#This Row],[Цена, 
юань, без НДС 1]]*BH21</f>
        <v/>
      </c>
      <c r="BJ21" s="130">
        <f>SUMPRODUCT(--(MOD(COLUMN($L21:$BG21),4)=MOD(COLUMN($L21)+1,4)),$L21:$BG21)</f>
        <v/>
      </c>
      <c r="BK21" s="182">
        <f>Автовик[[#This Row],[Цена, 
юань, без НДС 1]]*BJ21</f>
        <v/>
      </c>
      <c r="BL21" s="109">
        <f>SUMPRODUCT(--(MOD(COLUMN($L21:$BG21),4)=MOD(COLUMN($L21)+2,4)),$L21:$BG21)</f>
        <v/>
      </c>
      <c r="BM21" s="183">
        <f>Автовик[[#This Row],[Цена, 
юань, без НДС 1]]*BL21</f>
        <v/>
      </c>
      <c r="BN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2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21" s="180">
        <f>SUMPRODUCT(--(MOD(COLUMN($BN21:$DU21),5)=MOD(COLUMN($BN21),5)),$BN21:$DU21)</f>
        <v/>
      </c>
      <c r="DW21" s="181">
        <f>Автовик[[#This Row],[Цена, 
юань, без НДС 1]]*DV21</f>
        <v/>
      </c>
      <c r="DX21" s="185">
        <f>SUMPRODUCT(--(MOD(COLUMN($BN21:$DU21),5)=MOD(COLUMN($BN21)+1,5)),$BN21:$DU21)</f>
        <v/>
      </c>
      <c r="DY21" s="186">
        <f>Автовик[[#This Row],[Цена, 
юань, без НДС 1]]*DX21</f>
        <v/>
      </c>
      <c r="DZ21" s="130">
        <f>SUMPRODUCT(--(MOD(COLUMN($BN21:$DU21),5)=MOD(COLUMN($BN21)+2,5)),$BN21:$DU21)</f>
        <v/>
      </c>
      <c r="EA21" s="187">
        <f>Автовик[[#This Row],[Цена, 
юань, без НДС 1]]*DZ21</f>
        <v/>
      </c>
      <c r="EB21" s="109">
        <f>SUMPRODUCT(--(MOD(COLUMN($BN21:$DU21),5)=MOD(COLUMN($BN21)+3,5)),$BN21:$DU21)</f>
        <v/>
      </c>
      <c r="EC21" s="188">
        <f>Автовик[[#This Row],[Цена, 
юань, без НДС 1]]*EB21</f>
        <v/>
      </c>
    </row>
    <row r="22">
      <c r="A22" s="171" t="n"/>
      <c r="B22" s="172" t="n"/>
      <c r="C22" s="173" t="inlineStr">
        <is>
          <t>TABS W</t>
        </is>
      </c>
      <c r="D22" s="173" t="inlineStr">
        <is>
          <t>TABS 2s/2m 12м W</t>
        </is>
      </c>
      <c r="E22" s="174" t="n">
        <v>1</v>
      </c>
      <c r="F22" s="174" t="n">
        <v>18</v>
      </c>
      <c r="G22" s="190" t="n">
        <v>2</v>
      </c>
      <c r="H22" s="191" t="n">
        <v>4005000880</v>
      </c>
      <c r="I22" s="192" t="inlineStr">
        <is>
          <t>Модулятор ABS</t>
        </is>
      </c>
      <c r="J22" s="909">
        <f>2906.4/1.2</f>
        <v/>
      </c>
      <c r="K22" s="910" t="n"/>
      <c r="L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22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2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22" s="180">
        <f>SUMPRODUCT(--(MOD(COLUMN($L22:$BG22),4)=MOD(COLUMN($L22),4)),$L22:$BG22)</f>
        <v/>
      </c>
      <c r="BI22" s="181">
        <f>Автовик[[#This Row],[Цена, 
юань, без НДС 1]]*BH22</f>
        <v/>
      </c>
      <c r="BJ22" s="130">
        <f>SUMPRODUCT(--(MOD(COLUMN($L22:$BG22),4)=MOD(COLUMN($L22)+1,4)),$L22:$BG22)</f>
        <v/>
      </c>
      <c r="BK22" s="182">
        <f>Автовик[[#This Row],[Цена, 
юань, без НДС 1]]*BJ22</f>
        <v/>
      </c>
      <c r="BL22" s="109">
        <f>SUMPRODUCT(--(MOD(COLUMN($L22:$BG22),4)=MOD(COLUMN($L22)+2,4)),$L22:$BG22)</f>
        <v/>
      </c>
      <c r="BM22" s="183">
        <f>Автовик[[#This Row],[Цена, 
юань, без НДС 1]]*BL22</f>
        <v/>
      </c>
      <c r="BN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22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2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22" s="180">
        <f>SUMPRODUCT(--(MOD(COLUMN($BN22:$DU22),5)=MOD(COLUMN($BN22),5)),$BN22:$DU22)</f>
        <v/>
      </c>
      <c r="DW22" s="181">
        <f>Автовик[[#This Row],[Цена, 
юань, без НДС 1]]*DV22</f>
        <v/>
      </c>
      <c r="DX22" s="185">
        <f>SUMPRODUCT(--(MOD(COLUMN($BN22:$DU22),5)=MOD(COLUMN($BN22)+1,5)),$BN22:$DU22)</f>
        <v/>
      </c>
      <c r="DY22" s="186">
        <f>Автовик[[#This Row],[Цена, 
юань, без НДС 1]]*DX22</f>
        <v/>
      </c>
      <c r="DZ22" s="130">
        <f>SUMPRODUCT(--(MOD(COLUMN($BN22:$DU22),5)=MOD(COLUMN($BN22)+2,5)),$BN22:$DU22)</f>
        <v/>
      </c>
      <c r="EA22" s="187">
        <f>Автовик[[#This Row],[Цена, 
юань, без НДС 1]]*DZ22</f>
        <v/>
      </c>
      <c r="EB22" s="109">
        <f>SUMPRODUCT(--(MOD(COLUMN($BN22:$DU22),5)=MOD(COLUMN($BN22)+3,5)),$BN22:$DU22)</f>
        <v/>
      </c>
      <c r="EC22" s="188">
        <f>Автовик[[#This Row],[Цена, 
юань, без НДС 1]]*EB22</f>
        <v/>
      </c>
    </row>
    <row r="23">
      <c r="A23" s="171" t="n"/>
      <c r="B23" s="172" t="n"/>
      <c r="C23" s="173" t="inlineStr">
        <is>
          <t>TABS W</t>
        </is>
      </c>
      <c r="D23" s="173" t="inlineStr">
        <is>
          <t>TABS 2s/2m 12м W</t>
        </is>
      </c>
      <c r="E23" s="174" t="n"/>
      <c r="F23" s="174" t="n">
        <v>19</v>
      </c>
      <c r="G23" s="190" t="n">
        <v>2</v>
      </c>
      <c r="H23" s="191" t="n">
        <v>4005000810</v>
      </c>
      <c r="I23" s="192" t="inlineStr">
        <is>
          <t>Модулятор ABS</t>
        </is>
      </c>
      <c r="J23" s="909">
        <f>2906.4/1.2</f>
        <v/>
      </c>
      <c r="K23" s="910" t="n"/>
      <c r="L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23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2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23" s="180">
        <f>SUMPRODUCT(--(MOD(COLUMN($L23:$BG23),4)=MOD(COLUMN($L23),4)),$L23:$BG23)</f>
        <v/>
      </c>
      <c r="BI23" s="181">
        <f>Автовик[[#This Row],[Цена, 
юань, без НДС 1]]*BH23</f>
        <v/>
      </c>
      <c r="BJ23" s="130">
        <f>SUMPRODUCT(--(MOD(COLUMN($L23:$BG23),4)=MOD(COLUMN($L23)+1,4)),$L23:$BG23)</f>
        <v/>
      </c>
      <c r="BK23" s="182">
        <f>Автовик[[#This Row],[Цена, 
юань, без НДС 1]]*BJ23</f>
        <v/>
      </c>
      <c r="BL23" s="109">
        <f>SUMPRODUCT(--(MOD(COLUMN($L23:$BG23),4)=MOD(COLUMN($L23)+2,4)),$L23:$BG23)</f>
        <v/>
      </c>
      <c r="BM23" s="183">
        <f>Автовик[[#This Row],[Цена, 
юань, без НДС 1]]*BL23</f>
        <v/>
      </c>
      <c r="BN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23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2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23" s="180">
        <f>SUMPRODUCT(--(MOD(COLUMN($BN23:$DU23),5)=MOD(COLUMN($BN23),5)),$BN23:$DU23)</f>
        <v/>
      </c>
      <c r="DW23" s="181">
        <f>Автовик[[#This Row],[Цена, 
юань, без НДС 1]]*DV23</f>
        <v/>
      </c>
      <c r="DX23" s="185">
        <f>SUMPRODUCT(--(MOD(COLUMN($BN23:$DU23),5)=MOD(COLUMN($BN23)+1,5)),$BN23:$DU23)</f>
        <v/>
      </c>
      <c r="DY23" s="186">
        <f>Автовик[[#This Row],[Цена, 
юань, без НДС 1]]*DX23</f>
        <v/>
      </c>
      <c r="DZ23" s="130">
        <f>SUMPRODUCT(--(MOD(COLUMN($BN23:$DU23),5)=MOD(COLUMN($BN23)+2,5)),$BN23:$DU23)</f>
        <v/>
      </c>
      <c r="EA23" s="187">
        <f>Автовик[[#This Row],[Цена, 
юань, без НДС 1]]*DZ23</f>
        <v/>
      </c>
      <c r="EB23" s="109">
        <f>SUMPRODUCT(--(MOD(COLUMN($BN23:$DU23),5)=MOD(COLUMN($BN23)+3,5)),$BN23:$DU23)</f>
        <v/>
      </c>
      <c r="EC23" s="188">
        <f>Автовик[[#This Row],[Цена, 
юань, без НДС 1]]*EB23</f>
        <v/>
      </c>
    </row>
    <row r="24">
      <c r="A24" s="171" t="n"/>
      <c r="B24" s="172" t="n"/>
      <c r="C24" s="173" t="inlineStr">
        <is>
          <t>TABS W</t>
        </is>
      </c>
      <c r="D24" s="173" t="inlineStr">
        <is>
          <t>TABS 2s/2m 12м W</t>
        </is>
      </c>
      <c r="E24" s="174" t="n">
        <v>1</v>
      </c>
      <c r="F24" s="174" t="n">
        <v>20</v>
      </c>
      <c r="G24" s="190" t="n">
        <v>2</v>
      </c>
      <c r="H24" s="191" t="n">
        <v>4493702820</v>
      </c>
      <c r="I24" s="192" t="inlineStr">
        <is>
          <t>Кабель питания ABS, часть 1</t>
        </is>
      </c>
      <c r="J24" s="909">
        <f>228.1/1.2</f>
        <v/>
      </c>
      <c r="K24" s="910" t="n"/>
      <c r="L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24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2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24" s="180">
        <f>SUMPRODUCT(--(MOD(COLUMN($L24:$BG24),4)=MOD(COLUMN($L24),4)),$L24:$BG24)</f>
        <v/>
      </c>
      <c r="BI24" s="181">
        <f>Автовик[[#This Row],[Цена, 
юань, без НДС 1]]*BH24</f>
        <v/>
      </c>
      <c r="BJ24" s="130">
        <f>SUMPRODUCT(--(MOD(COLUMN($L24:$BG24),4)=MOD(COLUMN($L24)+1,4)),$L24:$BG24)</f>
        <v/>
      </c>
      <c r="BK24" s="182">
        <f>Автовик[[#This Row],[Цена, 
юань, без НДС 1]]*BJ24</f>
        <v/>
      </c>
      <c r="BL24" s="109">
        <f>SUMPRODUCT(--(MOD(COLUMN($L24:$BG24),4)=MOD(COLUMN($L24)+2,4)),$L24:$BG24)</f>
        <v/>
      </c>
      <c r="BM24" s="183">
        <f>Автовик[[#This Row],[Цена, 
юань, без НДС 1]]*BL24</f>
        <v/>
      </c>
      <c r="BN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24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2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24" s="180">
        <f>SUMPRODUCT(--(MOD(COLUMN($BN24:$DU24),5)=MOD(COLUMN($BN24),5)),$BN24:$DU24)</f>
        <v/>
      </c>
      <c r="DW24" s="181">
        <f>Автовик[[#This Row],[Цена, 
юань, без НДС 1]]*DV24</f>
        <v/>
      </c>
      <c r="DX24" s="185">
        <f>SUMPRODUCT(--(MOD(COLUMN($BN24:$DU24),5)=MOD(COLUMN($BN24)+1,5)),$BN24:$DU24)</f>
        <v/>
      </c>
      <c r="DY24" s="186">
        <f>Автовик[[#This Row],[Цена, 
юань, без НДС 1]]*DX24</f>
        <v/>
      </c>
      <c r="DZ24" s="130">
        <f>SUMPRODUCT(--(MOD(COLUMN($BN24:$DU24),5)=MOD(COLUMN($BN24)+2,5)),$BN24:$DU24)</f>
        <v/>
      </c>
      <c r="EA24" s="187">
        <f>Автовик[[#This Row],[Цена, 
юань, без НДС 1]]*DZ24</f>
        <v/>
      </c>
      <c r="EB24" s="109">
        <f>SUMPRODUCT(--(MOD(COLUMN($BN24:$DU24),5)=MOD(COLUMN($BN24)+3,5)),$BN24:$DU24)</f>
        <v/>
      </c>
      <c r="EC24" s="188">
        <f>Автовик[[#This Row],[Цена, 
юань, без НДС 1]]*EB24</f>
        <v/>
      </c>
    </row>
    <row r="25">
      <c r="A25" s="171" t="n"/>
      <c r="B25" s="172" t="n"/>
      <c r="C25" s="173" t="inlineStr">
        <is>
          <t>TABS W</t>
        </is>
      </c>
      <c r="D25" s="173" t="inlineStr">
        <is>
          <t>TABS 2s/2m 12м W</t>
        </is>
      </c>
      <c r="E25" s="174" t="n">
        <v>1</v>
      </c>
      <c r="F25" s="174" t="n">
        <v>21</v>
      </c>
      <c r="G25" s="190" t="n">
        <v>2</v>
      </c>
      <c r="H25" s="191" t="n">
        <v>4491301200</v>
      </c>
      <c r="I25" s="192" t="inlineStr">
        <is>
          <t>Кабель питания ABS, часть 2, 12 м</t>
        </is>
      </c>
      <c r="J25" s="909">
        <f>684.3/1.2</f>
        <v/>
      </c>
      <c r="K25" s="909" t="n"/>
      <c r="L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2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25" s="180">
        <f>SUMPRODUCT(--(MOD(COLUMN($L25:$BG25),4)=MOD(COLUMN($L25),4)),$L25:$BG25)</f>
        <v/>
      </c>
      <c r="BI25" s="181">
        <f>Автовик[[#This Row],[Цена, 
юань, без НДС 1]]*BH25</f>
        <v/>
      </c>
      <c r="BJ25" s="130">
        <f>SUMPRODUCT(--(MOD(COLUMN($L25:$BG25),4)=MOD(COLUMN($L25)+1,4)),$L25:$BG25)</f>
        <v/>
      </c>
      <c r="BK25" s="182">
        <f>Автовик[[#This Row],[Цена, 
юань, без НДС 1]]*BJ25</f>
        <v/>
      </c>
      <c r="BL25" s="109">
        <f>SUMPRODUCT(--(MOD(COLUMN($L25:$BG25),4)=MOD(COLUMN($L25)+2,4)),$L25:$BG25)</f>
        <v/>
      </c>
      <c r="BM25" s="183">
        <f>Автовик[[#This Row],[Цена, 
юань, без НДС 1]]*BL25</f>
        <v/>
      </c>
      <c r="BN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2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25" s="180">
        <f>SUMPRODUCT(--(MOD(COLUMN($BN25:$DU25),5)=MOD(COLUMN($BN25),5)),$BN25:$DU25)</f>
        <v/>
      </c>
      <c r="DW25" s="181">
        <f>Автовик[[#This Row],[Цена, 
юань, без НДС 1]]*DV25</f>
        <v/>
      </c>
      <c r="DX25" s="185">
        <f>SUMPRODUCT(--(MOD(COLUMN($BN25:$DU25),5)=MOD(COLUMN($BN25)+1,5)),$BN25:$DU25)</f>
        <v/>
      </c>
      <c r="DY25" s="186">
        <f>Автовик[[#This Row],[Цена, 
юань, без НДС 1]]*DX25</f>
        <v/>
      </c>
      <c r="DZ25" s="130">
        <f>SUMPRODUCT(--(MOD(COLUMN($BN25:$DU25),5)=MOD(COLUMN($BN25)+2,5)),$BN25:$DU25)</f>
        <v/>
      </c>
      <c r="EA25" s="187">
        <f>Автовик[[#This Row],[Цена, 
юань, без НДС 1]]*DZ25</f>
        <v/>
      </c>
      <c r="EB25" s="109">
        <f>SUMPRODUCT(--(MOD(COLUMN($BN25:$DU25),5)=MOD(COLUMN($BN25)+3,5)),$BN25:$DU25)</f>
        <v/>
      </c>
      <c r="EC25" s="188">
        <f>Автовик[[#This Row],[Цена, 
юань, без НДС 1]]*EB25</f>
        <v/>
      </c>
    </row>
    <row r="26">
      <c r="A26" s="171" t="n"/>
      <c r="B26" s="172" t="n"/>
      <c r="C26" s="173" t="inlineStr">
        <is>
          <t>TABS W</t>
        </is>
      </c>
      <c r="D26" s="173" t="inlineStr">
        <is>
          <t>TABS 2s/2m 12м W</t>
        </is>
      </c>
      <c r="E26" s="174" t="n"/>
      <c r="F26" s="174" t="n">
        <v>22</v>
      </c>
      <c r="G26" s="190" t="n">
        <v>2</v>
      </c>
      <c r="H26" s="191" t="n">
        <v>4491301500</v>
      </c>
      <c r="I26" s="192" t="inlineStr">
        <is>
          <t>Кабель питания ABS, часть 2, 15 м</t>
        </is>
      </c>
      <c r="J26" s="909">
        <f>684.3/1.2</f>
        <v/>
      </c>
      <c r="K26" s="909" t="n"/>
      <c r="L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2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26" s="180">
        <f>SUMPRODUCT(--(MOD(COLUMN($L26:$BG26),4)=MOD(COLUMN($L26),4)),$L26:$BG26)</f>
        <v/>
      </c>
      <c r="BI26" s="181">
        <f>Автовик[[#This Row],[Цена, 
юань, без НДС 1]]*BH26</f>
        <v/>
      </c>
      <c r="BJ26" s="130">
        <f>SUMPRODUCT(--(MOD(COLUMN($L26:$BG26),4)=MOD(COLUMN($L26)+1,4)),$L26:$BG26)</f>
        <v/>
      </c>
      <c r="BK26" s="182">
        <f>Автовик[[#This Row],[Цена, 
юань, без НДС 1]]*BJ26</f>
        <v/>
      </c>
      <c r="BL26" s="109">
        <f>SUMPRODUCT(--(MOD(COLUMN($L26:$BG26),4)=MOD(COLUMN($L26)+2,4)),$L26:$BG26)</f>
        <v/>
      </c>
      <c r="BM26" s="183">
        <f>Автовик[[#This Row],[Цена, 
юань, без НДС 1]]*BL26</f>
        <v/>
      </c>
      <c r="BN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2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26" s="180">
        <f>SUMPRODUCT(--(MOD(COLUMN($BN26:$DU26),5)=MOD(COLUMN($BN26),5)),$BN26:$DU26)</f>
        <v/>
      </c>
      <c r="DW26" s="181">
        <f>Автовик[[#This Row],[Цена, 
юань, без НДС 1]]*DV26</f>
        <v/>
      </c>
      <c r="DX26" s="185">
        <f>SUMPRODUCT(--(MOD(COLUMN($BN26:$DU26),5)=MOD(COLUMN($BN26)+1,5)),$BN26:$DU26)</f>
        <v/>
      </c>
      <c r="DY26" s="186">
        <f>Автовик[[#This Row],[Цена, 
юань, без НДС 1]]*DX26</f>
        <v/>
      </c>
      <c r="DZ26" s="130">
        <f>SUMPRODUCT(--(MOD(COLUMN($BN26:$DU26),5)=MOD(COLUMN($BN26)+2,5)),$BN26:$DU26)</f>
        <v/>
      </c>
      <c r="EA26" s="187">
        <f>Автовик[[#This Row],[Цена, 
юань, без НДС 1]]*DZ26</f>
        <v/>
      </c>
      <c r="EB26" s="109">
        <f>SUMPRODUCT(--(MOD(COLUMN($BN26:$DU26),5)=MOD(COLUMN($BN26)+3,5)),$BN26:$DU26)</f>
        <v/>
      </c>
      <c r="EC26" s="188">
        <f>Автовик[[#This Row],[Цена, 
юань, без НДС 1]]*EB26</f>
        <v/>
      </c>
    </row>
    <row r="27">
      <c r="A27" s="171" t="n"/>
      <c r="B27" s="172" t="n"/>
      <c r="C27" s="173" t="inlineStr">
        <is>
          <t>TABS W</t>
        </is>
      </c>
      <c r="D27" s="173" t="inlineStr">
        <is>
          <t>TABS 2s/2m 12м W</t>
        </is>
      </c>
      <c r="E27" s="174" t="n"/>
      <c r="F27" s="174" t="n">
        <v>23</v>
      </c>
      <c r="G27" s="190" t="n">
        <v>2</v>
      </c>
      <c r="H27" s="191" t="n">
        <v>4497120300</v>
      </c>
      <c r="I27" s="192" t="inlineStr">
        <is>
          <t>Кабель-удлинитель датчика ABS, 3 м</t>
        </is>
      </c>
      <c r="J27" s="909">
        <f>68/1.2</f>
        <v/>
      </c>
      <c r="K27" s="909" t="n"/>
      <c r="L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27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27" s="180">
        <f>SUMPRODUCT(--(MOD(COLUMN($L27:$BG27),4)=MOD(COLUMN($L27),4)),$L27:$BG27)</f>
        <v/>
      </c>
      <c r="BI27" s="181">
        <f>Автовик[[#This Row],[Цена, 
юань, без НДС 1]]*BH27</f>
        <v/>
      </c>
      <c r="BJ27" s="130">
        <f>SUMPRODUCT(--(MOD(COLUMN($L27:$BG27),4)=MOD(COLUMN($L27)+1,4)),$L27:$BG27)</f>
        <v/>
      </c>
      <c r="BK27" s="182">
        <f>Автовик[[#This Row],[Цена, 
юань, без НДС 1]]*BJ27</f>
        <v/>
      </c>
      <c r="BL27" s="109">
        <f>SUMPRODUCT(--(MOD(COLUMN($L27:$BG27),4)=MOD(COLUMN($L27)+2,4)),$L27:$BG27)</f>
        <v/>
      </c>
      <c r="BM27" s="183">
        <f>Автовик[[#This Row],[Цена, 
юань, без НДС 1]]*BL27</f>
        <v/>
      </c>
      <c r="BN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27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27" s="180">
        <f>SUMPRODUCT(--(MOD(COLUMN($BN27:$DU27),5)=MOD(COLUMN($BN27),5)),$BN27:$DU27)</f>
        <v/>
      </c>
      <c r="DW27" s="181">
        <f>Автовик[[#This Row],[Цена, 
юань, без НДС 1]]*DV27</f>
        <v/>
      </c>
      <c r="DX27" s="185">
        <f>SUMPRODUCT(--(MOD(COLUMN($BN27:$DU27),5)=MOD(COLUMN($BN27)+1,5)),$BN27:$DU27)</f>
        <v/>
      </c>
      <c r="DY27" s="186">
        <f>Автовик[[#This Row],[Цена, 
юань, без НДС 1]]*DX27</f>
        <v/>
      </c>
      <c r="DZ27" s="130">
        <f>SUMPRODUCT(--(MOD(COLUMN($BN27:$DU27),5)=MOD(COLUMN($BN27)+2,5)),$BN27:$DU27)</f>
        <v/>
      </c>
      <c r="EA27" s="187">
        <f>Автовик[[#This Row],[Цена, 
юань, без НДС 1]]*DZ27</f>
        <v/>
      </c>
      <c r="EB27" s="109">
        <f>SUMPRODUCT(--(MOD(COLUMN($BN27:$DU27),5)=MOD(COLUMN($BN27)+3,5)),$BN27:$DU27)</f>
        <v/>
      </c>
      <c r="EC27" s="188">
        <f>Автовик[[#This Row],[Цена, 
юань, без НДС 1]]*EB27</f>
        <v/>
      </c>
    </row>
    <row r="28">
      <c r="A28" s="171" t="n"/>
      <c r="B28" s="172" t="n"/>
      <c r="C28" s="173" t="inlineStr">
        <is>
          <t>TABS W</t>
        </is>
      </c>
      <c r="D28" s="173" t="inlineStr">
        <is>
          <t>TABS 2s/2m 12м W</t>
        </is>
      </c>
      <c r="E28" s="174" t="n">
        <v>2</v>
      </c>
      <c r="F28" s="174" t="n">
        <v>24</v>
      </c>
      <c r="G28" s="190" t="n">
        <v>2</v>
      </c>
      <c r="H28" s="191" t="n">
        <v>4497490300</v>
      </c>
      <c r="I28" s="192" t="inlineStr">
        <is>
          <t>Кабель-удлинитель датчика ABS, 3 м</t>
        </is>
      </c>
      <c r="J28" s="909">
        <f>68/1.2</f>
        <v/>
      </c>
      <c r="K28" s="909" t="n"/>
      <c r="L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28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28" s="180">
        <f>SUMPRODUCT(--(MOD(COLUMN($L28:$BG28),4)=MOD(COLUMN($L28),4)),$L28:$BG28)</f>
        <v/>
      </c>
      <c r="BI28" s="181">
        <f>Автовик[[#This Row],[Цена, 
юань, без НДС 1]]*BH28</f>
        <v/>
      </c>
      <c r="BJ28" s="130">
        <f>SUMPRODUCT(--(MOD(COLUMN($L28:$BG28),4)=MOD(COLUMN($L28)+1,4)),$L28:$BG28)</f>
        <v/>
      </c>
      <c r="BK28" s="182">
        <f>Автовик[[#This Row],[Цена, 
юань, без НДС 1]]*BJ28</f>
        <v/>
      </c>
      <c r="BL28" s="109">
        <f>SUMPRODUCT(--(MOD(COLUMN($L28:$BG28),4)=MOD(COLUMN($L28)+2,4)),$L28:$BG28)</f>
        <v/>
      </c>
      <c r="BM28" s="183">
        <f>Автовик[[#This Row],[Цена, 
юань, без НДС 1]]*BL28</f>
        <v/>
      </c>
      <c r="BN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28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28" s="180">
        <f>SUMPRODUCT(--(MOD(COLUMN($BN28:$DU28),5)=MOD(COLUMN($BN28),5)),$BN28:$DU28)</f>
        <v/>
      </c>
      <c r="DW28" s="181">
        <f>Автовик[[#This Row],[Цена, 
юань, без НДС 1]]*DV28</f>
        <v/>
      </c>
      <c r="DX28" s="185">
        <f>SUMPRODUCT(--(MOD(COLUMN($BN28:$DU28),5)=MOD(COLUMN($BN28)+1,5)),$BN28:$DU28)</f>
        <v/>
      </c>
      <c r="DY28" s="186">
        <f>Автовик[[#This Row],[Цена, 
юань, без НДС 1]]*DX28</f>
        <v/>
      </c>
      <c r="DZ28" s="130">
        <f>SUMPRODUCT(--(MOD(COLUMN($BN28:$DU28),5)=MOD(COLUMN($BN28)+2,5)),$BN28:$DU28)</f>
        <v/>
      </c>
      <c r="EA28" s="187">
        <f>Автовик[[#This Row],[Цена, 
юань, без НДС 1]]*DZ28</f>
        <v/>
      </c>
      <c r="EB28" s="109">
        <f>SUMPRODUCT(--(MOD(COLUMN($BN28:$DU28),5)=MOD(COLUMN($BN28)+3,5)),$BN28:$DU28)</f>
        <v/>
      </c>
      <c r="EC28" s="188">
        <f>Автовик[[#This Row],[Цена, 
юань, без НДС 1]]*EB28</f>
        <v/>
      </c>
    </row>
    <row r="29">
      <c r="A29" s="171" t="n"/>
      <c r="B29" s="172" t="n"/>
      <c r="C29" s="173" t="inlineStr">
        <is>
          <t>TABS W</t>
        </is>
      </c>
      <c r="D29" s="173" t="inlineStr">
        <is>
          <t>TABS 2s/2m 12м W</t>
        </is>
      </c>
      <c r="E29" s="174" t="n">
        <v>1</v>
      </c>
      <c r="F29" s="174" t="n">
        <v>25</v>
      </c>
      <c r="G29" s="190" t="n">
        <v>2</v>
      </c>
      <c r="H29" s="191" t="n">
        <v>9522010010</v>
      </c>
      <c r="I29" s="192" t="inlineStr">
        <is>
          <t>Головка соединительная (управляющая)</t>
        </is>
      </c>
      <c r="J29" s="909">
        <f>89.6/1.2</f>
        <v/>
      </c>
      <c r="K29" s="909" t="n"/>
      <c r="L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29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29" s="180">
        <f>SUMPRODUCT(--(MOD(COLUMN($L29:$BG29),4)=MOD(COLUMN($L29),4)),$L29:$BG29)</f>
        <v/>
      </c>
      <c r="BI29" s="181">
        <f>Автовик[[#This Row],[Цена, 
юань, без НДС 1]]*BH29</f>
        <v/>
      </c>
      <c r="BJ29" s="130">
        <f>SUMPRODUCT(--(MOD(COLUMN($L29:$BG29),4)=MOD(COLUMN($L29)+1,4)),$L29:$BG29)</f>
        <v/>
      </c>
      <c r="BK29" s="182">
        <f>Автовик[[#This Row],[Цена, 
юань, без НДС 1]]*BJ29</f>
        <v/>
      </c>
      <c r="BL29" s="109">
        <f>SUMPRODUCT(--(MOD(COLUMN($L29:$BG29),4)=MOD(COLUMN($L29)+2,4)),$L29:$BG29)</f>
        <v/>
      </c>
      <c r="BM29" s="183">
        <f>Автовик[[#This Row],[Цена, 
юань, без НДС 1]]*BL29</f>
        <v/>
      </c>
      <c r="BN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29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29" s="180">
        <f>SUMPRODUCT(--(MOD(COLUMN($BN29:$DU29),5)=MOD(COLUMN($BN29),5)),$BN29:$DU29)</f>
        <v/>
      </c>
      <c r="DW29" s="181">
        <f>Автовик[[#This Row],[Цена, 
юань, без НДС 1]]*DV29</f>
        <v/>
      </c>
      <c r="DX29" s="185">
        <f>SUMPRODUCT(--(MOD(COLUMN($BN29:$DU29),5)=MOD(COLUMN($BN29)+1,5)),$BN29:$DU29)</f>
        <v/>
      </c>
      <c r="DY29" s="186">
        <f>Автовик[[#This Row],[Цена, 
юань, без НДС 1]]*DX29</f>
        <v/>
      </c>
      <c r="DZ29" s="130">
        <f>SUMPRODUCT(--(MOD(COLUMN($BN29:$DU29),5)=MOD(COLUMN($BN29)+2,5)),$BN29:$DU29)</f>
        <v/>
      </c>
      <c r="EA29" s="187">
        <f>Автовик[[#This Row],[Цена, 
юань, без НДС 1]]*DZ29</f>
        <v/>
      </c>
      <c r="EB29" s="109">
        <f>SUMPRODUCT(--(MOD(COLUMN($BN29:$DU29),5)=MOD(COLUMN($BN29)+3,5)),$BN29:$DU29)</f>
        <v/>
      </c>
      <c r="EC29" s="188">
        <f>Автовик[[#This Row],[Цена, 
юань, без НДС 1]]*EB29</f>
        <v/>
      </c>
    </row>
    <row r="30">
      <c r="A30" s="171" t="n"/>
      <c r="B30" s="172" t="n"/>
      <c r="C30" s="173" t="inlineStr">
        <is>
          <t>TABS W</t>
        </is>
      </c>
      <c r="D30" s="173" t="inlineStr">
        <is>
          <t>TABS 2s/2m 12м W</t>
        </is>
      </c>
      <c r="E30" s="174" t="n">
        <v>1</v>
      </c>
      <c r="F30" s="174" t="n">
        <v>26</v>
      </c>
      <c r="G30" s="190" t="n">
        <v>2</v>
      </c>
      <c r="H30" s="191" t="n">
        <v>9522010020</v>
      </c>
      <c r="I30" s="192" t="inlineStr">
        <is>
          <t>Головка соединительная (питающая)</t>
        </is>
      </c>
      <c r="J30" s="909">
        <f>89.6/1.2</f>
        <v/>
      </c>
      <c r="K30" s="909" t="n"/>
      <c r="L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30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30" s="180">
        <f>SUMPRODUCT(--(MOD(COLUMN($L30:$BG30),4)=MOD(COLUMN($L30),4)),$L30:$BG30)</f>
        <v/>
      </c>
      <c r="BI30" s="181">
        <f>Автовик[[#This Row],[Цена, 
юань, без НДС 1]]*BH30</f>
        <v/>
      </c>
      <c r="BJ30" s="130">
        <f>SUMPRODUCT(--(MOD(COLUMN($L30:$BG30),4)=MOD(COLUMN($L30)+1,4)),$L30:$BG30)</f>
        <v/>
      </c>
      <c r="BK30" s="182">
        <f>Автовик[[#This Row],[Цена, 
юань, без НДС 1]]*BJ30</f>
        <v/>
      </c>
      <c r="BL30" s="109">
        <f>SUMPRODUCT(--(MOD(COLUMN($L30:$BG30),4)=MOD(COLUMN($L30)+2,4)),$L30:$BG30)</f>
        <v/>
      </c>
      <c r="BM30" s="183">
        <f>Автовик[[#This Row],[Цена, 
юань, без НДС 1]]*BL30</f>
        <v/>
      </c>
      <c r="BN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30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30" s="180">
        <f>SUMPRODUCT(--(MOD(COLUMN($BN30:$DU30),5)=MOD(COLUMN($BN30),5)),$BN30:$DU30)</f>
        <v/>
      </c>
      <c r="DW30" s="181">
        <f>Автовик[[#This Row],[Цена, 
юань, без НДС 1]]*DV30</f>
        <v/>
      </c>
      <c r="DX30" s="185">
        <f>SUMPRODUCT(--(MOD(COLUMN($BN30:$DU30),5)=MOD(COLUMN($BN30)+1,5)),$BN30:$DU30)</f>
        <v/>
      </c>
      <c r="DY30" s="186">
        <f>Автовик[[#This Row],[Цена, 
юань, без НДС 1]]*DX30</f>
        <v/>
      </c>
      <c r="DZ30" s="130">
        <f>SUMPRODUCT(--(MOD(COLUMN($BN30:$DU30),5)=MOD(COLUMN($BN30)+2,5)),$BN30:$DU30)</f>
        <v/>
      </c>
      <c r="EA30" s="187">
        <f>Автовик[[#This Row],[Цена, 
юань, без НДС 1]]*DZ30</f>
        <v/>
      </c>
      <c r="EB30" s="109">
        <f>SUMPRODUCT(--(MOD(COLUMN($BN30:$DU30),5)=MOD(COLUMN($BN30)+3,5)),$BN30:$DU30)</f>
        <v/>
      </c>
      <c r="EC30" s="188">
        <f>Автовик[[#This Row],[Цена, 
юань, без НДС 1]]*EB30</f>
        <v/>
      </c>
    </row>
    <row r="31">
      <c r="A31" s="171" t="n"/>
      <c r="B31" s="172" t="n"/>
      <c r="C31" s="173" t="inlineStr">
        <is>
          <t>TABS W</t>
        </is>
      </c>
      <c r="D31" s="173" t="inlineStr">
        <is>
          <t>TABS 2s/2m 12м W</t>
        </is>
      </c>
      <c r="E31" s="174" t="n">
        <v>1</v>
      </c>
      <c r="F31" s="174" t="n">
        <v>27</v>
      </c>
      <c r="G31" s="190" t="n">
        <v>2</v>
      </c>
      <c r="H31" s="191" t="n">
        <v>9710020400</v>
      </c>
      <c r="I31" s="192" t="inlineStr">
        <is>
          <t>Воздухораспределитель (без кл. растормаживания)</t>
        </is>
      </c>
      <c r="J31" s="909">
        <f>440/1.2</f>
        <v/>
      </c>
      <c r="K31" s="909" t="n"/>
      <c r="L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31" s="180">
        <f>SUMPRODUCT(--(MOD(COLUMN($L31:$BG31),4)=MOD(COLUMN($L31),4)),$L31:$BG31)</f>
        <v/>
      </c>
      <c r="BI31" s="181">
        <f>Автовик[[#This Row],[Цена, 
юань, без НДС 1]]*BH31</f>
        <v/>
      </c>
      <c r="BJ31" s="130">
        <f>SUMPRODUCT(--(MOD(COLUMN($L31:$BG31),4)=MOD(COLUMN($L31)+1,4)),$L31:$BG31)</f>
        <v/>
      </c>
      <c r="BK31" s="182">
        <f>Автовик[[#This Row],[Цена, 
юань, без НДС 1]]*BJ31</f>
        <v/>
      </c>
      <c r="BL31" s="109">
        <f>SUMPRODUCT(--(MOD(COLUMN($L31:$BG31),4)=MOD(COLUMN($L31)+2,4)),$L31:$BG31)</f>
        <v/>
      </c>
      <c r="BM31" s="183">
        <f>Автовик[[#This Row],[Цена, 
юань, без НДС 1]]*BL31</f>
        <v/>
      </c>
      <c r="BN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31" s="180">
        <f>SUMPRODUCT(--(MOD(COLUMN($BN31:$DU31),5)=MOD(COLUMN($BN31),5)),$BN31:$DU31)</f>
        <v/>
      </c>
      <c r="DW31" s="181">
        <f>Автовик[[#This Row],[Цена, 
юань, без НДС 1]]*DV31</f>
        <v/>
      </c>
      <c r="DX31" s="185">
        <f>SUMPRODUCT(--(MOD(COLUMN($BN31:$DU31),5)=MOD(COLUMN($BN31)+1,5)),$BN31:$DU31)</f>
        <v/>
      </c>
      <c r="DY31" s="186">
        <f>Автовик[[#This Row],[Цена, 
юань, без НДС 1]]*DX31</f>
        <v/>
      </c>
      <c r="DZ31" s="130">
        <f>SUMPRODUCT(--(MOD(COLUMN($BN31:$DU31),5)=MOD(COLUMN($BN31)+2,5)),$BN31:$DU31)</f>
        <v/>
      </c>
      <c r="EA31" s="187">
        <f>Автовик[[#This Row],[Цена, 
юань, без НДС 1]]*DZ31</f>
        <v/>
      </c>
      <c r="EB31" s="109">
        <f>SUMPRODUCT(--(MOD(COLUMN($BN31:$DU31),5)=MOD(COLUMN($BN31)+3,5)),$BN31:$DU31)</f>
        <v/>
      </c>
      <c r="EC31" s="188">
        <f>Автовик[[#This Row],[Цена, 
юань, без НДС 1]]*EB31</f>
        <v/>
      </c>
    </row>
    <row r="32">
      <c r="A32" s="171" t="n"/>
      <c r="B32" s="172" t="n"/>
      <c r="C32" s="173" t="inlineStr">
        <is>
          <t>TABS 3m</t>
        </is>
      </c>
      <c r="D32" s="173" t="inlineStr">
        <is>
          <t>TABS 3m</t>
        </is>
      </c>
      <c r="E32" s="174" t="n">
        <v>1</v>
      </c>
      <c r="F32" s="174" t="n">
        <v>28</v>
      </c>
      <c r="G32" s="195" t="n"/>
      <c r="H32" s="196" t="n">
        <v>4721950310</v>
      </c>
      <c r="I32" s="197" t="inlineStr">
        <is>
          <t>Ускорительный клапан ABS</t>
        </is>
      </c>
      <c r="J32" s="909">
        <f>535.6/1.2</f>
        <v/>
      </c>
      <c r="K32" s="909" t="n"/>
      <c r="L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32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32" s="180">
        <f>SUMPRODUCT(--(MOD(COLUMN($L32:$BG32),4)=MOD(COLUMN($L32),4)),$L32:$BG32)</f>
        <v/>
      </c>
      <c r="BI32" s="181">
        <f>Автовик[[#This Row],[Цена, 
юань, без НДС 1]]*BH32</f>
        <v/>
      </c>
      <c r="BJ32" s="130">
        <f>SUMPRODUCT(--(MOD(COLUMN($L32:$BG32),4)=MOD(COLUMN($L32)+1,4)),$L32:$BG32)</f>
        <v/>
      </c>
      <c r="BK32" s="182">
        <f>Автовик[[#This Row],[Цена, 
юань, без НДС 1]]*BJ32</f>
        <v/>
      </c>
      <c r="BL32" s="109">
        <f>SUMPRODUCT(--(MOD(COLUMN($L32:$BG32),4)=MOD(COLUMN($L32)+2,4)),$L32:$BG32)</f>
        <v/>
      </c>
      <c r="BM32" s="183">
        <f>Автовик[[#This Row],[Цена, 
юань, без НДС 1]]*BL32</f>
        <v/>
      </c>
      <c r="BN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32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32" s="180">
        <f>SUMPRODUCT(--(MOD(COLUMN($BN32:$DU32),5)=MOD(COLUMN($BN32),5)),$BN32:$DU32)</f>
        <v/>
      </c>
      <c r="DW32" s="181">
        <f>Автовик[[#This Row],[Цена, 
юань, без НДС 1]]*DV32</f>
        <v/>
      </c>
      <c r="DX32" s="185">
        <f>SUMPRODUCT(--(MOD(COLUMN($BN32:$DU32),5)=MOD(COLUMN($BN32)+1,5)),$BN32:$DU32)</f>
        <v/>
      </c>
      <c r="DY32" s="186">
        <f>Автовик[[#This Row],[Цена, 
юань, без НДС 1]]*DX32</f>
        <v/>
      </c>
      <c r="DZ32" s="130">
        <f>SUMPRODUCT(--(MOD(COLUMN($BN32:$DU32),5)=MOD(COLUMN($BN32)+2,5)),$BN32:$DU32)</f>
        <v/>
      </c>
      <c r="EA32" s="187">
        <f>Автовик[[#This Row],[Цена, 
юань, без НДС 1]]*DZ32</f>
        <v/>
      </c>
      <c r="EB32" s="109">
        <f>SUMPRODUCT(--(MOD(COLUMN($BN32:$DU32),5)=MOD(COLUMN($BN32)+3,5)),$BN32:$DU32)</f>
        <v/>
      </c>
      <c r="EC32" s="188">
        <f>Автовик[[#This Row],[Цена, 
юань, без НДС 1]]*EB32</f>
        <v/>
      </c>
    </row>
    <row r="33">
      <c r="A33" s="171" t="n"/>
      <c r="B33" s="172" t="n"/>
      <c r="C33" s="173" t="inlineStr">
        <is>
          <t>TABS 3m</t>
        </is>
      </c>
      <c r="D33" s="173" t="inlineStr">
        <is>
          <t>TABS 3m</t>
        </is>
      </c>
      <c r="E33" s="174" t="n">
        <v>1</v>
      </c>
      <c r="F33" s="174" t="n">
        <v>29</v>
      </c>
      <c r="G33" s="195" t="n"/>
      <c r="H33" s="196" t="n">
        <v>4496161560</v>
      </c>
      <c r="I33" s="197" t="inlineStr">
        <is>
          <t>Кабель ускорительного клапана ABS / диа., 10 м / 3 м</t>
        </is>
      </c>
      <c r="J33" s="909">
        <f>301.2/1.2</f>
        <v/>
      </c>
      <c r="K33" s="909" t="n"/>
      <c r="L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33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33" s="180">
        <f>SUMPRODUCT(--(MOD(COLUMN($L33:$BG33),4)=MOD(COLUMN($L33),4)),$L33:$BG33)</f>
        <v/>
      </c>
      <c r="BI33" s="181">
        <f>Автовик[[#This Row],[Цена, 
юань, без НДС 1]]*BH33</f>
        <v/>
      </c>
      <c r="BJ33" s="130">
        <f>SUMPRODUCT(--(MOD(COLUMN($L33:$BG33),4)=MOD(COLUMN($L33)+1,4)),$L33:$BG33)</f>
        <v/>
      </c>
      <c r="BK33" s="182">
        <f>Автовик[[#This Row],[Цена, 
юань, без НДС 1]]*BJ33</f>
        <v/>
      </c>
      <c r="BL33" s="109">
        <f>SUMPRODUCT(--(MOD(COLUMN($L33:$BG33),4)=MOD(COLUMN($L33)+2,4)),$L33:$BG33)</f>
        <v/>
      </c>
      <c r="BM33" s="183">
        <f>Автовик[[#This Row],[Цена, 
юань, без НДС 1]]*BL33</f>
        <v/>
      </c>
      <c r="BN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33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33" s="180">
        <f>SUMPRODUCT(--(MOD(COLUMN($BN33:$DU33),5)=MOD(COLUMN($BN33),5)),$BN33:$DU33)</f>
        <v/>
      </c>
      <c r="DW33" s="181">
        <f>Автовик[[#This Row],[Цена, 
юань, без НДС 1]]*DV33</f>
        <v/>
      </c>
      <c r="DX33" s="185">
        <f>SUMPRODUCT(--(MOD(COLUMN($BN33:$DU33),5)=MOD(COLUMN($BN33)+1,5)),$BN33:$DU33)</f>
        <v/>
      </c>
      <c r="DY33" s="186">
        <f>Автовик[[#This Row],[Цена, 
юань, без НДС 1]]*DX33</f>
        <v/>
      </c>
      <c r="DZ33" s="130">
        <f>SUMPRODUCT(--(MOD(COLUMN($BN33:$DU33),5)=MOD(COLUMN($BN33)+2,5)),$BN33:$DU33)</f>
        <v/>
      </c>
      <c r="EA33" s="187">
        <f>Автовик[[#This Row],[Цена, 
юань, без НДС 1]]*DZ33</f>
        <v/>
      </c>
      <c r="EB33" s="109">
        <f>SUMPRODUCT(--(MOD(COLUMN($BN33:$DU33),5)=MOD(COLUMN($BN33)+3,5)),$BN33:$DU33)</f>
        <v/>
      </c>
      <c r="EC33" s="188">
        <f>Автовик[[#This Row],[Цена, 
юань, без НДС 1]]*EB33</f>
        <v/>
      </c>
    </row>
    <row r="34">
      <c r="A34" s="171" t="n"/>
      <c r="B34" s="172" t="n"/>
      <c r="C34" s="173" t="inlineStr">
        <is>
          <t>TABS 3m</t>
        </is>
      </c>
      <c r="D34" s="173" t="inlineStr">
        <is>
          <t>TABS 3m</t>
        </is>
      </c>
      <c r="E34" s="174" t="n">
        <v>2</v>
      </c>
      <c r="F34" s="174" t="n">
        <v>30</v>
      </c>
      <c r="G34" s="195" t="n">
        <v>2</v>
      </c>
      <c r="H34" s="196" t="n">
        <v>4497120300</v>
      </c>
      <c r="I34" s="197" t="inlineStr">
        <is>
          <t>Кабель-удлинитель датчика ABS, 3 м</t>
        </is>
      </c>
      <c r="J34" s="909">
        <f>68/1.2</f>
        <v/>
      </c>
      <c r="K34" s="909" t="n"/>
      <c r="L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34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34" s="180">
        <f>SUMPRODUCT(--(MOD(COLUMN($L34:$BG34),4)=MOD(COLUMN($L34),4)),$L34:$BG34)</f>
        <v/>
      </c>
      <c r="BI34" s="181">
        <f>Автовик[[#This Row],[Цена, 
юань, без НДС 1]]*BH34</f>
        <v/>
      </c>
      <c r="BJ34" s="130">
        <f>SUMPRODUCT(--(MOD(COLUMN($L34:$BG34),4)=MOD(COLUMN($L34)+1,4)),$L34:$BG34)</f>
        <v/>
      </c>
      <c r="BK34" s="182">
        <f>Автовик[[#This Row],[Цена, 
юань, без НДС 1]]*BJ34</f>
        <v/>
      </c>
      <c r="BL34" s="109">
        <f>SUMPRODUCT(--(MOD(COLUMN($L34:$BG34),4)=MOD(COLUMN($L34)+2,4)),$L34:$BG34)</f>
        <v/>
      </c>
      <c r="BM34" s="183">
        <f>Автовик[[#This Row],[Цена, 
юань, без НДС 1]]*BL34</f>
        <v/>
      </c>
      <c r="BN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34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34" s="180">
        <f>SUMPRODUCT(--(MOD(COLUMN($BN34:$DU34),5)=MOD(COLUMN($BN34),5)),$BN34:$DU34)</f>
        <v/>
      </c>
      <c r="DW34" s="181">
        <f>Автовик[[#This Row],[Цена, 
юань, без НДС 1]]*DV34</f>
        <v/>
      </c>
      <c r="DX34" s="185">
        <f>SUMPRODUCT(--(MOD(COLUMN($BN34:$DU34),5)=MOD(COLUMN($BN34)+1,5)),$BN34:$DU34)</f>
        <v/>
      </c>
      <c r="DY34" s="186">
        <f>Автовик[[#This Row],[Цена, 
юань, без НДС 1]]*DX34</f>
        <v/>
      </c>
      <c r="DZ34" s="130">
        <f>SUMPRODUCT(--(MOD(COLUMN($BN34:$DU34),5)=MOD(COLUMN($BN34)+2,5)),$BN34:$DU34)</f>
        <v/>
      </c>
      <c r="EA34" s="187">
        <f>Автовик[[#This Row],[Цена, 
юань, без НДС 1]]*DZ34</f>
        <v/>
      </c>
      <c r="EB34" s="109">
        <f>SUMPRODUCT(--(MOD(COLUMN($BN34:$DU34),5)=MOD(COLUMN($BN34)+3,5)),$BN34:$DU34)</f>
        <v/>
      </c>
      <c r="EC34" s="188">
        <f>Автовик[[#This Row],[Цена, 
юань, без НДС 1]]*EB34</f>
        <v/>
      </c>
    </row>
    <row r="35">
      <c r="A35" s="171" t="n"/>
      <c r="B35" s="172" t="n"/>
      <c r="C35" s="173" t="inlineStr">
        <is>
          <t>TABS 3m</t>
        </is>
      </c>
      <c r="D35" s="173" t="inlineStr">
        <is>
          <t>TABS 3m</t>
        </is>
      </c>
      <c r="E35" s="174" t="n"/>
      <c r="F35" s="174" t="n">
        <v>31</v>
      </c>
      <c r="G35" s="195" t="n">
        <v>2</v>
      </c>
      <c r="H35" s="196" t="n">
        <v>4497490300</v>
      </c>
      <c r="I35" s="197" t="inlineStr">
        <is>
          <t>Кабель-удлинитель датчика ABS, 3 м</t>
        </is>
      </c>
      <c r="J35" s="909">
        <f>68/1.2</f>
        <v/>
      </c>
      <c r="K35" s="909" t="n"/>
      <c r="L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3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3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35" s="180">
        <f>SUMPRODUCT(--(MOD(COLUMN($L35:$BG35),4)=MOD(COLUMN($L35),4)),$L35:$BG35)</f>
        <v/>
      </c>
      <c r="BI35" s="181">
        <f>Автовик[[#This Row],[Цена, 
юань, без НДС 1]]*BH35</f>
        <v/>
      </c>
      <c r="BJ35" s="130">
        <f>SUMPRODUCT(--(MOD(COLUMN($L35:$BG35),4)=MOD(COLUMN($L35)+1,4)),$L35:$BG35)</f>
        <v/>
      </c>
      <c r="BK35" s="182">
        <f>Автовик[[#This Row],[Цена, 
юань, без НДС 1]]*BJ35</f>
        <v/>
      </c>
      <c r="BL35" s="109">
        <f>SUMPRODUCT(--(MOD(COLUMN($L35:$BG35),4)=MOD(COLUMN($L35)+2,4)),$L35:$BG35)</f>
        <v/>
      </c>
      <c r="BM35" s="183">
        <f>Автовик[[#This Row],[Цена, 
юань, без НДС 1]]*BL35</f>
        <v/>
      </c>
      <c r="BN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3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3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35" s="180">
        <f>SUMPRODUCT(--(MOD(COLUMN($BN35:$DU35),5)=MOD(COLUMN($BN35),5)),$BN35:$DU35)</f>
        <v/>
      </c>
      <c r="DW35" s="181">
        <f>Автовик[[#This Row],[Цена, 
юань, без НДС 1]]*DV35</f>
        <v/>
      </c>
      <c r="DX35" s="185">
        <f>SUMPRODUCT(--(MOD(COLUMN($BN35:$DU35),5)=MOD(COLUMN($BN35)+1,5)),$BN35:$DU35)</f>
        <v/>
      </c>
      <c r="DY35" s="186">
        <f>Автовик[[#This Row],[Цена, 
юань, без НДС 1]]*DX35</f>
        <v/>
      </c>
      <c r="DZ35" s="130">
        <f>SUMPRODUCT(--(MOD(COLUMN($BN35:$DU35),5)=MOD(COLUMN($BN35)+2,5)),$BN35:$DU35)</f>
        <v/>
      </c>
      <c r="EA35" s="187">
        <f>Автовик[[#This Row],[Цена, 
юань, без НДС 1]]*DZ35</f>
        <v/>
      </c>
      <c r="EB35" s="109">
        <f>SUMPRODUCT(--(MOD(COLUMN($BN35:$DU35),5)=MOD(COLUMN($BN35)+3,5)),$BN35:$DU35)</f>
        <v/>
      </c>
      <c r="EC35" s="188">
        <f>Автовик[[#This Row],[Цена, 
юань, без НДС 1]]*EB35</f>
        <v/>
      </c>
    </row>
    <row r="36">
      <c r="A36" s="171" t="n"/>
      <c r="B36" s="172" t="n"/>
      <c r="C36" s="173" t="inlineStr">
        <is>
          <t>Компоненты</t>
        </is>
      </c>
      <c r="D36" s="173" t="n"/>
      <c r="E36" s="174" t="n"/>
      <c r="F36" s="174" t="n">
        <v>32</v>
      </c>
      <c r="G36" s="198" t="n"/>
      <c r="H36" s="199" t="n">
        <v>9630010510</v>
      </c>
      <c r="I36" s="200" t="inlineStr">
        <is>
          <t>Клапан растормаживания сдвоенный</t>
        </is>
      </c>
      <c r="J36" s="909">
        <f>330/1.2</f>
        <v/>
      </c>
      <c r="K36" s="909" t="n"/>
      <c r="L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3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3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36" s="180">
        <f>SUMPRODUCT(--(MOD(COLUMN($L36:$BG36),4)=MOD(COLUMN($L36),4)),$L36:$BG36)</f>
        <v/>
      </c>
      <c r="BI36" s="181">
        <f>Автовик[[#This Row],[Цена, 
юань, без НДС 1]]*BH36</f>
        <v/>
      </c>
      <c r="BJ36" s="130">
        <f>SUMPRODUCT(--(MOD(COLUMN($L36:$BG36),4)=MOD(COLUMN($L36)+1,4)),$L36:$BG36)</f>
        <v/>
      </c>
      <c r="BK36" s="182">
        <f>Автовик[[#This Row],[Цена, 
юань, без НДС 1]]*BJ36</f>
        <v/>
      </c>
      <c r="BL36" s="109">
        <f>SUMPRODUCT(--(MOD(COLUMN($L36:$BG36),4)=MOD(COLUMN($L36)+2,4)),$L36:$BG36)</f>
        <v/>
      </c>
      <c r="BM36" s="183">
        <f>Автовик[[#This Row],[Цена, 
юань, без НДС 1]]*BL36</f>
        <v/>
      </c>
      <c r="BN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3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3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36" s="180">
        <f>SUMPRODUCT(--(MOD(COLUMN($BN36:$DU36),5)=MOD(COLUMN($BN36),5)),$BN36:$DU36)</f>
        <v/>
      </c>
      <c r="DW36" s="181">
        <f>Автовик[[#This Row],[Цена, 
юань, без НДС 1]]*DV36</f>
        <v/>
      </c>
      <c r="DX36" s="185">
        <f>SUMPRODUCT(--(MOD(COLUMN($BN36:$DU36),5)=MOD(COLUMN($BN36)+1,5)),$BN36:$DU36)</f>
        <v/>
      </c>
      <c r="DY36" s="186">
        <f>Автовик[[#This Row],[Цена, 
юань, без НДС 1]]*DX36</f>
        <v/>
      </c>
      <c r="DZ36" s="130">
        <f>SUMPRODUCT(--(MOD(COLUMN($BN36:$DU36),5)=MOD(COLUMN($BN36)+2,5)),$BN36:$DU36)</f>
        <v/>
      </c>
      <c r="EA36" s="187">
        <f>Автовик[[#This Row],[Цена, 
юань, без НДС 1]]*DZ36</f>
        <v/>
      </c>
      <c r="EB36" s="109">
        <f>SUMPRODUCT(--(MOD(COLUMN($BN36:$DU36),5)=MOD(COLUMN($BN36)+3,5)),$BN36:$DU36)</f>
        <v/>
      </c>
      <c r="EC36" s="188">
        <f>Автовик[[#This Row],[Цена, 
юань, без НДС 1]]*EB36</f>
        <v/>
      </c>
    </row>
    <row r="37">
      <c r="A37" s="171" t="n"/>
      <c r="B37" s="172" t="n"/>
      <c r="C37" s="173" t="inlineStr">
        <is>
          <t>Компоненты</t>
        </is>
      </c>
      <c r="D37" s="173" t="n"/>
      <c r="E37" s="174" t="n"/>
      <c r="F37" s="174" t="n">
        <v>33</v>
      </c>
      <c r="G37" s="198" t="n"/>
      <c r="H37" s="199" t="n">
        <v>9735000510</v>
      </c>
      <c r="I37" s="200" t="inlineStr">
        <is>
          <t>Клапан быстрого растормаживания энергоакк.</t>
        </is>
      </c>
      <c r="J37" s="909">
        <f>128/1.2</f>
        <v/>
      </c>
      <c r="K37" s="909" t="n"/>
      <c r="L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37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3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37" s="180">
        <f>SUMPRODUCT(--(MOD(COLUMN($L37:$BG37),4)=MOD(COLUMN($L37),4)),$L37:$BG37)</f>
        <v/>
      </c>
      <c r="BI37" s="181">
        <f>Автовик[[#This Row],[Цена, 
юань, без НДС 1]]*BH37</f>
        <v/>
      </c>
      <c r="BJ37" s="130">
        <f>SUMPRODUCT(--(MOD(COLUMN($L37:$BG37),4)=MOD(COLUMN($L37)+1,4)),$L37:$BG37)</f>
        <v/>
      </c>
      <c r="BK37" s="182">
        <f>Автовик[[#This Row],[Цена, 
юань, без НДС 1]]*BJ37</f>
        <v/>
      </c>
      <c r="BL37" s="109">
        <f>SUMPRODUCT(--(MOD(COLUMN($L37:$BG37),4)=MOD(COLUMN($L37)+2,4)),$L37:$BG37)</f>
        <v/>
      </c>
      <c r="BM37" s="183">
        <f>Автовик[[#This Row],[Цена, 
юань, без НДС 1]]*BL37</f>
        <v/>
      </c>
      <c r="BN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37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3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37" s="180">
        <f>SUMPRODUCT(--(MOD(COLUMN($BN37:$DU37),5)=MOD(COLUMN($BN37),5)),$BN37:$DU37)</f>
        <v/>
      </c>
      <c r="DW37" s="181">
        <f>Автовик[[#This Row],[Цена, 
юань, без НДС 1]]*DV37</f>
        <v/>
      </c>
      <c r="DX37" s="185">
        <f>SUMPRODUCT(--(MOD(COLUMN($BN37:$DU37),5)=MOD(COLUMN($BN37)+1,5)),$BN37:$DU37)</f>
        <v/>
      </c>
      <c r="DY37" s="186">
        <f>Автовик[[#This Row],[Цена, 
юань, без НДС 1]]*DX37</f>
        <v/>
      </c>
      <c r="DZ37" s="130">
        <f>SUMPRODUCT(--(MOD(COLUMN($BN37:$DU37),5)=MOD(COLUMN($BN37)+2,5)),$BN37:$DU37)</f>
        <v/>
      </c>
      <c r="EA37" s="187">
        <f>Автовик[[#This Row],[Цена, 
юань, без НДС 1]]*DZ37</f>
        <v/>
      </c>
      <c r="EB37" s="109">
        <f>SUMPRODUCT(--(MOD(COLUMN($BN37:$DU37),5)=MOD(COLUMN($BN37)+3,5)),$BN37:$DU37)</f>
        <v/>
      </c>
      <c r="EC37" s="188">
        <f>Автовик[[#This Row],[Цена, 
юань, без НДС 1]]*EB37</f>
        <v/>
      </c>
    </row>
    <row r="38">
      <c r="A38" s="171" t="n"/>
      <c r="B38" s="172" t="n"/>
      <c r="C38" s="173" t="inlineStr">
        <is>
          <t>Компоненты</t>
        </is>
      </c>
      <c r="D38" s="173" t="n"/>
      <c r="E38" s="174" t="n"/>
      <c r="F38" s="174" t="n">
        <v>34</v>
      </c>
      <c r="G38" s="198" t="n"/>
      <c r="H38" s="199" t="n">
        <v>4341001250</v>
      </c>
      <c r="I38" s="200" t="inlineStr">
        <is>
          <t>Клапан перепускной</t>
        </is>
      </c>
      <c r="J38" s="909">
        <f>118/1.2</f>
        <v/>
      </c>
      <c r="K38" s="909" t="n"/>
      <c r="L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38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3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38" s="180">
        <f>SUMPRODUCT(--(MOD(COLUMN($L38:$BG38),4)=MOD(COLUMN($L38),4)),$L38:$BG38)</f>
        <v/>
      </c>
      <c r="BI38" s="181">
        <f>Автовик[[#This Row],[Цена, 
юань, без НДС 1]]*BH38</f>
        <v/>
      </c>
      <c r="BJ38" s="130">
        <f>SUMPRODUCT(--(MOD(COLUMN($L38:$BG38),4)=MOD(COLUMN($L38)+1,4)),$L38:$BG38)</f>
        <v/>
      </c>
      <c r="BK38" s="182">
        <f>Автовик[[#This Row],[Цена, 
юань, без НДС 1]]*BJ38</f>
        <v/>
      </c>
      <c r="BL38" s="109">
        <f>SUMPRODUCT(--(MOD(COLUMN($L38:$BG38),4)=MOD(COLUMN($L38)+2,4)),$L38:$BG38)</f>
        <v/>
      </c>
      <c r="BM38" s="183">
        <f>Автовик[[#This Row],[Цена, 
юань, без НДС 1]]*BL38</f>
        <v/>
      </c>
      <c r="BN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38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3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38" s="180">
        <f>SUMPRODUCT(--(MOD(COLUMN($BN38:$DU38),5)=MOD(COLUMN($BN38),5)),$BN38:$DU38)</f>
        <v/>
      </c>
      <c r="DW38" s="181">
        <f>Автовик[[#This Row],[Цена, 
юань, без НДС 1]]*DV38</f>
        <v/>
      </c>
      <c r="DX38" s="185">
        <f>SUMPRODUCT(--(MOD(COLUMN($BN38:$DU38),5)=MOD(COLUMN($BN38)+1,5)),$BN38:$DU38)</f>
        <v/>
      </c>
      <c r="DY38" s="186">
        <f>Автовик[[#This Row],[Цена, 
юань, без НДС 1]]*DX38</f>
        <v/>
      </c>
      <c r="DZ38" s="130">
        <f>SUMPRODUCT(--(MOD(COLUMN($BN38:$DU38),5)=MOD(COLUMN($BN38)+2,5)),$BN38:$DU38)</f>
        <v/>
      </c>
      <c r="EA38" s="187">
        <f>Автовик[[#This Row],[Цена, 
юань, без НДС 1]]*DZ38</f>
        <v/>
      </c>
      <c r="EB38" s="109">
        <f>SUMPRODUCT(--(MOD(COLUMN($BN38:$DU38),5)=MOD(COLUMN($BN38)+3,5)),$BN38:$DU38)</f>
        <v/>
      </c>
      <c r="EC38" s="188">
        <f>Автовик[[#This Row],[Цена, 
юань, без НДС 1]]*EB38</f>
        <v/>
      </c>
    </row>
    <row r="39">
      <c r="A39" s="171" t="n"/>
      <c r="B39" s="172" t="n"/>
      <c r="C39" s="173" t="inlineStr">
        <is>
          <t>Компоненты</t>
        </is>
      </c>
      <c r="D39" s="173" t="n"/>
      <c r="E39" s="174" t="n"/>
      <c r="F39" s="174" t="n">
        <v>35</v>
      </c>
      <c r="G39" s="198" t="n"/>
      <c r="H39" s="199" t="n">
        <v>4640061000</v>
      </c>
      <c r="I39" s="200" t="inlineStr">
        <is>
          <t>Кран уровня пола</t>
        </is>
      </c>
      <c r="J39" s="909">
        <f>294/1.2</f>
        <v/>
      </c>
      <c r="K39" s="909" t="n"/>
      <c r="L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39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3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39" s="180">
        <f>SUMPRODUCT(--(MOD(COLUMN($L39:$BG39),4)=MOD(COLUMN($L39),4)),$L39:$BG39)</f>
        <v/>
      </c>
      <c r="BI39" s="181">
        <f>Автовик[[#This Row],[Цена, 
юань, без НДС 1]]*BH39</f>
        <v/>
      </c>
      <c r="BJ39" s="130">
        <f>SUMPRODUCT(--(MOD(COLUMN($L39:$BG39),4)=MOD(COLUMN($L39)+1,4)),$L39:$BG39)</f>
        <v/>
      </c>
      <c r="BK39" s="182">
        <f>Автовик[[#This Row],[Цена, 
юань, без НДС 1]]*BJ39</f>
        <v/>
      </c>
      <c r="BL39" s="109">
        <f>SUMPRODUCT(--(MOD(COLUMN($L39:$BG39),4)=MOD(COLUMN($L39)+2,4)),$L39:$BG39)</f>
        <v/>
      </c>
      <c r="BM39" s="183">
        <f>Автовик[[#This Row],[Цена, 
юань, без НДС 1]]*BL39</f>
        <v/>
      </c>
      <c r="BN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39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3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39" s="180">
        <f>SUMPRODUCT(--(MOD(COLUMN($BN39:$DU39),5)=MOD(COLUMN($BN39),5)),$BN39:$DU39)</f>
        <v/>
      </c>
      <c r="DW39" s="181">
        <f>Автовик[[#This Row],[Цена, 
юань, без НДС 1]]*DV39</f>
        <v/>
      </c>
      <c r="DX39" s="185">
        <f>SUMPRODUCT(--(MOD(COLUMN($BN39:$DU39),5)=MOD(COLUMN($BN39)+1,5)),$BN39:$DU39)</f>
        <v/>
      </c>
      <c r="DY39" s="186">
        <f>Автовик[[#This Row],[Цена, 
юань, без НДС 1]]*DX39</f>
        <v/>
      </c>
      <c r="DZ39" s="130">
        <f>SUMPRODUCT(--(MOD(COLUMN($BN39:$DU39),5)=MOD(COLUMN($BN39)+2,5)),$BN39:$DU39)</f>
        <v/>
      </c>
      <c r="EA39" s="187">
        <f>Автовик[[#This Row],[Цена, 
юань, без НДС 1]]*DZ39</f>
        <v/>
      </c>
      <c r="EB39" s="109">
        <f>SUMPRODUCT(--(MOD(COLUMN($BN39:$DU39),5)=MOD(COLUMN($BN39)+3,5)),$BN39:$DU39)</f>
        <v/>
      </c>
      <c r="EC39" s="188">
        <f>Автовик[[#This Row],[Цена, 
юань, без НДС 1]]*EB39</f>
        <v/>
      </c>
    </row>
    <row r="40">
      <c r="A40" s="171" t="n"/>
      <c r="B40" s="172" t="n"/>
      <c r="C40" s="173" t="inlineStr">
        <is>
          <t>Компоненты</t>
        </is>
      </c>
      <c r="D40" s="173" t="n"/>
      <c r="E40" s="174" t="n"/>
      <c r="F40" s="174" t="n">
        <v>36</v>
      </c>
      <c r="G40" s="198" t="n"/>
      <c r="H40" s="199" t="n">
        <v>4630320200</v>
      </c>
      <c r="I40" s="200" t="inlineStr">
        <is>
          <t>Кран ручного управления</t>
        </is>
      </c>
      <c r="J40" s="909">
        <f>319/1.2</f>
        <v/>
      </c>
      <c r="K40" s="909" t="n"/>
      <c r="L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40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4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40" s="180">
        <f>SUMPRODUCT(--(MOD(COLUMN($L40:$BG40),4)=MOD(COLUMN($L40),4)),$L40:$BG40)</f>
        <v/>
      </c>
      <c r="BI40" s="181">
        <f>Автовик[[#This Row],[Цена, 
юань, без НДС 1]]*BH40</f>
        <v/>
      </c>
      <c r="BJ40" s="130">
        <f>SUMPRODUCT(--(MOD(COLUMN($L40:$BG40),4)=MOD(COLUMN($L40)+1,4)),$L40:$BG40)</f>
        <v/>
      </c>
      <c r="BK40" s="182">
        <f>Автовик[[#This Row],[Цена, 
юань, без НДС 1]]*BJ40</f>
        <v/>
      </c>
      <c r="BL40" s="109">
        <f>SUMPRODUCT(--(MOD(COLUMN($L40:$BG40),4)=MOD(COLUMN($L40)+2,4)),$L40:$BG40)</f>
        <v/>
      </c>
      <c r="BM40" s="183">
        <f>Автовик[[#This Row],[Цена, 
юань, без НДС 1]]*BL40</f>
        <v/>
      </c>
      <c r="BN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40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4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40" s="180">
        <f>SUMPRODUCT(--(MOD(COLUMN($BN40:$DU40),5)=MOD(COLUMN($BN40),5)),$BN40:$DU40)</f>
        <v/>
      </c>
      <c r="DW40" s="181">
        <f>Автовик[[#This Row],[Цена, 
юань, без НДС 1]]*DV40</f>
        <v/>
      </c>
      <c r="DX40" s="185">
        <f>SUMPRODUCT(--(MOD(COLUMN($BN40:$DU40),5)=MOD(COLUMN($BN40)+1,5)),$BN40:$DU40)</f>
        <v/>
      </c>
      <c r="DY40" s="186">
        <f>Автовик[[#This Row],[Цена, 
юань, без НДС 1]]*DX40</f>
        <v/>
      </c>
      <c r="DZ40" s="130">
        <f>SUMPRODUCT(--(MOD(COLUMN($BN40:$DU40),5)=MOD(COLUMN($BN40)+2,5)),$BN40:$DU40)</f>
        <v/>
      </c>
      <c r="EA40" s="187">
        <f>Автовик[[#This Row],[Цена, 
юань, без НДС 1]]*DZ40</f>
        <v/>
      </c>
      <c r="EB40" s="109">
        <f>SUMPRODUCT(--(MOD(COLUMN($BN40:$DU40),5)=MOD(COLUMN($BN40)+3,5)),$BN40:$DU40)</f>
        <v/>
      </c>
      <c r="EC40" s="188">
        <f>Автовик[[#This Row],[Цена, 
юань, без НДС 1]]*EB40</f>
        <v/>
      </c>
    </row>
    <row r="41">
      <c r="A41" s="171" t="n"/>
      <c r="B41" s="172" t="n"/>
      <c r="C41" s="173" t="inlineStr">
        <is>
          <t>Компоненты</t>
        </is>
      </c>
      <c r="D41" s="173" t="n"/>
      <c r="E41" s="174" t="n"/>
      <c r="F41" s="174" t="n">
        <v>37</v>
      </c>
      <c r="G41" s="198" t="n"/>
      <c r="H41" s="199" t="n">
        <v>4334010030</v>
      </c>
      <c r="I41" s="200" t="inlineStr">
        <is>
          <t>Упругий элемент</t>
        </is>
      </c>
      <c r="J41" s="909">
        <f>50/1.2</f>
        <v/>
      </c>
      <c r="K41" s="909" t="n"/>
      <c r="L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4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41" s="180">
        <f>SUMPRODUCT(--(MOD(COLUMN($L41:$BG41),4)=MOD(COLUMN($L41),4)),$L41:$BG41)</f>
        <v/>
      </c>
      <c r="BI41" s="181">
        <f>Автовик[[#This Row],[Цена, 
юань, без НДС 1]]*BH41</f>
        <v/>
      </c>
      <c r="BJ41" s="130">
        <f>SUMPRODUCT(--(MOD(COLUMN($L41:$BG41),4)=MOD(COLUMN($L41)+1,4)),$L41:$BG41)</f>
        <v/>
      </c>
      <c r="BK41" s="182">
        <f>Автовик[[#This Row],[Цена, 
юань, без НДС 1]]*BJ41</f>
        <v/>
      </c>
      <c r="BL41" s="109">
        <f>SUMPRODUCT(--(MOD(COLUMN($L41:$BG41),4)=MOD(COLUMN($L41)+2,4)),$L41:$BG41)</f>
        <v/>
      </c>
      <c r="BM41" s="183">
        <f>Автовик[[#This Row],[Цена, 
юань, без НДС 1]]*BL41</f>
        <v/>
      </c>
      <c r="BN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4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41" s="180">
        <f>SUMPRODUCT(--(MOD(COLUMN($BN41:$DU41),5)=MOD(COLUMN($BN41),5)),$BN41:$DU41)</f>
        <v/>
      </c>
      <c r="DW41" s="181">
        <f>Автовик[[#This Row],[Цена, 
юань, без НДС 1]]*DV41</f>
        <v/>
      </c>
      <c r="DX41" s="185">
        <f>SUMPRODUCT(--(MOD(COLUMN($BN41:$DU41),5)=MOD(COLUMN($BN41)+1,5)),$BN41:$DU41)</f>
        <v/>
      </c>
      <c r="DY41" s="186">
        <f>Автовик[[#This Row],[Цена, 
юань, без НДС 1]]*DX41</f>
        <v/>
      </c>
      <c r="DZ41" s="130">
        <f>SUMPRODUCT(--(MOD(COLUMN($BN41:$DU41),5)=MOD(COLUMN($BN41)+2,5)),$BN41:$DU41)</f>
        <v/>
      </c>
      <c r="EA41" s="187">
        <f>Автовик[[#This Row],[Цена, 
юань, без НДС 1]]*DZ41</f>
        <v/>
      </c>
      <c r="EB41" s="109">
        <f>SUMPRODUCT(--(MOD(COLUMN($BN41:$DU41),5)=MOD(COLUMN($BN41)+3,5)),$BN41:$DU41)</f>
        <v/>
      </c>
      <c r="EC41" s="188">
        <f>Автовик[[#This Row],[Цена, 
юань, без НДС 1]]*EB41</f>
        <v/>
      </c>
    </row>
    <row r="42">
      <c r="A42" s="171" t="n"/>
      <c r="B42" s="172" t="n"/>
      <c r="C42" s="173" t="inlineStr">
        <is>
          <t>Компоненты</t>
        </is>
      </c>
      <c r="D42" s="173" t="n"/>
      <c r="E42" s="174" t="n"/>
      <c r="F42" s="174" t="n">
        <v>38</v>
      </c>
      <c r="G42" s="198" t="n"/>
      <c r="H42" s="199" t="n">
        <v>4757145000</v>
      </c>
      <c r="I42" s="200" t="inlineStr">
        <is>
          <t>Регулятор тормозных сил</t>
        </is>
      </c>
      <c r="J42" s="909">
        <f>633/1.2</f>
        <v/>
      </c>
      <c r="K42" s="909" t="n"/>
      <c r="L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4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42" s="180">
        <f>SUMPRODUCT(--(MOD(COLUMN($L42:$BG42),4)=MOD(COLUMN($L42),4)),$L42:$BG42)</f>
        <v/>
      </c>
      <c r="BI42" s="181">
        <f>Автовик[[#This Row],[Цена, 
юань, без НДС 1]]*BH42</f>
        <v/>
      </c>
      <c r="BJ42" s="130">
        <f>SUMPRODUCT(--(MOD(COLUMN($L42:$BG42),4)=MOD(COLUMN($L42)+1,4)),$L42:$BG42)</f>
        <v/>
      </c>
      <c r="BK42" s="182">
        <f>Автовик[[#This Row],[Цена, 
юань, без НДС 1]]*BJ42</f>
        <v/>
      </c>
      <c r="BL42" s="109">
        <f>SUMPRODUCT(--(MOD(COLUMN($L42:$BG42),4)=MOD(COLUMN($L42)+2,4)),$L42:$BG42)</f>
        <v/>
      </c>
      <c r="BM42" s="183">
        <f>Автовик[[#This Row],[Цена, 
юань, без НДС 1]]*BL42</f>
        <v/>
      </c>
      <c r="BN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4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42" s="180">
        <f>SUMPRODUCT(--(MOD(COLUMN($BN42:$DU42),5)=MOD(COLUMN($BN42),5)),$BN42:$DU42)</f>
        <v/>
      </c>
      <c r="DW42" s="181">
        <f>Автовик[[#This Row],[Цена, 
юань, без НДС 1]]*DV42</f>
        <v/>
      </c>
      <c r="DX42" s="185">
        <f>SUMPRODUCT(--(MOD(COLUMN($BN42:$DU42),5)=MOD(COLUMN($BN42)+1,5)),$BN42:$DU42)</f>
        <v/>
      </c>
      <c r="DY42" s="186">
        <f>Автовик[[#This Row],[Цена, 
юань, без НДС 1]]*DX42</f>
        <v/>
      </c>
      <c r="DZ42" s="130">
        <f>SUMPRODUCT(--(MOD(COLUMN($BN42:$DU42),5)=MOD(COLUMN($BN42)+2,5)),$BN42:$DU42)</f>
        <v/>
      </c>
      <c r="EA42" s="187">
        <f>Автовик[[#This Row],[Цена, 
юань, без НДС 1]]*DZ42</f>
        <v/>
      </c>
      <c r="EB42" s="109">
        <f>SUMPRODUCT(--(MOD(COLUMN($BN42:$DU42),5)=MOD(COLUMN($BN42)+3,5)),$BN42:$DU42)</f>
        <v/>
      </c>
      <c r="EC42" s="188">
        <f>Автовик[[#This Row],[Цена, 
юань, без НДС 1]]*EB42</f>
        <v/>
      </c>
    </row>
    <row r="43">
      <c r="A43" s="171" t="n"/>
      <c r="B43" s="172" t="n"/>
      <c r="C43" s="173" t="n"/>
      <c r="D43" s="173" t="n"/>
      <c r="E43" s="174" t="n"/>
      <c r="F43" s="174" t="n">
        <v>39</v>
      </c>
      <c r="G43" s="201" t="n"/>
      <c r="H43" s="202" t="n">
        <v>8282519676</v>
      </c>
      <c r="I43" s="203" t="inlineStr">
        <is>
          <t>Трубка пластиковая 6x1, бухта 100м (м)</t>
        </is>
      </c>
      <c r="J43" s="909" t="n">
        <v>3.1</v>
      </c>
      <c r="K43" s="909" t="n"/>
      <c r="L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4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43" s="180">
        <f>SUMPRODUCT(--(MOD(COLUMN($L43:$BG43),4)=MOD(COLUMN($L43),4)),$L43:$BG43)</f>
        <v/>
      </c>
      <c r="BI43" s="181">
        <f>Автовик[[#This Row],[Цена, 
юань, без НДС 1]]*BH43</f>
        <v/>
      </c>
      <c r="BJ43" s="130">
        <f>SUMPRODUCT(--(MOD(COLUMN($L43:$BG43),4)=MOD(COLUMN($L43)+1,4)),$L43:$BG43)</f>
        <v/>
      </c>
      <c r="BK43" s="182">
        <f>Автовик[[#This Row],[Цена, 
юань, без НДС 1]]*BJ43</f>
        <v/>
      </c>
      <c r="BL43" s="109">
        <f>SUMPRODUCT(--(MOD(COLUMN($L43:$BG43),4)=MOD(COLUMN($L43)+2,4)),$L43:$BG43)</f>
        <v/>
      </c>
      <c r="BM43" s="183">
        <f>Автовик[[#This Row],[Цена, 
юань, без НДС 1]]*BL43</f>
        <v/>
      </c>
      <c r="BN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4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43" s="180">
        <f>SUMPRODUCT(--(MOD(COLUMN($BN43:$DU43),5)=MOD(COLUMN($BN43),5)),$BN43:$DU43)</f>
        <v/>
      </c>
      <c r="DW43" s="181">
        <f>Автовик[[#This Row],[Цена, 
юань, без НДС 1]]*DV43</f>
        <v/>
      </c>
      <c r="DX43" s="185">
        <f>SUMPRODUCT(--(MOD(COLUMN($BN43:$DU43),5)=MOD(COLUMN($BN43)+1,5)),$BN43:$DU43)</f>
        <v/>
      </c>
      <c r="DY43" s="186">
        <f>Автовик[[#This Row],[Цена, 
юань, без НДС 1]]*DX43</f>
        <v/>
      </c>
      <c r="DZ43" s="130">
        <f>SUMPRODUCT(--(MOD(COLUMN($BN43:$DU43),5)=MOD(COLUMN($BN43)+2,5)),$BN43:$DU43)</f>
        <v/>
      </c>
      <c r="EA43" s="187">
        <f>Автовик[[#This Row],[Цена, 
юань, без НДС 1]]*DZ43</f>
        <v/>
      </c>
      <c r="EB43" s="109">
        <f>SUMPRODUCT(--(MOD(COLUMN($BN43:$DU43),5)=MOD(COLUMN($BN43)+3,5)),$BN43:$DU43)</f>
        <v/>
      </c>
      <c r="EC43" s="188">
        <f>Автовик[[#This Row],[Цена, 
юань, без НДС 1]]*EB43</f>
        <v/>
      </c>
    </row>
    <row r="44">
      <c r="A44" s="171" t="n"/>
      <c r="B44" s="172" t="n"/>
      <c r="C44" s="173" t="n"/>
      <c r="D44" s="173" t="n"/>
      <c r="E44" s="174" t="n"/>
      <c r="F44" s="174" t="n">
        <v>40</v>
      </c>
      <c r="G44" s="201" t="n"/>
      <c r="H44" s="202" t="n">
        <v>8282510086</v>
      </c>
      <c r="I44" s="203" t="inlineStr">
        <is>
          <t>Трубка пластиковая 8x1, бухта 100м (м)</t>
        </is>
      </c>
      <c r="J44" s="909">
        <f>40.97/12.96</f>
        <v/>
      </c>
      <c r="K44" s="909" t="n"/>
      <c r="L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4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44" s="180">
        <f>SUMPRODUCT(--(MOD(COLUMN($L44:$BG44),4)=MOD(COLUMN($L44),4)),$L44:$BG44)</f>
        <v/>
      </c>
      <c r="BI44" s="181">
        <f>Автовик[[#This Row],[Цена, 
юань, без НДС 1]]*BH44</f>
        <v/>
      </c>
      <c r="BJ44" s="130">
        <f>SUMPRODUCT(--(MOD(COLUMN($L44:$BG44),4)=MOD(COLUMN($L44)+1,4)),$L44:$BG44)</f>
        <v/>
      </c>
      <c r="BK44" s="182">
        <f>Автовик[[#This Row],[Цена, 
юань, без НДС 1]]*BJ44</f>
        <v/>
      </c>
      <c r="BL44" s="109">
        <f>SUMPRODUCT(--(MOD(COLUMN($L44:$BG44),4)=MOD(COLUMN($L44)+2,4)),$L44:$BG44)</f>
        <v/>
      </c>
      <c r="BM44" s="183">
        <f>Автовик[[#This Row],[Цена, 
юань, без НДС 1]]*BL44</f>
        <v/>
      </c>
      <c r="BN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4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44" s="180">
        <f>SUMPRODUCT(--(MOD(COLUMN($BN44:$DU44),5)=MOD(COLUMN($BN44),5)),$BN44:$DU44)</f>
        <v/>
      </c>
      <c r="DW44" s="181">
        <f>Автовик[[#This Row],[Цена, 
юань, без НДС 1]]*DV44</f>
        <v/>
      </c>
      <c r="DX44" s="185">
        <f>SUMPRODUCT(--(MOD(COLUMN($BN44:$DU44),5)=MOD(COLUMN($BN44)+1,5)),$BN44:$DU44)</f>
        <v/>
      </c>
      <c r="DY44" s="186">
        <f>Автовик[[#This Row],[Цена, 
юань, без НДС 1]]*DX44</f>
        <v/>
      </c>
      <c r="DZ44" s="130">
        <f>SUMPRODUCT(--(MOD(COLUMN($BN44:$DU44),5)=MOD(COLUMN($BN44)+2,5)),$BN44:$DU44)</f>
        <v/>
      </c>
      <c r="EA44" s="187">
        <f>Автовик[[#This Row],[Цена, 
юань, без НДС 1]]*DZ44</f>
        <v/>
      </c>
      <c r="EB44" s="109">
        <f>SUMPRODUCT(--(MOD(COLUMN($BN44:$DU44),5)=MOD(COLUMN($BN44)+3,5)),$BN44:$DU44)</f>
        <v/>
      </c>
      <c r="EC44" s="188">
        <f>Автовик[[#This Row],[Цена, 
юань, без НДС 1]]*EB44</f>
        <v/>
      </c>
    </row>
    <row r="45">
      <c r="A45" s="171" t="n"/>
      <c r="B45" s="172" t="n"/>
      <c r="C45" s="173" t="n"/>
      <c r="D45" s="173" t="n"/>
      <c r="E45" s="174" t="n"/>
      <c r="F45" s="174" t="n">
        <v>41</v>
      </c>
      <c r="G45" s="201" t="n"/>
      <c r="H45" s="202" t="n">
        <v>8282510106</v>
      </c>
      <c r="I45" s="203" t="inlineStr">
        <is>
          <t>Трубка пластиковая 10x1, бухта 100м (м)</t>
        </is>
      </c>
      <c r="J45" s="909">
        <f>51.98 /12.96</f>
        <v/>
      </c>
      <c r="K45" s="909" t="n"/>
      <c r="L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4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45" s="180">
        <f>SUMPRODUCT(--(MOD(COLUMN($L45:$BG45),4)=MOD(COLUMN($L45),4)),$L45:$BG45)</f>
        <v/>
      </c>
      <c r="BI45" s="181">
        <f>Автовик[[#This Row],[Цена, 
юань, без НДС 1]]*BH45</f>
        <v/>
      </c>
      <c r="BJ45" s="130">
        <f>SUMPRODUCT(--(MOD(COLUMN($L45:$BG45),4)=MOD(COLUMN($L45)+1,4)),$L45:$BG45)</f>
        <v/>
      </c>
      <c r="BK45" s="182">
        <f>Автовик[[#This Row],[Цена, 
юань, без НДС 1]]*BJ45</f>
        <v/>
      </c>
      <c r="BL45" s="109">
        <f>SUMPRODUCT(--(MOD(COLUMN($L45:$BG45),4)=MOD(COLUMN($L45)+2,4)),$L45:$BG45)</f>
        <v/>
      </c>
      <c r="BM45" s="183">
        <f>Автовик[[#This Row],[Цена, 
юань, без НДС 1]]*BL45</f>
        <v/>
      </c>
      <c r="BN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4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45" s="180">
        <f>SUMPRODUCT(--(MOD(COLUMN($BN45:$DU45),5)=MOD(COLUMN($BN45),5)),$BN45:$DU45)</f>
        <v/>
      </c>
      <c r="DW45" s="181">
        <f>Автовик[[#This Row],[Цена, 
юань, без НДС 1]]*DV45</f>
        <v/>
      </c>
      <c r="DX45" s="185">
        <f>SUMPRODUCT(--(MOD(COLUMN($BN45:$DU45),5)=MOD(COLUMN($BN45)+1,5)),$BN45:$DU45)</f>
        <v/>
      </c>
      <c r="DY45" s="186">
        <f>Автовик[[#This Row],[Цена, 
юань, без НДС 1]]*DX45</f>
        <v/>
      </c>
      <c r="DZ45" s="130">
        <f>SUMPRODUCT(--(MOD(COLUMN($BN45:$DU45),5)=MOD(COLUMN($BN45)+2,5)),$BN45:$DU45)</f>
        <v/>
      </c>
      <c r="EA45" s="187">
        <f>Автовик[[#This Row],[Цена, 
юань, без НДС 1]]*DZ45</f>
        <v/>
      </c>
      <c r="EB45" s="109">
        <f>SUMPRODUCT(--(MOD(COLUMN($BN45:$DU45),5)=MOD(COLUMN($BN45)+3,5)),$BN45:$DU45)</f>
        <v/>
      </c>
      <c r="EC45" s="188">
        <f>Автовик[[#This Row],[Цена, 
юань, без НДС 1]]*EB45</f>
        <v/>
      </c>
    </row>
    <row r="46">
      <c r="A46" s="171" t="n"/>
      <c r="B46" s="172" t="n"/>
      <c r="C46" s="173" t="n"/>
      <c r="D46" s="173" t="n"/>
      <c r="E46" s="174" t="n"/>
      <c r="F46" s="174" t="n">
        <v>42</v>
      </c>
      <c r="G46" s="201" t="n"/>
      <c r="H46" s="202" t="n">
        <v>8282510126</v>
      </c>
      <c r="I46" s="203" t="inlineStr">
        <is>
          <t>Трубка пластиковая 12x1,5, бухта 100м (м)</t>
        </is>
      </c>
      <c r="J46" s="909">
        <f>79.31/12.96</f>
        <v/>
      </c>
      <c r="K46" s="909" t="n"/>
      <c r="L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4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46" s="180">
        <f>SUMPRODUCT(--(MOD(COLUMN($L46:$BG46),4)=MOD(COLUMN($L46),4)),$L46:$BG46)</f>
        <v/>
      </c>
      <c r="BI46" s="181">
        <f>Автовик[[#This Row],[Цена, 
юань, без НДС 1]]*BH46</f>
        <v/>
      </c>
      <c r="BJ46" s="130">
        <f>SUMPRODUCT(--(MOD(COLUMN($L46:$BG46),4)=MOD(COLUMN($L46)+1,4)),$L46:$BG46)</f>
        <v/>
      </c>
      <c r="BK46" s="182">
        <f>Автовик[[#This Row],[Цена, 
юань, без НДС 1]]*BJ46</f>
        <v/>
      </c>
      <c r="BL46" s="109">
        <f>SUMPRODUCT(--(MOD(COLUMN($L46:$BG46),4)=MOD(COLUMN($L46)+2,4)),$L46:$BG46)</f>
        <v/>
      </c>
      <c r="BM46" s="183">
        <f>Автовик[[#This Row],[Цена, 
юань, без НДС 1]]*BL46</f>
        <v/>
      </c>
      <c r="BN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4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46" s="180">
        <f>SUMPRODUCT(--(MOD(COLUMN($BN46:$DU46),5)=MOD(COLUMN($BN46),5)),$BN46:$DU46)</f>
        <v/>
      </c>
      <c r="DW46" s="181">
        <f>Автовик[[#This Row],[Цена, 
юань, без НДС 1]]*DV46</f>
        <v/>
      </c>
      <c r="DX46" s="185">
        <f>SUMPRODUCT(--(MOD(COLUMN($BN46:$DU46),5)=MOD(COLUMN($BN46)+1,5)),$BN46:$DU46)</f>
        <v/>
      </c>
      <c r="DY46" s="186">
        <f>Автовик[[#This Row],[Цена, 
юань, без НДС 1]]*DX46</f>
        <v/>
      </c>
      <c r="DZ46" s="130">
        <f>SUMPRODUCT(--(MOD(COLUMN($BN46:$DU46),5)=MOD(COLUMN($BN46)+2,5)),$BN46:$DU46)</f>
        <v/>
      </c>
      <c r="EA46" s="187">
        <f>Автовик[[#This Row],[Цена, 
юань, без НДС 1]]*DZ46</f>
        <v/>
      </c>
      <c r="EB46" s="109">
        <f>SUMPRODUCT(--(MOD(COLUMN($BN46:$DU46),5)=MOD(COLUMN($BN46)+3,5)),$BN46:$DU46)</f>
        <v/>
      </c>
      <c r="EC46" s="188">
        <f>Автовик[[#This Row],[Цена, 
юань, без НДС 1]]*EB46</f>
        <v/>
      </c>
    </row>
    <row r="47">
      <c r="A47" s="171" t="n"/>
      <c r="B47" s="172" t="n"/>
      <c r="C47" s="173" t="n"/>
      <c r="D47" s="173" t="n"/>
      <c r="E47" s="174" t="n"/>
      <c r="F47" s="174" t="n">
        <v>43</v>
      </c>
      <c r="G47" s="201" t="n"/>
      <c r="H47" s="202" t="n">
        <v>8282519726</v>
      </c>
      <c r="I47" s="203" t="inlineStr">
        <is>
          <t>Трубка пластиковая 15x1,5, бухта 50м (м)</t>
        </is>
      </c>
      <c r="J47" s="909">
        <f>124.61/12.96</f>
        <v/>
      </c>
      <c r="K47" s="909" t="n"/>
      <c r="L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4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47" s="180">
        <f>SUMPRODUCT(--(MOD(COLUMN($L47:$BG47),4)=MOD(COLUMN($L47),4)),$L47:$BG47)</f>
        <v/>
      </c>
      <c r="BI47" s="181">
        <f>Автовик[[#This Row],[Цена, 
юань, без НДС 1]]*BH47</f>
        <v/>
      </c>
      <c r="BJ47" s="130">
        <f>SUMPRODUCT(--(MOD(COLUMN($L47:$BG47),4)=MOD(COLUMN($L47)+1,4)),$L47:$BG47)</f>
        <v/>
      </c>
      <c r="BK47" s="182">
        <f>Автовик[[#This Row],[Цена, 
юань, без НДС 1]]*BJ47</f>
        <v/>
      </c>
      <c r="BL47" s="109">
        <f>SUMPRODUCT(--(MOD(COLUMN($L47:$BG47),4)=MOD(COLUMN($L47)+2,4)),$L47:$BG47)</f>
        <v/>
      </c>
      <c r="BM47" s="183">
        <f>Автовик[[#This Row],[Цена, 
юань, без НДС 1]]*BL47</f>
        <v/>
      </c>
      <c r="BN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4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47" s="180">
        <f>SUMPRODUCT(--(MOD(COLUMN($BN47:$DU47),5)=MOD(COLUMN($BN47),5)),$BN47:$DU47)</f>
        <v/>
      </c>
      <c r="DW47" s="181">
        <f>Автовик[[#This Row],[Цена, 
юань, без НДС 1]]*DV47</f>
        <v/>
      </c>
      <c r="DX47" s="185">
        <f>SUMPRODUCT(--(MOD(COLUMN($BN47:$DU47),5)=MOD(COLUMN($BN47)+1,5)),$BN47:$DU47)</f>
        <v/>
      </c>
      <c r="DY47" s="186">
        <f>Автовик[[#This Row],[Цена, 
юань, без НДС 1]]*DX47</f>
        <v/>
      </c>
      <c r="DZ47" s="130">
        <f>SUMPRODUCT(--(MOD(COLUMN($BN47:$DU47),5)=MOD(COLUMN($BN47)+2,5)),$BN47:$DU47)</f>
        <v/>
      </c>
      <c r="EA47" s="187">
        <f>Автовик[[#This Row],[Цена, 
юань, без НДС 1]]*DZ47</f>
        <v/>
      </c>
      <c r="EB47" s="109">
        <f>SUMPRODUCT(--(MOD(COLUMN($BN47:$DU47),5)=MOD(COLUMN($BN47)+3,5)),$BN47:$DU47)</f>
        <v/>
      </c>
      <c r="EC47" s="188">
        <f>Автовик[[#This Row],[Цена, 
юань, без НДС 1]]*EB47</f>
        <v/>
      </c>
    </row>
    <row r="48">
      <c r="A48" s="171" t="n"/>
      <c r="B48" s="172" t="n"/>
      <c r="C48" s="173" t="n"/>
      <c r="D48" s="173" t="n"/>
      <c r="E48" s="174" t="n"/>
      <c r="F48" s="174" t="n">
        <v>44</v>
      </c>
      <c r="G48" s="201" t="n">
        <v>2</v>
      </c>
      <c r="H48" s="202" t="n">
        <v>8282520016</v>
      </c>
      <c r="I48" s="203" t="inlineStr">
        <is>
          <t>Трубка пластиковая 12x1,5, бухта 500м</t>
        </is>
      </c>
      <c r="J48" s="909" t="n">
        <v>2957.818930041152</v>
      </c>
      <c r="K48" s="909" t="n"/>
      <c r="L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4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48" s="180">
        <f>SUMPRODUCT(--(MOD(COLUMN($L48:$BG48),4)=MOD(COLUMN($L48),4)),$L48:$BG48)</f>
        <v/>
      </c>
      <c r="BI48" s="181">
        <f>Автовик[[#This Row],[Цена, 
юань, без НДС 1]]*BH48</f>
        <v/>
      </c>
      <c r="BJ48" s="130">
        <f>SUMPRODUCT(--(MOD(COLUMN($L48:$BG48),4)=MOD(COLUMN($L48)+1,4)),$L48:$BG48)</f>
        <v/>
      </c>
      <c r="BK48" s="182">
        <f>Автовик[[#This Row],[Цена, 
юань, без НДС 1]]*BJ48</f>
        <v/>
      </c>
      <c r="BL48" s="109">
        <f>SUMPRODUCT(--(MOD(COLUMN($L48:$BG48),4)=MOD(COLUMN($L48)+2,4)),$L48:$BG48)</f>
        <v/>
      </c>
      <c r="BM48" s="183">
        <f>Автовик[[#This Row],[Цена, 
юань, без НДС 1]]*BL48</f>
        <v/>
      </c>
      <c r="BN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4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48" s="180">
        <f>SUMPRODUCT(--(MOD(COLUMN($BN48:$DU48),5)=MOD(COLUMN($BN48),5)),$BN48:$DU48)</f>
        <v/>
      </c>
      <c r="DW48" s="181">
        <f>Автовик[[#This Row],[Цена, 
юань, без НДС 1]]*DV48</f>
        <v/>
      </c>
      <c r="DX48" s="185">
        <f>SUMPRODUCT(--(MOD(COLUMN($BN48:$DU48),5)=MOD(COLUMN($BN48)+1,5)),$BN48:$DU48)</f>
        <v/>
      </c>
      <c r="DY48" s="186">
        <f>Автовик[[#This Row],[Цена, 
юань, без НДС 1]]*DX48</f>
        <v/>
      </c>
      <c r="DZ48" s="130">
        <f>SUMPRODUCT(--(MOD(COLUMN($BN48:$DU48),5)=MOD(COLUMN($BN48)+2,5)),$BN48:$DU48)</f>
        <v/>
      </c>
      <c r="EA48" s="187">
        <f>Автовик[[#This Row],[Цена, 
юань, без НДС 1]]*DZ48</f>
        <v/>
      </c>
      <c r="EB48" s="109">
        <f>SUMPRODUCT(--(MOD(COLUMN($BN48:$DU48),5)=MOD(COLUMN($BN48)+3,5)),$BN48:$DU48)</f>
        <v/>
      </c>
      <c r="EC48" s="188">
        <f>Автовик[[#This Row],[Цена, 
юань, без НДС 1]]*EB48</f>
        <v/>
      </c>
    </row>
    <row r="49">
      <c r="A49" s="171" t="n"/>
      <c r="B49" s="172" t="n"/>
      <c r="C49" s="173" t="n"/>
      <c r="D49" s="173" t="n"/>
      <c r="E49" s="174" t="n"/>
      <c r="F49" s="174" t="n">
        <v>45</v>
      </c>
      <c r="G49" s="201" t="n"/>
      <c r="H49" s="202" t="n">
        <v>4231069000</v>
      </c>
      <c r="I49" s="203" t="inlineStr">
        <is>
          <t>Камера тормозная тип 24</t>
        </is>
      </c>
      <c r="J49" s="909">
        <f>144.6/1.2</f>
        <v/>
      </c>
      <c r="K49" s="909" t="n"/>
      <c r="L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4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49" s="180">
        <f>SUMPRODUCT(--(MOD(COLUMN($L49:$BG49),4)=MOD(COLUMN($L49),4)),$L49:$BG49)</f>
        <v/>
      </c>
      <c r="BI49" s="181">
        <f>Автовик[[#This Row],[Цена, 
юань, без НДС 1]]*BH49</f>
        <v/>
      </c>
      <c r="BJ49" s="130">
        <f>SUMPRODUCT(--(MOD(COLUMN($L49:$BG49),4)=MOD(COLUMN($L49)+1,4)),$L49:$BG49)</f>
        <v/>
      </c>
      <c r="BK49" s="182">
        <f>Автовик[[#This Row],[Цена, 
юань, без НДС 1]]*BJ49</f>
        <v/>
      </c>
      <c r="BL49" s="109">
        <f>SUMPRODUCT(--(MOD(COLUMN($L49:$BG49),4)=MOD(COLUMN($L49)+2,4)),$L49:$BG49)</f>
        <v/>
      </c>
      <c r="BM49" s="183">
        <f>Автовик[[#This Row],[Цена, 
юань, без НДС 1]]*BL49</f>
        <v/>
      </c>
      <c r="BN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4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49" s="180">
        <f>SUMPRODUCT(--(MOD(COLUMN($BN49:$DU49),5)=MOD(COLUMN($BN49),5)),$BN49:$DU49)</f>
        <v/>
      </c>
      <c r="DW49" s="181">
        <f>Автовик[[#This Row],[Цена, 
юань, без НДС 1]]*DV49</f>
        <v/>
      </c>
      <c r="DX49" s="185">
        <f>SUMPRODUCT(--(MOD(COLUMN($BN49:$DU49),5)=MOD(COLUMN($BN49)+1,5)),$BN49:$DU49)</f>
        <v/>
      </c>
      <c r="DY49" s="186">
        <f>Автовик[[#This Row],[Цена, 
юань, без НДС 1]]*DX49</f>
        <v/>
      </c>
      <c r="DZ49" s="130">
        <f>SUMPRODUCT(--(MOD(COLUMN($BN49:$DU49),5)=MOD(COLUMN($BN49)+2,5)),$BN49:$DU49)</f>
        <v/>
      </c>
      <c r="EA49" s="187">
        <f>Автовик[[#This Row],[Цена, 
юань, без НДС 1]]*DZ49</f>
        <v/>
      </c>
      <c r="EB49" s="109">
        <f>SUMPRODUCT(--(MOD(COLUMN($BN49:$DU49),5)=MOD(COLUMN($BN49)+3,5)),$BN49:$DU49)</f>
        <v/>
      </c>
      <c r="EC49" s="188">
        <f>Автовик[[#This Row],[Цена, 
юань, без НДС 1]]*EB49</f>
        <v/>
      </c>
    </row>
    <row r="50">
      <c r="A50" s="171" t="n"/>
      <c r="B50" s="172" t="n"/>
      <c r="C50" s="173" t="n"/>
      <c r="D50" s="173" t="n"/>
      <c r="E50" s="174" t="n"/>
      <c r="F50" s="174" t="n">
        <v>46</v>
      </c>
      <c r="G50" s="201" t="n"/>
      <c r="H50" s="202" t="n">
        <v>4231079000</v>
      </c>
      <c r="I50" s="203" t="inlineStr">
        <is>
          <t>Камера тормозная тип 30</t>
        </is>
      </c>
      <c r="J50" s="909">
        <f>153.2/1.2</f>
        <v/>
      </c>
      <c r="K50" s="909" t="n"/>
      <c r="L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0" s="180">
        <f>SUMPRODUCT(--(MOD(COLUMN($L50:$BG50),4)=MOD(COLUMN($L50),4)),$L50:$BG50)</f>
        <v/>
      </c>
      <c r="BI50" s="181">
        <f>Автовик[[#This Row],[Цена, 
юань, без НДС 1]]*BH50</f>
        <v/>
      </c>
      <c r="BJ50" s="130">
        <f>SUMPRODUCT(--(MOD(COLUMN($L50:$BG50),4)=MOD(COLUMN($L50)+1,4)),$L50:$BG50)</f>
        <v/>
      </c>
      <c r="BK50" s="182">
        <f>Автовик[[#This Row],[Цена, 
юань, без НДС 1]]*BJ50</f>
        <v/>
      </c>
      <c r="BL50" s="109">
        <f>SUMPRODUCT(--(MOD(COLUMN($L50:$BG50),4)=MOD(COLUMN($L50)+2,4)),$L50:$BG50)</f>
        <v/>
      </c>
      <c r="BM50" s="183">
        <f>Автовик[[#This Row],[Цена, 
юань, без НДС 1]]*BL50</f>
        <v/>
      </c>
      <c r="BN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0" s="180">
        <f>SUMPRODUCT(--(MOD(COLUMN($BN50:$DU50),5)=MOD(COLUMN($BN50),5)),$BN50:$DU50)</f>
        <v/>
      </c>
      <c r="DW50" s="181">
        <f>Автовик[[#This Row],[Цена, 
юань, без НДС 1]]*DV50</f>
        <v/>
      </c>
      <c r="DX50" s="185">
        <f>SUMPRODUCT(--(MOD(COLUMN($BN50:$DU50),5)=MOD(COLUMN($BN50)+1,5)),$BN50:$DU50)</f>
        <v/>
      </c>
      <c r="DY50" s="186">
        <f>Автовик[[#This Row],[Цена, 
юань, без НДС 1]]*DX50</f>
        <v/>
      </c>
      <c r="DZ50" s="130">
        <f>SUMPRODUCT(--(MOD(COLUMN($BN50:$DU50),5)=MOD(COLUMN($BN50)+2,5)),$BN50:$DU50)</f>
        <v/>
      </c>
      <c r="EA50" s="187">
        <f>Автовик[[#This Row],[Цена, 
юань, без НДС 1]]*DZ50</f>
        <v/>
      </c>
      <c r="EB50" s="109">
        <f>SUMPRODUCT(--(MOD(COLUMN($BN50:$DU50),5)=MOD(COLUMN($BN50)+3,5)),$BN50:$DU50)</f>
        <v/>
      </c>
      <c r="EC50" s="188">
        <f>Автовик[[#This Row],[Цена, 
юань, без НДС 1]]*EB50</f>
        <v/>
      </c>
    </row>
    <row r="51">
      <c r="A51" s="171" t="n"/>
      <c r="B51" s="172" t="n"/>
      <c r="C51" s="173" t="n"/>
      <c r="D51" s="173" t="n"/>
      <c r="E51" s="174" t="n"/>
      <c r="F51" s="174" t="n">
        <v>47</v>
      </c>
      <c r="G51" s="201" t="n"/>
      <c r="H51" s="202" t="n">
        <v>9253761210</v>
      </c>
      <c r="I51" s="203" t="inlineStr">
        <is>
          <t>Энергоаккумулятор тип 24/30</t>
        </is>
      </c>
      <c r="J51" s="909">
        <f>300.5/1.2</f>
        <v/>
      </c>
      <c r="K51" s="909" t="n"/>
      <c r="L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1" s="180">
        <f>SUMPRODUCT(--(MOD(COLUMN($L51:$BG51),4)=MOD(COLUMN($L51),4)),$L51:$BG51)</f>
        <v/>
      </c>
      <c r="BI51" s="181">
        <f>Автовик[[#This Row],[Цена, 
юань, без НДС 1]]*BH51</f>
        <v/>
      </c>
      <c r="BJ51" s="130">
        <f>SUMPRODUCT(--(MOD(COLUMN($L51:$BG51),4)=MOD(COLUMN($L51)+1,4)),$L51:$BG51)</f>
        <v/>
      </c>
      <c r="BK51" s="182">
        <f>Автовик[[#This Row],[Цена, 
юань, без НДС 1]]*BJ51</f>
        <v/>
      </c>
      <c r="BL51" s="109">
        <f>SUMPRODUCT(--(MOD(COLUMN($L51:$BG51),4)=MOD(COLUMN($L51)+2,4)),$L51:$BG51)</f>
        <v/>
      </c>
      <c r="BM51" s="183">
        <f>Автовик[[#This Row],[Цена, 
юань, без НДС 1]]*BL51</f>
        <v/>
      </c>
      <c r="BN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1" s="180">
        <f>SUMPRODUCT(--(MOD(COLUMN($BN51:$DU51),5)=MOD(COLUMN($BN51),5)),$BN51:$DU51)</f>
        <v/>
      </c>
      <c r="DW51" s="181">
        <f>Автовик[[#This Row],[Цена, 
юань, без НДС 1]]*DV51</f>
        <v/>
      </c>
      <c r="DX51" s="185">
        <f>SUMPRODUCT(--(MOD(COLUMN($BN51:$DU51),5)=MOD(COLUMN($BN51)+1,5)),$BN51:$DU51)</f>
        <v/>
      </c>
      <c r="DY51" s="186">
        <f>Автовик[[#This Row],[Цена, 
юань, без НДС 1]]*DX51</f>
        <v/>
      </c>
      <c r="DZ51" s="130">
        <f>SUMPRODUCT(--(MOD(COLUMN($BN51:$DU51),5)=MOD(COLUMN($BN51)+2,5)),$BN51:$DU51)</f>
        <v/>
      </c>
      <c r="EA51" s="187">
        <f>Автовик[[#This Row],[Цена, 
юань, без НДС 1]]*DZ51</f>
        <v/>
      </c>
      <c r="EB51" s="109">
        <f>SUMPRODUCT(--(MOD(COLUMN($BN51:$DU51),5)=MOD(COLUMN($BN51)+3,5)),$BN51:$DU51)</f>
        <v/>
      </c>
      <c r="EC51" s="188">
        <f>Автовик[[#This Row],[Цена, 
юань, без НДС 1]]*EB51</f>
        <v/>
      </c>
    </row>
    <row r="52">
      <c r="A52" s="171" t="n"/>
      <c r="B52" s="172" t="n"/>
      <c r="C52" s="173" t="n"/>
      <c r="D52" s="173" t="n"/>
      <c r="E52" s="174" t="n"/>
      <c r="F52" s="174" t="n">
        <v>48</v>
      </c>
      <c r="G52" s="201" t="n"/>
      <c r="H52" s="202" t="n">
        <v>9253771100</v>
      </c>
      <c r="I52" s="203" t="inlineStr">
        <is>
          <t>Энергоаккумулятор тип 30/30</t>
        </is>
      </c>
      <c r="J52" s="909">
        <f>305.1/1.2</f>
        <v/>
      </c>
      <c r="K52" s="909" t="n"/>
      <c r="L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2" s="180">
        <f>SUMPRODUCT(--(MOD(COLUMN($L52:$BG52),4)=MOD(COLUMN($L52),4)),$L52:$BG52)</f>
        <v/>
      </c>
      <c r="BI52" s="181">
        <f>Автовик[[#This Row],[Цена, 
юань, без НДС 1]]*BH52</f>
        <v/>
      </c>
      <c r="BJ52" s="130">
        <f>SUMPRODUCT(--(MOD(COLUMN($L52:$BG52),4)=MOD(COLUMN($L52)+1,4)),$L52:$BG52)</f>
        <v/>
      </c>
      <c r="BK52" s="182">
        <f>Автовик[[#This Row],[Цена, 
юань, без НДС 1]]*BJ52</f>
        <v/>
      </c>
      <c r="BL52" s="109">
        <f>SUMPRODUCT(--(MOD(COLUMN($L52:$BG52),4)=MOD(COLUMN($L52)+2,4)),$L52:$BG52)</f>
        <v/>
      </c>
      <c r="BM52" s="183">
        <f>Автовик[[#This Row],[Цена, 
юань, без НДС 1]]*BL52</f>
        <v/>
      </c>
      <c r="BN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2" s="180">
        <f>SUMPRODUCT(--(MOD(COLUMN($BN52:$DU52),5)=MOD(COLUMN($BN52),5)),$BN52:$DU52)</f>
        <v/>
      </c>
      <c r="DW52" s="181">
        <f>Автовик[[#This Row],[Цена, 
юань, без НДС 1]]*DV52</f>
        <v/>
      </c>
      <c r="DX52" s="185">
        <f>SUMPRODUCT(--(MOD(COLUMN($BN52:$DU52),5)=MOD(COLUMN($BN52)+1,5)),$BN52:$DU52)</f>
        <v/>
      </c>
      <c r="DY52" s="186">
        <f>Автовик[[#This Row],[Цена, 
юань, без НДС 1]]*DX52</f>
        <v/>
      </c>
      <c r="DZ52" s="130">
        <f>SUMPRODUCT(--(MOD(COLUMN($BN52:$DU52),5)=MOD(COLUMN($BN52)+2,5)),$BN52:$DU52)</f>
        <v/>
      </c>
      <c r="EA52" s="187">
        <f>Автовик[[#This Row],[Цена, 
юань, без НДС 1]]*DZ52</f>
        <v/>
      </c>
      <c r="EB52" s="109">
        <f>SUMPRODUCT(--(MOD(COLUMN($BN52:$DU52),5)=MOD(COLUMN($BN52)+3,5)),$BN52:$DU52)</f>
        <v/>
      </c>
      <c r="EC52" s="188">
        <f>Автовик[[#This Row],[Цена, 
юань, без НДС 1]]*EB52</f>
        <v/>
      </c>
    </row>
    <row r="53">
      <c r="A53" s="171" t="n"/>
      <c r="B53" s="172" t="n"/>
      <c r="C53" s="173" t="inlineStr">
        <is>
          <t>TEBS W</t>
        </is>
      </c>
      <c r="D53" s="173" t="inlineStr">
        <is>
          <t>TEBS 4s/3m W</t>
        </is>
      </c>
      <c r="E53" s="174" t="n">
        <v>1</v>
      </c>
      <c r="F53" s="174" t="n">
        <v>49</v>
      </c>
      <c r="G53" s="204" t="n">
        <v>2</v>
      </c>
      <c r="H53" s="205" t="n">
        <v>9522010010</v>
      </c>
      <c r="I53" s="206" t="inlineStr">
        <is>
          <t>Головка соединительная</t>
        </is>
      </c>
      <c r="J53" s="910" t="n">
        <v>96.40000000000001</v>
      </c>
      <c r="K53" s="909" t="n"/>
      <c r="L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3" s="180">
        <f>SUMPRODUCT(--(MOD(COLUMN($L53:$BG53),4)=MOD(COLUMN($L53),4)),$L53:$BG53)</f>
        <v/>
      </c>
      <c r="BI53" s="181">
        <f>Автовик[[#This Row],[Цена, 
юань, без НДС 1]]*BH53</f>
        <v/>
      </c>
      <c r="BJ53" s="130">
        <f>SUMPRODUCT(--(MOD(COLUMN($L53:$BG53),4)=MOD(COLUMN($L53)+1,4)),$L53:$BG53)</f>
        <v/>
      </c>
      <c r="BK53" s="182">
        <f>Автовик[[#This Row],[Цена, 
юань, без НДС 1]]*BJ53</f>
        <v/>
      </c>
      <c r="BL53" s="109">
        <f>SUMPRODUCT(--(MOD(COLUMN($L53:$BG53),4)=MOD(COLUMN($L53)+2,4)),$L53:$BG53)</f>
        <v/>
      </c>
      <c r="BM53" s="183">
        <f>Автовик[[#This Row],[Цена, 
юань, без НДС 1]]*BL53</f>
        <v/>
      </c>
      <c r="BN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3" s="180">
        <f>SUMPRODUCT(--(MOD(COLUMN($BN53:$DU53),5)=MOD(COLUMN($BN53),5)),$BN53:$DU53)</f>
        <v/>
      </c>
      <c r="DW53" s="181">
        <f>Автовик[[#This Row],[Цена, 
юань, без НДС 1]]*DV53</f>
        <v/>
      </c>
      <c r="DX53" s="185">
        <f>SUMPRODUCT(--(MOD(COLUMN($BN53:$DU53),5)=MOD(COLUMN($BN53)+1,5)),$BN53:$DU53)</f>
        <v/>
      </c>
      <c r="DY53" s="186">
        <f>Автовик[[#This Row],[Цена, 
юань, без НДС 1]]*DX53</f>
        <v/>
      </c>
      <c r="DZ53" s="130">
        <f>SUMPRODUCT(--(MOD(COLUMN($BN53:$DU53),5)=MOD(COLUMN($BN53)+2,5)),$BN53:$DU53)</f>
        <v/>
      </c>
      <c r="EA53" s="187">
        <f>Автовик[[#This Row],[Цена, 
юань, без НДС 1]]*DZ53</f>
        <v/>
      </c>
      <c r="EB53" s="109">
        <f>SUMPRODUCT(--(MOD(COLUMN($BN53:$DU53),5)=MOD(COLUMN($BN53)+3,5)),$BN53:$DU53)</f>
        <v/>
      </c>
      <c r="EC53" s="188">
        <f>Автовик[[#This Row],[Цена, 
юань, без НДС 1]]*EB53</f>
        <v/>
      </c>
    </row>
    <row r="54">
      <c r="A54" s="171" t="n"/>
      <c r="B54" s="172" t="n"/>
      <c r="C54" s="173" t="inlineStr">
        <is>
          <t>TEBS W</t>
        </is>
      </c>
      <c r="D54" s="173" t="inlineStr">
        <is>
          <t>TEBS 4s/3m W</t>
        </is>
      </c>
      <c r="E54" s="174" t="n">
        <v>1</v>
      </c>
      <c r="F54" s="174" t="n">
        <v>50</v>
      </c>
      <c r="G54" s="204" t="n">
        <v>2</v>
      </c>
      <c r="H54" s="205" t="n">
        <v>9522010020</v>
      </c>
      <c r="I54" s="206" t="inlineStr">
        <is>
          <t>Головка соединительная</t>
        </is>
      </c>
      <c r="J54" s="910" t="n">
        <v>96.40000000000001</v>
      </c>
      <c r="K54" s="909" t="n"/>
      <c r="L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4" s="180">
        <f>SUMPRODUCT(--(MOD(COLUMN($L54:$BG54),4)=MOD(COLUMN($L54),4)),$L54:$BG54)</f>
        <v/>
      </c>
      <c r="BI54" s="181">
        <f>Автовик[[#This Row],[Цена, 
юань, без НДС 1]]*BH54</f>
        <v/>
      </c>
      <c r="BJ54" s="130">
        <f>SUMPRODUCT(--(MOD(COLUMN($L54:$BG54),4)=MOD(COLUMN($L54)+1,4)),$L54:$BG54)</f>
        <v/>
      </c>
      <c r="BK54" s="182">
        <f>Автовик[[#This Row],[Цена, 
юань, без НДС 1]]*BJ54</f>
        <v/>
      </c>
      <c r="BL54" s="109">
        <f>SUMPRODUCT(--(MOD(COLUMN($L54:$BG54),4)=MOD(COLUMN($L54)+2,4)),$L54:$BG54)</f>
        <v/>
      </c>
      <c r="BM54" s="183">
        <f>Автовик[[#This Row],[Цена, 
юань, без НДС 1]]*BL54</f>
        <v/>
      </c>
      <c r="BN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4" s="180">
        <f>SUMPRODUCT(--(MOD(COLUMN($BN54:$DU54),5)=MOD(COLUMN($BN54),5)),$BN54:$DU54)</f>
        <v/>
      </c>
      <c r="DW54" s="181">
        <f>Автовик[[#This Row],[Цена, 
юань, без НДС 1]]*DV54</f>
        <v/>
      </c>
      <c r="DX54" s="185">
        <f>SUMPRODUCT(--(MOD(COLUMN($BN54:$DU54),5)=MOD(COLUMN($BN54)+1,5)),$BN54:$DU54)</f>
        <v/>
      </c>
      <c r="DY54" s="186">
        <f>Автовик[[#This Row],[Цена, 
юань, без НДС 1]]*DX54</f>
        <v/>
      </c>
      <c r="DZ54" s="130">
        <f>SUMPRODUCT(--(MOD(COLUMN($BN54:$DU54),5)=MOD(COLUMN($BN54)+2,5)),$BN54:$DU54)</f>
        <v/>
      </c>
      <c r="EA54" s="187">
        <f>Автовик[[#This Row],[Цена, 
юань, без НДС 1]]*DZ54</f>
        <v/>
      </c>
      <c r="EB54" s="109">
        <f>SUMPRODUCT(--(MOD(COLUMN($BN54:$DU54),5)=MOD(COLUMN($BN54)+3,5)),$BN54:$DU54)</f>
        <v/>
      </c>
      <c r="EC54" s="188">
        <f>Автовик[[#This Row],[Цена, 
юань, без НДС 1]]*EB54</f>
        <v/>
      </c>
    </row>
    <row r="55">
      <c r="A55" s="171" t="n"/>
      <c r="B55" s="172" t="n"/>
      <c r="C55" s="173" t="inlineStr">
        <is>
          <t>TEBS W</t>
        </is>
      </c>
      <c r="D55" s="173" t="inlineStr">
        <is>
          <t>TEBS 4s/3m W</t>
        </is>
      </c>
      <c r="E55" s="174" t="n">
        <v>1</v>
      </c>
      <c r="F55" s="174" t="n">
        <v>51</v>
      </c>
      <c r="G55" s="204" t="n">
        <v>2</v>
      </c>
      <c r="H55" s="205" t="n">
        <v>4801020640</v>
      </c>
      <c r="I55" s="206" t="inlineStr">
        <is>
          <t>Блок TEBS-E, 4s3m Premium</t>
        </is>
      </c>
      <c r="J55" s="910" t="n">
        <v>8819.4</v>
      </c>
      <c r="K55" s="909" t="n"/>
      <c r="L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5" s="180">
        <f>SUMPRODUCT(--(MOD(COLUMN($L55:$BG55),4)=MOD(COLUMN($L55),4)),$L55:$BG55)</f>
        <v/>
      </c>
      <c r="BI55" s="181">
        <f>Автовик[[#This Row],[Цена, 
юань, без НДС 1]]*BH55</f>
        <v/>
      </c>
      <c r="BJ55" s="130">
        <f>SUMPRODUCT(--(MOD(COLUMN($L55:$BG55),4)=MOD(COLUMN($L55)+1,4)),$L55:$BG55)</f>
        <v/>
      </c>
      <c r="BK55" s="182">
        <f>Автовик[[#This Row],[Цена, 
юань, без НДС 1]]*BJ55</f>
        <v/>
      </c>
      <c r="BL55" s="109">
        <f>SUMPRODUCT(--(MOD(COLUMN($L55:$BG55),4)=MOD(COLUMN($L55)+2,4)),$L55:$BG55)</f>
        <v/>
      </c>
      <c r="BM55" s="183">
        <f>Автовик[[#This Row],[Цена, 
юань, без НДС 1]]*BL55</f>
        <v/>
      </c>
      <c r="BN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5" s="180">
        <f>SUMPRODUCT(--(MOD(COLUMN($BN55:$DU55),5)=MOD(COLUMN($BN55),5)),$BN55:$DU55)</f>
        <v/>
      </c>
      <c r="DW55" s="181">
        <f>Автовик[[#This Row],[Цена, 
юань, без НДС 1]]*DV55</f>
        <v/>
      </c>
      <c r="DX55" s="185">
        <f>SUMPRODUCT(--(MOD(COLUMN($BN55:$DU55),5)=MOD(COLUMN($BN55)+1,5)),$BN55:$DU55)</f>
        <v/>
      </c>
      <c r="DY55" s="186">
        <f>Автовик[[#This Row],[Цена, 
юань, без НДС 1]]*DX55</f>
        <v/>
      </c>
      <c r="DZ55" s="130">
        <f>SUMPRODUCT(--(MOD(COLUMN($BN55:$DU55),5)=MOD(COLUMN($BN55)+2,5)),$BN55:$DU55)</f>
        <v/>
      </c>
      <c r="EA55" s="187">
        <f>Автовик[[#This Row],[Цена, 
юань, без НДС 1]]*DZ55</f>
        <v/>
      </c>
      <c r="EB55" s="109">
        <f>SUMPRODUCT(--(MOD(COLUMN($BN55:$DU55),5)=MOD(COLUMN($BN55)+3,5)),$BN55:$DU55)</f>
        <v/>
      </c>
      <c r="EC55" s="188">
        <f>Автовик[[#This Row],[Цена, 
юань, без НДС 1]]*EB55</f>
        <v/>
      </c>
    </row>
    <row r="56">
      <c r="A56" s="171" t="n"/>
      <c r="B56" s="172" t="n"/>
      <c r="C56" s="173" t="inlineStr">
        <is>
          <t>TEBS W</t>
        </is>
      </c>
      <c r="D56" s="173" t="inlineStr">
        <is>
          <t>TEBS 4s/3m W</t>
        </is>
      </c>
      <c r="E56" s="174" t="n">
        <v>1</v>
      </c>
      <c r="F56" s="174" t="n">
        <v>52</v>
      </c>
      <c r="G56" s="204" t="n">
        <v>2</v>
      </c>
      <c r="H56" s="205" t="n">
        <v>4491731200</v>
      </c>
      <c r="I56" s="206" t="inlineStr">
        <is>
          <t>Кабель питания, 12 м, для полуприцепа</t>
        </is>
      </c>
      <c r="J56" s="910" t="n">
        <v>912.4</v>
      </c>
      <c r="K56" s="909" t="n"/>
      <c r="L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6" s="180">
        <f>SUMPRODUCT(--(MOD(COLUMN($L56:$BG56),4)=MOD(COLUMN($L56),4)),$L56:$BG56)</f>
        <v/>
      </c>
      <c r="BI56" s="181">
        <f>Автовик[[#This Row],[Цена, 
юань, без НДС 1]]*BH56</f>
        <v/>
      </c>
      <c r="BJ56" s="130">
        <f>SUMPRODUCT(--(MOD(COLUMN($L56:$BG56),4)=MOD(COLUMN($L56)+1,4)),$L56:$BG56)</f>
        <v/>
      </c>
      <c r="BK56" s="182">
        <f>Автовик[[#This Row],[Цена, 
юань, без НДС 1]]*BJ56</f>
        <v/>
      </c>
      <c r="BL56" s="109">
        <f>SUMPRODUCT(--(MOD(COLUMN($L56:$BG56),4)=MOD(COLUMN($L56)+2,4)),$L56:$BG56)</f>
        <v/>
      </c>
      <c r="BM56" s="183">
        <f>Автовик[[#This Row],[Цена, 
юань, без НДС 1]]*BL56</f>
        <v/>
      </c>
      <c r="BN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6" s="180">
        <f>SUMPRODUCT(--(MOD(COLUMN($BN56:$DU56),5)=MOD(COLUMN($BN56),5)),$BN56:$DU56)</f>
        <v/>
      </c>
      <c r="DW56" s="181">
        <f>Автовик[[#This Row],[Цена, 
юань, без НДС 1]]*DV56</f>
        <v/>
      </c>
      <c r="DX56" s="185">
        <f>SUMPRODUCT(--(MOD(COLUMN($BN56:$DU56),5)=MOD(COLUMN($BN56)+1,5)),$BN56:$DU56)</f>
        <v/>
      </c>
      <c r="DY56" s="186">
        <f>Автовик[[#This Row],[Цена, 
юань, без НДС 1]]*DX56</f>
        <v/>
      </c>
      <c r="DZ56" s="130">
        <f>SUMPRODUCT(--(MOD(COLUMN($BN56:$DU56),5)=MOD(COLUMN($BN56)+2,5)),$BN56:$DU56)</f>
        <v/>
      </c>
      <c r="EA56" s="187">
        <f>Автовик[[#This Row],[Цена, 
юань, без НДС 1]]*DZ56</f>
        <v/>
      </c>
      <c r="EB56" s="109">
        <f>SUMPRODUCT(--(MOD(COLUMN($BN56:$DU56),5)=MOD(COLUMN($BN56)+3,5)),$BN56:$DU56)</f>
        <v/>
      </c>
      <c r="EC56" s="188">
        <f>Автовик[[#This Row],[Цена, 
юань, без НДС 1]]*EB56</f>
        <v/>
      </c>
    </row>
    <row r="57">
      <c r="A57" s="171" t="n"/>
      <c r="B57" s="172" t="n"/>
      <c r="C57" s="173" t="inlineStr">
        <is>
          <t>TEBS W</t>
        </is>
      </c>
      <c r="D57" s="173" t="inlineStr">
        <is>
          <t>TEBS 4s/3m W</t>
        </is>
      </c>
      <c r="E57" s="174" t="n">
        <v>1</v>
      </c>
      <c r="F57" s="174" t="n">
        <v>53</v>
      </c>
      <c r="G57" s="204" t="n"/>
      <c r="H57" s="205" t="n">
        <v>9710029000</v>
      </c>
      <c r="I57" s="206" t="inlineStr">
        <is>
          <t>Воздухораспределитель с клапаном растормаживания</t>
        </is>
      </c>
      <c r="J57" s="910" t="n">
        <v>532.5</v>
      </c>
      <c r="K57" s="909" t="n"/>
      <c r="L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7" s="180">
        <f>SUMPRODUCT(--(MOD(COLUMN($L57:$BG57),4)=MOD(COLUMN($L57),4)),$L57:$BG57)</f>
        <v/>
      </c>
      <c r="BI57" s="181">
        <f>Автовик[[#This Row],[Цена, 
юань, без НДС 1]]*BH57</f>
        <v/>
      </c>
      <c r="BJ57" s="130">
        <f>SUMPRODUCT(--(MOD(COLUMN($L57:$BG57),4)=MOD(COLUMN($L57)+1,4)),$L57:$BG57)</f>
        <v/>
      </c>
      <c r="BK57" s="182">
        <f>Автовик[[#This Row],[Цена, 
юань, без НДС 1]]*BJ57</f>
        <v/>
      </c>
      <c r="BL57" s="109">
        <f>SUMPRODUCT(--(MOD(COLUMN($L57:$BG57),4)=MOD(COLUMN($L57)+2,4)),$L57:$BG57)</f>
        <v/>
      </c>
      <c r="BM57" s="183">
        <f>Автовик[[#This Row],[Цена, 
юань, без НДС 1]]*BL57</f>
        <v/>
      </c>
      <c r="BN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7" s="180">
        <f>SUMPRODUCT(--(MOD(COLUMN($BN57:$DU57),5)=MOD(COLUMN($BN57),5)),$BN57:$DU57)</f>
        <v/>
      </c>
      <c r="DW57" s="181">
        <f>Автовик[[#This Row],[Цена, 
юань, без НДС 1]]*DV57</f>
        <v/>
      </c>
      <c r="DX57" s="185">
        <f>SUMPRODUCT(--(MOD(COLUMN($BN57:$DU57),5)=MOD(COLUMN($BN57)+1,5)),$BN57:$DU57)</f>
        <v/>
      </c>
      <c r="DY57" s="186">
        <f>Автовик[[#This Row],[Цена, 
юань, без НДС 1]]*DX57</f>
        <v/>
      </c>
      <c r="DZ57" s="130">
        <f>SUMPRODUCT(--(MOD(COLUMN($BN57:$DU57),5)=MOD(COLUMN($BN57)+2,5)),$BN57:$DU57)</f>
        <v/>
      </c>
      <c r="EA57" s="187">
        <f>Автовик[[#This Row],[Цена, 
юань, без НДС 1]]*DZ57</f>
        <v/>
      </c>
      <c r="EB57" s="109">
        <f>SUMPRODUCT(--(MOD(COLUMN($BN57:$DU57),5)=MOD(COLUMN($BN57)+3,5)),$BN57:$DU57)</f>
        <v/>
      </c>
      <c r="EC57" s="188">
        <f>Автовик[[#This Row],[Цена, 
юань, без НДС 1]]*EB57</f>
        <v/>
      </c>
    </row>
    <row r="58">
      <c r="A58" s="171" t="n"/>
      <c r="B58" s="172" t="n"/>
      <c r="C58" s="173" t="inlineStr">
        <is>
          <t>TEBS W</t>
        </is>
      </c>
      <c r="D58" s="173" t="inlineStr">
        <is>
          <t>TEBS 4s/3m W</t>
        </is>
      </c>
      <c r="E58" s="174" t="n">
        <v>1</v>
      </c>
      <c r="F58" s="174" t="n">
        <v>54</v>
      </c>
      <c r="G58" s="204" t="n"/>
      <c r="H58" s="205" t="n">
        <v>4341001250</v>
      </c>
      <c r="I58" s="206" t="inlineStr">
        <is>
          <t>Клапан перепускной</t>
        </is>
      </c>
      <c r="J58" s="910" t="n">
        <v>98.3</v>
      </c>
      <c r="K58" s="909" t="n"/>
      <c r="L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8" s="180">
        <f>SUMPRODUCT(--(MOD(COLUMN($L58:$BG58),4)=MOD(COLUMN($L58),4)),$L58:$BG58)</f>
        <v/>
      </c>
      <c r="BI58" s="181">
        <f>Автовик[[#This Row],[Цена, 
юань, без НДС 1]]*BH58</f>
        <v/>
      </c>
      <c r="BJ58" s="130">
        <f>SUMPRODUCT(--(MOD(COLUMN($L58:$BG58),4)=MOD(COLUMN($L58)+1,4)),$L58:$BG58)</f>
        <v/>
      </c>
      <c r="BK58" s="182">
        <f>Автовик[[#This Row],[Цена, 
юань, без НДС 1]]*BJ58</f>
        <v/>
      </c>
      <c r="BL58" s="109">
        <f>SUMPRODUCT(--(MOD(COLUMN($L58:$BG58),4)=MOD(COLUMN($L58)+2,4)),$L58:$BG58)</f>
        <v/>
      </c>
      <c r="BM58" s="183">
        <f>Автовик[[#This Row],[Цена, 
юань, без НДС 1]]*BL58</f>
        <v/>
      </c>
      <c r="BN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8" s="180">
        <f>SUMPRODUCT(--(MOD(COLUMN($BN58:$DU58),5)=MOD(COLUMN($BN58),5)),$BN58:$DU58)</f>
        <v/>
      </c>
      <c r="DW58" s="181">
        <f>Автовик[[#This Row],[Цена, 
юань, без НДС 1]]*DV58</f>
        <v/>
      </c>
      <c r="DX58" s="185">
        <f>SUMPRODUCT(--(MOD(COLUMN($BN58:$DU58),5)=MOD(COLUMN($BN58)+1,5)),$BN58:$DU58)</f>
        <v/>
      </c>
      <c r="DY58" s="186">
        <f>Автовик[[#This Row],[Цена, 
юань, без НДС 1]]*DX58</f>
        <v/>
      </c>
      <c r="DZ58" s="130">
        <f>SUMPRODUCT(--(MOD(COLUMN($BN58:$DU58),5)=MOD(COLUMN($BN58)+2,5)),$BN58:$DU58)</f>
        <v/>
      </c>
      <c r="EA58" s="187">
        <f>Автовик[[#This Row],[Цена, 
юань, без НДС 1]]*DZ58</f>
        <v/>
      </c>
      <c r="EB58" s="109">
        <f>SUMPRODUCT(--(MOD(COLUMN($BN58:$DU58),5)=MOD(COLUMN($BN58)+3,5)),$BN58:$DU58)</f>
        <v/>
      </c>
      <c r="EC58" s="188">
        <f>Автовик[[#This Row],[Цена, 
юань, без НДС 1]]*EB58</f>
        <v/>
      </c>
    </row>
    <row r="59">
      <c r="A59" s="171" t="n"/>
      <c r="B59" s="172" t="n"/>
      <c r="C59" s="173" t="inlineStr">
        <is>
          <t>TEBS W</t>
        </is>
      </c>
      <c r="D59" s="173" t="inlineStr">
        <is>
          <t>TEBS 4s/3m W</t>
        </is>
      </c>
      <c r="E59" s="174" t="n">
        <v>4</v>
      </c>
      <c r="F59" s="174" t="n">
        <v>55</v>
      </c>
      <c r="G59" s="204" t="n">
        <v>2</v>
      </c>
      <c r="H59" s="205" t="n">
        <v>4497230300</v>
      </c>
      <c r="I59" s="206" t="inlineStr">
        <is>
          <t>Кабель датчика АБС</t>
        </is>
      </c>
      <c r="J59" s="910" t="n">
        <v>82.40000000000001</v>
      </c>
      <c r="K59" s="909" t="n"/>
      <c r="L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5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5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59" s="180">
        <f>SUMPRODUCT(--(MOD(COLUMN($L59:$BG59),4)=MOD(COLUMN($L59),4)),$L59:$BG59)</f>
        <v/>
      </c>
      <c r="BI59" s="181">
        <f>Автовик[[#This Row],[Цена, 
юань, без НДС 1]]*BH59</f>
        <v/>
      </c>
      <c r="BJ59" s="130">
        <f>SUMPRODUCT(--(MOD(COLUMN($L59:$BG59),4)=MOD(COLUMN($L59)+1,4)),$L59:$BG59)</f>
        <v/>
      </c>
      <c r="BK59" s="182">
        <f>Автовик[[#This Row],[Цена, 
юань, без НДС 1]]*BJ59</f>
        <v/>
      </c>
      <c r="BL59" s="109">
        <f>SUMPRODUCT(--(MOD(COLUMN($L59:$BG59),4)=MOD(COLUMN($L59)+2,4)),$L59:$BG59)</f>
        <v/>
      </c>
      <c r="BM59" s="183">
        <f>Автовик[[#This Row],[Цена, 
юань, без НДС 1]]*BL59</f>
        <v/>
      </c>
      <c r="BN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5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5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59" s="180">
        <f>SUMPRODUCT(--(MOD(COLUMN($BN59:$DU59),5)=MOD(COLUMN($BN59),5)),$BN59:$DU59)</f>
        <v/>
      </c>
      <c r="DW59" s="181">
        <f>Автовик[[#This Row],[Цена, 
юань, без НДС 1]]*DV59</f>
        <v/>
      </c>
      <c r="DX59" s="185">
        <f>SUMPRODUCT(--(MOD(COLUMN($BN59:$DU59),5)=MOD(COLUMN($BN59)+1,5)),$BN59:$DU59)</f>
        <v/>
      </c>
      <c r="DY59" s="186">
        <f>Автовик[[#This Row],[Цена, 
юань, без НДС 1]]*DX59</f>
        <v/>
      </c>
      <c r="DZ59" s="130">
        <f>SUMPRODUCT(--(MOD(COLUMN($BN59:$DU59),5)=MOD(COLUMN($BN59)+2,5)),$BN59:$DU59)</f>
        <v/>
      </c>
      <c r="EA59" s="187">
        <f>Автовик[[#This Row],[Цена, 
юань, без НДС 1]]*DZ59</f>
        <v/>
      </c>
      <c r="EB59" s="109">
        <f>SUMPRODUCT(--(MOD(COLUMN($BN59:$DU59),5)=MOD(COLUMN($BN59)+3,5)),$BN59:$DU59)</f>
        <v/>
      </c>
      <c r="EC59" s="188">
        <f>Автовик[[#This Row],[Цена, 
юань, без НДС 1]]*EB59</f>
        <v/>
      </c>
    </row>
    <row r="60">
      <c r="A60" s="171" t="n"/>
      <c r="B60" s="172" t="n"/>
      <c r="C60" s="173" t="inlineStr">
        <is>
          <t>TEBS W</t>
        </is>
      </c>
      <c r="D60" s="173" t="inlineStr">
        <is>
          <t>TEBS 4s/3m W</t>
        </is>
      </c>
      <c r="E60" s="174" t="n"/>
      <c r="F60" s="174" t="n">
        <v>56</v>
      </c>
      <c r="G60" s="204" t="n">
        <v>2</v>
      </c>
      <c r="H60" s="205" t="n">
        <v>4497120300</v>
      </c>
      <c r="I60" s="206" t="inlineStr">
        <is>
          <t>Кабель-удлинитель датчика ABS, 3 м</t>
        </is>
      </c>
      <c r="J60" s="910" t="n">
        <v>56.7</v>
      </c>
      <c r="K60" s="909" t="n"/>
      <c r="L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0" s="180">
        <f>SUMPRODUCT(--(MOD(COLUMN($L60:$BG60),4)=MOD(COLUMN($L60),4)),$L60:$BG60)</f>
        <v/>
      </c>
      <c r="BI60" s="181">
        <f>Автовик[[#This Row],[Цена, 
юань, без НДС 1]]*BH60</f>
        <v/>
      </c>
      <c r="BJ60" s="130">
        <f>SUMPRODUCT(--(MOD(COLUMN($L60:$BG60),4)=MOD(COLUMN($L60)+1,4)),$L60:$BG60)</f>
        <v/>
      </c>
      <c r="BK60" s="182">
        <f>Автовик[[#This Row],[Цена, 
юань, без НДС 1]]*BJ60</f>
        <v/>
      </c>
      <c r="BL60" s="109">
        <f>SUMPRODUCT(--(MOD(COLUMN($L60:$BG60),4)=MOD(COLUMN($L60)+2,4)),$L60:$BG60)</f>
        <v/>
      </c>
      <c r="BM60" s="183">
        <f>Автовик[[#This Row],[Цена, 
юань, без НДС 1]]*BL60</f>
        <v/>
      </c>
      <c r="BN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0" s="180">
        <f>SUMPRODUCT(--(MOD(COLUMN($BN60:$DU60),5)=MOD(COLUMN($BN60),5)),$BN60:$DU60)</f>
        <v/>
      </c>
      <c r="DW60" s="181">
        <f>Автовик[[#This Row],[Цена, 
юань, без НДС 1]]*DV60</f>
        <v/>
      </c>
      <c r="DX60" s="185">
        <f>SUMPRODUCT(--(MOD(COLUMN($BN60:$DU60),5)=MOD(COLUMN($BN60)+1,5)),$BN60:$DU60)</f>
        <v/>
      </c>
      <c r="DY60" s="186">
        <f>Автовик[[#This Row],[Цена, 
юань, без НДС 1]]*DX60</f>
        <v/>
      </c>
      <c r="DZ60" s="130">
        <f>SUMPRODUCT(--(MOD(COLUMN($BN60:$DU60),5)=MOD(COLUMN($BN60)+2,5)),$BN60:$DU60)</f>
        <v/>
      </c>
      <c r="EA60" s="187">
        <f>Автовик[[#This Row],[Цена, 
юань, без НДС 1]]*DZ60</f>
        <v/>
      </c>
      <c r="EB60" s="109">
        <f>SUMPRODUCT(--(MOD(COLUMN($BN60:$DU60),5)=MOD(COLUMN($BN60)+3,5)),$BN60:$DU60)</f>
        <v/>
      </c>
      <c r="EC60" s="188">
        <f>Автовик[[#This Row],[Цена, 
юань, без НДС 1]]*EB60</f>
        <v/>
      </c>
    </row>
    <row r="61">
      <c r="A61" s="171" t="n"/>
      <c r="B61" s="172" t="n"/>
      <c r="C61" s="173" t="inlineStr">
        <is>
          <t>TEBS W</t>
        </is>
      </c>
      <c r="D61" s="173" t="inlineStr">
        <is>
          <t>TEBS 4s/3m W</t>
        </is>
      </c>
      <c r="E61" s="174" t="n">
        <v>2</v>
      </c>
      <c r="F61" s="174" t="n">
        <v>57</v>
      </c>
      <c r="G61" s="204" t="n">
        <v>2</v>
      </c>
      <c r="H61" s="205" t="n">
        <v>4497490300</v>
      </c>
      <c r="I61" s="206" t="inlineStr">
        <is>
          <t>Кабель-удлинитель датчика ABS, 3 м</t>
        </is>
      </c>
      <c r="J61" s="910" t="n">
        <v>56.7</v>
      </c>
      <c r="K61" s="909" t="n"/>
      <c r="L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1" s="180">
        <f>SUMPRODUCT(--(MOD(COLUMN($L61:$BG61),4)=MOD(COLUMN($L61),4)),$L61:$BG61)</f>
        <v/>
      </c>
      <c r="BI61" s="181">
        <f>Автовик[[#This Row],[Цена, 
юань, без НДС 1]]*BH61</f>
        <v/>
      </c>
      <c r="BJ61" s="130">
        <f>SUMPRODUCT(--(MOD(COLUMN($L61:$BG61),4)=MOD(COLUMN($L61)+1,4)),$L61:$BG61)</f>
        <v/>
      </c>
      <c r="BK61" s="182">
        <f>Автовик[[#This Row],[Цена, 
юань, без НДС 1]]*BJ61</f>
        <v/>
      </c>
      <c r="BL61" s="109">
        <f>SUMPRODUCT(--(MOD(COLUMN($L61:$BG61),4)=MOD(COLUMN($L61)+2,4)),$L61:$BG61)</f>
        <v/>
      </c>
      <c r="BM61" s="183">
        <f>Автовик[[#This Row],[Цена, 
юань, без НДС 1]]*BL61</f>
        <v/>
      </c>
      <c r="BN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1" s="180">
        <f>SUMPRODUCT(--(MOD(COLUMN($BN61:$DU61),5)=MOD(COLUMN($BN61),5)),$BN61:$DU61)</f>
        <v/>
      </c>
      <c r="DW61" s="181">
        <f>Автовик[[#This Row],[Цена, 
юань, без НДС 1]]*DV61</f>
        <v/>
      </c>
      <c r="DX61" s="185">
        <f>SUMPRODUCT(--(MOD(COLUMN($BN61:$DU61),5)=MOD(COLUMN($BN61)+1,5)),$BN61:$DU61)</f>
        <v/>
      </c>
      <c r="DY61" s="186">
        <f>Автовик[[#This Row],[Цена, 
юань, без НДС 1]]*DX61</f>
        <v/>
      </c>
      <c r="DZ61" s="130">
        <f>SUMPRODUCT(--(MOD(COLUMN($BN61:$DU61),5)=MOD(COLUMN($BN61)+2,5)),$BN61:$DU61)</f>
        <v/>
      </c>
      <c r="EA61" s="187">
        <f>Автовик[[#This Row],[Цена, 
юань, без НДС 1]]*DZ61</f>
        <v/>
      </c>
      <c r="EB61" s="109">
        <f>SUMPRODUCT(--(MOD(COLUMN($BN61:$DU61),5)=MOD(COLUMN($BN61)+3,5)),$BN61:$DU61)</f>
        <v/>
      </c>
      <c r="EC61" s="188">
        <f>Автовик[[#This Row],[Цена, 
юань, без НДС 1]]*EB61</f>
        <v/>
      </c>
    </row>
    <row r="62">
      <c r="A62" s="171" t="n"/>
      <c r="B62" s="172" t="n"/>
      <c r="C62" s="173" t="inlineStr">
        <is>
          <t>TEBS W</t>
        </is>
      </c>
      <c r="D62" s="173" t="inlineStr">
        <is>
          <t>TEBS 4s/3m W</t>
        </is>
      </c>
      <c r="E62" s="174" t="n">
        <v>1</v>
      </c>
      <c r="F62" s="174" t="n">
        <v>58</v>
      </c>
      <c r="G62" s="204" t="n">
        <v>2</v>
      </c>
      <c r="H62" s="205" t="n">
        <v>4802070010</v>
      </c>
      <c r="I62" s="206" t="inlineStr">
        <is>
          <t>Модулятор EBS</t>
        </is>
      </c>
      <c r="J62" s="910" t="n">
        <v>1186</v>
      </c>
      <c r="K62" s="909" t="n"/>
      <c r="L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2" s="180">
        <f>SUMPRODUCT(--(MOD(COLUMN($L62:$BG62),4)=MOD(COLUMN($L62),4)),$L62:$BG62)</f>
        <v/>
      </c>
      <c r="BI62" s="181">
        <f>Автовик[[#This Row],[Цена, 
юань, без НДС 1]]*BH62</f>
        <v/>
      </c>
      <c r="BJ62" s="130">
        <f>SUMPRODUCT(--(MOD(COLUMN($L62:$BG62),4)=MOD(COLUMN($L62)+1,4)),$L62:$BG62)</f>
        <v/>
      </c>
      <c r="BK62" s="182">
        <f>Автовик[[#This Row],[Цена, 
юань, без НДС 1]]*BJ62</f>
        <v/>
      </c>
      <c r="BL62" s="109">
        <f>SUMPRODUCT(--(MOD(COLUMN($L62:$BG62),4)=MOD(COLUMN($L62)+2,4)),$L62:$BG62)</f>
        <v/>
      </c>
      <c r="BM62" s="183">
        <f>Автовик[[#This Row],[Цена, 
юань, без НДС 1]]*BL62</f>
        <v/>
      </c>
      <c r="BN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2" s="180">
        <f>SUMPRODUCT(--(MOD(COLUMN($BN62:$DU62),5)=MOD(COLUMN($BN62),5)),$BN62:$DU62)</f>
        <v/>
      </c>
      <c r="DW62" s="181">
        <f>Автовик[[#This Row],[Цена, 
юань, без НДС 1]]*DV62</f>
        <v/>
      </c>
      <c r="DX62" s="185">
        <f>SUMPRODUCT(--(MOD(COLUMN($BN62:$DU62),5)=MOD(COLUMN($BN62)+1,5)),$BN62:$DU62)</f>
        <v/>
      </c>
      <c r="DY62" s="186">
        <f>Автовик[[#This Row],[Цена, 
юань, без НДС 1]]*DX62</f>
        <v/>
      </c>
      <c r="DZ62" s="130">
        <f>SUMPRODUCT(--(MOD(COLUMN($BN62:$DU62),5)=MOD(COLUMN($BN62)+2,5)),$BN62:$DU62)</f>
        <v/>
      </c>
      <c r="EA62" s="187">
        <f>Автовик[[#This Row],[Цена, 
юань, без НДС 1]]*DZ62</f>
        <v/>
      </c>
      <c r="EB62" s="109">
        <f>SUMPRODUCT(--(MOD(COLUMN($BN62:$DU62),5)=MOD(COLUMN($BN62)+3,5)),$BN62:$DU62)</f>
        <v/>
      </c>
      <c r="EC62" s="188">
        <f>Автовик[[#This Row],[Цена, 
юань, без НДС 1]]*EB62</f>
        <v/>
      </c>
    </row>
    <row r="63">
      <c r="A63" s="171" t="n"/>
      <c r="B63" s="172" t="n"/>
      <c r="C63" s="173" t="inlineStr">
        <is>
          <t>TEBS W</t>
        </is>
      </c>
      <c r="D63" s="173" t="inlineStr">
        <is>
          <t>TEBS 4s/3m W</t>
        </is>
      </c>
      <c r="E63" s="174" t="n">
        <v>1</v>
      </c>
      <c r="F63" s="174" t="n">
        <v>59</v>
      </c>
      <c r="G63" s="204" t="n">
        <v>2</v>
      </c>
      <c r="H63" s="205" t="n">
        <v>4494290800</v>
      </c>
      <c r="I63" s="206" t="inlineStr">
        <is>
          <t>Кабель модулятора EBS, 8 м</t>
        </is>
      </c>
      <c r="J63" s="910" t="n">
        <v>395.3</v>
      </c>
      <c r="K63" s="909" t="n"/>
      <c r="L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3" s="180">
        <f>SUMPRODUCT(--(MOD(COLUMN($L63:$BG63),4)=MOD(COLUMN($L63),4)),$L63:$BG63)</f>
        <v/>
      </c>
      <c r="BI63" s="181">
        <f>Автовик[[#This Row],[Цена, 
юань, без НДС 1]]*BH63</f>
        <v/>
      </c>
      <c r="BJ63" s="130">
        <f>SUMPRODUCT(--(MOD(COLUMN($L63:$BG63),4)=MOD(COLUMN($L63)+1,4)),$L63:$BG63)</f>
        <v/>
      </c>
      <c r="BK63" s="182">
        <f>Автовик[[#This Row],[Цена, 
юань, без НДС 1]]*BJ63</f>
        <v/>
      </c>
      <c r="BL63" s="109">
        <f>SUMPRODUCT(--(MOD(COLUMN($L63:$BG63),4)=MOD(COLUMN($L63)+2,4)),$L63:$BG63)</f>
        <v/>
      </c>
      <c r="BM63" s="183">
        <f>Автовик[[#This Row],[Цена, 
юань, без НДС 1]]*BL63</f>
        <v/>
      </c>
      <c r="BN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3" s="180">
        <f>SUMPRODUCT(--(MOD(COLUMN($BN63:$DU63),5)=MOD(COLUMN($BN63),5)),$BN63:$DU63)</f>
        <v/>
      </c>
      <c r="DW63" s="181">
        <f>Автовик[[#This Row],[Цена, 
юань, без НДС 1]]*DV63</f>
        <v/>
      </c>
      <c r="DX63" s="185">
        <f>SUMPRODUCT(--(MOD(COLUMN($BN63:$DU63),5)=MOD(COLUMN($BN63)+1,5)),$BN63:$DU63)</f>
        <v/>
      </c>
      <c r="DY63" s="186">
        <f>Автовик[[#This Row],[Цена, 
юань, без НДС 1]]*DX63</f>
        <v/>
      </c>
      <c r="DZ63" s="130">
        <f>SUMPRODUCT(--(MOD(COLUMN($BN63:$DU63),5)=MOD(COLUMN($BN63)+2,5)),$BN63:$DU63)</f>
        <v/>
      </c>
      <c r="EA63" s="187">
        <f>Автовик[[#This Row],[Цена, 
юань, без НДС 1]]*DZ63</f>
        <v/>
      </c>
      <c r="EB63" s="109">
        <f>SUMPRODUCT(--(MOD(COLUMN($BN63:$DU63),5)=MOD(COLUMN($BN63)+3,5)),$BN63:$DU63)</f>
        <v/>
      </c>
      <c r="EC63" s="188">
        <f>Автовик[[#This Row],[Цена, 
юань, без НДС 1]]*EB63</f>
        <v/>
      </c>
    </row>
    <row r="64">
      <c r="A64" s="171" t="n"/>
      <c r="B64" s="172" t="n"/>
      <c r="C64" s="173" t="inlineStr">
        <is>
          <t>TEBS W</t>
        </is>
      </c>
      <c r="D64" s="173" t="inlineStr">
        <is>
          <t>TEBS 4s/3m W</t>
        </is>
      </c>
      <c r="E64" s="174" t="n">
        <v>1</v>
      </c>
      <c r="F64" s="174" t="n">
        <v>60</v>
      </c>
      <c r="G64" s="204" t="n">
        <v>2</v>
      </c>
      <c r="H64" s="205" t="n">
        <v>4640061000</v>
      </c>
      <c r="I64" s="206" t="inlineStr">
        <is>
          <t>Кран уровня пола</t>
        </is>
      </c>
      <c r="J64" s="910" t="n">
        <v>743.8</v>
      </c>
      <c r="K64" s="909" t="n"/>
      <c r="L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4" s="180">
        <f>SUMPRODUCT(--(MOD(COLUMN($L64:$BG64),4)=MOD(COLUMN($L64),4)),$L64:$BG64)</f>
        <v/>
      </c>
      <c r="BI64" s="181">
        <f>Автовик[[#This Row],[Цена, 
юань, без НДС 1]]*BH64</f>
        <v/>
      </c>
      <c r="BJ64" s="130">
        <f>SUMPRODUCT(--(MOD(COLUMN($L64:$BG64),4)=MOD(COLUMN($L64)+1,4)),$L64:$BG64)</f>
        <v/>
      </c>
      <c r="BK64" s="182">
        <f>Автовик[[#This Row],[Цена, 
юань, без НДС 1]]*BJ64</f>
        <v/>
      </c>
      <c r="BL64" s="109">
        <f>SUMPRODUCT(--(MOD(COLUMN($L64:$BG64),4)=MOD(COLUMN($L64)+2,4)),$L64:$BG64)</f>
        <v/>
      </c>
      <c r="BM64" s="183">
        <f>Автовик[[#This Row],[Цена, 
юань, без НДС 1]]*BL64</f>
        <v/>
      </c>
      <c r="BN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4" s="180">
        <f>SUMPRODUCT(--(MOD(COLUMN($BN64:$DU64),5)=MOD(COLUMN($BN64),5)),$BN64:$DU64)</f>
        <v/>
      </c>
      <c r="DW64" s="181">
        <f>Автовик[[#This Row],[Цена, 
юань, без НДС 1]]*DV64</f>
        <v/>
      </c>
      <c r="DX64" s="185">
        <f>SUMPRODUCT(--(MOD(COLUMN($BN64:$DU64),5)=MOD(COLUMN($BN64)+1,5)),$BN64:$DU64)</f>
        <v/>
      </c>
      <c r="DY64" s="186">
        <f>Автовик[[#This Row],[Цена, 
юань, без НДС 1]]*DX64</f>
        <v/>
      </c>
      <c r="DZ64" s="130">
        <f>SUMPRODUCT(--(MOD(COLUMN($BN64:$DU64),5)=MOD(COLUMN($BN64)+2,5)),$BN64:$DU64)</f>
        <v/>
      </c>
      <c r="EA64" s="187">
        <f>Автовик[[#This Row],[Цена, 
юань, без НДС 1]]*DZ64</f>
        <v/>
      </c>
      <c r="EB64" s="109">
        <f>SUMPRODUCT(--(MOD(COLUMN($BN64:$DU64),5)=MOD(COLUMN($BN64)+3,5)),$BN64:$DU64)</f>
        <v/>
      </c>
      <c r="EC64" s="188">
        <f>Автовик[[#This Row],[Цена, 
юань, без НДС 1]]*EB64</f>
        <v/>
      </c>
    </row>
    <row r="65">
      <c r="A65" s="171" t="n"/>
      <c r="B65" s="172" t="n"/>
      <c r="C65" s="173" t="inlineStr">
        <is>
          <t>TEBS W</t>
        </is>
      </c>
      <c r="D65" s="173" t="inlineStr">
        <is>
          <t>TEBS 4s/3m W</t>
        </is>
      </c>
      <c r="E65" s="174" t="n">
        <v>1</v>
      </c>
      <c r="F65" s="174" t="n">
        <v>61</v>
      </c>
      <c r="G65" s="204" t="n">
        <v>2</v>
      </c>
      <c r="H65" s="205" t="n">
        <v>4630320200</v>
      </c>
      <c r="I65" s="206" t="inlineStr">
        <is>
          <t>Кран ручного управления</t>
        </is>
      </c>
      <c r="J65" s="910" t="n">
        <v>775</v>
      </c>
      <c r="K65" s="909" t="n"/>
      <c r="L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5" s="180">
        <f>SUMPRODUCT(--(MOD(COLUMN($L65:$BG65),4)=MOD(COLUMN($L65),4)),$L65:$BG65)</f>
        <v/>
      </c>
      <c r="BI65" s="181">
        <f>Автовик[[#This Row],[Цена, 
юань, без НДС 1]]*BH65</f>
        <v/>
      </c>
      <c r="BJ65" s="130">
        <f>SUMPRODUCT(--(MOD(COLUMN($L65:$BG65),4)=MOD(COLUMN($L65)+1,4)),$L65:$BG65)</f>
        <v/>
      </c>
      <c r="BK65" s="182">
        <f>Автовик[[#This Row],[Цена, 
юань, без НДС 1]]*BJ65</f>
        <v/>
      </c>
      <c r="BL65" s="109">
        <f>SUMPRODUCT(--(MOD(COLUMN($L65:$BG65),4)=MOD(COLUMN($L65)+2,4)),$L65:$BG65)</f>
        <v/>
      </c>
      <c r="BM65" s="183">
        <f>Автовик[[#This Row],[Цена, 
юань, без НДС 1]]*BL65</f>
        <v/>
      </c>
      <c r="BN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5" s="180">
        <f>SUMPRODUCT(--(MOD(COLUMN($BN65:$DU65),5)=MOD(COLUMN($BN65),5)),$BN65:$DU65)</f>
        <v/>
      </c>
      <c r="DW65" s="181">
        <f>Автовик[[#This Row],[Цена, 
юань, без НДС 1]]*DV65</f>
        <v/>
      </c>
      <c r="DX65" s="185">
        <f>SUMPRODUCT(--(MOD(COLUMN($BN65:$DU65),5)=MOD(COLUMN($BN65)+1,5)),$BN65:$DU65)</f>
        <v/>
      </c>
      <c r="DY65" s="186">
        <f>Автовик[[#This Row],[Цена, 
юань, без НДС 1]]*DX65</f>
        <v/>
      </c>
      <c r="DZ65" s="130">
        <f>SUMPRODUCT(--(MOD(COLUMN($BN65:$DU65),5)=MOD(COLUMN($BN65)+2,5)),$BN65:$DU65)</f>
        <v/>
      </c>
      <c r="EA65" s="187">
        <f>Автовик[[#This Row],[Цена, 
юань, без НДС 1]]*DZ65</f>
        <v/>
      </c>
      <c r="EB65" s="109">
        <f>SUMPRODUCT(--(MOD(COLUMN($BN65:$DU65),5)=MOD(COLUMN($BN65)+3,5)),$BN65:$DU65)</f>
        <v/>
      </c>
      <c r="EC65" s="188">
        <f>Автовик[[#This Row],[Цена, 
юань, без НДС 1]]*EB65</f>
        <v/>
      </c>
    </row>
    <row r="66">
      <c r="A66" s="171" t="n"/>
      <c r="B66" s="172" t="n"/>
      <c r="C66" s="173" t="inlineStr">
        <is>
          <t>TEBS W</t>
        </is>
      </c>
      <c r="D66" s="173" t="inlineStr">
        <is>
          <t>TEBS 4s/3m W</t>
        </is>
      </c>
      <c r="E66" s="174" t="n">
        <v>1</v>
      </c>
      <c r="F66" s="174" t="n">
        <v>62</v>
      </c>
      <c r="G66" s="204" t="n">
        <v>2</v>
      </c>
      <c r="H66" s="205" t="n">
        <v>4334010030</v>
      </c>
      <c r="I66" s="206" t="inlineStr">
        <is>
          <t>Упругий элемент</t>
        </is>
      </c>
      <c r="J66" s="910" t="n">
        <v>67.3</v>
      </c>
      <c r="K66" s="909" t="n"/>
      <c r="L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6" s="180">
        <f>SUMPRODUCT(--(MOD(COLUMN($L66:$BG66),4)=MOD(COLUMN($L66),4)),$L66:$BG66)</f>
        <v/>
      </c>
      <c r="BI66" s="181">
        <f>Автовик[[#This Row],[Цена, 
юань, без НДС 1]]*BH66</f>
        <v/>
      </c>
      <c r="BJ66" s="130">
        <f>SUMPRODUCT(--(MOD(COLUMN($L66:$BG66),4)=MOD(COLUMN($L66)+1,4)),$L66:$BG66)</f>
        <v/>
      </c>
      <c r="BK66" s="182">
        <f>Автовик[[#This Row],[Цена, 
юань, без НДС 1]]*BJ66</f>
        <v/>
      </c>
      <c r="BL66" s="109">
        <f>SUMPRODUCT(--(MOD(COLUMN($L66:$BG66),4)=MOD(COLUMN($L66)+2,4)),$L66:$BG66)</f>
        <v/>
      </c>
      <c r="BM66" s="183">
        <f>Автовик[[#This Row],[Цена, 
юань, без НДС 1]]*BL66</f>
        <v/>
      </c>
      <c r="BN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6" s="180">
        <f>SUMPRODUCT(--(MOD(COLUMN($BN66:$DU66),5)=MOD(COLUMN($BN66),5)),$BN66:$DU66)</f>
        <v/>
      </c>
      <c r="DW66" s="181">
        <f>Автовик[[#This Row],[Цена, 
юань, без НДС 1]]*DV66</f>
        <v/>
      </c>
      <c r="DX66" s="185">
        <f>SUMPRODUCT(--(MOD(COLUMN($BN66:$DU66),5)=MOD(COLUMN($BN66)+1,5)),$BN66:$DU66)</f>
        <v/>
      </c>
      <c r="DY66" s="186">
        <f>Автовик[[#This Row],[Цена, 
юань, без НДС 1]]*DX66</f>
        <v/>
      </c>
      <c r="DZ66" s="130">
        <f>SUMPRODUCT(--(MOD(COLUMN($BN66:$DU66),5)=MOD(COLUMN($BN66)+2,5)),$BN66:$DU66)</f>
        <v/>
      </c>
      <c r="EA66" s="187">
        <f>Автовик[[#This Row],[Цена, 
юань, без НДС 1]]*DZ66</f>
        <v/>
      </c>
      <c r="EB66" s="109">
        <f>SUMPRODUCT(--(MOD(COLUMN($BN66:$DU66),5)=MOD(COLUMN($BN66)+3,5)),$BN66:$DU66)</f>
        <v/>
      </c>
      <c r="EC66" s="188">
        <f>Автовик[[#This Row],[Цена, 
юань, без НДС 1]]*EB66</f>
        <v/>
      </c>
    </row>
    <row r="67">
      <c r="A67" s="171" t="n"/>
      <c r="B67" s="172" t="n"/>
      <c r="C67" s="173" t="n"/>
      <c r="D67" s="173" t="n"/>
      <c r="E67" s="174" t="n"/>
      <c r="F67" s="174" t="n">
        <v>63</v>
      </c>
      <c r="G67" s="174" t="n">
        <v>2</v>
      </c>
      <c r="H67" s="175" t="n">
        <v>4495351500</v>
      </c>
      <c r="I67" s="176" t="inlineStr">
        <is>
          <t>Кабель универсальный, 15 м</t>
        </is>
      </c>
      <c r="J67" s="910">
        <f>418/1.2</f>
        <v/>
      </c>
      <c r="K67" s="909" t="n"/>
      <c r="L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7" s="180">
        <f>SUMPRODUCT(--(MOD(COLUMN($L67:$BG67),4)=MOD(COLUMN($L67),4)),$L67:$BG67)</f>
        <v/>
      </c>
      <c r="BI67" s="181">
        <f>Автовик[[#This Row],[Цена, 
юань, без НДС 1]]*BH67</f>
        <v/>
      </c>
      <c r="BJ67" s="130">
        <f>SUMPRODUCT(--(MOD(COLUMN($L67:$BG67),4)=MOD(COLUMN($L67)+1,4)),$L67:$BG67)</f>
        <v/>
      </c>
      <c r="BK67" s="182">
        <f>Автовик[[#This Row],[Цена, 
юань, без НДС 1]]*BJ67</f>
        <v/>
      </c>
      <c r="BL67" s="109">
        <f>SUMPRODUCT(--(MOD(COLUMN($L67:$BG67),4)=MOD(COLUMN($L67)+2,4)),$L67:$BG67)</f>
        <v/>
      </c>
      <c r="BM67" s="183">
        <f>Автовик[[#This Row],[Цена, 
юань, без НДС 1]]*BL67</f>
        <v/>
      </c>
      <c r="BN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7" s="180">
        <f>SUMPRODUCT(--(MOD(COLUMN($BN67:$DU67),5)=MOD(COLUMN($BN67),5)),$BN67:$DU67)</f>
        <v/>
      </c>
      <c r="DW67" s="181">
        <f>Автовик[[#This Row],[Цена, 
юань, без НДС 1]]*DV67</f>
        <v/>
      </c>
      <c r="DX67" s="185">
        <f>SUMPRODUCT(--(MOD(COLUMN($BN67:$DU67),5)=MOD(COLUMN($BN67)+1,5)),$BN67:$DU67)</f>
        <v/>
      </c>
      <c r="DY67" s="186">
        <f>Автовик[[#This Row],[Цена, 
юань, без НДС 1]]*DX67</f>
        <v/>
      </c>
      <c r="DZ67" s="130">
        <f>SUMPRODUCT(--(MOD(COLUMN($BN67:$DU67),5)=MOD(COLUMN($BN67)+2,5)),$BN67:$DU67)</f>
        <v/>
      </c>
      <c r="EA67" s="187">
        <f>Автовик[[#This Row],[Цена, 
юань, без НДС 1]]*DZ67</f>
        <v/>
      </c>
      <c r="EB67" s="109">
        <f>SUMPRODUCT(--(MOD(COLUMN($BN67:$DU67),5)=MOD(COLUMN($BN67)+3,5)),$BN67:$DU67)</f>
        <v/>
      </c>
      <c r="EC67" s="188">
        <f>Автовик[[#This Row],[Цена, 
юань, без НДС 1]]*EB67</f>
        <v/>
      </c>
    </row>
    <row r="68">
      <c r="A68" s="171" t="n"/>
      <c r="B68" s="172" t="n"/>
      <c r="C68" s="173" t="inlineStr">
        <is>
          <t>TABS W</t>
        </is>
      </c>
      <c r="D68" s="173" t="n"/>
      <c r="E68" s="174" t="n"/>
      <c r="F68" s="174" t="n">
        <v>64</v>
      </c>
      <c r="G68" s="174" t="n">
        <v>2</v>
      </c>
      <c r="H68" s="175" t="n">
        <v>4492251200</v>
      </c>
      <c r="I68" s="176" t="inlineStr">
        <is>
          <t>Кабель питания для прицепа, 12 м</t>
        </is>
      </c>
      <c r="J68" s="910">
        <f>190.1+570.3</f>
        <v/>
      </c>
      <c r="K68" s="909" t="n"/>
      <c r="L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8" s="180">
        <f>SUMPRODUCT(--(MOD(COLUMN($L68:$BG68),4)=MOD(COLUMN($L68),4)),$L68:$BG68)</f>
        <v/>
      </c>
      <c r="BI68" s="181">
        <f>Автовик[[#This Row],[Цена, 
юань, без НДС 1]]*BH68</f>
        <v/>
      </c>
      <c r="BJ68" s="130">
        <f>SUMPRODUCT(--(MOD(COLUMN($L68:$BG68),4)=MOD(COLUMN($L68)+1,4)),$L68:$BG68)</f>
        <v/>
      </c>
      <c r="BK68" s="182">
        <f>Автовик[[#This Row],[Цена, 
юань, без НДС 1]]*BJ68</f>
        <v/>
      </c>
      <c r="BL68" s="109">
        <f>SUMPRODUCT(--(MOD(COLUMN($L68:$BG68),4)=MOD(COLUMN($L68)+2,4)),$L68:$BG68)</f>
        <v/>
      </c>
      <c r="BM68" s="183">
        <f>Автовик[[#This Row],[Цена, 
юань, без НДС 1]]*BL68</f>
        <v/>
      </c>
      <c r="BN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8" s="180">
        <f>SUMPRODUCT(--(MOD(COLUMN($BN68:$DU68),5)=MOD(COLUMN($BN68),5)),$BN68:$DU68)</f>
        <v/>
      </c>
      <c r="DW68" s="181">
        <f>Автовик[[#This Row],[Цена, 
юань, без НДС 1]]*DV68</f>
        <v/>
      </c>
      <c r="DX68" s="185">
        <f>SUMPRODUCT(--(MOD(COLUMN($BN68:$DU68),5)=MOD(COLUMN($BN68)+1,5)),$BN68:$DU68)</f>
        <v/>
      </c>
      <c r="DY68" s="186">
        <f>Автовик[[#This Row],[Цена, 
юань, без НДС 1]]*DX68</f>
        <v/>
      </c>
      <c r="DZ68" s="130">
        <f>SUMPRODUCT(--(MOD(COLUMN($BN68:$DU68),5)=MOD(COLUMN($BN68)+2,5)),$BN68:$DU68)</f>
        <v/>
      </c>
      <c r="EA68" s="187">
        <f>Автовик[[#This Row],[Цена, 
юань, без НДС 1]]*DZ68</f>
        <v/>
      </c>
      <c r="EB68" s="109">
        <f>SUMPRODUCT(--(MOD(COLUMN($BN68:$DU68),5)=MOD(COLUMN($BN68)+3,5)),$BN68:$DU68)</f>
        <v/>
      </c>
      <c r="EC68" s="188">
        <f>Автовик[[#This Row],[Цена, 
юань, без НДС 1]]*EB68</f>
        <v/>
      </c>
    </row>
    <row r="69" ht="28.8" customHeight="1">
      <c r="A69" s="171" t="n"/>
      <c r="B69" s="172" t="n"/>
      <c r="C69" s="173" t="n"/>
      <c r="D69" s="173" t="n"/>
      <c r="E69" s="174" t="n"/>
      <c r="F69" s="174" t="n">
        <v>65</v>
      </c>
      <c r="G69" s="174" t="n"/>
      <c r="H69" s="175" t="n">
        <v>4801020640</v>
      </c>
      <c r="I69" s="176" t="inlineStr">
        <is>
          <t>Электропневматический блок клапанов TEBS_4801020640 
(серт. СТ-1, не в комплекте)</t>
        </is>
      </c>
      <c r="J69" s="910" t="n">
        <v>4783.95061728395</v>
      </c>
      <c r="K69" s="909" t="n"/>
      <c r="L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6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6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69" s="180">
        <f>SUMPRODUCT(--(MOD(COLUMN($L69:$BG69),4)=MOD(COLUMN($L69),4)),$L69:$BG69)</f>
        <v/>
      </c>
      <c r="BI69" s="181">
        <f>Автовик[[#This Row],[Цена, 
юань, без НДС 1]]*BH69</f>
        <v/>
      </c>
      <c r="BJ69" s="130">
        <f>SUMPRODUCT(--(MOD(COLUMN($L69:$BG69),4)=MOD(COLUMN($L69)+1,4)),$L69:$BG69)</f>
        <v/>
      </c>
      <c r="BK69" s="182">
        <f>Автовик[[#This Row],[Цена, 
юань, без НДС 1]]*BJ69</f>
        <v/>
      </c>
      <c r="BL69" s="109">
        <f>SUMPRODUCT(--(MOD(COLUMN($L69:$BG69),4)=MOD(COLUMN($L69)+2,4)),$L69:$BG69)</f>
        <v/>
      </c>
      <c r="BM69" s="183">
        <f>Автовик[[#This Row],[Цена, 
юань, без НДС 1]]*BL69</f>
        <v/>
      </c>
      <c r="BN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6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6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69" s="180">
        <f>SUMPRODUCT(--(MOD(COLUMN($BN69:$DU69),5)=MOD(COLUMN($BN69),5)),$BN69:$DU69)</f>
        <v/>
      </c>
      <c r="DW69" s="181">
        <f>Автовик[[#This Row],[Цена, 
юань, без НДС 1]]*DV69</f>
        <v/>
      </c>
      <c r="DX69" s="185">
        <f>SUMPRODUCT(--(MOD(COLUMN($BN69:$DU69),5)=MOD(COLUMN($BN69)+1,5)),$BN69:$DU69)</f>
        <v/>
      </c>
      <c r="DY69" s="186">
        <f>Автовик[[#This Row],[Цена, 
юань, без НДС 1]]*DX69</f>
        <v/>
      </c>
      <c r="DZ69" s="130">
        <f>SUMPRODUCT(--(MOD(COLUMN($BN69:$DU69),5)=MOD(COLUMN($BN69)+2,5)),$BN69:$DU69)</f>
        <v/>
      </c>
      <c r="EA69" s="187">
        <f>Автовик[[#This Row],[Цена, 
юань, без НДС 1]]*DZ69</f>
        <v/>
      </c>
      <c r="EB69" s="109">
        <f>SUMPRODUCT(--(MOD(COLUMN($BN69:$DU69),5)=MOD(COLUMN($BN69)+3,5)),$BN69:$DU69)</f>
        <v/>
      </c>
      <c r="EC69" s="188">
        <f>Автовик[[#This Row],[Цена, 
юань, без НДС 1]]*EB69</f>
        <v/>
      </c>
    </row>
    <row r="70">
      <c r="A70" s="171" t="n"/>
      <c r="B70" s="172" t="n"/>
      <c r="C70" s="173" t="n"/>
      <c r="D70" s="173" t="n"/>
      <c r="E70" s="174" t="n"/>
      <c r="F70" s="174" t="n">
        <v>66</v>
      </c>
      <c r="G70" s="174" t="n"/>
      <c r="H70" s="175" t="n"/>
      <c r="I70" s="176" t="n"/>
      <c r="J70" s="910" t="n"/>
      <c r="K70" s="909" t="n"/>
      <c r="L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/>
      </c>
      <c r="M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/>
      </c>
      <c r="N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/>
      </c>
      <c r="O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/>
      </c>
      <c r="P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/>
      </c>
      <c r="Q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/>
      </c>
      <c r="R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/>
      </c>
      <c r="S7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/>
      </c>
      <c r="T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/>
      </c>
      <c r="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/>
      </c>
      <c r="V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/>
      </c>
      <c r="W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/>
      </c>
      <c r="X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/>
      </c>
      <c r="Y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/>
      </c>
      <c r="Z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/>
      </c>
      <c r="AA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/>
      </c>
      <c r="AB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/>
      </c>
      <c r="AC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/>
      </c>
      <c r="AD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/>
      </c>
      <c r="AE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/>
      </c>
      <c r="AF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/>
      </c>
      <c r="AG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/>
      </c>
      <c r="AH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/>
      </c>
      <c r="AI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/>
      </c>
      <c r="AJ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/>
      </c>
      <c r="AK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/>
      </c>
      <c r="AL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/>
      </c>
      <c r="AM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/>
      </c>
      <c r="AN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/>
      </c>
      <c r="AO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/>
      </c>
      <c r="AP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/>
      </c>
      <c r="AQ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/>
      </c>
      <c r="AR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/>
      </c>
      <c r="AS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/>
      </c>
      <c r="AT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/>
      </c>
      <c r="A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/>
      </c>
      <c r="AV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/>
      </c>
      <c r="AW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/>
      </c>
      <c r="AX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/>
      </c>
      <c r="AY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/>
      </c>
      <c r="AZ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/>
      </c>
      <c r="BA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/>
      </c>
      <c r="BB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/>
      </c>
      <c r="BC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/>
      </c>
      <c r="BD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/>
      </c>
      <c r="BE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/>
      </c>
      <c r="BF7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/>
      </c>
      <c r="BG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/>
      </c>
      <c r="BH70" s="180">
        <f>SUMPRODUCT(--(MOD(COLUMN($L70:$BG70),4)=MOD(COLUMN($L70),4)),$L70:$BG70)</f>
        <v/>
      </c>
      <c r="BI70" s="181">
        <f>Автовик[[#This Row],[Цена, 
юань, без НДС 1]]*BH70</f>
        <v/>
      </c>
      <c r="BJ70" s="130">
        <f>SUMPRODUCT(--(MOD(COLUMN($L70:$BG70),4)=MOD(COLUMN($L70)+1,4)),$L70:$BG70)</f>
        <v/>
      </c>
      <c r="BK70" s="182">
        <f>Автовик[[#This Row],[Цена, 
юань, без НДС 1]]*BJ70</f>
        <v/>
      </c>
      <c r="BL70" s="109">
        <f>SUMPRODUCT(--(MOD(COLUMN($L70:$BG70),4)=MOD(COLUMN($L70)+2,4)),$L70:$BG70)</f>
        <v/>
      </c>
      <c r="BM70" s="183">
        <f>Автовик[[#This Row],[Цена, 
юань, без НДС 1]]*BL70</f>
        <v/>
      </c>
      <c r="BN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/>
      </c>
      <c r="BO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/>
      </c>
      <c r="BP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/>
      </c>
      <c r="BQ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/>
      </c>
      <c r="BR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/>
      </c>
      <c r="BS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/>
      </c>
      <c r="BT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/>
      </c>
      <c r="B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/>
      </c>
      <c r="BV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/>
      </c>
      <c r="BW7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/>
      </c>
      <c r="BX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/>
      </c>
      <c r="BY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/>
      </c>
      <c r="BZ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/>
      </c>
      <c r="CA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/>
      </c>
      <c r="CB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/>
      </c>
      <c r="CC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/>
      </c>
      <c r="CD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/>
      </c>
      <c r="CE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/>
      </c>
      <c r="CF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/>
      </c>
      <c r="CG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/>
      </c>
      <c r="CH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/>
      </c>
      <c r="CI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/>
      </c>
      <c r="CJ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/>
      </c>
      <c r="CK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/>
      </c>
      <c r="CL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/>
      </c>
      <c r="CM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/>
      </c>
      <c r="CN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/>
      </c>
      <c r="CO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/>
      </c>
      <c r="CP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/>
      </c>
      <c r="CQ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/>
      </c>
      <c r="CR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/>
      </c>
      <c r="CS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/>
      </c>
      <c r="CT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/>
      </c>
      <c r="CU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/>
      </c>
      <c r="CV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/>
      </c>
      <c r="CW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/>
      </c>
      <c r="CX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/>
      </c>
      <c r="CY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/>
      </c>
      <c r="CZ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/>
      </c>
      <c r="DA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/>
      </c>
      <c r="DB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/>
      </c>
      <c r="DC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/>
      </c>
      <c r="DD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/>
      </c>
      <c r="DE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/>
      </c>
      <c r="DF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/>
      </c>
      <c r="DG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/>
      </c>
      <c r="DH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/>
      </c>
      <c r="DI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/>
      </c>
      <c r="DJ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/>
      </c>
      <c r="DK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/>
      </c>
      <c r="DL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/>
      </c>
      <c r="DM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/>
      </c>
      <c r="DN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/>
      </c>
      <c r="DO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/>
      </c>
      <c r="DP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/>
      </c>
      <c r="DQ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/>
      </c>
      <c r="DR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/>
      </c>
      <c r="DS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/>
      </c>
      <c r="DT7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/>
      </c>
      <c r="D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/>
      </c>
      <c r="DV70" s="180">
        <f>SUMPRODUCT(--(MOD(COLUMN($BN70:$DU70),5)=MOD(COLUMN($BN70),5)),$BN70:$DU70)</f>
        <v/>
      </c>
      <c r="DW70" s="181">
        <f>Автовик[[#This Row],[Цена, 
юань, без НДС 1]]*DV70</f>
        <v/>
      </c>
      <c r="DX70" s="185">
        <f>SUMPRODUCT(--(MOD(COLUMN($BN70:$DU70),5)=MOD(COLUMN($BN70)+1,5)),$BN70:$DU70)</f>
        <v/>
      </c>
      <c r="DY70" s="186">
        <f>Автовик[[#This Row],[Цена, 
юань, без НДС 1]]*DX70</f>
        <v/>
      </c>
      <c r="DZ70" s="130">
        <f>SUMPRODUCT(--(MOD(COLUMN($BN70:$DU70),5)=MOD(COLUMN($BN70)+2,5)),$BN70:$DU70)</f>
        <v/>
      </c>
      <c r="EA70" s="187">
        <f>Автовик[[#This Row],[Цена, 
юань, без НДС 1]]*DZ70</f>
        <v/>
      </c>
      <c r="EB70" s="109">
        <f>SUMPRODUCT(--(MOD(COLUMN($BN70:$DU70),5)=MOD(COLUMN($BN70)+3,5)),$BN70:$DU70)</f>
        <v/>
      </c>
      <c r="EC70" s="188">
        <f>Автовик[[#This Row],[Цена, 
юань, без НДС 1]]*EB70</f>
        <v/>
      </c>
    </row>
    <row r="71">
      <c r="A71" s="207" t="n"/>
      <c r="B71" s="208" t="n"/>
      <c r="C71" s="209" t="n"/>
      <c r="D71" s="209" t="n"/>
      <c r="E71" s="12" t="n"/>
      <c r="F71" s="12" t="n"/>
      <c r="G71" s="12" t="n"/>
      <c r="H71" s="210" t="n"/>
      <c r="I71" s="211" t="inlineStr">
        <is>
          <t>Итого:</t>
        </is>
      </c>
      <c r="J71" s="212" t="n"/>
      <c r="K71" s="213" t="n"/>
      <c r="L71" s="214">
        <f>SUM(L$5:L$70)</f>
        <v/>
      </c>
      <c r="M71" s="215">
        <f>SUM(M$5:M$70)</f>
        <v/>
      </c>
      <c r="N71" s="216">
        <f>SUM(N$5:N$70)</f>
        <v/>
      </c>
      <c r="O71" s="215" t="n"/>
      <c r="P71" s="214">
        <f>SUM(P$5:P$70)</f>
        <v/>
      </c>
      <c r="Q71" s="215">
        <f>SUM(Q$5:Q$70)</f>
        <v/>
      </c>
      <c r="R71" s="216">
        <f>SUM(R$5:R$70)</f>
        <v/>
      </c>
      <c r="S71" s="215" t="n"/>
      <c r="T71" s="214">
        <f>SUM(T$5:T$70)</f>
        <v/>
      </c>
      <c r="U71" s="215">
        <f>SUM(U$5:U$70)</f>
        <v/>
      </c>
      <c r="V71" s="216">
        <f>SUM(V$5:V$70)</f>
        <v/>
      </c>
      <c r="W71" s="215" t="n"/>
      <c r="X71" s="214">
        <f>SUM(X$5:X$70)</f>
        <v/>
      </c>
      <c r="Y71" s="215">
        <f>SUM(Y$5:Y$70)</f>
        <v/>
      </c>
      <c r="Z71" s="216">
        <f>SUM(Z$5:Z$70)</f>
        <v/>
      </c>
      <c r="AA71" s="215" t="n"/>
      <c r="AB71" s="214">
        <f>SUM(AB$5:AB$70)</f>
        <v/>
      </c>
      <c r="AC71" s="215">
        <f>SUM(AC$5:AC$70)</f>
        <v/>
      </c>
      <c r="AD71" s="216">
        <f>SUM(AD$5:AD$70)</f>
        <v/>
      </c>
      <c r="AE71" s="215" t="n"/>
      <c r="AF71" s="214">
        <f>SUM(AF$5:AF$70)</f>
        <v/>
      </c>
      <c r="AG71" s="215">
        <f>SUM(AG$5:AG$70)</f>
        <v/>
      </c>
      <c r="AH71" s="216">
        <f>SUM(AH$5:AH$70)</f>
        <v/>
      </c>
      <c r="AI71" s="215" t="n"/>
      <c r="AJ71" s="214">
        <f>SUM(AJ$5:AJ$70)</f>
        <v/>
      </c>
      <c r="AK71" s="215">
        <f>SUM(AK$5:AK$70)</f>
        <v/>
      </c>
      <c r="AL71" s="216">
        <f>SUM(AL$5:AL$70)</f>
        <v/>
      </c>
      <c r="AM71" s="215" t="n"/>
      <c r="AN71" s="214">
        <f>SUM(AN$5:AN$70)</f>
        <v/>
      </c>
      <c r="AO71" s="215">
        <f>SUM(AO$5:AO$70)</f>
        <v/>
      </c>
      <c r="AP71" s="216">
        <f>SUM(AP$5:AP$70)</f>
        <v/>
      </c>
      <c r="AQ71" s="215" t="n"/>
      <c r="AR71" s="214">
        <f>SUM(AR$5:AR$70)</f>
        <v/>
      </c>
      <c r="AS71" s="215">
        <f>SUM(AS$5:AS$70)</f>
        <v/>
      </c>
      <c r="AT71" s="216">
        <f>SUM(AT$5:AT$70)</f>
        <v/>
      </c>
      <c r="AU71" s="215" t="n"/>
      <c r="AV71" s="214">
        <f>SUM(AV$5:AV$70)</f>
        <v/>
      </c>
      <c r="AW71" s="215">
        <f>SUM(AW$5:AW$70)</f>
        <v/>
      </c>
      <c r="AX71" s="216">
        <f>SUM(AX$5:AX$70)</f>
        <v/>
      </c>
      <c r="AY71" s="215" t="n"/>
      <c r="AZ71" s="214">
        <f>SUM(AZ$5:AZ$70)</f>
        <v/>
      </c>
      <c r="BA71" s="215">
        <f>SUM(BA$5:BA$70)</f>
        <v/>
      </c>
      <c r="BB71" s="216">
        <f>SUM(BB$5:BB$70)</f>
        <v/>
      </c>
      <c r="BC71" s="215" t="n"/>
      <c r="BD71" s="214">
        <f>SUM(BD$5:BD$70)</f>
        <v/>
      </c>
      <c r="BE71" s="215">
        <f>SUM(BE$5:BE$70)</f>
        <v/>
      </c>
      <c r="BF71" s="217">
        <f>SUM(BF$5:BF$70)</f>
        <v/>
      </c>
      <c r="BG71" s="215" t="n"/>
      <c r="BH71" s="218">
        <f>SUM(BH$5:BH$70)</f>
        <v/>
      </c>
      <c r="BI71" s="218">
        <f>SUM(BI$5:BI$70)</f>
        <v/>
      </c>
      <c r="BJ71" s="215">
        <f>SUM(BJ$5:BJ$70)</f>
        <v/>
      </c>
      <c r="BK71" s="215">
        <f>SUM(BK$5:BK$70)</f>
        <v/>
      </c>
      <c r="BL71" s="217">
        <f>SUM(BL$5:BL$70)</f>
        <v/>
      </c>
      <c r="BM71" s="217">
        <f>SUM(BM$5:BM$70)</f>
        <v/>
      </c>
      <c r="BN71" s="214">
        <f>SUM(BN$5:BN$70)</f>
        <v/>
      </c>
      <c r="BO71" s="219">
        <f>SUM(BO$5:BO$70)</f>
        <v/>
      </c>
      <c r="BP71" s="215">
        <f>SUM(BP$5:BP$70)</f>
        <v/>
      </c>
      <c r="BQ71" s="216">
        <f>SUM(BQ$5:BQ$70)</f>
        <v/>
      </c>
      <c r="BR71" s="215">
        <f>SUM(BR$5:BR$70)</f>
        <v/>
      </c>
      <c r="BS71" s="214">
        <f>SUM(BS$5:BS$70)</f>
        <v/>
      </c>
      <c r="BT71" s="219">
        <f>SUM(BT$5:BT$70)</f>
        <v/>
      </c>
      <c r="BU71" s="215">
        <f>SUM(BU$5:BU$70)</f>
        <v/>
      </c>
      <c r="BV71" s="216">
        <f>SUM(BV$5:BV$70)</f>
        <v/>
      </c>
      <c r="BW71" s="215">
        <f>SUM(BW$5:BW$70)</f>
        <v/>
      </c>
      <c r="BX71" s="214">
        <f>SUM(BX$5:BX$70)</f>
        <v/>
      </c>
      <c r="BY71" s="219">
        <f>SUM(BY$5:BY$70)</f>
        <v/>
      </c>
      <c r="BZ71" s="215">
        <f>SUM(BZ$5:BZ$70)</f>
        <v/>
      </c>
      <c r="CA71" s="216">
        <f>SUM(CA$5:CA$70)</f>
        <v/>
      </c>
      <c r="CB71" s="215">
        <f>SUM(CB$5:CB$70)</f>
        <v/>
      </c>
      <c r="CC71" s="214">
        <f>SUM(CC$5:CC$70)</f>
        <v/>
      </c>
      <c r="CD71" s="219">
        <f>SUM(CD$5:CD$70)</f>
        <v/>
      </c>
      <c r="CE71" s="215">
        <f>SUM(CE$5:CE$70)</f>
        <v/>
      </c>
      <c r="CF71" s="216">
        <f>SUM(CF$5:CF$70)</f>
        <v/>
      </c>
      <c r="CG71" s="215">
        <f>SUM(CG$5:CG$70)</f>
        <v/>
      </c>
      <c r="CH71" s="214">
        <f>SUM(CH$5:CH$70)</f>
        <v/>
      </c>
      <c r="CI71" s="219">
        <f>SUM(CI$5:CI$70)</f>
        <v/>
      </c>
      <c r="CJ71" s="215">
        <f>SUM(CJ$5:CJ$70)</f>
        <v/>
      </c>
      <c r="CK71" s="216">
        <f>SUM(CK$5:CK$70)</f>
        <v/>
      </c>
      <c r="CL71" s="215">
        <f>SUM(CL$5:CL$70)</f>
        <v/>
      </c>
      <c r="CM71" s="214">
        <f>SUM(CM$5:CM$70)</f>
        <v/>
      </c>
      <c r="CN71" s="219">
        <f>SUM(CN$5:CN$70)</f>
        <v/>
      </c>
      <c r="CO71" s="215">
        <f>SUM(CO$5:CO$70)</f>
        <v/>
      </c>
      <c r="CP71" s="216">
        <f>SUM(CP$5:CP$70)</f>
        <v/>
      </c>
      <c r="CQ71" s="215">
        <f>SUM(CQ$5:CQ$70)</f>
        <v/>
      </c>
      <c r="CR71" s="214">
        <f>SUM(CR$5:CR$70)</f>
        <v/>
      </c>
      <c r="CS71" s="219">
        <f>SUM(CS$5:CS$70)</f>
        <v/>
      </c>
      <c r="CT71" s="215">
        <f>SUM(CT$5:CT$70)</f>
        <v/>
      </c>
      <c r="CU71" s="216">
        <f>SUM(CU$5:CU$70)</f>
        <v/>
      </c>
      <c r="CV71" s="215">
        <f>SUM(CV$5:CV$70)</f>
        <v/>
      </c>
      <c r="CW71" s="214">
        <f>SUM(CW$5:CW$70)</f>
        <v/>
      </c>
      <c r="CX71" s="219">
        <f>SUM(CX$5:CX$70)</f>
        <v/>
      </c>
      <c r="CY71" s="215">
        <f>SUM(CY$5:CY$70)</f>
        <v/>
      </c>
      <c r="CZ71" s="216">
        <f>SUM(CZ$5:CZ$70)</f>
        <v/>
      </c>
      <c r="DA71" s="215">
        <f>SUM(DA$5:DA$70)</f>
        <v/>
      </c>
      <c r="DB71" s="214">
        <f>SUM(DB$5:DB$70)</f>
        <v/>
      </c>
      <c r="DC71" s="219">
        <f>SUM(DC$5:DC$70)</f>
        <v/>
      </c>
      <c r="DD71" s="215">
        <f>SUM(DD$5:DD$70)</f>
        <v/>
      </c>
      <c r="DE71" s="216">
        <f>SUM(DE$5:DE$70)</f>
        <v/>
      </c>
      <c r="DF71" s="215">
        <f>SUM(DF$5:DF$70)</f>
        <v/>
      </c>
      <c r="DG71" s="214">
        <f>SUM(DG$5:DG$70)</f>
        <v/>
      </c>
      <c r="DH71" s="219">
        <f>SUM(DH$5:DH$70)</f>
        <v/>
      </c>
      <c r="DI71" s="215">
        <f>SUM(DI$5:DI$70)</f>
        <v/>
      </c>
      <c r="DJ71" s="216">
        <f>SUM(DJ$5:DJ$70)</f>
        <v/>
      </c>
      <c r="DK71" s="215">
        <f>SUM(DK$5:DK$70)</f>
        <v/>
      </c>
      <c r="DL71" s="214">
        <f>SUM(DL$5:DL$70)</f>
        <v/>
      </c>
      <c r="DM71" s="219">
        <f>SUM(DM$5:DM$70)</f>
        <v/>
      </c>
      <c r="DN71" s="215">
        <f>SUM(DN$5:DN$70)</f>
        <v/>
      </c>
      <c r="DO71" s="216">
        <f>SUM(DO$5:DO$70)</f>
        <v/>
      </c>
      <c r="DP71" s="215">
        <f>SUM(DP$5:DP$70)</f>
        <v/>
      </c>
      <c r="DQ71" s="214">
        <f>SUM(DQ$5:DQ$70)</f>
        <v/>
      </c>
      <c r="DR71" s="219">
        <f>SUM(DR$5:DR$70)</f>
        <v/>
      </c>
      <c r="DS71" s="215">
        <f>SUM(DS$5:DS$70)</f>
        <v/>
      </c>
      <c r="DT71" s="217">
        <f>SUM(DT$5:DT$70)</f>
        <v/>
      </c>
      <c r="DU71" s="215">
        <f>SUM(DU$5:DU$70)</f>
        <v/>
      </c>
      <c r="DV71" s="218">
        <f>SUM(DV$5:DV$70)</f>
        <v/>
      </c>
      <c r="DW71" s="218">
        <f>SUM(DW$5:DW$70)</f>
        <v/>
      </c>
      <c r="DX71" s="218" t="n"/>
      <c r="DY71" s="218" t="n"/>
      <c r="DZ71" s="215">
        <f>SUM(DZ$5:DZ$70)</f>
        <v/>
      </c>
      <c r="EA71" s="215">
        <f>SUM(EA$5:EA$70)</f>
        <v/>
      </c>
      <c r="EB71" s="217">
        <f>SUM(EB$5:EB$70)</f>
        <v/>
      </c>
      <c r="EC71" s="220">
        <f>SUM(EC$5:EC$70)</f>
        <v/>
      </c>
    </row>
    <row r="73" ht="61.2" customHeight="1">
      <c r="A73" s="770" t="inlineStr">
        <is>
          <t>ПРОИЗВОДИТЕЛИ суммарно</t>
        </is>
      </c>
      <c r="B73" s="905" t="n"/>
      <c r="C73" s="905" t="n"/>
      <c r="D73" s="905" t="n"/>
      <c r="E73" s="905" t="n"/>
      <c r="F73" s="905" t="n"/>
      <c r="G73" s="905" t="n"/>
      <c r="H73" s="905" t="n"/>
      <c r="I73" s="906" t="n"/>
    </row>
  </sheetData>
  <mergeCells count="30">
    <mergeCell ref="BH3:BM3"/>
    <mergeCell ref="CH3:CL3"/>
    <mergeCell ref="P3:S3"/>
    <mergeCell ref="J2:BM2"/>
    <mergeCell ref="AZ3:BC3"/>
    <mergeCell ref="BS3:BW3"/>
    <mergeCell ref="AR3:AU3"/>
    <mergeCell ref="BN2:EC2"/>
    <mergeCell ref="T3:W3"/>
    <mergeCell ref="AB3:AE3"/>
    <mergeCell ref="BN3:BR3"/>
    <mergeCell ref="AF3:AI3"/>
    <mergeCell ref="AN3:AQ3"/>
    <mergeCell ref="DV3:EC3"/>
    <mergeCell ref="L3:O3"/>
    <mergeCell ref="AV3:AY3"/>
    <mergeCell ref="CR3:CV3"/>
    <mergeCell ref="BD3:BG3"/>
    <mergeCell ref="DQ3:DU3"/>
    <mergeCell ref="DB3:DF3"/>
    <mergeCell ref="A73:I73"/>
    <mergeCell ref="X3:AA3"/>
    <mergeCell ref="A3:G3"/>
    <mergeCell ref="CC3:CG3"/>
    <mergeCell ref="DL3:DP3"/>
    <mergeCell ref="AJ3:AM3"/>
    <mergeCell ref="CM3:CQ3"/>
    <mergeCell ref="CW3:DA3"/>
    <mergeCell ref="BX3:CB3"/>
    <mergeCell ref="DG3:DK3"/>
  </mergeCells>
  <conditionalFormatting sqref="H22:H31">
    <cfRule type="duplicateValues" priority="4" dxfId="1"/>
  </conditionalFormatting>
  <conditionalFormatting sqref="H32:H35">
    <cfRule type="duplicateValues" priority="3" dxfId="1"/>
  </conditionalFormatting>
  <conditionalFormatting sqref="H53:H66">
    <cfRule type="duplicateValues" priority="2" dxfId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56"/>
  <sheetViews>
    <sheetView zoomScale="70" workbookViewId="0">
      <pane xSplit="9" ySplit="4" topLeftCell="J5" activePane="bottomRight" state="frozen"/>
      <selection activeCell="J5" sqref="J5"/>
      <selection pane="topRight" activeCell="A1" sqref="A1"/>
      <selection pane="bottomLeft" activeCell="A1" sqref="A1"/>
      <selection pane="bottomRight" activeCell="J5" sqref="J5"/>
    </sheetView>
  </sheetViews>
  <sheetFormatPr baseColWidth="8" defaultColWidth="12.6640625" defaultRowHeight="14.4"/>
  <cols>
    <col outlineLevel="1" width="5" customWidth="1" style="145" min="1" max="1"/>
    <col width="15" bestFit="1" customWidth="1" style="145" min="2" max="2"/>
    <col hidden="1" outlineLevel="2" width="12.5546875" customWidth="1" style="145" min="3" max="3"/>
    <col hidden="1" outlineLevel="2" width="20.6640625" customWidth="1" style="145" min="4" max="4"/>
    <col hidden="1" outlineLevel="2" width="7.6640625" customWidth="1" style="145" min="5" max="5"/>
    <col collapsed="1" width="5.6640625" customWidth="1" style="145" min="6" max="6"/>
    <col width="9.6640625" customWidth="1" style="145" min="7" max="7"/>
    <col width="13.5546875" customWidth="1" style="145" min="8" max="8"/>
    <col width="53.6640625" customWidth="1" style="146" min="9" max="9"/>
    <col outlineLevel="1" width="10.33203125" customWidth="1" style="147" min="10" max="10"/>
    <col hidden="1" outlineLevel="2" width="10.33203125" customWidth="1" style="147" min="11" max="11"/>
    <col hidden="1" outlineLevel="2" width="7.6640625" customWidth="1" style="147" min="12" max="12"/>
    <col hidden="1" outlineLevel="2" width="9.6640625" customWidth="1" style="147" min="13" max="13"/>
    <col hidden="1" outlineLevel="2" width="7.6640625" customWidth="1" style="147" min="14" max="14"/>
    <col hidden="1" outlineLevel="2" width="14.6640625" customWidth="1" style="147" min="15" max="15"/>
    <col hidden="1" outlineLevel="2" width="7.6640625" customWidth="1" style="147" min="16" max="16"/>
    <col hidden="1" outlineLevel="2" width="9.6640625" customWidth="1" style="147" min="17" max="17"/>
    <col hidden="1" outlineLevel="2" width="7.6640625" customWidth="1" style="147" min="18" max="18"/>
    <col hidden="1" outlineLevel="2" width="14.6640625" customWidth="1" style="147" min="19" max="19"/>
    <col hidden="1" outlineLevel="2" width="7.6640625" customWidth="1" style="147" min="20" max="20"/>
    <col hidden="1" outlineLevel="2" width="9.6640625" customWidth="1" style="147" min="21" max="21"/>
    <col hidden="1" outlineLevel="2" width="7.6640625" customWidth="1" style="147" min="22" max="22"/>
    <col hidden="1" outlineLevel="2" width="14.6640625" customWidth="1" style="147" min="23" max="23"/>
    <col hidden="1" outlineLevel="2" width="7.6640625" customWidth="1" style="147" min="24" max="24"/>
    <col hidden="1" outlineLevel="2" width="9.6640625" customWidth="1" style="147" min="25" max="25"/>
    <col hidden="1" outlineLevel="2" width="7.6640625" customWidth="1" style="147" min="26" max="26"/>
    <col hidden="1" outlineLevel="2" width="14.6640625" customWidth="1" style="147" min="27" max="27"/>
    <col hidden="1" outlineLevel="2" width="7.6640625" customWidth="1" style="147" min="28" max="28"/>
    <col hidden="1" outlineLevel="2" width="9.6640625" customWidth="1" style="147" min="29" max="29"/>
    <col hidden="1" outlineLevel="2" width="7.6640625" customWidth="1" style="147" min="30" max="30"/>
    <col hidden="1" outlineLevel="2" width="14.6640625" customWidth="1" style="147" min="31" max="31"/>
    <col hidden="1" outlineLevel="2" width="7.6640625" customWidth="1" style="147" min="32" max="32"/>
    <col hidden="1" outlineLevel="2" width="9.6640625" customWidth="1" style="147" min="33" max="33"/>
    <col hidden="1" outlineLevel="2" width="7.6640625" customWidth="1" style="146" min="34" max="34"/>
    <col hidden="1" outlineLevel="2" width="14.6640625" customWidth="1" style="146" min="35" max="35"/>
    <col hidden="1" outlineLevel="2" width="7.6640625" customWidth="1" style="146" min="36" max="36"/>
    <col hidden="1" outlineLevel="2" width="9.6640625" customWidth="1" style="146" min="37" max="37"/>
    <col hidden="1" outlineLevel="2" width="7.6640625" customWidth="1" style="146" min="38" max="38"/>
    <col hidden="1" outlineLevel="2" width="14.6640625" customWidth="1" style="146" min="39" max="39"/>
    <col hidden="1" outlineLevel="2" collapsed="1" width="7.6640625" customWidth="1" style="146" min="40" max="40"/>
    <col hidden="1" outlineLevel="2" width="9.6640625" customWidth="1" style="146" min="41" max="41"/>
    <col hidden="1" outlineLevel="2" width="7.6640625" customWidth="1" style="146" min="42" max="42"/>
    <col hidden="1" outlineLevel="2" width="14.6640625" customWidth="1" style="146" min="43" max="43"/>
    <col hidden="1" outlineLevel="2" collapsed="1" width="7.6640625" customWidth="1" style="146" min="44" max="44"/>
    <col hidden="1" outlineLevel="2" width="9.6640625" customWidth="1" style="146" min="45" max="45"/>
    <col hidden="1" outlineLevel="2" width="7.6640625" customWidth="1" style="146" min="46" max="46"/>
    <col hidden="1" outlineLevel="2" width="14.6640625" customWidth="1" style="146" min="47" max="47"/>
    <col outlineLevel="1" collapsed="1" width="7.6640625" customWidth="1" style="146" min="48" max="48"/>
    <col outlineLevel="1" width="9.6640625" customWidth="1" style="146" min="49" max="49"/>
    <col outlineLevel="1" width="7.6640625" customWidth="1" style="146" min="50" max="50"/>
    <col outlineLevel="1" width="14.6640625" customWidth="1" style="146" min="51" max="51"/>
    <col outlineLevel="1" width="7.6640625" customWidth="1" style="146" min="52" max="52"/>
    <col outlineLevel="1" width="9.6640625" customWidth="1" style="146" min="53" max="53"/>
    <col outlineLevel="1" width="7.6640625" customWidth="1" style="147" min="54" max="54"/>
    <col outlineLevel="1" width="14.6640625" customWidth="1" style="146" min="55" max="55"/>
    <col outlineLevel="1" width="7.6640625" customWidth="1" style="146" min="56" max="56"/>
    <col outlineLevel="1" width="9.6640625" customWidth="1" style="146" min="57" max="57"/>
    <col outlineLevel="1" width="7.6640625" customWidth="1" style="147" min="58" max="58"/>
    <col outlineLevel="1" width="14.6640625" customWidth="1" style="146" min="59" max="59"/>
    <col width="6.6640625" bestFit="1" customWidth="1" style="146" min="60" max="60"/>
    <col width="10.6640625" customWidth="1" style="146" min="61" max="61"/>
    <col outlineLevel="1" width="9.6640625" customWidth="1" style="146" min="62" max="62"/>
    <col outlineLevel="1" width="10.6640625" customWidth="1" style="147" min="63" max="63"/>
    <col width="7.6640625" customWidth="1" style="145" min="64" max="64"/>
    <col width="8.6640625" customWidth="1" style="145" min="65" max="65"/>
    <col width="7.6640625" customWidth="1" style="145" min="66" max="66"/>
    <col width="9.6640625" customWidth="1" style="145" min="67" max="68"/>
    <col width="7.6640625" customWidth="1" style="145" min="69" max="69"/>
    <col width="14.6640625" customWidth="1" style="145" min="70" max="70"/>
    <col width="7.6640625" customWidth="1" style="145" min="71" max="71"/>
    <col width="9.6640625" customWidth="1" style="145" min="72" max="73"/>
    <col width="7.6640625" customWidth="1" style="145" min="74" max="74"/>
    <col width="14.6640625" customWidth="1" style="145" min="75" max="75"/>
    <col width="7.6640625" customWidth="1" style="145" min="76" max="76"/>
    <col width="9.6640625" customWidth="1" style="145" min="77" max="78"/>
    <col width="7.6640625" customWidth="1" style="145" min="79" max="79"/>
    <col width="14.6640625" customWidth="1" style="145" min="80" max="80"/>
    <col width="7.6640625" customWidth="1" style="145" min="81" max="81"/>
    <col width="9.6640625" customWidth="1" style="145" min="82" max="83"/>
    <col width="7.6640625" customWidth="1" style="145" min="84" max="84"/>
    <col width="14.6640625" customWidth="1" style="145" min="85" max="85"/>
    <col width="7.6640625" customWidth="1" style="145" min="86" max="86"/>
    <col width="9.6640625" customWidth="1" style="145" min="87" max="88"/>
    <col width="7.6640625" customWidth="1" style="145" min="89" max="89"/>
    <col width="14.6640625" customWidth="1" style="145" min="90" max="90"/>
    <col width="7.6640625" customWidth="1" style="145" min="91" max="91"/>
    <col width="9.6640625" customWidth="1" style="145" min="92" max="93"/>
    <col width="7.6640625" customWidth="1" style="145" min="94" max="94"/>
    <col width="14.6640625" customWidth="1" style="145" min="95" max="95"/>
    <col width="7.6640625" customWidth="1" style="145" min="96" max="96"/>
    <col width="9.6640625" customWidth="1" style="145" min="97" max="98"/>
    <col width="7.6640625" customWidth="1" style="145" min="99" max="99"/>
    <col width="14.6640625" customWidth="1" style="145" min="100" max="100"/>
    <col width="7.6640625" customWidth="1" style="145" min="101" max="101"/>
    <col width="9.6640625" customWidth="1" style="145" min="102" max="103"/>
    <col width="7.6640625" customWidth="1" style="145" min="104" max="104"/>
    <col width="14.6640625" customWidth="1" style="145" min="105" max="105"/>
    <col width="7.6640625" customWidth="1" style="145" min="106" max="106"/>
    <col width="9.6640625" customWidth="1" style="145" min="107" max="108"/>
    <col width="7.6640625" customWidth="1" style="145" min="109" max="109"/>
    <col width="14.6640625" customWidth="1" style="145" min="110" max="110"/>
    <col width="7.6640625" customWidth="1" style="145" min="111" max="111"/>
    <col width="9.6640625" customWidth="1" style="145" min="112" max="113"/>
    <col width="7.6640625" customWidth="1" style="145" min="114" max="114"/>
    <col width="14.6640625" customWidth="1" style="145" min="115" max="115"/>
    <col width="7.6640625" customWidth="1" style="145" min="116" max="116"/>
    <col width="9.6640625" customWidth="1" style="145" min="117" max="118"/>
    <col width="7.6640625" customWidth="1" style="145" min="119" max="119"/>
    <col width="14.6640625" customWidth="1" style="145" min="120" max="120"/>
    <col width="7.6640625" customWidth="1" style="145" min="121" max="121"/>
    <col width="9.6640625" customWidth="1" style="145" min="122" max="123"/>
    <col width="7.6640625" customWidth="1" style="145" min="124" max="124"/>
    <col width="14.6640625" customWidth="1" style="145" min="125" max="125"/>
    <col width="6.6640625" bestFit="1" customWidth="1" style="145" min="126" max="126"/>
    <col width="16" customWidth="1" style="145" min="127" max="127"/>
    <col width="9.6640625" customWidth="1" style="145" min="128" max="128"/>
    <col width="16" customWidth="1" style="145" min="129" max="129"/>
    <col width="9.6640625" customWidth="1" style="145" min="130" max="130"/>
    <col width="15.44140625" bestFit="1" customWidth="1" style="145" min="131" max="131"/>
    <col width="7.6640625" customWidth="1" style="145" min="132" max="132"/>
    <col width="12.6640625" customWidth="1" style="145" min="133" max="133"/>
    <col width="12.6640625" customWidth="1" style="145" min="134" max="16384"/>
  </cols>
  <sheetData>
    <row r="1">
      <c r="E1" s="148" t="n"/>
      <c r="F1" s="148" t="n"/>
      <c r="G1" s="148" t="inlineStr">
        <is>
          <t>Дата</t>
        </is>
      </c>
      <c r="H1" s="149">
        <f>ПНЕВМАТИКА!G1</f>
        <v/>
      </c>
    </row>
    <row r="2" ht="15" customHeight="1">
      <c r="A2" s="150" t="n"/>
      <c r="B2" s="151">
        <f>ПНЕВМАТИКА!A2</f>
        <v/>
      </c>
      <c r="C2" s="152" t="inlineStr">
        <is>
          <t xml:space="preserve"> - курс юань/рубль</t>
        </is>
      </c>
      <c r="D2" s="153" t="n"/>
      <c r="E2" s="153" t="n"/>
      <c r="F2" s="153" t="n"/>
      <c r="G2" s="154">
        <f>ПНЕВМАТИКА!E2</f>
        <v/>
      </c>
      <c r="H2" s="155" t="inlineStr">
        <is>
          <t xml:space="preserve"> - курс евро/юань</t>
        </is>
      </c>
      <c r="I2" s="156" t="n"/>
      <c r="J2" s="771" t="inlineStr">
        <is>
          <t>Продажи 2024</t>
        </is>
      </c>
      <c r="K2" s="905" t="n"/>
      <c r="L2" s="905" t="n"/>
      <c r="M2" s="905" t="n"/>
      <c r="N2" s="905" t="n"/>
      <c r="O2" s="905" t="n"/>
      <c r="P2" s="905" t="n"/>
      <c r="Q2" s="905" t="n"/>
      <c r="R2" s="905" t="n"/>
      <c r="S2" s="905" t="n"/>
      <c r="T2" s="905" t="n"/>
      <c r="U2" s="905" t="n"/>
      <c r="V2" s="905" t="n"/>
      <c r="W2" s="905" t="n"/>
      <c r="X2" s="905" t="n"/>
      <c r="Y2" s="905" t="n"/>
      <c r="Z2" s="905" t="n"/>
      <c r="AA2" s="905" t="n"/>
      <c r="AB2" s="905" t="n"/>
      <c r="AC2" s="905" t="n"/>
      <c r="AD2" s="905" t="n"/>
      <c r="AE2" s="905" t="n"/>
      <c r="AF2" s="905" t="n"/>
      <c r="AG2" s="905" t="n"/>
      <c r="AH2" s="905" t="n"/>
      <c r="AI2" s="905" t="n"/>
      <c r="AJ2" s="905" t="n"/>
      <c r="AK2" s="905" t="n"/>
      <c r="AL2" s="905" t="n"/>
      <c r="AM2" s="905" t="n"/>
      <c r="AN2" s="905" t="n"/>
      <c r="AO2" s="905" t="n"/>
      <c r="AP2" s="905" t="n"/>
      <c r="AQ2" s="905" t="n"/>
      <c r="AR2" s="905" t="n"/>
      <c r="AS2" s="905" t="n"/>
      <c r="AT2" s="905" t="n"/>
      <c r="AU2" s="905" t="n"/>
      <c r="AV2" s="905" t="n"/>
      <c r="AW2" s="905" t="n"/>
      <c r="AX2" s="905" t="n"/>
      <c r="AY2" s="905" t="n"/>
      <c r="AZ2" s="905" t="n"/>
      <c r="BA2" s="905" t="n"/>
      <c r="BB2" s="905" t="n"/>
      <c r="BC2" s="905" t="n"/>
      <c r="BD2" s="905" t="n"/>
      <c r="BE2" s="905" t="n"/>
      <c r="BF2" s="905" t="n"/>
      <c r="BG2" s="905" t="n"/>
      <c r="BH2" s="905" t="n"/>
      <c r="BI2" s="905" t="n"/>
      <c r="BJ2" s="905" t="n"/>
      <c r="BK2" s="905" t="n"/>
      <c r="BL2" s="905" t="n"/>
      <c r="BM2" s="906" t="n"/>
      <c r="BN2" s="771" t="inlineStr">
        <is>
          <t>Продажи 2025</t>
        </is>
      </c>
      <c r="BO2" s="905" t="n"/>
      <c r="BP2" s="905" t="n"/>
      <c r="BQ2" s="905" t="n"/>
      <c r="BR2" s="905" t="n"/>
      <c r="BS2" s="905" t="n"/>
      <c r="BT2" s="905" t="n"/>
      <c r="BU2" s="905" t="n"/>
      <c r="BV2" s="905" t="n"/>
      <c r="BW2" s="905" t="n"/>
      <c r="BX2" s="905" t="n"/>
      <c r="BY2" s="905" t="n"/>
      <c r="BZ2" s="905" t="n"/>
      <c r="CA2" s="905" t="n"/>
      <c r="CB2" s="905" t="n"/>
      <c r="CC2" s="905" t="n"/>
      <c r="CD2" s="905" t="n"/>
      <c r="CE2" s="905" t="n"/>
      <c r="CF2" s="905" t="n"/>
      <c r="CG2" s="905" t="n"/>
      <c r="CH2" s="905" t="n"/>
      <c r="CI2" s="905" t="n"/>
      <c r="CJ2" s="905" t="n"/>
      <c r="CK2" s="905" t="n"/>
      <c r="CL2" s="905" t="n"/>
      <c r="CM2" s="905" t="n"/>
      <c r="CN2" s="905" t="n"/>
      <c r="CO2" s="905" t="n"/>
      <c r="CP2" s="905" t="n"/>
      <c r="CQ2" s="905" t="n"/>
      <c r="CR2" s="905" t="n"/>
      <c r="CS2" s="905" t="n"/>
      <c r="CT2" s="905" t="n"/>
      <c r="CU2" s="905" t="n"/>
      <c r="CV2" s="905" t="n"/>
      <c r="CW2" s="905" t="n"/>
      <c r="CX2" s="905" t="n"/>
      <c r="CY2" s="905" t="n"/>
      <c r="CZ2" s="905" t="n"/>
      <c r="DA2" s="905" t="n"/>
      <c r="DB2" s="905" t="n"/>
      <c r="DC2" s="905" t="n"/>
      <c r="DD2" s="905" t="n"/>
      <c r="DE2" s="905" t="n"/>
      <c r="DF2" s="905" t="n"/>
      <c r="DG2" s="905" t="n"/>
      <c r="DH2" s="905" t="n"/>
      <c r="DI2" s="905" t="n"/>
      <c r="DJ2" s="905" t="n"/>
      <c r="DK2" s="905" t="n"/>
      <c r="DL2" s="905" t="n"/>
      <c r="DM2" s="905" t="n"/>
      <c r="DN2" s="905" t="n"/>
      <c r="DO2" s="905" t="n"/>
      <c r="DP2" s="905" t="n"/>
      <c r="DQ2" s="905" t="n"/>
      <c r="DR2" s="905" t="n"/>
      <c r="DS2" s="905" t="n"/>
      <c r="DT2" s="905" t="n"/>
      <c r="DU2" s="905" t="n"/>
      <c r="DV2" s="905" t="n"/>
      <c r="DW2" s="905" t="n"/>
      <c r="DX2" s="905" t="n"/>
      <c r="DY2" s="905" t="n"/>
      <c r="DZ2" s="905" t="n"/>
      <c r="EA2" s="905" t="n"/>
      <c r="EB2" s="905" t="n"/>
      <c r="EC2" s="906" t="n"/>
    </row>
    <row r="3" ht="15" customHeight="1">
      <c r="A3" s="907" t="inlineStr">
        <is>
          <t>Подсветить артикул:</t>
        </is>
      </c>
      <c r="B3" s="905" t="n"/>
      <c r="C3" s="905" t="n"/>
      <c r="D3" s="905" t="n"/>
      <c r="E3" s="905" t="n"/>
      <c r="F3" s="905" t="n"/>
      <c r="G3" s="906" t="n"/>
      <c r="H3" s="10" t="inlineStr">
        <is>
          <t>-</t>
        </is>
      </c>
      <c r="I3" s="157" t="n"/>
      <c r="J3" s="158" t="inlineStr">
        <is>
          <t>1 п/г 2024</t>
        </is>
      </c>
      <c r="K3" s="158" t="inlineStr">
        <is>
          <t>2 п/г 2024</t>
        </is>
      </c>
      <c r="L3" s="775" t="inlineStr">
        <is>
          <t>Январь 2024</t>
        </is>
      </c>
      <c r="M3" s="905" t="n"/>
      <c r="N3" s="905" t="n"/>
      <c r="O3" s="906" t="n"/>
      <c r="P3" s="775" t="inlineStr">
        <is>
          <t>Февраль 2024</t>
        </is>
      </c>
      <c r="Q3" s="905" t="n"/>
      <c r="R3" s="905" t="n"/>
      <c r="S3" s="906" t="n"/>
      <c r="T3" s="775" t="inlineStr">
        <is>
          <t>Март 2024</t>
        </is>
      </c>
      <c r="U3" s="905" t="n"/>
      <c r="V3" s="905" t="n"/>
      <c r="W3" s="906" t="n"/>
      <c r="X3" s="775" t="inlineStr">
        <is>
          <t>Апрель 2024</t>
        </is>
      </c>
      <c r="Y3" s="905" t="n"/>
      <c r="Z3" s="905" t="n"/>
      <c r="AA3" s="906" t="n"/>
      <c r="AB3" s="775" t="inlineStr">
        <is>
          <t>Май 2024</t>
        </is>
      </c>
      <c r="AC3" s="905" t="n"/>
      <c r="AD3" s="905" t="n"/>
      <c r="AE3" s="906" t="n"/>
      <c r="AF3" s="775" t="inlineStr">
        <is>
          <t>Июнь 2024</t>
        </is>
      </c>
      <c r="AG3" s="905" t="n"/>
      <c r="AH3" s="905" t="n"/>
      <c r="AI3" s="906" t="n"/>
      <c r="AJ3" s="775" t="inlineStr">
        <is>
          <t>Июль 2024</t>
        </is>
      </c>
      <c r="AK3" s="905" t="n"/>
      <c r="AL3" s="905" t="n"/>
      <c r="AM3" s="906" t="n"/>
      <c r="AN3" s="775" t="inlineStr">
        <is>
          <t>Август 2024</t>
        </is>
      </c>
      <c r="AO3" s="905" t="n"/>
      <c r="AP3" s="905" t="n"/>
      <c r="AQ3" s="906" t="n"/>
      <c r="AR3" s="775" t="inlineStr">
        <is>
          <t>Сентябрь 2024</t>
        </is>
      </c>
      <c r="AS3" s="905" t="n"/>
      <c r="AT3" s="905" t="n"/>
      <c r="AU3" s="906" t="n"/>
      <c r="AV3" s="775" t="inlineStr">
        <is>
          <t>Октябрь 2024</t>
        </is>
      </c>
      <c r="AW3" s="905" t="n"/>
      <c r="AX3" s="905" t="n"/>
      <c r="AY3" s="906" t="n"/>
      <c r="AZ3" s="908" t="n">
        <v>45597</v>
      </c>
      <c r="BA3" s="905" t="n"/>
      <c r="BB3" s="905" t="n"/>
      <c r="BC3" s="906" t="n"/>
      <c r="BD3" s="908" t="n">
        <v>45627</v>
      </c>
      <c r="BE3" s="905" t="n"/>
      <c r="BF3" s="905" t="n"/>
      <c r="BG3" s="906" t="n"/>
      <c r="BH3" s="769" t="inlineStr">
        <is>
          <t>ИТОГО, 2024</t>
        </is>
      </c>
      <c r="BI3" s="905" t="n"/>
      <c r="BJ3" s="905" t="n"/>
      <c r="BK3" s="905" t="n"/>
      <c r="BL3" s="905" t="n"/>
      <c r="BM3" s="906" t="n"/>
      <c r="BN3" s="908" t="inlineStr">
        <is>
          <t>Январь 2025</t>
        </is>
      </c>
      <c r="BO3" s="905" t="n"/>
      <c r="BP3" s="905" t="n"/>
      <c r="BQ3" s="905" t="n"/>
      <c r="BR3" s="906" t="n"/>
      <c r="BS3" s="908" t="inlineStr">
        <is>
          <t>Февраль 2025</t>
        </is>
      </c>
      <c r="BT3" s="905" t="n"/>
      <c r="BU3" s="905" t="n"/>
      <c r="BV3" s="905" t="n"/>
      <c r="BW3" s="906" t="n"/>
      <c r="BX3" s="908" t="inlineStr">
        <is>
          <t>Март 2025</t>
        </is>
      </c>
      <c r="BY3" s="905" t="n"/>
      <c r="BZ3" s="905" t="n"/>
      <c r="CA3" s="905" t="n"/>
      <c r="CB3" s="906" t="n"/>
      <c r="CC3" s="908" t="n">
        <v>45748</v>
      </c>
      <c r="CD3" s="905" t="n"/>
      <c r="CE3" s="905" t="n"/>
      <c r="CF3" s="905" t="n"/>
      <c r="CG3" s="906" t="n"/>
      <c r="CH3" s="908" t="n">
        <v>45778</v>
      </c>
      <c r="CI3" s="905" t="n"/>
      <c r="CJ3" s="905" t="n"/>
      <c r="CK3" s="905" t="n"/>
      <c r="CL3" s="906" t="n"/>
      <c r="CM3" s="908" t="n">
        <v>45809</v>
      </c>
      <c r="CN3" s="905" t="n"/>
      <c r="CO3" s="905" t="n"/>
      <c r="CP3" s="905" t="n"/>
      <c r="CQ3" s="906" t="n"/>
      <c r="CR3" s="908" t="n">
        <v>45839</v>
      </c>
      <c r="CS3" s="905" t="n"/>
      <c r="CT3" s="905" t="n"/>
      <c r="CU3" s="905" t="n"/>
      <c r="CV3" s="906" t="n"/>
      <c r="CW3" s="908" t="n">
        <v>45870</v>
      </c>
      <c r="CX3" s="905" t="n"/>
      <c r="CY3" s="905" t="n"/>
      <c r="CZ3" s="905" t="n"/>
      <c r="DA3" s="906" t="n"/>
      <c r="DB3" s="908" t="n">
        <v>45901</v>
      </c>
      <c r="DC3" s="905" t="n"/>
      <c r="DD3" s="905" t="n"/>
      <c r="DE3" s="905" t="n"/>
      <c r="DF3" s="906" t="n"/>
      <c r="DG3" s="908" t="n">
        <v>45931</v>
      </c>
      <c r="DH3" s="905" t="n"/>
      <c r="DI3" s="905" t="n"/>
      <c r="DJ3" s="905" t="n"/>
      <c r="DK3" s="906" t="n"/>
      <c r="DL3" s="908" t="n">
        <v>45962</v>
      </c>
      <c r="DM3" s="905" t="n"/>
      <c r="DN3" s="905" t="n"/>
      <c r="DO3" s="905" t="n"/>
      <c r="DP3" s="906" t="n"/>
      <c r="DQ3" s="908" t="n">
        <v>45992</v>
      </c>
      <c r="DR3" s="905" t="n"/>
      <c r="DS3" s="905" t="n"/>
      <c r="DT3" s="905" t="n"/>
      <c r="DU3" s="906" t="n"/>
      <c r="DV3" s="769" t="inlineStr">
        <is>
          <t>ИТОГО, 2025</t>
        </is>
      </c>
      <c r="DW3" s="905" t="n"/>
      <c r="DX3" s="905" t="n"/>
      <c r="DY3" s="905" t="n"/>
      <c r="DZ3" s="905" t="n"/>
      <c r="EA3" s="905" t="n"/>
      <c r="EB3" s="905" t="n"/>
      <c r="EC3" s="906" t="n"/>
    </row>
    <row r="4" ht="43.2" customHeight="1">
      <c r="A4" s="159" t="inlineStr">
        <is>
          <t>№</t>
        </is>
      </c>
      <c r="B4" s="160" t="inlineStr">
        <is>
          <t>Клиент</t>
        </is>
      </c>
      <c r="C4" s="161" t="inlineStr">
        <is>
          <t>Раздел</t>
        </is>
      </c>
      <c r="D4" s="161" t="inlineStr">
        <is>
          <t>Сет</t>
        </is>
      </c>
      <c r="E4" s="160" t="inlineStr">
        <is>
          <t>Кол-во в сете</t>
        </is>
      </c>
      <c r="F4" s="161" t="inlineStr">
        <is>
          <t>п\п</t>
        </is>
      </c>
      <c r="G4" s="160" t="inlineStr">
        <is>
          <t>2 - продукт WABCO</t>
        </is>
      </c>
      <c r="H4" s="160" t="inlineStr">
        <is>
          <t>Номер изделия/ артикул</t>
        </is>
      </c>
      <c r="I4" s="160" t="inlineStr">
        <is>
          <t>Наименование</t>
        </is>
      </c>
      <c r="J4" s="162" t="inlineStr">
        <is>
          <t>Цена, 
юань, без НДС 1</t>
        </is>
      </c>
      <c r="K4" s="162" t="inlineStr">
        <is>
          <t>Цена, 
юань, без НДС 2</t>
        </is>
      </c>
      <c r="L4" s="163" t="inlineStr">
        <is>
          <t>AOP,
шт 01_24</t>
        </is>
      </c>
      <c r="M4" s="164" t="inlineStr">
        <is>
          <t>Прогноз,
шт 01_24</t>
        </is>
      </c>
      <c r="N4" s="165" t="inlineStr">
        <is>
          <t>Факт,
шт 01_24</t>
        </is>
      </c>
      <c r="O4" s="166" t="inlineStr">
        <is>
          <t>Комментарий 01_24</t>
        </is>
      </c>
      <c r="P4" s="163" t="inlineStr">
        <is>
          <t>AOP,
шт 02_24</t>
        </is>
      </c>
      <c r="Q4" s="164" t="inlineStr">
        <is>
          <t>Прогноз,
шт 02_24</t>
        </is>
      </c>
      <c r="R4" s="165" t="inlineStr">
        <is>
          <t>Факт,
шт 02_24</t>
        </is>
      </c>
      <c r="S4" s="166" t="inlineStr">
        <is>
          <t>Комментарий 02_24</t>
        </is>
      </c>
      <c r="T4" s="163" t="inlineStr">
        <is>
          <t>AOP,
шт 03_24</t>
        </is>
      </c>
      <c r="U4" s="164" t="inlineStr">
        <is>
          <t>Прогноз,
шт 03_24</t>
        </is>
      </c>
      <c r="V4" s="165" t="inlineStr">
        <is>
          <t>Факт,
шт 03_24</t>
        </is>
      </c>
      <c r="W4" s="166" t="inlineStr">
        <is>
          <t>Комментарий 03_24</t>
        </is>
      </c>
      <c r="X4" s="163" t="inlineStr">
        <is>
          <t>AOP,
шт 04_24</t>
        </is>
      </c>
      <c r="Y4" s="164" t="inlineStr">
        <is>
          <t>Прогноз,
шт 04_24</t>
        </is>
      </c>
      <c r="Z4" s="165" t="inlineStr">
        <is>
          <t>Факт,
шт 04_24</t>
        </is>
      </c>
      <c r="AA4" s="166" t="inlineStr">
        <is>
          <t>Комментарий 04_24</t>
        </is>
      </c>
      <c r="AB4" s="163" t="inlineStr">
        <is>
          <t>AOP,
шт 05_24</t>
        </is>
      </c>
      <c r="AC4" s="164" t="inlineStr">
        <is>
          <t>Прогноз,
шт 05_24</t>
        </is>
      </c>
      <c r="AD4" s="165" t="inlineStr">
        <is>
          <t>Факт,
шт 05_24</t>
        </is>
      </c>
      <c r="AE4" s="166" t="inlineStr">
        <is>
          <t>Комментарий 05_24</t>
        </is>
      </c>
      <c r="AF4" s="163" t="inlineStr">
        <is>
          <t>AOP,
шт 06_24</t>
        </is>
      </c>
      <c r="AG4" s="164" t="inlineStr">
        <is>
          <t>Прогноз,
шт 06_24</t>
        </is>
      </c>
      <c r="AH4" s="165" t="inlineStr">
        <is>
          <t>Факт,
шт 06_24</t>
        </is>
      </c>
      <c r="AI4" s="166" t="inlineStr">
        <is>
          <t>Комментарий 06_24</t>
        </is>
      </c>
      <c r="AJ4" s="163" t="inlineStr">
        <is>
          <t>AOP,
шт 07_24</t>
        </is>
      </c>
      <c r="AK4" s="164" t="inlineStr">
        <is>
          <t>Прогноз,
шт 07_24</t>
        </is>
      </c>
      <c r="AL4" s="165" t="inlineStr">
        <is>
          <t>Факт,
шт 07_24</t>
        </is>
      </c>
      <c r="AM4" s="166" t="inlineStr">
        <is>
          <t>Комментарий 07_24</t>
        </is>
      </c>
      <c r="AN4" s="163" t="inlineStr">
        <is>
          <t>AOP,
шт 08_24</t>
        </is>
      </c>
      <c r="AO4" s="164" t="inlineStr">
        <is>
          <t>Прогноз,
шт 08_24</t>
        </is>
      </c>
      <c r="AP4" s="165" t="inlineStr">
        <is>
          <t>Факт,
шт 08_24</t>
        </is>
      </c>
      <c r="AQ4" s="166" t="inlineStr">
        <is>
          <t>Комментарий 08_24</t>
        </is>
      </c>
      <c r="AR4" s="163" t="inlineStr">
        <is>
          <t>AOP,
шт 09_24</t>
        </is>
      </c>
      <c r="AS4" s="164" t="inlineStr">
        <is>
          <t>Прогноз,
шт 09_24</t>
        </is>
      </c>
      <c r="AT4" s="165" t="inlineStr">
        <is>
          <t>Факт,
шт 09_24</t>
        </is>
      </c>
      <c r="AU4" s="166" t="inlineStr">
        <is>
          <t>Комментарий 09_24</t>
        </is>
      </c>
      <c r="AV4" s="163" t="inlineStr">
        <is>
          <t>AOP,
шт 10_24</t>
        </is>
      </c>
      <c r="AW4" s="164" t="inlineStr">
        <is>
          <t>Прогноз,
шт 10_24</t>
        </is>
      </c>
      <c r="AX4" s="165" t="inlineStr">
        <is>
          <t>Факт,
шт 10_24</t>
        </is>
      </c>
      <c r="AY4" s="166" t="inlineStr">
        <is>
          <t>Комментарий 10_24</t>
        </is>
      </c>
      <c r="AZ4" s="163" t="inlineStr">
        <is>
          <t>AOP,
шт 11_24</t>
        </is>
      </c>
      <c r="BA4" s="164" t="inlineStr">
        <is>
          <t>Прогноз,
шт 11_24</t>
        </is>
      </c>
      <c r="BB4" s="165" t="inlineStr">
        <is>
          <t>Факт,
шт 11_24</t>
        </is>
      </c>
      <c r="BC4" s="166" t="inlineStr">
        <is>
          <t>Комментарий 11_24</t>
        </is>
      </c>
      <c r="BD4" s="163" t="inlineStr">
        <is>
          <t>AOP,
шт 12_24</t>
        </is>
      </c>
      <c r="BE4" s="164" t="inlineStr">
        <is>
          <t>Прогноз,
шт 12_24</t>
        </is>
      </c>
      <c r="BF4" s="165" t="inlineStr">
        <is>
          <t>Факт,
шт 12_24</t>
        </is>
      </c>
      <c r="BG4" s="166" t="inlineStr">
        <is>
          <t>Комментарий 12_24</t>
        </is>
      </c>
      <c r="BH4" s="163" t="inlineStr">
        <is>
          <t>AOP,
шт 2024</t>
        </is>
      </c>
      <c r="BI4" s="163" t="inlineStr">
        <is>
          <t>Продажи AOP, CNY 2024</t>
        </is>
      </c>
      <c r="BJ4" s="164" t="inlineStr">
        <is>
          <t>Прогноз,
шт 2024</t>
        </is>
      </c>
      <c r="BK4" s="164" t="inlineStr">
        <is>
          <t>Прогноз,
CNY 2024</t>
        </is>
      </c>
      <c r="BL4" s="165" t="inlineStr">
        <is>
          <t>Факт,
шт 2024</t>
        </is>
      </c>
      <c r="BM4" s="165" t="inlineStr">
        <is>
          <t>Факт,
CNY 2024</t>
        </is>
      </c>
      <c r="BN4" s="163" t="inlineStr">
        <is>
          <t>AOP,
шт 01_25</t>
        </is>
      </c>
      <c r="BO4" s="167" t="inlineStr">
        <is>
          <t>AOP негатив,
шт 01_25</t>
        </is>
      </c>
      <c r="BP4" s="164" t="inlineStr">
        <is>
          <t>Прогноз,
шт 01_25</t>
        </is>
      </c>
      <c r="BQ4" s="165" t="inlineStr">
        <is>
          <t>Факт,
шт 01_25</t>
        </is>
      </c>
      <c r="BR4" s="166" t="inlineStr">
        <is>
          <t>Комментарий 01_25</t>
        </is>
      </c>
      <c r="BS4" s="163" t="inlineStr">
        <is>
          <t>AOP,
шт 02_25</t>
        </is>
      </c>
      <c r="BT4" s="167" t="inlineStr">
        <is>
          <t>AOP негатив,
шт 02_25</t>
        </is>
      </c>
      <c r="BU4" s="164" t="inlineStr">
        <is>
          <t>Прогноз,
шт 02_25</t>
        </is>
      </c>
      <c r="BV4" s="165" t="inlineStr">
        <is>
          <t>Факт,
шт 02_25</t>
        </is>
      </c>
      <c r="BW4" s="166" t="inlineStr">
        <is>
          <t>Комментарий 02_25</t>
        </is>
      </c>
      <c r="BX4" s="163" t="inlineStr">
        <is>
          <t>AOP,
шт 03_25</t>
        </is>
      </c>
      <c r="BY4" s="167" t="inlineStr">
        <is>
          <t>AOP негатив,
шт 03_25</t>
        </is>
      </c>
      <c r="BZ4" s="164" t="inlineStr">
        <is>
          <t>Прогноз,
шт 03_25</t>
        </is>
      </c>
      <c r="CA4" s="165" t="inlineStr">
        <is>
          <t>Факт,
шт 03_25</t>
        </is>
      </c>
      <c r="CB4" s="166" t="inlineStr">
        <is>
          <t>Комментарий 03_25</t>
        </is>
      </c>
      <c r="CC4" s="163" t="inlineStr">
        <is>
          <t>AOP,
шт 04_25</t>
        </is>
      </c>
      <c r="CD4" s="167" t="inlineStr">
        <is>
          <t>AOP негатив,
шт 04_25</t>
        </is>
      </c>
      <c r="CE4" s="164" t="inlineStr">
        <is>
          <t>Прогноз,
шт 04_25</t>
        </is>
      </c>
      <c r="CF4" s="165" t="inlineStr">
        <is>
          <t>Факт,
шт 04_25</t>
        </is>
      </c>
      <c r="CG4" s="166" t="inlineStr">
        <is>
          <t>Комментарий 04_25</t>
        </is>
      </c>
      <c r="CH4" s="163" t="inlineStr">
        <is>
          <t>AOP,
шт 05_25</t>
        </is>
      </c>
      <c r="CI4" s="167" t="inlineStr">
        <is>
          <t>AOP негатив,
шт 05_25</t>
        </is>
      </c>
      <c r="CJ4" s="164" t="inlineStr">
        <is>
          <t>Прогноз,
шт 05_25</t>
        </is>
      </c>
      <c r="CK4" s="165" t="inlineStr">
        <is>
          <t>Факт,
шт 05_25</t>
        </is>
      </c>
      <c r="CL4" s="166" t="inlineStr">
        <is>
          <t>Комментарий 05_25</t>
        </is>
      </c>
      <c r="CM4" s="163" t="inlineStr">
        <is>
          <t>AOP,
шт 06_25</t>
        </is>
      </c>
      <c r="CN4" s="167" t="inlineStr">
        <is>
          <t>AOP негатив,
шт 06_25</t>
        </is>
      </c>
      <c r="CO4" s="164" t="inlineStr">
        <is>
          <t>Прогноз,
шт 06_25</t>
        </is>
      </c>
      <c r="CP4" s="165" t="inlineStr">
        <is>
          <t>Факт,
шт 06_25</t>
        </is>
      </c>
      <c r="CQ4" s="166" t="inlineStr">
        <is>
          <t>Комментарий 06_25</t>
        </is>
      </c>
      <c r="CR4" s="163" t="inlineStr">
        <is>
          <t>AOP,
шт 07_25</t>
        </is>
      </c>
      <c r="CS4" s="167" t="inlineStr">
        <is>
          <t>AOP негатив,
шт 07_25</t>
        </is>
      </c>
      <c r="CT4" s="164" t="inlineStr">
        <is>
          <t>Прогноз,
шт 07_25</t>
        </is>
      </c>
      <c r="CU4" s="165" t="inlineStr">
        <is>
          <t>Факт,
шт 07_25</t>
        </is>
      </c>
      <c r="CV4" s="166" t="inlineStr">
        <is>
          <t>Комментарий 07_25</t>
        </is>
      </c>
      <c r="CW4" s="163" t="inlineStr">
        <is>
          <t>AOP,
шт 08_25</t>
        </is>
      </c>
      <c r="CX4" s="167" t="inlineStr">
        <is>
          <t>AOP негатив,
шт 08_25</t>
        </is>
      </c>
      <c r="CY4" s="164" t="inlineStr">
        <is>
          <t>Прогноз,
шт 08_25</t>
        </is>
      </c>
      <c r="CZ4" s="165" t="inlineStr">
        <is>
          <t>Факт,
шт 08_25</t>
        </is>
      </c>
      <c r="DA4" s="166" t="inlineStr">
        <is>
          <t>Комментарий 08_25</t>
        </is>
      </c>
      <c r="DB4" s="163" t="inlineStr">
        <is>
          <t>AOP,
шт 09_25</t>
        </is>
      </c>
      <c r="DC4" s="167" t="inlineStr">
        <is>
          <t>AOP негатив,
шт 09_25</t>
        </is>
      </c>
      <c r="DD4" s="164" t="inlineStr">
        <is>
          <t>Прогноз,
шт 09_25</t>
        </is>
      </c>
      <c r="DE4" s="165" t="inlineStr">
        <is>
          <t>Факт,
шт 09_25</t>
        </is>
      </c>
      <c r="DF4" s="166" t="inlineStr">
        <is>
          <t>Комментарий 09_25</t>
        </is>
      </c>
      <c r="DG4" s="163" t="inlineStr">
        <is>
          <t>AOP,
шт 10_25</t>
        </is>
      </c>
      <c r="DH4" s="167" t="inlineStr">
        <is>
          <t>AOP негатив,
шт 10_25</t>
        </is>
      </c>
      <c r="DI4" s="164" t="inlineStr">
        <is>
          <t>Прогноз,
шт 10_25</t>
        </is>
      </c>
      <c r="DJ4" s="165" t="inlineStr">
        <is>
          <t>Факт,
шт 10_25</t>
        </is>
      </c>
      <c r="DK4" s="166" t="inlineStr">
        <is>
          <t>Комментарий 10_25</t>
        </is>
      </c>
      <c r="DL4" s="163" t="inlineStr">
        <is>
          <t>AOP,
шт 11_25</t>
        </is>
      </c>
      <c r="DM4" s="167" t="inlineStr">
        <is>
          <t>AOP негатив,
шт 11_25</t>
        </is>
      </c>
      <c r="DN4" s="164" t="inlineStr">
        <is>
          <t>Прогноз,
шт 11_25</t>
        </is>
      </c>
      <c r="DO4" s="165" t="inlineStr">
        <is>
          <t>Факт,
шт 11_25</t>
        </is>
      </c>
      <c r="DP4" s="166" t="inlineStr">
        <is>
          <t>Комментарий 11_25</t>
        </is>
      </c>
      <c r="DQ4" s="163" t="inlineStr">
        <is>
          <t>AOP,
шт 12_25</t>
        </is>
      </c>
      <c r="DR4" s="167" t="inlineStr">
        <is>
          <t>AOP негатив,
шт 12_25</t>
        </is>
      </c>
      <c r="DS4" s="164" t="inlineStr">
        <is>
          <t>Прогноз,
шт 12_25</t>
        </is>
      </c>
      <c r="DT4" s="165" t="inlineStr">
        <is>
          <t>Факт,
шт 12_25</t>
        </is>
      </c>
      <c r="DU4" s="166" t="inlineStr">
        <is>
          <t>Комментарий 12_25</t>
        </is>
      </c>
      <c r="DV4" s="163" t="inlineStr">
        <is>
          <t>AOP,
шт 2025</t>
        </is>
      </c>
      <c r="DW4" s="163" t="inlineStr">
        <is>
          <t>Продажи AOP, CNY 2025</t>
        </is>
      </c>
      <c r="DX4" s="168" t="inlineStr">
        <is>
          <t>AOP негатив,
шт 2025</t>
        </is>
      </c>
      <c r="DY4" s="169" t="inlineStr">
        <is>
          <t>Продажи AOP негатив, CNY 2025</t>
        </is>
      </c>
      <c r="DZ4" s="164" t="inlineStr">
        <is>
          <t>Прогноз,
шт 20252</t>
        </is>
      </c>
      <c r="EA4" s="164" t="inlineStr">
        <is>
          <t>Прогноз,
CNY 2025</t>
        </is>
      </c>
      <c r="EB4" s="165" t="inlineStr">
        <is>
          <t>Факт,
шт 20253</t>
        </is>
      </c>
      <c r="EC4" s="170" t="inlineStr">
        <is>
          <t>Факт,
CNY 2025</t>
        </is>
      </c>
    </row>
    <row r="5">
      <c r="A5" s="221" t="n">
        <v>11</v>
      </c>
      <c r="B5" s="172" t="inlineStr">
        <is>
          <t>Политранс</t>
        </is>
      </c>
      <c r="C5" s="173" t="inlineStr">
        <is>
          <t>TEBS</t>
        </is>
      </c>
      <c r="D5" s="173" t="inlineStr">
        <is>
          <t>LACV</t>
        </is>
      </c>
      <c r="E5" s="174" t="n">
        <v>1</v>
      </c>
      <c r="F5" s="174" t="n"/>
      <c r="G5" s="174" t="n"/>
      <c r="H5" s="175" t="n">
        <v>4494430600</v>
      </c>
      <c r="I5" s="176" t="inlineStr">
        <is>
          <t>Кабель клапана управления подъемом оси, 6 м</t>
        </is>
      </c>
      <c r="J5" s="911" t="n"/>
      <c r="K5" s="912" t="n"/>
      <c r="L5" s="178" t="n">
        <v>35</v>
      </c>
      <c r="M5" s="130">
        <f>$E5*35</f>
        <v/>
      </c>
      <c r="N5" s="179" t="n">
        <v>0</v>
      </c>
      <c r="O5" s="130" t="n"/>
      <c r="P5" s="178" t="n">
        <v>35</v>
      </c>
      <c r="Q5" s="130">
        <f>$E5*35</f>
        <v/>
      </c>
      <c r="R5" s="179" t="n">
        <v>0</v>
      </c>
      <c r="S5" s="130" t="n"/>
      <c r="T5" s="178" t="n">
        <v>35</v>
      </c>
      <c r="U5" s="130">
        <f>$E5*100</f>
        <v/>
      </c>
      <c r="V5" s="179" t="n">
        <v>0</v>
      </c>
      <c r="W5" s="130" t="n"/>
      <c r="X5" s="178" t="n">
        <v>35</v>
      </c>
      <c r="Y5" s="130">
        <f>$E5*35</f>
        <v/>
      </c>
      <c r="Z5" s="179" t="n">
        <v>0</v>
      </c>
      <c r="AA5" s="130" t="n"/>
      <c r="AB5" s="178" t="n">
        <v>35</v>
      </c>
      <c r="AC5" s="130">
        <f>$E5*35</f>
        <v/>
      </c>
      <c r="AD5" s="179" t="n"/>
      <c r="AE5" s="130" t="n"/>
      <c r="AF5" s="178" t="n">
        <v>35</v>
      </c>
      <c r="AG5" s="130">
        <f>$E5*35</f>
        <v/>
      </c>
      <c r="AH5" s="179" t="n"/>
      <c r="AI5" s="130" t="n"/>
      <c r="AJ5" s="178" t="n">
        <v>35</v>
      </c>
      <c r="AK5" s="130">
        <f>$E5*35</f>
        <v/>
      </c>
      <c r="AL5" s="179" t="n"/>
      <c r="AM5" s="130" t="n"/>
      <c r="AN5" s="178" t="n">
        <v>35</v>
      </c>
      <c r="AO5" s="130">
        <f>$E5*5</f>
        <v/>
      </c>
      <c r="AP5" s="179" t="n"/>
      <c r="AQ5" s="130" t="n"/>
      <c r="AR5" s="178" t="n">
        <v>35</v>
      </c>
      <c r="AS5" s="130">
        <f>$E5*5</f>
        <v/>
      </c>
      <c r="AT5" s="179" t="n"/>
      <c r="AU5" s="130" t="n"/>
      <c r="AV5" s="178" t="n">
        <v>35</v>
      </c>
      <c r="AW5" s="130">
        <f>$E5*5</f>
        <v/>
      </c>
      <c r="AX5" s="179" t="n"/>
      <c r="AY5" s="130" t="n"/>
      <c r="AZ5" s="178" t="n">
        <v>35</v>
      </c>
      <c r="BA5" s="130">
        <f>$E5*5</f>
        <v/>
      </c>
      <c r="BB5" s="194" t="n"/>
      <c r="BC5" s="130" t="n"/>
      <c r="BD5" s="178" t="n">
        <v>35</v>
      </c>
      <c r="BE5" s="130">
        <f>$E5*5</f>
        <v/>
      </c>
      <c r="BF5" s="109" t="n"/>
      <c r="BG5" s="130" t="n"/>
      <c r="BH5" s="180">
        <f>SUMPRODUCT(--(MOD(COLUMN($L5:$BG5),4)=MOD(COLUMN($L5),4)),$L5:$BG5)</f>
        <v/>
      </c>
      <c r="BI5" s="181">
        <f>Автовик_разбивка[[#This Row],[Цена, 
юань, без НДС 1]]*BH5</f>
        <v/>
      </c>
      <c r="BJ5" s="130">
        <f>SUMPRODUCT(--(MOD(COLUMN($L5:$BG5),4)=MOD(COLUMN($L5)+1,4)),$L5:$BG5)</f>
        <v/>
      </c>
      <c r="BK5" s="187">
        <f>Автовик_разбивка[[#This Row],[Цена, 
юань, без НДС 1]]*BJ5</f>
        <v/>
      </c>
      <c r="BL5" s="109">
        <f>SUMPRODUCT(--(MOD(COLUMN($L5:$BG5),4)=MOD(COLUMN($L5)+2,4)),$L5:$BG5)</f>
        <v/>
      </c>
      <c r="BM5" s="224">
        <f>Автовик_разбивка[[#This Row],[Цена, 
юань, без НДС 1]]*BL5</f>
        <v/>
      </c>
      <c r="BN5" s="178" t="n"/>
      <c r="BO5" s="184" t="n"/>
      <c r="BP5" s="130" t="n"/>
      <c r="BQ5" s="179" t="n"/>
      <c r="BR5" s="130" t="n"/>
      <c r="BS5" s="178" t="n"/>
      <c r="BT5" s="184" t="n"/>
      <c r="BU5" s="130" t="n"/>
      <c r="BV5" s="179" t="n"/>
      <c r="BW5" s="130" t="n"/>
      <c r="BX5" s="178" t="n"/>
      <c r="BY5" s="184" t="n"/>
      <c r="BZ5" s="130" t="n"/>
      <c r="CA5" s="179" t="n"/>
      <c r="CB5" s="130" t="n"/>
      <c r="CC5" s="178" t="n"/>
      <c r="CD5" s="184" t="n"/>
      <c r="CE5" s="130" t="n"/>
      <c r="CF5" s="179" t="n"/>
      <c r="CG5" s="130" t="n"/>
      <c r="CH5" s="178" t="n"/>
      <c r="CI5" s="184" t="n"/>
      <c r="CJ5" s="130" t="n"/>
      <c r="CK5" s="179" t="n"/>
      <c r="CL5" s="130" t="n"/>
      <c r="CM5" s="178" t="n"/>
      <c r="CN5" s="184" t="n"/>
      <c r="CO5" s="130" t="n"/>
      <c r="CP5" s="179" t="n"/>
      <c r="CQ5" s="130" t="n"/>
      <c r="CR5" s="178" t="n"/>
      <c r="CS5" s="184" t="n"/>
      <c r="CT5" s="130" t="n"/>
      <c r="CU5" s="179" t="n"/>
      <c r="CV5" s="130" t="n"/>
      <c r="CW5" s="178" t="n"/>
      <c r="CX5" s="184" t="n"/>
      <c r="CY5" s="130" t="n"/>
      <c r="CZ5" s="179" t="n"/>
      <c r="DA5" s="130" t="n"/>
      <c r="DB5" s="178" t="n"/>
      <c r="DC5" s="184" t="n"/>
      <c r="DD5" s="130" t="n"/>
      <c r="DE5" s="179" t="n"/>
      <c r="DF5" s="130" t="n"/>
      <c r="DG5" s="178" t="n"/>
      <c r="DH5" s="184" t="n"/>
      <c r="DI5" s="130" t="n"/>
      <c r="DJ5" s="179" t="n"/>
      <c r="DK5" s="130" t="n"/>
      <c r="DL5" s="178" t="n"/>
      <c r="DM5" s="184" t="n"/>
      <c r="DN5" s="130" t="n"/>
      <c r="DO5" s="194" t="n"/>
      <c r="DP5" s="130" t="n"/>
      <c r="DQ5" s="178" t="n"/>
      <c r="DR5" s="184" t="n"/>
      <c r="DS5" s="130" t="n"/>
      <c r="DT5" s="109" t="n"/>
      <c r="DU5" s="130" t="n"/>
      <c r="DV5" s="180">
        <f>SUMPRODUCT(--(MOD(COLUMN($BN5:$DU5),5)=MOD(COLUMN($BN5),5)),$BN5:$DU5)</f>
        <v/>
      </c>
      <c r="DW5" s="181">
        <f>Автовик_разбивка[[#This Row],[Цена, 
юань, без НДС 1]]*DV5</f>
        <v/>
      </c>
      <c r="DX5" s="186">
        <f>SUMPRODUCT(--(MOD(COLUMN($BN5:$DU5),5)=MOD(COLUMN($BN5)+1,5)),$BN5:$DU5)</f>
        <v/>
      </c>
      <c r="DY5" s="186">
        <f>Автовик_разбивка[[#This Row],[Цена, 
юань, без НДС 1]]*DX5</f>
        <v/>
      </c>
      <c r="DZ5" s="130">
        <f>SUMPRODUCT(--(MOD(COLUMN($BN5:$DU5),5)=MOD(COLUMN($BN5)+2,5)),$BN5:$DU5)</f>
        <v/>
      </c>
      <c r="EA5" s="187">
        <f>Автовик_разбивка[[#This Row],[Цена, 
юань, без НДС 1]]*DZ5</f>
        <v/>
      </c>
      <c r="EB5" s="109">
        <f>SUMPRODUCT(--(MOD(COLUMN($BN5:$DU5),5)=MOD(COLUMN($BN5)+3,5)),$BN5:$DU5)</f>
        <v/>
      </c>
      <c r="EC5" s="224">
        <f>Автовик_разбивка[[#This Row],[Цена, 
юань, без НДС 1]]*EB5</f>
        <v/>
      </c>
    </row>
    <row r="6">
      <c r="A6" s="221" t="n">
        <v>11</v>
      </c>
      <c r="B6" s="172" t="inlineStr">
        <is>
          <t>Политранс</t>
        </is>
      </c>
      <c r="C6" s="173" t="inlineStr">
        <is>
          <t>TEBS</t>
        </is>
      </c>
      <c r="D6" s="173" t="inlineStr">
        <is>
          <t>LACV</t>
        </is>
      </c>
      <c r="E6" s="174" t="n">
        <v>1</v>
      </c>
      <c r="F6" s="174" t="n"/>
      <c r="G6" s="174" t="n"/>
      <c r="H6" s="175" t="n">
        <v>4630840310</v>
      </c>
      <c r="I6" s="176" t="inlineStr">
        <is>
          <t>Клапан управления подъемом оси (LACV)</t>
        </is>
      </c>
      <c r="J6" s="911" t="n"/>
      <c r="K6" s="912" t="n"/>
      <c r="L6" s="178" t="n">
        <v>35</v>
      </c>
      <c r="M6" s="130">
        <f>$E6*35</f>
        <v/>
      </c>
      <c r="N6" s="179" t="n">
        <v>0</v>
      </c>
      <c r="O6" s="130" t="n"/>
      <c r="P6" s="178" t="n">
        <v>35</v>
      </c>
      <c r="Q6" s="130">
        <f>$E6*35</f>
        <v/>
      </c>
      <c r="R6" s="179" t="n">
        <v>0</v>
      </c>
      <c r="S6" s="130" t="n"/>
      <c r="T6" s="178" t="n">
        <v>35</v>
      </c>
      <c r="U6" s="130">
        <f>$E6*100</f>
        <v/>
      </c>
      <c r="V6" s="179" t="n">
        <v>0</v>
      </c>
      <c r="W6" s="130" t="n"/>
      <c r="X6" s="178" t="n">
        <v>35</v>
      </c>
      <c r="Y6" s="130">
        <f>$E6*35</f>
        <v/>
      </c>
      <c r="Z6" s="179" t="n">
        <v>0</v>
      </c>
      <c r="AA6" s="130" t="n"/>
      <c r="AB6" s="178" t="n">
        <v>35</v>
      </c>
      <c r="AC6" s="130">
        <f>$E6*35</f>
        <v/>
      </c>
      <c r="AD6" s="179" t="n"/>
      <c r="AE6" s="130" t="n"/>
      <c r="AF6" s="178" t="n">
        <v>35</v>
      </c>
      <c r="AG6" s="130">
        <f>$E6*35</f>
        <v/>
      </c>
      <c r="AH6" s="179" t="n"/>
      <c r="AI6" s="130" t="n"/>
      <c r="AJ6" s="178" t="n">
        <v>35</v>
      </c>
      <c r="AK6" s="130">
        <f>$E6*35</f>
        <v/>
      </c>
      <c r="AL6" s="179" t="n"/>
      <c r="AM6" s="130" t="n"/>
      <c r="AN6" s="178" t="n">
        <v>35</v>
      </c>
      <c r="AO6" s="130">
        <f>$E6*5</f>
        <v/>
      </c>
      <c r="AP6" s="179" t="n"/>
      <c r="AQ6" s="130" t="n"/>
      <c r="AR6" s="178" t="n">
        <v>35</v>
      </c>
      <c r="AS6" s="130">
        <f>$E6*5</f>
        <v/>
      </c>
      <c r="AT6" s="179" t="n"/>
      <c r="AU6" s="130" t="n"/>
      <c r="AV6" s="178" t="n">
        <v>35</v>
      </c>
      <c r="AW6" s="130">
        <f>$E6*5</f>
        <v/>
      </c>
      <c r="AX6" s="179" t="n"/>
      <c r="AY6" s="130" t="n"/>
      <c r="AZ6" s="178" t="n">
        <v>35</v>
      </c>
      <c r="BA6" s="130">
        <f>$E6*5</f>
        <v/>
      </c>
      <c r="BB6" s="194" t="n"/>
      <c r="BC6" s="130" t="n"/>
      <c r="BD6" s="178" t="n">
        <v>35</v>
      </c>
      <c r="BE6" s="130">
        <f>$E6*5</f>
        <v/>
      </c>
      <c r="BF6" s="109" t="n"/>
      <c r="BG6" s="130" t="n"/>
      <c r="BH6" s="180">
        <f>SUMPRODUCT(--(MOD(COLUMN($L6:$BG6),4)=MOD(COLUMN($L6),4)),$L6:$BG6)</f>
        <v/>
      </c>
      <c r="BI6" s="181">
        <f>Автовик_разбивка[[#This Row],[Цена, 
юань, без НДС 1]]*BH6</f>
        <v/>
      </c>
      <c r="BJ6" s="130">
        <f>SUMPRODUCT(--(MOD(COLUMN($L6:$BG6),4)=MOD(COLUMN($L6)+1,4)),$L6:$BG6)</f>
        <v/>
      </c>
      <c r="BK6" s="187">
        <f>Автовик_разбивка[[#This Row],[Цена, 
юань, без НДС 1]]*BJ6</f>
        <v/>
      </c>
      <c r="BL6" s="109">
        <f>SUMPRODUCT(--(MOD(COLUMN($L6:$BG6),4)=MOD(COLUMN($L6)+2,4)),$L6:$BG6)</f>
        <v/>
      </c>
      <c r="BM6" s="224">
        <f>Автовик_разбивка[[#This Row],[Цена, 
юань, без НДС 1]]*BL6</f>
        <v/>
      </c>
      <c r="BN6" s="178" t="n"/>
      <c r="BO6" s="184" t="n"/>
      <c r="BP6" s="130" t="n"/>
      <c r="BQ6" s="179" t="n"/>
      <c r="BR6" s="130" t="n"/>
      <c r="BS6" s="178" t="n"/>
      <c r="BT6" s="184" t="n"/>
      <c r="BU6" s="130" t="n"/>
      <c r="BV6" s="179" t="n"/>
      <c r="BW6" s="130" t="n"/>
      <c r="BX6" s="178" t="n"/>
      <c r="BY6" s="184" t="n"/>
      <c r="BZ6" s="130" t="n"/>
      <c r="CA6" s="179" t="n"/>
      <c r="CB6" s="130" t="n"/>
      <c r="CC6" s="178" t="n"/>
      <c r="CD6" s="184" t="n"/>
      <c r="CE6" s="130" t="n"/>
      <c r="CF6" s="179" t="n"/>
      <c r="CG6" s="130" t="n"/>
      <c r="CH6" s="178" t="n"/>
      <c r="CI6" s="184" t="n"/>
      <c r="CJ6" s="130" t="n"/>
      <c r="CK6" s="179" t="n"/>
      <c r="CL6" s="130" t="n"/>
      <c r="CM6" s="178" t="n"/>
      <c r="CN6" s="184" t="n"/>
      <c r="CO6" s="130" t="n"/>
      <c r="CP6" s="179" t="n"/>
      <c r="CQ6" s="130" t="n"/>
      <c r="CR6" s="178" t="n"/>
      <c r="CS6" s="184" t="n"/>
      <c r="CT6" s="130" t="n"/>
      <c r="CU6" s="179" t="n"/>
      <c r="CV6" s="130" t="n"/>
      <c r="CW6" s="178" t="n"/>
      <c r="CX6" s="184" t="n"/>
      <c r="CY6" s="130" t="n"/>
      <c r="CZ6" s="179" t="n"/>
      <c r="DA6" s="130" t="n"/>
      <c r="DB6" s="178" t="n"/>
      <c r="DC6" s="184" t="n"/>
      <c r="DD6" s="130" t="n"/>
      <c r="DE6" s="179" t="n"/>
      <c r="DF6" s="130" t="n"/>
      <c r="DG6" s="178" t="n"/>
      <c r="DH6" s="184" t="n"/>
      <c r="DI6" s="130" t="n"/>
      <c r="DJ6" s="179" t="n"/>
      <c r="DK6" s="130" t="n"/>
      <c r="DL6" s="178" t="n"/>
      <c r="DM6" s="184" t="n"/>
      <c r="DN6" s="130" t="n"/>
      <c r="DO6" s="194" t="n"/>
      <c r="DP6" s="130" t="n"/>
      <c r="DQ6" s="178" t="n"/>
      <c r="DR6" s="184" t="n"/>
      <c r="DS6" s="130" t="n"/>
      <c r="DT6" s="109" t="n"/>
      <c r="DU6" s="130" t="n"/>
      <c r="DV6" s="180">
        <f>SUMPRODUCT(--(MOD(COLUMN($BN6:$DU6),5)=MOD(COLUMN($BN6),5)),$BN6:$DU6)</f>
        <v/>
      </c>
      <c r="DW6" s="181">
        <f>Автовик_разбивка[[#This Row],[Цена, 
юань, без НДС 1]]*DV6</f>
        <v/>
      </c>
      <c r="DX6" s="186">
        <f>SUMPRODUCT(--(MOD(COLUMN($BN6:$DU6),5)=MOD(COLUMN($BN6)+1,5)),$BN6:$DU6)</f>
        <v/>
      </c>
      <c r="DY6" s="186">
        <f>Автовик_разбивка[[#This Row],[Цена, 
юань, без НДС 1]]*DX6</f>
        <v/>
      </c>
      <c r="DZ6" s="130">
        <f>SUMPRODUCT(--(MOD(COLUMN($BN6:$DU6),5)=MOD(COLUMN($BN6)+2,5)),$BN6:$DU6)</f>
        <v/>
      </c>
      <c r="EA6" s="187">
        <f>Автовик_разбивка[[#This Row],[Цена, 
юань, без НДС 1]]*DZ6</f>
        <v/>
      </c>
      <c r="EB6" s="109">
        <f>SUMPRODUCT(--(MOD(COLUMN($BN6:$DU6),5)=MOD(COLUMN($BN6)+3,5)),$BN6:$DU6)</f>
        <v/>
      </c>
      <c r="EC6" s="224">
        <f>Автовик_разбивка[[#This Row],[Цена, 
юань, без НДС 1]]*EB6</f>
        <v/>
      </c>
    </row>
    <row r="7">
      <c r="A7" s="221" t="n">
        <v>11</v>
      </c>
      <c r="B7" s="172" t="inlineStr">
        <is>
          <t>Политранс</t>
        </is>
      </c>
      <c r="C7" s="173" t="inlineStr">
        <is>
          <t>TEBS</t>
        </is>
      </c>
      <c r="D7" s="173" t="inlineStr">
        <is>
          <t xml:space="preserve">TEBS 2s/2m 
15м </t>
        </is>
      </c>
      <c r="E7" s="174" t="n">
        <v>1</v>
      </c>
      <c r="F7" s="174" t="n"/>
      <c r="G7" s="174" t="n"/>
      <c r="H7" s="175" t="n">
        <v>4334010030</v>
      </c>
      <c r="I7" s="176" t="inlineStr">
        <is>
          <t>Упругий элемент</t>
        </is>
      </c>
      <c r="J7" s="911" t="n"/>
      <c r="K7" s="912" t="n"/>
      <c r="L7" s="178" t="n">
        <v>70</v>
      </c>
      <c r="M7" s="130">
        <f>$E7*75</f>
        <v/>
      </c>
      <c r="N7" s="179" t="n">
        <v>70</v>
      </c>
      <c r="O7" s="130" t="n"/>
      <c r="P7" s="178" t="n">
        <v>70</v>
      </c>
      <c r="Q7" s="130">
        <f>$E7*70</f>
        <v/>
      </c>
      <c r="R7" s="179" t="n">
        <v>0</v>
      </c>
      <c r="S7" s="130" t="n"/>
      <c r="T7" s="178" t="n">
        <v>70</v>
      </c>
      <c r="U7" s="130">
        <f>$E7*100</f>
        <v/>
      </c>
      <c r="V7" s="179" t="n">
        <v>100</v>
      </c>
      <c r="W7" s="130" t="n"/>
      <c r="X7" s="178" t="n">
        <v>70</v>
      </c>
      <c r="Y7" s="130">
        <f>$E7*70</f>
        <v/>
      </c>
      <c r="Z7" s="179" t="n">
        <v>70</v>
      </c>
      <c r="AA7" s="130" t="n"/>
      <c r="AB7" s="178" t="n">
        <v>70</v>
      </c>
      <c r="AC7" s="130">
        <f>$E7*70</f>
        <v/>
      </c>
      <c r="AD7" s="109" t="n"/>
      <c r="AE7" s="130" t="n"/>
      <c r="AF7" s="178" t="n">
        <v>70</v>
      </c>
      <c r="AG7" s="130">
        <f>$E7*70</f>
        <v/>
      </c>
      <c r="AH7" s="109" t="n"/>
      <c r="AI7" s="130" t="n"/>
      <c r="AJ7" s="178" t="n">
        <v>70</v>
      </c>
      <c r="AK7" s="130">
        <f>$E7*70</f>
        <v/>
      </c>
      <c r="AL7" s="109" t="n"/>
      <c r="AM7" s="130" t="n"/>
      <c r="AN7" s="178" t="n">
        <v>70</v>
      </c>
      <c r="AO7" s="130">
        <f>$E7*50</f>
        <v/>
      </c>
      <c r="AP7" s="109" t="n"/>
      <c r="AQ7" s="130" t="n"/>
      <c r="AR7" s="178" t="n">
        <v>70</v>
      </c>
      <c r="AS7" s="130">
        <f>$E7*50</f>
        <v/>
      </c>
      <c r="AT7" s="109" t="n"/>
      <c r="AU7" s="130" t="n"/>
      <c r="AV7" s="178" t="n">
        <v>70</v>
      </c>
      <c r="AW7" s="130">
        <f>$E7*50</f>
        <v/>
      </c>
      <c r="AX7" s="109" t="n"/>
      <c r="AY7" s="130" t="n"/>
      <c r="AZ7" s="178" t="n">
        <v>70</v>
      </c>
      <c r="BA7" s="130">
        <f>$E7*50</f>
        <v/>
      </c>
      <c r="BB7" s="194" t="n"/>
      <c r="BC7" s="130" t="n"/>
      <c r="BD7" s="178" t="n">
        <v>70</v>
      </c>
      <c r="BE7" s="130">
        <f>$E7*40</f>
        <v/>
      </c>
      <c r="BF7" s="109" t="n"/>
      <c r="BG7" s="130" t="n"/>
      <c r="BH7" s="180">
        <f>SUMPRODUCT(--(MOD(COLUMN($L7:$BG7),4)=MOD(COLUMN($L7),4)),$L7:$BG7)</f>
        <v/>
      </c>
      <c r="BI7" s="181">
        <f>Автовик_разбивка[[#This Row],[Цена, 
юань, без НДС 1]]*BH7</f>
        <v/>
      </c>
      <c r="BJ7" s="130">
        <f>SUMPRODUCT(--(MOD(COLUMN($L7:$BG7),4)=MOD(COLUMN($L7)+1,4)),$L7:$BG7)</f>
        <v/>
      </c>
      <c r="BK7" s="187">
        <f>Автовик_разбивка[[#This Row],[Цена, 
юань, без НДС 1]]*BJ7</f>
        <v/>
      </c>
      <c r="BL7" s="109">
        <f>SUMPRODUCT(--(MOD(COLUMN($L7:$BG7),4)=MOD(COLUMN($L7)+2,4)),$L7:$BG7)</f>
        <v/>
      </c>
      <c r="BM7" s="224">
        <f>Автовик_разбивка[[#This Row],[Цена, 
юань, без НДС 1]]*BL7</f>
        <v/>
      </c>
      <c r="BN7" s="178" t="n"/>
      <c r="BO7" s="184" t="n"/>
      <c r="BP7" s="130">
        <f>$E7*30</f>
        <v/>
      </c>
      <c r="BQ7" s="179" t="n"/>
      <c r="BR7" s="130" t="n"/>
      <c r="BS7" s="178" t="n"/>
      <c r="BT7" s="184" t="n"/>
      <c r="BU7" s="130">
        <f>$E7*30</f>
        <v/>
      </c>
      <c r="BV7" s="179" t="n"/>
      <c r="BW7" s="130" t="n"/>
      <c r="BX7" s="178" t="n"/>
      <c r="BY7" s="184" t="n"/>
      <c r="BZ7" s="130">
        <f>$E7*40</f>
        <v/>
      </c>
      <c r="CA7" s="179" t="n"/>
      <c r="CB7" s="130" t="n"/>
      <c r="CC7" s="178" t="n"/>
      <c r="CD7" s="184" t="n"/>
      <c r="CE7" s="130">
        <f>$E7*40</f>
        <v/>
      </c>
      <c r="CF7" s="179" t="n"/>
      <c r="CG7" s="130" t="n"/>
      <c r="CH7" s="178" t="n"/>
      <c r="CI7" s="184" t="n"/>
      <c r="CJ7" s="130">
        <f>$E7*50</f>
        <v/>
      </c>
      <c r="CK7" s="109" t="n"/>
      <c r="CL7" s="130" t="n"/>
      <c r="CM7" s="178" t="n"/>
      <c r="CN7" s="184" t="n"/>
      <c r="CO7" s="130">
        <f>$E7*50</f>
        <v/>
      </c>
      <c r="CP7" s="109" t="n"/>
      <c r="CQ7" s="130" t="n"/>
      <c r="CR7" s="178" t="n"/>
      <c r="CS7" s="184" t="n"/>
      <c r="CT7" s="130">
        <f>$E7*50</f>
        <v/>
      </c>
      <c r="CU7" s="109" t="n"/>
      <c r="CV7" s="130" t="n"/>
      <c r="CW7" s="178" t="n"/>
      <c r="CX7" s="184" t="n"/>
      <c r="CY7" s="130">
        <f>$E7*50</f>
        <v/>
      </c>
      <c r="CZ7" s="109" t="n"/>
      <c r="DA7" s="130" t="n"/>
      <c r="DB7" s="178" t="n"/>
      <c r="DC7" s="184" t="n"/>
      <c r="DD7" s="130">
        <f>$E7*50</f>
        <v/>
      </c>
      <c r="DE7" s="109" t="n"/>
      <c r="DF7" s="130" t="n"/>
      <c r="DG7" s="178" t="n"/>
      <c r="DH7" s="184" t="n"/>
      <c r="DI7" s="130">
        <f>$E7*50</f>
        <v/>
      </c>
      <c r="DJ7" s="109" t="n"/>
      <c r="DK7" s="130" t="n"/>
      <c r="DL7" s="178" t="n"/>
      <c r="DM7" s="184" t="n"/>
      <c r="DN7" s="130">
        <f>$E7*50</f>
        <v/>
      </c>
      <c r="DO7" s="194" t="n"/>
      <c r="DP7" s="130" t="n"/>
      <c r="DQ7" s="178" t="n"/>
      <c r="DR7" s="184" t="n"/>
      <c r="DS7" s="130">
        <f>$E7*50</f>
        <v/>
      </c>
      <c r="DT7" s="109" t="n"/>
      <c r="DU7" s="130" t="n"/>
      <c r="DV7" s="180">
        <f>SUMPRODUCT(--(MOD(COLUMN($BN7:$DU7),5)=MOD(COLUMN($BN7),5)),$BN7:$DU7)</f>
        <v/>
      </c>
      <c r="DW7" s="181">
        <f>Автовик_разбивка[[#This Row],[Цена, 
юань, без НДС 1]]*DV7</f>
        <v/>
      </c>
      <c r="DX7" s="186">
        <f>SUMPRODUCT(--(MOD(COLUMN($BN7:$DU7),5)=MOD(COLUMN($BN7)+1,5)),$BN7:$DU7)</f>
        <v/>
      </c>
      <c r="DY7" s="186">
        <f>Автовик_разбивка[[#This Row],[Цена, 
юань, без НДС 1]]*DX7</f>
        <v/>
      </c>
      <c r="DZ7" s="130">
        <f>SUMPRODUCT(--(MOD(COLUMN($BN7:$DU7),5)=MOD(COLUMN($BN7)+2,5)),$BN7:$DU7)</f>
        <v/>
      </c>
      <c r="EA7" s="187">
        <f>Автовик_разбивка[[#This Row],[Цена, 
юань, без НДС 1]]*DZ7</f>
        <v/>
      </c>
      <c r="EB7" s="109">
        <f>SUMPRODUCT(--(MOD(COLUMN($BN7:$DU7),5)=MOD(COLUMN($BN7)+3,5)),$BN7:$DU7)</f>
        <v/>
      </c>
      <c r="EC7" s="224">
        <f>Автовик_разбивка[[#This Row],[Цена, 
юань, без НДС 1]]*EB7</f>
        <v/>
      </c>
    </row>
    <row r="8">
      <c r="A8" s="221" t="n">
        <v>11</v>
      </c>
      <c r="B8" s="172" t="inlineStr">
        <is>
          <t>Политранс</t>
        </is>
      </c>
      <c r="C8" s="173" t="inlineStr">
        <is>
          <t>TEBS</t>
        </is>
      </c>
      <c r="D8" s="173" t="inlineStr">
        <is>
          <t xml:space="preserve">TEBS 2s/2m 
15м </t>
        </is>
      </c>
      <c r="E8" s="174" t="n">
        <v>1</v>
      </c>
      <c r="F8" s="174" t="n"/>
      <c r="G8" s="174" t="n"/>
      <c r="H8" s="175" t="n">
        <v>4491731500</v>
      </c>
      <c r="I8" s="176" t="inlineStr">
        <is>
          <t>Кабель питания, 15 м</t>
        </is>
      </c>
      <c r="J8" s="911" t="n"/>
      <c r="K8" s="912" t="n"/>
      <c r="L8" s="178" t="n">
        <v>70</v>
      </c>
      <c r="M8" s="130">
        <f>$E8*75</f>
        <v/>
      </c>
      <c r="N8" s="179" t="n">
        <v>70</v>
      </c>
      <c r="O8" s="130" t="n"/>
      <c r="P8" s="178" t="n">
        <v>70</v>
      </c>
      <c r="Q8" s="130">
        <f>$E8*70</f>
        <v/>
      </c>
      <c r="R8" s="179" t="n">
        <v>0</v>
      </c>
      <c r="S8" s="130" t="n"/>
      <c r="T8" s="178" t="n">
        <v>70</v>
      </c>
      <c r="U8" s="130">
        <f>$E8*100</f>
        <v/>
      </c>
      <c r="V8" s="179" t="n">
        <v>100</v>
      </c>
      <c r="W8" s="130" t="n"/>
      <c r="X8" s="178" t="n">
        <v>70</v>
      </c>
      <c r="Y8" s="130">
        <f>$E8*70</f>
        <v/>
      </c>
      <c r="Z8" s="179" t="n">
        <v>70</v>
      </c>
      <c r="AA8" s="130" t="n"/>
      <c r="AB8" s="178" t="n">
        <v>70</v>
      </c>
      <c r="AC8" s="130">
        <f>$E8*70</f>
        <v/>
      </c>
      <c r="AD8" s="109" t="n"/>
      <c r="AE8" s="130" t="n"/>
      <c r="AF8" s="178" t="n">
        <v>70</v>
      </c>
      <c r="AG8" s="130">
        <f>$E8*70</f>
        <v/>
      </c>
      <c r="AH8" s="109" t="n"/>
      <c r="AI8" s="130" t="n"/>
      <c r="AJ8" s="178" t="n">
        <v>70</v>
      </c>
      <c r="AK8" s="130">
        <f>$E8*70</f>
        <v/>
      </c>
      <c r="AL8" s="109" t="n"/>
      <c r="AM8" s="130" t="n"/>
      <c r="AN8" s="178" t="n">
        <v>70</v>
      </c>
      <c r="AO8" s="130">
        <f>$E8*50</f>
        <v/>
      </c>
      <c r="AP8" s="109" t="n"/>
      <c r="AQ8" s="130" t="n"/>
      <c r="AR8" s="178" t="n">
        <v>70</v>
      </c>
      <c r="AS8" s="130">
        <f>$E8*50</f>
        <v/>
      </c>
      <c r="AT8" s="109" t="n"/>
      <c r="AU8" s="130" t="n"/>
      <c r="AV8" s="178" t="n">
        <v>70</v>
      </c>
      <c r="AW8" s="130" t="n">
        <v>26</v>
      </c>
      <c r="AX8" s="109" t="n"/>
      <c r="AY8" s="130" t="n"/>
      <c r="AZ8" s="178" t="n">
        <v>70</v>
      </c>
      <c r="BA8" s="130" t="n">
        <v>25</v>
      </c>
      <c r="BB8" s="193" t="n"/>
      <c r="BC8" s="130" t="n"/>
      <c r="BD8" s="178" t="n">
        <v>70</v>
      </c>
      <c r="BE8" s="130">
        <f>$E8*40</f>
        <v/>
      </c>
      <c r="BF8" s="109" t="n"/>
      <c r="BG8" s="130" t="n"/>
      <c r="BH8" s="180">
        <f>SUMPRODUCT(--(MOD(COLUMN($L8:$BG8),4)=MOD(COLUMN($L8),4)),$L8:$BG8)</f>
        <v/>
      </c>
      <c r="BI8" s="181">
        <f>Автовик_разбивка[[#This Row],[Цена, 
юань, без НДС 1]]*BH8</f>
        <v/>
      </c>
      <c r="BJ8" s="130">
        <f>SUMPRODUCT(--(MOD(COLUMN($L8:$BG8),4)=MOD(COLUMN($L8)+1,4)),$L8:$BG8)</f>
        <v/>
      </c>
      <c r="BK8" s="187">
        <f>Автовик_разбивка[[#This Row],[Цена, 
юань, без НДС 1]]*BJ8</f>
        <v/>
      </c>
      <c r="BL8" s="109">
        <f>SUMPRODUCT(--(MOD(COLUMN($L8:$BG8),4)=MOD(COLUMN($L8)+2,4)),$L8:$BG8)</f>
        <v/>
      </c>
      <c r="BM8" s="224">
        <f>Автовик_разбивка[[#This Row],[Цена, 
юань, без НДС 1]]*BL8</f>
        <v/>
      </c>
      <c r="BN8" s="178" t="n"/>
      <c r="BO8" s="184" t="n"/>
      <c r="BP8" s="130">
        <f>$E8*30</f>
        <v/>
      </c>
      <c r="BQ8" s="179" t="n"/>
      <c r="BR8" s="130" t="n"/>
      <c r="BS8" s="178" t="n"/>
      <c r="BT8" s="184" t="n"/>
      <c r="BU8" s="130">
        <f>$E8*30</f>
        <v/>
      </c>
      <c r="BV8" s="179" t="n"/>
      <c r="BW8" s="130" t="n"/>
      <c r="BX8" s="178" t="n"/>
      <c r="BY8" s="184" t="n"/>
      <c r="BZ8" s="130">
        <f>$E8*40</f>
        <v/>
      </c>
      <c r="CA8" s="179" t="n"/>
      <c r="CB8" s="130" t="n"/>
      <c r="CC8" s="178" t="n"/>
      <c r="CD8" s="184" t="n"/>
      <c r="CE8" s="130">
        <f>$E8*40</f>
        <v/>
      </c>
      <c r="CF8" s="179" t="n"/>
      <c r="CG8" s="130" t="n"/>
      <c r="CH8" s="178" t="n"/>
      <c r="CI8" s="184" t="n"/>
      <c r="CJ8" s="130">
        <f>$E8*50</f>
        <v/>
      </c>
      <c r="CK8" s="109" t="n"/>
      <c r="CL8" s="130" t="n"/>
      <c r="CM8" s="178" t="n"/>
      <c r="CN8" s="184" t="n"/>
      <c r="CO8" s="130">
        <f>$E8*50</f>
        <v/>
      </c>
      <c r="CP8" s="109" t="n"/>
      <c r="CQ8" s="130" t="n"/>
      <c r="CR8" s="178" t="n"/>
      <c r="CS8" s="184" t="n"/>
      <c r="CT8" s="130">
        <f>$E8*50</f>
        <v/>
      </c>
      <c r="CU8" s="109" t="n"/>
      <c r="CV8" s="130" t="n"/>
      <c r="CW8" s="178" t="n"/>
      <c r="CX8" s="184" t="n"/>
      <c r="CY8" s="130">
        <f>$E8*50</f>
        <v/>
      </c>
      <c r="CZ8" s="109" t="n"/>
      <c r="DA8" s="130" t="n"/>
      <c r="DB8" s="178" t="n"/>
      <c r="DC8" s="184" t="n"/>
      <c r="DD8" s="130">
        <f>$E8*50</f>
        <v/>
      </c>
      <c r="DE8" s="109" t="n"/>
      <c r="DF8" s="130" t="n"/>
      <c r="DG8" s="178" t="n"/>
      <c r="DH8" s="184" t="n"/>
      <c r="DI8" s="130">
        <f>$E8*50</f>
        <v/>
      </c>
      <c r="DJ8" s="109" t="n"/>
      <c r="DK8" s="130" t="n"/>
      <c r="DL8" s="178" t="n"/>
      <c r="DM8" s="184" t="n"/>
      <c r="DN8" s="130">
        <f>$E8*50</f>
        <v/>
      </c>
      <c r="DO8" s="193" t="n"/>
      <c r="DP8" s="130" t="n"/>
      <c r="DQ8" s="178" t="n"/>
      <c r="DR8" s="184" t="n"/>
      <c r="DS8" s="130">
        <f>$E8*50</f>
        <v/>
      </c>
      <c r="DT8" s="109" t="n"/>
      <c r="DU8" s="130" t="n"/>
      <c r="DV8" s="180">
        <f>SUMPRODUCT(--(MOD(COLUMN($BN8:$DU8),5)=MOD(COLUMN($BN8),5)),$BN8:$DU8)</f>
        <v/>
      </c>
      <c r="DW8" s="181">
        <f>Автовик_разбивка[[#This Row],[Цена, 
юань, без НДС 1]]*DV8</f>
        <v/>
      </c>
      <c r="DX8" s="186">
        <f>SUMPRODUCT(--(MOD(COLUMN($BN8:$DU8),5)=MOD(COLUMN($BN8)+1,5)),$BN8:$DU8)</f>
        <v/>
      </c>
      <c r="DY8" s="186">
        <f>Автовик_разбивка[[#This Row],[Цена, 
юань, без НДС 1]]*DX8</f>
        <v/>
      </c>
      <c r="DZ8" s="130">
        <f>SUMPRODUCT(--(MOD(COLUMN($BN8:$DU8),5)=MOD(COLUMN($BN8)+2,5)),$BN8:$DU8)</f>
        <v/>
      </c>
      <c r="EA8" s="187">
        <f>Автовик_разбивка[[#This Row],[Цена, 
юань, без НДС 1]]*DZ8</f>
        <v/>
      </c>
      <c r="EB8" s="109">
        <f>SUMPRODUCT(--(MOD(COLUMN($BN8:$DU8),5)=MOD(COLUMN($BN8)+3,5)),$BN8:$DU8)</f>
        <v/>
      </c>
      <c r="EC8" s="224">
        <f>Автовик_разбивка[[#This Row],[Цена, 
юань, без НДС 1]]*EB8</f>
        <v/>
      </c>
    </row>
    <row r="9">
      <c r="A9" s="221" t="n">
        <v>11</v>
      </c>
      <c r="B9" s="172" t="inlineStr">
        <is>
          <t>Политранс</t>
        </is>
      </c>
      <c r="C9" s="173" t="inlineStr">
        <is>
          <t>TEBS</t>
        </is>
      </c>
      <c r="D9" s="173" t="inlineStr">
        <is>
          <t xml:space="preserve">TEBS 2s/2m 
15м </t>
        </is>
      </c>
      <c r="E9" s="174" t="n"/>
      <c r="F9" s="174" t="n"/>
      <c r="G9" s="174" t="n">
        <v>2</v>
      </c>
      <c r="H9" s="175" t="n">
        <v>4493711800</v>
      </c>
      <c r="I9" s="176" t="inlineStr">
        <is>
          <t>Кабель питания, 18 м</t>
        </is>
      </c>
      <c r="J9" s="911" t="n"/>
      <c r="K9" s="912" t="n"/>
      <c r="L9" s="178" t="n"/>
      <c r="M9" s="130" t="n"/>
      <c r="N9" s="179" t="n"/>
      <c r="O9" s="130" t="n"/>
      <c r="P9" s="178" t="n"/>
      <c r="Q9" s="130" t="n"/>
      <c r="R9" s="179" t="n"/>
      <c r="S9" s="130" t="n"/>
      <c r="T9" s="178" t="n"/>
      <c r="U9" s="130" t="n"/>
      <c r="V9" s="179" t="n"/>
      <c r="W9" s="130" t="n"/>
      <c r="X9" s="178" t="n"/>
      <c r="Y9" s="130" t="n"/>
      <c r="Z9" s="179" t="n"/>
      <c r="AA9" s="130" t="n"/>
      <c r="AB9" s="178" t="n"/>
      <c r="AC9" s="130" t="n"/>
      <c r="AD9" s="109" t="n"/>
      <c r="AE9" s="130" t="n"/>
      <c r="AF9" s="178" t="n"/>
      <c r="AG9" s="130" t="n"/>
      <c r="AH9" s="109" t="n"/>
      <c r="AI9" s="130" t="n"/>
      <c r="AJ9" s="178" t="n"/>
      <c r="AK9" s="130" t="n"/>
      <c r="AL9" s="109" t="n"/>
      <c r="AM9" s="130" t="n"/>
      <c r="AN9" s="178" t="n"/>
      <c r="AO9" s="130" t="n"/>
      <c r="AP9" s="109" t="n"/>
      <c r="AQ9" s="130" t="n"/>
      <c r="AR9" s="178" t="n"/>
      <c r="AS9" s="130" t="n"/>
      <c r="AT9" s="109" t="n"/>
      <c r="AU9" s="130" t="n"/>
      <c r="AV9" s="178" t="n"/>
      <c r="AW9" s="130" t="n">
        <v>24</v>
      </c>
      <c r="AX9" s="109" t="n"/>
      <c r="AY9" s="130" t="n"/>
      <c r="AZ9" s="178" t="n"/>
      <c r="BA9" s="130" t="n">
        <v>25</v>
      </c>
      <c r="BB9" s="193" t="n"/>
      <c r="BC9" s="130" t="n"/>
      <c r="BD9" s="178" t="n"/>
      <c r="BE9" s="130">
        <f>$E9*40</f>
        <v/>
      </c>
      <c r="BF9" s="109" t="n"/>
      <c r="BG9" s="130" t="n"/>
      <c r="BH9" s="180">
        <f>SUMPRODUCT(--(MOD(COLUMN($L9:$BG9),4)=MOD(COLUMN($L9),4)),$L9:$BG9)</f>
        <v/>
      </c>
      <c r="BI9" s="181">
        <f>Автовик_разбивка[[#This Row],[Цена, 
юань, без НДС 1]]*BH9</f>
        <v/>
      </c>
      <c r="BJ9" s="130">
        <f>SUMPRODUCT(--(MOD(COLUMN($L9:$BG9),4)=MOD(COLUMN($L9)+1,4)),$L9:$BG9)</f>
        <v/>
      </c>
      <c r="BK9" s="187">
        <f>Автовик_разбивка[[#This Row],[Цена, 
юань, без НДС 1]]*BJ9</f>
        <v/>
      </c>
      <c r="BL9" s="109">
        <f>SUMPRODUCT(--(MOD(COLUMN($L9:$BG9),4)=MOD(COLUMN($L9)+2,4)),$L9:$BG9)</f>
        <v/>
      </c>
      <c r="BM9" s="224">
        <f>Автовик_разбивка[[#This Row],[Цена, 
юань, без НДС 1]]*BL9</f>
        <v/>
      </c>
      <c r="BN9" s="178" t="n"/>
      <c r="BO9" s="184" t="n"/>
      <c r="BP9" s="130">
        <f>$E9*30</f>
        <v/>
      </c>
      <c r="BQ9" s="179" t="n"/>
      <c r="BR9" s="130" t="n"/>
      <c r="BS9" s="178" t="n"/>
      <c r="BT9" s="184" t="n"/>
      <c r="BU9" s="130">
        <f>$E9*30</f>
        <v/>
      </c>
      <c r="BV9" s="179" t="n"/>
      <c r="BW9" s="130" t="n"/>
      <c r="BX9" s="178" t="n"/>
      <c r="BY9" s="184" t="n"/>
      <c r="BZ9" s="130">
        <f>$E9*40</f>
        <v/>
      </c>
      <c r="CA9" s="179" t="n"/>
      <c r="CB9" s="130" t="n"/>
      <c r="CC9" s="178" t="n"/>
      <c r="CD9" s="184" t="n"/>
      <c r="CE9" s="130">
        <f>$E9*40</f>
        <v/>
      </c>
      <c r="CF9" s="179" t="n"/>
      <c r="CG9" s="130" t="n"/>
      <c r="CH9" s="178" t="n"/>
      <c r="CI9" s="184" t="n"/>
      <c r="CJ9" s="130" t="n"/>
      <c r="CK9" s="109" t="n"/>
      <c r="CL9" s="130" t="n"/>
      <c r="CM9" s="178" t="n"/>
      <c r="CN9" s="184" t="n"/>
      <c r="CO9" s="130" t="n"/>
      <c r="CP9" s="109" t="n"/>
      <c r="CQ9" s="130" t="n"/>
      <c r="CR9" s="178" t="n"/>
      <c r="CS9" s="184" t="n"/>
      <c r="CT9" s="130" t="n"/>
      <c r="CU9" s="109" t="n"/>
      <c r="CV9" s="130" t="n"/>
      <c r="CW9" s="178" t="n"/>
      <c r="CX9" s="184" t="n"/>
      <c r="CY9" s="130" t="n"/>
      <c r="CZ9" s="109" t="n"/>
      <c r="DA9" s="130" t="n"/>
      <c r="DB9" s="178" t="n"/>
      <c r="DC9" s="184" t="n"/>
      <c r="DD9" s="130" t="n"/>
      <c r="DE9" s="109" t="n"/>
      <c r="DF9" s="130" t="n"/>
      <c r="DG9" s="178" t="n"/>
      <c r="DH9" s="184" t="n"/>
      <c r="DI9" s="130" t="n"/>
      <c r="DJ9" s="109" t="n"/>
      <c r="DK9" s="130" t="n"/>
      <c r="DL9" s="178" t="n"/>
      <c r="DM9" s="184" t="n"/>
      <c r="DN9" s="130" t="n"/>
      <c r="DO9" s="193" t="n"/>
      <c r="DP9" s="130" t="n"/>
      <c r="DQ9" s="178" t="n"/>
      <c r="DR9" s="184" t="n"/>
      <c r="DS9" s="130" t="n"/>
      <c r="DT9" s="109" t="n"/>
      <c r="DU9" s="130" t="n"/>
      <c r="DV9" s="180">
        <f>SUMPRODUCT(--(MOD(COLUMN($BN9:$DU9),5)=MOD(COLUMN($BN9),5)),$BN9:$DU9)</f>
        <v/>
      </c>
      <c r="DW9" s="181">
        <f>Автовик_разбивка[[#This Row],[Цена, 
юань, без НДС 1]]*DV9</f>
        <v/>
      </c>
      <c r="DX9" s="186">
        <f>SUMPRODUCT(--(MOD(COLUMN($BN9:$DU9),5)=MOD(COLUMN($BN9)+1,5)),$BN9:$DU9)</f>
        <v/>
      </c>
      <c r="DY9" s="186">
        <f>Автовик_разбивка[[#This Row],[Цена, 
юань, без НДС 1]]*DX9</f>
        <v/>
      </c>
      <c r="DZ9" s="130">
        <f>SUMPRODUCT(--(MOD(COLUMN($BN9:$DU9),5)=MOD(COLUMN($BN9)+2,5)),$BN9:$DU9)</f>
        <v/>
      </c>
      <c r="EA9" s="187">
        <f>Автовик_разбивка[[#This Row],[Цена, 
юань, без НДС 1]]*DZ9</f>
        <v/>
      </c>
      <c r="EB9" s="109">
        <f>SUMPRODUCT(--(MOD(COLUMN($BN9:$DU9),5)=MOD(COLUMN($BN9)+3,5)),$BN9:$DU9)</f>
        <v/>
      </c>
      <c r="EC9" s="224">
        <f>Автовик_разбивка[[#This Row],[Цена, 
юань, без НДС 1]]*EB9</f>
        <v/>
      </c>
    </row>
    <row r="10">
      <c r="A10" s="221" t="n">
        <v>11</v>
      </c>
      <c r="B10" s="172" t="inlineStr">
        <is>
          <t>Политранс</t>
        </is>
      </c>
      <c r="C10" s="173" t="inlineStr">
        <is>
          <t>TEBS</t>
        </is>
      </c>
      <c r="D10" s="173" t="inlineStr">
        <is>
          <t xml:space="preserve">TEBS 2s/2m 
15м </t>
        </is>
      </c>
      <c r="E10" s="174" t="n"/>
      <c r="F10" s="174" t="n"/>
      <c r="G10" s="174" t="n">
        <v>2</v>
      </c>
      <c r="H10" s="175" t="n">
        <v>4460084042</v>
      </c>
      <c r="I10" s="176" t="inlineStr">
        <is>
          <t>Розетка АБС (7 контактов)</t>
        </is>
      </c>
      <c r="J10" s="911" t="n"/>
      <c r="K10" s="912" t="n"/>
      <c r="L10" s="178" t="n"/>
      <c r="M10" s="130" t="n"/>
      <c r="N10" s="179" t="n"/>
      <c r="O10" s="130" t="n"/>
      <c r="P10" s="178" t="n"/>
      <c r="Q10" s="130" t="n"/>
      <c r="R10" s="179" t="n"/>
      <c r="S10" s="130" t="n"/>
      <c r="T10" s="178" t="n"/>
      <c r="U10" s="130" t="n"/>
      <c r="V10" s="179" t="n"/>
      <c r="W10" s="130" t="n"/>
      <c r="X10" s="178" t="n"/>
      <c r="Y10" s="130" t="n"/>
      <c r="Z10" s="179" t="n"/>
      <c r="AA10" s="130" t="n"/>
      <c r="AB10" s="178" t="n"/>
      <c r="AC10" s="130" t="n"/>
      <c r="AD10" s="109" t="n"/>
      <c r="AE10" s="130" t="n"/>
      <c r="AF10" s="178" t="n"/>
      <c r="AG10" s="130" t="n"/>
      <c r="AH10" s="109" t="n"/>
      <c r="AI10" s="130" t="n"/>
      <c r="AJ10" s="178" t="n"/>
      <c r="AK10" s="130" t="n"/>
      <c r="AL10" s="109" t="n"/>
      <c r="AM10" s="130" t="n"/>
      <c r="AN10" s="178" t="n"/>
      <c r="AO10" s="130" t="n"/>
      <c r="AP10" s="109" t="n"/>
      <c r="AQ10" s="130" t="n"/>
      <c r="AR10" s="178" t="n"/>
      <c r="AS10" s="130" t="n"/>
      <c r="AT10" s="109" t="n"/>
      <c r="AU10" s="130" t="n"/>
      <c r="AV10" s="178" t="n"/>
      <c r="AW10" s="130" t="n">
        <v>24</v>
      </c>
      <c r="AX10" s="109" t="n"/>
      <c r="AY10" s="130" t="n"/>
      <c r="AZ10" s="178" t="n"/>
      <c r="BA10" s="130" t="n">
        <v>25</v>
      </c>
      <c r="BB10" s="193" t="n"/>
      <c r="BC10" s="130" t="n"/>
      <c r="BD10" s="178" t="n"/>
      <c r="BE10" s="130">
        <f>$E10*40</f>
        <v/>
      </c>
      <c r="BF10" s="109" t="n"/>
      <c r="BG10" s="130" t="n"/>
      <c r="BH10" s="180">
        <f>SUMPRODUCT(--(MOD(COLUMN($L10:$BG10),4)=MOD(COLUMN($L10),4)),$L10:$BG10)</f>
        <v/>
      </c>
      <c r="BI10" s="181">
        <f>Автовик_разбивка[[#This Row],[Цена, 
юань, без НДС 1]]*BH10</f>
        <v/>
      </c>
      <c r="BJ10" s="130">
        <f>SUMPRODUCT(--(MOD(COLUMN($L10:$BG10),4)=MOD(COLUMN($L10)+1,4)),$L10:$BG10)</f>
        <v/>
      </c>
      <c r="BK10" s="187">
        <f>Автовик_разбивка[[#This Row],[Цена, 
юань, без НДС 1]]*BJ10</f>
        <v/>
      </c>
      <c r="BL10" s="109">
        <f>SUMPRODUCT(--(MOD(COLUMN($L10:$BG10),4)=MOD(COLUMN($L10)+2,4)),$L10:$BG10)</f>
        <v/>
      </c>
      <c r="BM10" s="224">
        <f>Автовик_разбивка[[#This Row],[Цена, 
юань, без НДС 1]]*BL10</f>
        <v/>
      </c>
      <c r="BN10" s="178" t="n"/>
      <c r="BO10" s="184" t="n"/>
      <c r="BP10" s="130">
        <f>$E10*30</f>
        <v/>
      </c>
      <c r="BQ10" s="179" t="n"/>
      <c r="BR10" s="130" t="n"/>
      <c r="BS10" s="178" t="n"/>
      <c r="BT10" s="184" t="n"/>
      <c r="BU10" s="130">
        <f>$E10*30</f>
        <v/>
      </c>
      <c r="BV10" s="179" t="n"/>
      <c r="BW10" s="130" t="n"/>
      <c r="BX10" s="178" t="n"/>
      <c r="BY10" s="184" t="n"/>
      <c r="BZ10" s="130">
        <f>$E10*40</f>
        <v/>
      </c>
      <c r="CA10" s="179" t="n"/>
      <c r="CB10" s="130" t="n"/>
      <c r="CC10" s="178" t="n"/>
      <c r="CD10" s="184" t="n"/>
      <c r="CE10" s="130">
        <f>$E10*40</f>
        <v/>
      </c>
      <c r="CF10" s="179" t="n"/>
      <c r="CG10" s="130" t="n"/>
      <c r="CH10" s="178" t="n"/>
      <c r="CI10" s="184" t="n"/>
      <c r="CJ10" s="130" t="n"/>
      <c r="CK10" s="109" t="n"/>
      <c r="CL10" s="130" t="n"/>
      <c r="CM10" s="178" t="n"/>
      <c r="CN10" s="184" t="n"/>
      <c r="CO10" s="130" t="n"/>
      <c r="CP10" s="109" t="n"/>
      <c r="CQ10" s="130" t="n"/>
      <c r="CR10" s="178" t="n"/>
      <c r="CS10" s="184" t="n"/>
      <c r="CT10" s="130" t="n"/>
      <c r="CU10" s="109" t="n"/>
      <c r="CV10" s="130" t="n"/>
      <c r="CW10" s="178" t="n"/>
      <c r="CX10" s="184" t="n"/>
      <c r="CY10" s="130" t="n"/>
      <c r="CZ10" s="109" t="n"/>
      <c r="DA10" s="130" t="n"/>
      <c r="DB10" s="178" t="n"/>
      <c r="DC10" s="184" t="n"/>
      <c r="DD10" s="130" t="n"/>
      <c r="DE10" s="109" t="n"/>
      <c r="DF10" s="130" t="n"/>
      <c r="DG10" s="178" t="n"/>
      <c r="DH10" s="184" t="n"/>
      <c r="DI10" s="130" t="n"/>
      <c r="DJ10" s="109" t="n"/>
      <c r="DK10" s="130" t="n"/>
      <c r="DL10" s="178" t="n"/>
      <c r="DM10" s="184" t="n"/>
      <c r="DN10" s="130" t="n"/>
      <c r="DO10" s="193" t="n"/>
      <c r="DP10" s="130" t="n"/>
      <c r="DQ10" s="178" t="n"/>
      <c r="DR10" s="184" t="n"/>
      <c r="DS10" s="130" t="n"/>
      <c r="DT10" s="109" t="n"/>
      <c r="DU10" s="130" t="n"/>
      <c r="DV10" s="180">
        <f>SUMPRODUCT(--(MOD(COLUMN($BN10:$DU10),5)=MOD(COLUMN($BN10),5)),$BN10:$DU10)</f>
        <v/>
      </c>
      <c r="DW10" s="181">
        <f>Автовик_разбивка[[#This Row],[Цена, 
юань, без НДС 1]]*DV10</f>
        <v/>
      </c>
      <c r="DX10" s="186">
        <f>SUMPRODUCT(--(MOD(COLUMN($BN10:$DU10),5)=MOD(COLUMN($BN10)+1,5)),$BN10:$DU10)</f>
        <v/>
      </c>
      <c r="DY10" s="186">
        <f>Автовик_разбивка[[#This Row],[Цена, 
юань, без НДС 1]]*DX10</f>
        <v/>
      </c>
      <c r="DZ10" s="130">
        <f>SUMPRODUCT(--(MOD(COLUMN($BN10:$DU10),5)=MOD(COLUMN($BN10)+2,5)),$BN10:$DU10)</f>
        <v/>
      </c>
      <c r="EA10" s="187">
        <f>Автовик_разбивка[[#This Row],[Цена, 
юань, без НДС 1]]*DZ10</f>
        <v/>
      </c>
      <c r="EB10" s="109">
        <f>SUMPRODUCT(--(MOD(COLUMN($BN10:$DU10),5)=MOD(COLUMN($BN10)+3,5)),$BN10:$DU10)</f>
        <v/>
      </c>
      <c r="EC10" s="224">
        <f>Автовик_разбивка[[#This Row],[Цена, 
юань, без НДС 1]]*EB10</f>
        <v/>
      </c>
    </row>
    <row r="11">
      <c r="A11" s="221" t="n">
        <v>11</v>
      </c>
      <c r="B11" s="172" t="inlineStr">
        <is>
          <t>Политранс</t>
        </is>
      </c>
      <c r="C11" s="173" t="inlineStr">
        <is>
          <t>TEBS</t>
        </is>
      </c>
      <c r="D11" s="173" t="inlineStr">
        <is>
          <t xml:space="preserve">TEBS 2s/2m 
15м </t>
        </is>
      </c>
      <c r="E11" s="174" t="n"/>
      <c r="F11" s="174" t="n"/>
      <c r="G11" s="174" t="n"/>
      <c r="H11" s="175" t="n">
        <v>4497230400</v>
      </c>
      <c r="I11" s="176" t="inlineStr">
        <is>
          <t>Кабель датчика, 4 м</t>
        </is>
      </c>
      <c r="J11" s="911" t="n"/>
      <c r="K11" s="912" t="n"/>
      <c r="L11" s="178" t="n"/>
      <c r="M11" s="130" t="n"/>
      <c r="N11" s="179" t="n"/>
      <c r="O11" s="130" t="n"/>
      <c r="P11" s="178" t="n"/>
      <c r="Q11" s="130" t="n"/>
      <c r="R11" s="179" t="n"/>
      <c r="S11" s="130" t="n"/>
      <c r="T11" s="178" t="n"/>
      <c r="U11" s="130" t="n"/>
      <c r="V11" s="179" t="n"/>
      <c r="W11" s="130" t="n"/>
      <c r="X11" s="178" t="n"/>
      <c r="Y11" s="130" t="n"/>
      <c r="Z11" s="179" t="n"/>
      <c r="AA11" s="130" t="n"/>
      <c r="AB11" s="178" t="n"/>
      <c r="AC11" s="130" t="n"/>
      <c r="AD11" s="109" t="n"/>
      <c r="AE11" s="130" t="n"/>
      <c r="AF11" s="178" t="n"/>
      <c r="AG11" s="130" t="n"/>
      <c r="AH11" s="109" t="n"/>
      <c r="AI11" s="130" t="n"/>
      <c r="AJ11" s="178" t="n"/>
      <c r="AK11" s="130" t="n"/>
      <c r="AL11" s="109" t="n"/>
      <c r="AM11" s="130" t="n"/>
      <c r="AN11" s="178" t="n"/>
      <c r="AO11" s="130" t="n"/>
      <c r="AP11" s="109" t="n"/>
      <c r="AQ11" s="130" t="n"/>
      <c r="AR11" s="178" t="n"/>
      <c r="AS11" s="130" t="n"/>
      <c r="AT11" s="109" t="n"/>
      <c r="AU11" s="130" t="n"/>
      <c r="AV11" s="178" t="n"/>
      <c r="AW11" s="130" t="n">
        <v>100</v>
      </c>
      <c r="AX11" s="109" t="n"/>
      <c r="AY11" s="130" t="n"/>
      <c r="AZ11" s="178" t="n"/>
      <c r="BA11" s="130" t="n"/>
      <c r="BB11" s="193" t="n"/>
      <c r="BC11" s="130" t="n"/>
      <c r="BD11" s="178" t="n"/>
      <c r="BE11" s="130">
        <f>$E11*40</f>
        <v/>
      </c>
      <c r="BF11" s="109" t="n"/>
      <c r="BG11" s="130" t="n"/>
      <c r="BH11" s="180">
        <f>SUMPRODUCT(--(MOD(COLUMN($L11:$BG11),4)=MOD(COLUMN($L11),4)),$L11:$BG11)</f>
        <v/>
      </c>
      <c r="BI11" s="181">
        <f>Автовик_разбивка[[#This Row],[Цена, 
юань, без НДС 1]]*BH11</f>
        <v/>
      </c>
      <c r="BJ11" s="130">
        <f>SUMPRODUCT(--(MOD(COLUMN($L11:$BG11),4)=MOD(COLUMN($L11)+1,4)),$L11:$BG11)</f>
        <v/>
      </c>
      <c r="BK11" s="187">
        <f>Автовик_разбивка[[#This Row],[Цена, 
юань, без НДС 1]]*BJ11</f>
        <v/>
      </c>
      <c r="BL11" s="109">
        <f>SUMPRODUCT(--(MOD(COLUMN($L11:$BG11),4)=MOD(COLUMN($L11)+2,4)),$L11:$BG11)</f>
        <v/>
      </c>
      <c r="BM11" s="224">
        <f>Автовик_разбивка[[#This Row],[Цена, 
юань, без НДС 1]]*BL11</f>
        <v/>
      </c>
      <c r="BN11" s="178" t="n"/>
      <c r="BO11" s="184" t="n"/>
      <c r="BP11" s="130">
        <f>$E11*30</f>
        <v/>
      </c>
      <c r="BQ11" s="179" t="n"/>
      <c r="BR11" s="130" t="n"/>
      <c r="BS11" s="178" t="n"/>
      <c r="BT11" s="184" t="n"/>
      <c r="BU11" s="130">
        <f>$E11*30</f>
        <v/>
      </c>
      <c r="BV11" s="179" t="n"/>
      <c r="BW11" s="130" t="n"/>
      <c r="BX11" s="178" t="n"/>
      <c r="BY11" s="184" t="n"/>
      <c r="BZ11" s="130">
        <f>$E11*40</f>
        <v/>
      </c>
      <c r="CA11" s="179" t="n"/>
      <c r="CB11" s="130" t="n"/>
      <c r="CC11" s="178" t="n"/>
      <c r="CD11" s="184" t="n"/>
      <c r="CE11" s="130">
        <f>$E11*40</f>
        <v/>
      </c>
      <c r="CF11" s="179" t="n"/>
      <c r="CG11" s="130" t="n"/>
      <c r="CH11" s="178" t="n"/>
      <c r="CI11" s="184" t="n"/>
      <c r="CJ11" s="130" t="n"/>
      <c r="CK11" s="109" t="n"/>
      <c r="CL11" s="130" t="n"/>
      <c r="CM11" s="178" t="n"/>
      <c r="CN11" s="184" t="n"/>
      <c r="CO11" s="130" t="n"/>
      <c r="CP11" s="109" t="n"/>
      <c r="CQ11" s="130" t="n"/>
      <c r="CR11" s="178" t="n"/>
      <c r="CS11" s="184" t="n"/>
      <c r="CT11" s="130" t="n"/>
      <c r="CU11" s="109" t="n"/>
      <c r="CV11" s="130" t="n"/>
      <c r="CW11" s="178" t="n"/>
      <c r="CX11" s="184" t="n"/>
      <c r="CY11" s="130" t="n"/>
      <c r="CZ11" s="109" t="n"/>
      <c r="DA11" s="130" t="n"/>
      <c r="DB11" s="178" t="n"/>
      <c r="DC11" s="184" t="n"/>
      <c r="DD11" s="130" t="n"/>
      <c r="DE11" s="109" t="n"/>
      <c r="DF11" s="130" t="n"/>
      <c r="DG11" s="178" t="n"/>
      <c r="DH11" s="184" t="n"/>
      <c r="DI11" s="130" t="n"/>
      <c r="DJ11" s="109" t="n"/>
      <c r="DK11" s="130" t="n"/>
      <c r="DL11" s="178" t="n"/>
      <c r="DM11" s="184" t="n"/>
      <c r="DN11" s="130" t="n"/>
      <c r="DO11" s="193" t="n"/>
      <c r="DP11" s="130" t="n"/>
      <c r="DQ11" s="178" t="n"/>
      <c r="DR11" s="184" t="n"/>
      <c r="DS11" s="130" t="n"/>
      <c r="DT11" s="109" t="n"/>
      <c r="DU11" s="130" t="n"/>
      <c r="DV11" s="180">
        <f>SUMPRODUCT(--(MOD(COLUMN($BN11:$DU11),5)=MOD(COLUMN($BN11),5)),$BN11:$DU11)</f>
        <v/>
      </c>
      <c r="DW11" s="181">
        <f>Автовик_разбивка[[#This Row],[Цена, 
юань, без НДС 1]]*DV11</f>
        <v/>
      </c>
      <c r="DX11" s="186">
        <f>SUMPRODUCT(--(MOD(COLUMN($BN11:$DU11),5)=MOD(COLUMN($BN11)+1,5)),$BN11:$DU11)</f>
        <v/>
      </c>
      <c r="DY11" s="186">
        <f>Автовик_разбивка[[#This Row],[Цена, 
юань, без НДС 1]]*DX11</f>
        <v/>
      </c>
      <c r="DZ11" s="130">
        <f>SUMPRODUCT(--(MOD(COLUMN($BN11:$DU11),5)=MOD(COLUMN($BN11)+2,5)),$BN11:$DU11)</f>
        <v/>
      </c>
      <c r="EA11" s="187">
        <f>Автовик_разбивка[[#This Row],[Цена, 
юань, без НДС 1]]*DZ11</f>
        <v/>
      </c>
      <c r="EB11" s="109">
        <f>SUMPRODUCT(--(MOD(COLUMN($BN11:$DU11),5)=MOD(COLUMN($BN11)+3,5)),$BN11:$DU11)</f>
        <v/>
      </c>
      <c r="EC11" s="224">
        <f>Автовик_разбивка[[#This Row],[Цена, 
юань, без НДС 1]]*EB11</f>
        <v/>
      </c>
    </row>
    <row r="12">
      <c r="A12" s="221" t="n">
        <v>11</v>
      </c>
      <c r="B12" s="172" t="inlineStr">
        <is>
          <t>Политранс</t>
        </is>
      </c>
      <c r="C12" s="173" t="inlineStr">
        <is>
          <t>TEBS</t>
        </is>
      </c>
      <c r="D12" s="173" t="inlineStr">
        <is>
          <t xml:space="preserve">TEBS 2s/2m 
15м </t>
        </is>
      </c>
      <c r="E12" s="174" t="n">
        <v>2</v>
      </c>
      <c r="F12" s="174" t="n"/>
      <c r="G12" s="174" t="n"/>
      <c r="H12" s="175" t="n">
        <v>4497230500</v>
      </c>
      <c r="I12" s="176" t="inlineStr">
        <is>
          <t>Кабель датчика, 5 м</t>
        </is>
      </c>
      <c r="J12" s="911" t="n"/>
      <c r="K12" s="912" t="n"/>
      <c r="L12" s="178" t="n">
        <v>140</v>
      </c>
      <c r="M12" s="130">
        <f>$E12*75</f>
        <v/>
      </c>
      <c r="N12" s="179" t="n">
        <v>140</v>
      </c>
      <c r="O12" s="130" t="n"/>
      <c r="P12" s="178" t="n">
        <v>140</v>
      </c>
      <c r="Q12" s="130">
        <f>$E12*70</f>
        <v/>
      </c>
      <c r="R12" s="179" t="n">
        <v>0</v>
      </c>
      <c r="S12" s="130" t="n"/>
      <c r="T12" s="178" t="n">
        <v>140</v>
      </c>
      <c r="U12" s="130">
        <f>$E12*100</f>
        <v/>
      </c>
      <c r="V12" s="179" t="n">
        <v>200</v>
      </c>
      <c r="W12" s="130" t="n"/>
      <c r="X12" s="178" t="n">
        <v>140</v>
      </c>
      <c r="Y12" s="130">
        <f>$E12*70</f>
        <v/>
      </c>
      <c r="Z12" s="179" t="n">
        <v>140</v>
      </c>
      <c r="AA12" s="130" t="n"/>
      <c r="AB12" s="178" t="n">
        <v>140</v>
      </c>
      <c r="AC12" s="130">
        <f>$E12*70</f>
        <v/>
      </c>
      <c r="AD12" s="109" t="n"/>
      <c r="AE12" s="130" t="n"/>
      <c r="AF12" s="178" t="n">
        <v>140</v>
      </c>
      <c r="AG12" s="130">
        <f>$E12*70</f>
        <v/>
      </c>
      <c r="AH12" s="109" t="n"/>
      <c r="AI12" s="130" t="n"/>
      <c r="AJ12" s="178" t="n">
        <v>140</v>
      </c>
      <c r="AK12" s="130">
        <f>$E12*70</f>
        <v/>
      </c>
      <c r="AL12" s="109" t="n"/>
      <c r="AM12" s="130" t="n"/>
      <c r="AN12" s="178" t="n">
        <v>140</v>
      </c>
      <c r="AO12" s="130">
        <f>$E12*50</f>
        <v/>
      </c>
      <c r="AP12" s="109" t="n"/>
      <c r="AQ12" s="130" t="n"/>
      <c r="AR12" s="178" t="n">
        <v>140</v>
      </c>
      <c r="AS12" s="130">
        <f>$E12*50</f>
        <v/>
      </c>
      <c r="AT12" s="109" t="n"/>
      <c r="AU12" s="130" t="n"/>
      <c r="AV12" s="178" t="n">
        <v>140</v>
      </c>
      <c r="AW12" s="130" t="n"/>
      <c r="AX12" s="109" t="n"/>
      <c r="AY12" s="130" t="n"/>
      <c r="AZ12" s="178" t="n">
        <v>140</v>
      </c>
      <c r="BA12" s="130">
        <f>$E12*50</f>
        <v/>
      </c>
      <c r="BB12" s="193" t="n"/>
      <c r="BC12" s="130" t="n"/>
      <c r="BD12" s="178" t="n">
        <v>140</v>
      </c>
      <c r="BE12" s="130">
        <f>$E12*40</f>
        <v/>
      </c>
      <c r="BF12" s="109" t="n"/>
      <c r="BG12" s="130" t="n"/>
      <c r="BH12" s="180">
        <f>SUMPRODUCT(--(MOD(COLUMN($L12:$BG12),4)=MOD(COLUMN($L12),4)),$L12:$BG12)</f>
        <v/>
      </c>
      <c r="BI12" s="181">
        <f>Автовик_разбивка[[#This Row],[Цена, 
юань, без НДС 1]]*BH12</f>
        <v/>
      </c>
      <c r="BJ12" s="130">
        <f>SUMPRODUCT(--(MOD(COLUMN($L12:$BG12),4)=MOD(COLUMN($L12)+1,4)),$L12:$BG12)</f>
        <v/>
      </c>
      <c r="BK12" s="187">
        <f>Автовик_разбивка[[#This Row],[Цена, 
юань, без НДС 1]]*BJ12</f>
        <v/>
      </c>
      <c r="BL12" s="109">
        <f>SUMPRODUCT(--(MOD(COLUMN($L12:$BG12),4)=MOD(COLUMN($L12)+2,4)),$L12:$BG12)</f>
        <v/>
      </c>
      <c r="BM12" s="224">
        <f>Автовик_разбивка[[#This Row],[Цена, 
юань, без НДС 1]]*BL12</f>
        <v/>
      </c>
      <c r="BN12" s="178" t="n"/>
      <c r="BO12" s="184" t="n"/>
      <c r="BP12" s="130">
        <f>$E12*30</f>
        <v/>
      </c>
      <c r="BQ12" s="179" t="n"/>
      <c r="BR12" s="130" t="n"/>
      <c r="BS12" s="178" t="n"/>
      <c r="BT12" s="184" t="n"/>
      <c r="BU12" s="130">
        <f>$E12*30</f>
        <v/>
      </c>
      <c r="BV12" s="179" t="n"/>
      <c r="BW12" s="130" t="n"/>
      <c r="BX12" s="178" t="n"/>
      <c r="BY12" s="184" t="n"/>
      <c r="BZ12" s="130">
        <f>$E12*40</f>
        <v/>
      </c>
      <c r="CA12" s="179" t="n"/>
      <c r="CB12" s="130" t="n"/>
      <c r="CC12" s="178" t="n"/>
      <c r="CD12" s="184" t="n"/>
      <c r="CE12" s="130">
        <f>$E12*40</f>
        <v/>
      </c>
      <c r="CF12" s="179" t="n"/>
      <c r="CG12" s="130" t="n"/>
      <c r="CH12" s="178" t="n"/>
      <c r="CI12" s="184" t="n"/>
      <c r="CJ12" s="130">
        <f>$E12*50</f>
        <v/>
      </c>
      <c r="CK12" s="109" t="n"/>
      <c r="CL12" s="130" t="n"/>
      <c r="CM12" s="178" t="n"/>
      <c r="CN12" s="184" t="n"/>
      <c r="CO12" s="130">
        <f>$E12*50</f>
        <v/>
      </c>
      <c r="CP12" s="109" t="n"/>
      <c r="CQ12" s="130" t="n"/>
      <c r="CR12" s="178" t="n"/>
      <c r="CS12" s="184" t="n"/>
      <c r="CT12" s="130">
        <f>$E12*50</f>
        <v/>
      </c>
      <c r="CU12" s="109" t="n"/>
      <c r="CV12" s="130" t="n"/>
      <c r="CW12" s="178" t="n"/>
      <c r="CX12" s="184" t="n"/>
      <c r="CY12" s="130">
        <f>$E12*50</f>
        <v/>
      </c>
      <c r="CZ12" s="109" t="n"/>
      <c r="DA12" s="130" t="n"/>
      <c r="DB12" s="178" t="n"/>
      <c r="DC12" s="184" t="n"/>
      <c r="DD12" s="130">
        <f>$E12*50</f>
        <v/>
      </c>
      <c r="DE12" s="109" t="n"/>
      <c r="DF12" s="130" t="n"/>
      <c r="DG12" s="178" t="n"/>
      <c r="DH12" s="184" t="n"/>
      <c r="DI12" s="130">
        <f>$E12*50</f>
        <v/>
      </c>
      <c r="DJ12" s="109" t="n"/>
      <c r="DK12" s="130" t="n"/>
      <c r="DL12" s="178" t="n"/>
      <c r="DM12" s="184" t="n"/>
      <c r="DN12" s="130">
        <f>$E12*50</f>
        <v/>
      </c>
      <c r="DO12" s="193" t="n"/>
      <c r="DP12" s="130" t="n"/>
      <c r="DQ12" s="178" t="n"/>
      <c r="DR12" s="184" t="n"/>
      <c r="DS12" s="130">
        <f>$E12*50</f>
        <v/>
      </c>
      <c r="DT12" s="109" t="n"/>
      <c r="DU12" s="130" t="n"/>
      <c r="DV12" s="180">
        <f>SUMPRODUCT(--(MOD(COLUMN($BN12:$DU12),5)=MOD(COLUMN($BN12),5)),$BN12:$DU12)</f>
        <v/>
      </c>
      <c r="DW12" s="181">
        <f>Автовик_разбивка[[#This Row],[Цена, 
юань, без НДС 1]]*DV12</f>
        <v/>
      </c>
      <c r="DX12" s="186">
        <f>SUMPRODUCT(--(MOD(COLUMN($BN12:$DU12),5)=MOD(COLUMN($BN12)+1,5)),$BN12:$DU12)</f>
        <v/>
      </c>
      <c r="DY12" s="186">
        <f>Автовик_разбивка[[#This Row],[Цена, 
юань, без НДС 1]]*DX12</f>
        <v/>
      </c>
      <c r="DZ12" s="130">
        <f>SUMPRODUCT(--(MOD(COLUMN($BN12:$DU12),5)=MOD(COLUMN($BN12)+2,5)),$BN12:$DU12)</f>
        <v/>
      </c>
      <c r="EA12" s="187">
        <f>Автовик_разбивка[[#This Row],[Цена, 
юань, без НДС 1]]*DZ12</f>
        <v/>
      </c>
      <c r="EB12" s="109">
        <f>SUMPRODUCT(--(MOD(COLUMN($BN12:$DU12),5)=MOD(COLUMN($BN12)+3,5)),$BN12:$DU12)</f>
        <v/>
      </c>
      <c r="EC12" s="224">
        <f>Автовик_разбивка[[#This Row],[Цена, 
юань, без НДС 1]]*EB12</f>
        <v/>
      </c>
    </row>
    <row r="13">
      <c r="A13" s="221" t="n">
        <v>11</v>
      </c>
      <c r="B13" s="172" t="inlineStr">
        <is>
          <t>Политранс</t>
        </is>
      </c>
      <c r="C13" s="173" t="inlineStr">
        <is>
          <t>TEBS</t>
        </is>
      </c>
      <c r="D13" s="173" t="inlineStr">
        <is>
          <t xml:space="preserve">TEBS 2s/2m 
15м </t>
        </is>
      </c>
      <c r="E13" s="174" t="n">
        <v>1</v>
      </c>
      <c r="F13" s="174" t="n"/>
      <c r="G13" s="174" t="n"/>
      <c r="H13" s="175" t="n">
        <v>4630320200</v>
      </c>
      <c r="I13" s="176" t="inlineStr">
        <is>
          <t>Кран ручного управления</t>
        </is>
      </c>
      <c r="J13" s="911" t="n"/>
      <c r="K13" s="912" t="n"/>
      <c r="L13" s="178" t="n">
        <v>70</v>
      </c>
      <c r="M13" s="130">
        <f>$E13*75</f>
        <v/>
      </c>
      <c r="N13" s="179" t="n">
        <v>70</v>
      </c>
      <c r="O13" s="130" t="n"/>
      <c r="P13" s="178" t="n">
        <v>70</v>
      </c>
      <c r="Q13" s="130">
        <f>$E13*70</f>
        <v/>
      </c>
      <c r="R13" s="179" t="n">
        <v>0</v>
      </c>
      <c r="S13" s="130" t="n"/>
      <c r="T13" s="178" t="n">
        <v>70</v>
      </c>
      <c r="U13" s="130">
        <f>$E13*100</f>
        <v/>
      </c>
      <c r="V13" s="179" t="n">
        <v>100</v>
      </c>
      <c r="W13" s="130" t="n"/>
      <c r="X13" s="178" t="n">
        <v>70</v>
      </c>
      <c r="Y13" s="130">
        <f>$E13*70</f>
        <v/>
      </c>
      <c r="Z13" s="179" t="n">
        <v>70</v>
      </c>
      <c r="AA13" s="130" t="n"/>
      <c r="AB13" s="178" t="n">
        <v>70</v>
      </c>
      <c r="AC13" s="130">
        <f>$E13*70</f>
        <v/>
      </c>
      <c r="AD13" s="109" t="n"/>
      <c r="AE13" s="130" t="n"/>
      <c r="AF13" s="178" t="n">
        <v>70</v>
      </c>
      <c r="AG13" s="130">
        <f>$E13*70</f>
        <v/>
      </c>
      <c r="AH13" s="109" t="n"/>
      <c r="AI13" s="130" t="n"/>
      <c r="AJ13" s="178" t="n">
        <v>70</v>
      </c>
      <c r="AK13" s="130">
        <f>$E13*70</f>
        <v/>
      </c>
      <c r="AL13" s="109" t="n"/>
      <c r="AM13" s="130" t="n"/>
      <c r="AN13" s="178" t="n">
        <v>70</v>
      </c>
      <c r="AO13" s="130">
        <f>$E13*50</f>
        <v/>
      </c>
      <c r="AP13" s="109" t="n"/>
      <c r="AQ13" s="130" t="n"/>
      <c r="AR13" s="178" t="n">
        <v>70</v>
      </c>
      <c r="AS13" s="130">
        <f>$E13*50</f>
        <v/>
      </c>
      <c r="AT13" s="109" t="n"/>
      <c r="AU13" s="130" t="n"/>
      <c r="AV13" s="178" t="n">
        <v>70</v>
      </c>
      <c r="AW13" s="130" t="n"/>
      <c r="AX13" s="109" t="n"/>
      <c r="AY13" s="130" t="n"/>
      <c r="AZ13" s="178" t="n">
        <v>70</v>
      </c>
      <c r="BA13" s="130" t="n"/>
      <c r="BB13" s="194" t="n"/>
      <c r="BC13" s="130" t="n"/>
      <c r="BD13" s="178" t="n">
        <v>70</v>
      </c>
      <c r="BE13" s="130">
        <f>$E13*40</f>
        <v/>
      </c>
      <c r="BF13" s="109" t="n"/>
      <c r="BG13" s="130" t="n"/>
      <c r="BH13" s="180">
        <f>SUMPRODUCT(--(MOD(COLUMN($L13:$BG13),4)=MOD(COLUMN($L13),4)),$L13:$BG13)</f>
        <v/>
      </c>
      <c r="BI13" s="181">
        <f>Автовик_разбивка[[#This Row],[Цена, 
юань, без НДС 1]]*BH13</f>
        <v/>
      </c>
      <c r="BJ13" s="130">
        <f>SUMPRODUCT(--(MOD(COLUMN($L13:$BG13),4)=MOD(COLUMN($L13)+1,4)),$L13:$BG13)</f>
        <v/>
      </c>
      <c r="BK13" s="187">
        <f>Автовик_разбивка[[#This Row],[Цена, 
юань, без НДС 1]]*BJ13</f>
        <v/>
      </c>
      <c r="BL13" s="109">
        <f>SUMPRODUCT(--(MOD(COLUMN($L13:$BG13),4)=MOD(COLUMN($L13)+2,4)),$L13:$BG13)</f>
        <v/>
      </c>
      <c r="BM13" s="224">
        <f>Автовик_разбивка[[#This Row],[Цена, 
юань, без НДС 1]]*BL13</f>
        <v/>
      </c>
      <c r="BN13" s="178" t="n"/>
      <c r="BO13" s="184" t="n"/>
      <c r="BP13" s="130">
        <f>$E13*30</f>
        <v/>
      </c>
      <c r="BQ13" s="179" t="n"/>
      <c r="BR13" s="130" t="n"/>
      <c r="BS13" s="178" t="n"/>
      <c r="BT13" s="184" t="n"/>
      <c r="BU13" s="130">
        <f>$E13*30</f>
        <v/>
      </c>
      <c r="BV13" s="179" t="n"/>
      <c r="BW13" s="130" t="n"/>
      <c r="BX13" s="178" t="n"/>
      <c r="BY13" s="184" t="n"/>
      <c r="BZ13" s="130">
        <f>$E13*40</f>
        <v/>
      </c>
      <c r="CA13" s="179" t="n"/>
      <c r="CB13" s="130" t="n"/>
      <c r="CC13" s="178" t="n"/>
      <c r="CD13" s="184" t="n"/>
      <c r="CE13" s="130">
        <f>$E13*40</f>
        <v/>
      </c>
      <c r="CF13" s="179" t="n"/>
      <c r="CG13" s="130" t="n"/>
      <c r="CH13" s="178" t="n"/>
      <c r="CI13" s="184" t="n"/>
      <c r="CJ13" s="130">
        <f>$E13*50</f>
        <v/>
      </c>
      <c r="CK13" s="109" t="n"/>
      <c r="CL13" s="130" t="n"/>
      <c r="CM13" s="178" t="n"/>
      <c r="CN13" s="184" t="n"/>
      <c r="CO13" s="130">
        <f>$E13*50</f>
        <v/>
      </c>
      <c r="CP13" s="109" t="n"/>
      <c r="CQ13" s="130" t="n"/>
      <c r="CR13" s="178" t="n"/>
      <c r="CS13" s="184" t="n"/>
      <c r="CT13" s="130">
        <f>$E13*50</f>
        <v/>
      </c>
      <c r="CU13" s="109" t="n"/>
      <c r="CV13" s="130" t="n"/>
      <c r="CW13" s="178" t="n"/>
      <c r="CX13" s="184" t="n"/>
      <c r="CY13" s="130">
        <f>$E13*50</f>
        <v/>
      </c>
      <c r="CZ13" s="109" t="n"/>
      <c r="DA13" s="130" t="n"/>
      <c r="DB13" s="178" t="n"/>
      <c r="DC13" s="184" t="n"/>
      <c r="DD13" s="130">
        <f>$E13*50</f>
        <v/>
      </c>
      <c r="DE13" s="109" t="n"/>
      <c r="DF13" s="130" t="n"/>
      <c r="DG13" s="178" t="n"/>
      <c r="DH13" s="184" t="n"/>
      <c r="DI13" s="130">
        <f>$E13*50</f>
        <v/>
      </c>
      <c r="DJ13" s="109" t="n"/>
      <c r="DK13" s="130" t="n"/>
      <c r="DL13" s="178" t="n"/>
      <c r="DM13" s="184" t="n"/>
      <c r="DN13" s="130">
        <f>$E13*50</f>
        <v/>
      </c>
      <c r="DO13" s="194" t="n"/>
      <c r="DP13" s="130" t="n"/>
      <c r="DQ13" s="178" t="n"/>
      <c r="DR13" s="184" t="n"/>
      <c r="DS13" s="130">
        <f>$E13*50</f>
        <v/>
      </c>
      <c r="DT13" s="109" t="n"/>
      <c r="DU13" s="130" t="n"/>
      <c r="DV13" s="180">
        <f>SUMPRODUCT(--(MOD(COLUMN($BN13:$DU13),5)=MOD(COLUMN($BN13),5)),$BN13:$DU13)</f>
        <v/>
      </c>
      <c r="DW13" s="181">
        <f>Автовик_разбивка[[#This Row],[Цена, 
юань, без НДС 1]]*DV13</f>
        <v/>
      </c>
      <c r="DX13" s="186">
        <f>SUMPRODUCT(--(MOD(COLUMN($BN13:$DU13),5)=MOD(COLUMN($BN13)+1,5)),$BN13:$DU13)</f>
        <v/>
      </c>
      <c r="DY13" s="186">
        <f>Автовик_разбивка[[#This Row],[Цена, 
юань, без НДС 1]]*DX13</f>
        <v/>
      </c>
      <c r="DZ13" s="130">
        <f>SUMPRODUCT(--(MOD(COLUMN($BN13:$DU13),5)=MOD(COLUMN($BN13)+2,5)),$BN13:$DU13)</f>
        <v/>
      </c>
      <c r="EA13" s="187">
        <f>Автовик_разбивка[[#This Row],[Цена, 
юань, без НДС 1]]*DZ13</f>
        <v/>
      </c>
      <c r="EB13" s="109">
        <f>SUMPRODUCT(--(MOD(COLUMN($BN13:$DU13),5)=MOD(COLUMN($BN13)+3,5)),$BN13:$DU13)</f>
        <v/>
      </c>
      <c r="EC13" s="224">
        <f>Автовик_разбивка[[#This Row],[Цена, 
юань, без НДС 1]]*EB13</f>
        <v/>
      </c>
    </row>
    <row r="14">
      <c r="A14" s="221" t="n">
        <v>11</v>
      </c>
      <c r="B14" s="172" t="inlineStr">
        <is>
          <t>Политранс</t>
        </is>
      </c>
      <c r="C14" s="173" t="inlineStr">
        <is>
          <t>TEBS</t>
        </is>
      </c>
      <c r="D14" s="173" t="inlineStr">
        <is>
          <t xml:space="preserve">TEBS 2s/2m 
15м </t>
        </is>
      </c>
      <c r="E14" s="174" t="n"/>
      <c r="F14" s="174" t="n"/>
      <c r="G14" s="174" t="n"/>
      <c r="H14" s="175" t="inlineStr">
        <is>
          <t>PRO0320200</t>
        </is>
      </c>
      <c r="I14" s="176" t="inlineStr">
        <is>
          <t>Кран ручного управления</t>
        </is>
      </c>
      <c r="J14" s="911" t="n"/>
      <c r="K14" s="912" t="n"/>
      <c r="L14" s="178" t="n"/>
      <c r="M14" s="130" t="n"/>
      <c r="N14" s="179" t="n"/>
      <c r="O14" s="130" t="n"/>
      <c r="P14" s="178" t="n"/>
      <c r="Q14" s="130" t="n"/>
      <c r="R14" s="179" t="n"/>
      <c r="S14" s="130" t="n"/>
      <c r="T14" s="178" t="n"/>
      <c r="U14" s="130" t="n"/>
      <c r="V14" s="179" t="n"/>
      <c r="W14" s="130" t="n"/>
      <c r="X14" s="178" t="n"/>
      <c r="Y14" s="130" t="n"/>
      <c r="Z14" s="179" t="n"/>
      <c r="AA14" s="130" t="n"/>
      <c r="AB14" s="178" t="n"/>
      <c r="AC14" s="130" t="n"/>
      <c r="AD14" s="109" t="n"/>
      <c r="AE14" s="130" t="n"/>
      <c r="AF14" s="178" t="n"/>
      <c r="AG14" s="130" t="n"/>
      <c r="AH14" s="109" t="n"/>
      <c r="AI14" s="130" t="n"/>
      <c r="AJ14" s="178" t="n"/>
      <c r="AK14" s="130" t="n"/>
      <c r="AL14" s="109" t="n"/>
      <c r="AM14" s="130" t="n"/>
      <c r="AN14" s="178" t="n"/>
      <c r="AO14" s="130" t="n"/>
      <c r="AP14" s="109" t="n"/>
      <c r="AQ14" s="130" t="n"/>
      <c r="AR14" s="178" t="n"/>
      <c r="AS14" s="130" t="n"/>
      <c r="AT14" s="109" t="n"/>
      <c r="AU14" s="130" t="n"/>
      <c r="AV14" s="178" t="n"/>
      <c r="AW14" s="130" t="n">
        <v>50</v>
      </c>
      <c r="AX14" s="109" t="n"/>
      <c r="AY14" s="130" t="n"/>
      <c r="AZ14" s="178" t="n"/>
      <c r="BA14" s="130" t="n">
        <v>50</v>
      </c>
      <c r="BB14" s="194" t="n"/>
      <c r="BC14" s="130" t="n"/>
      <c r="BD14" s="178" t="n"/>
      <c r="BE14" s="130">
        <f>$E14*40</f>
        <v/>
      </c>
      <c r="BF14" s="109" t="n"/>
      <c r="BG14" s="130" t="n"/>
      <c r="BH14" s="180">
        <f>SUMPRODUCT(--(MOD(COLUMN($L14:$BG14),4)=MOD(COLUMN($L14),4)),$L14:$BG14)</f>
        <v/>
      </c>
      <c r="BI14" s="181">
        <f>Автовик_разбивка[[#This Row],[Цена, 
юань, без НДС 1]]*BH14</f>
        <v/>
      </c>
      <c r="BJ14" s="130">
        <f>SUMPRODUCT(--(MOD(COLUMN($L14:$BG14),4)=MOD(COLUMN($L14)+1,4)),$L14:$BG14)</f>
        <v/>
      </c>
      <c r="BK14" s="187">
        <f>Автовик_разбивка[[#This Row],[Цена, 
юань, без НДС 1]]*BJ14</f>
        <v/>
      </c>
      <c r="BL14" s="109">
        <f>SUMPRODUCT(--(MOD(COLUMN($L14:$BG14),4)=MOD(COLUMN($L14)+2,4)),$L14:$BG14)</f>
        <v/>
      </c>
      <c r="BM14" s="224">
        <f>Автовик_разбивка[[#This Row],[Цена, 
юань, без НДС 1]]*BL14</f>
        <v/>
      </c>
      <c r="BN14" s="178" t="n"/>
      <c r="BO14" s="184" t="n"/>
      <c r="BP14" s="130">
        <f>$E14*30</f>
        <v/>
      </c>
      <c r="BQ14" s="179" t="n"/>
      <c r="BR14" s="130" t="n"/>
      <c r="BS14" s="178" t="n"/>
      <c r="BT14" s="184" t="n"/>
      <c r="BU14" s="130">
        <f>$E14*30</f>
        <v/>
      </c>
      <c r="BV14" s="179" t="n"/>
      <c r="BW14" s="130" t="n"/>
      <c r="BX14" s="178" t="n"/>
      <c r="BY14" s="184" t="n"/>
      <c r="BZ14" s="130">
        <f>$E14*40</f>
        <v/>
      </c>
      <c r="CA14" s="179" t="n"/>
      <c r="CB14" s="130" t="n"/>
      <c r="CC14" s="178" t="n"/>
      <c r="CD14" s="184" t="n"/>
      <c r="CE14" s="130">
        <f>$E14*40</f>
        <v/>
      </c>
      <c r="CF14" s="179" t="n"/>
      <c r="CG14" s="130" t="n"/>
      <c r="CH14" s="178" t="n"/>
      <c r="CI14" s="184" t="n"/>
      <c r="CJ14" s="130" t="n"/>
      <c r="CK14" s="109" t="n"/>
      <c r="CL14" s="130" t="n"/>
      <c r="CM14" s="178" t="n"/>
      <c r="CN14" s="184" t="n"/>
      <c r="CO14" s="130" t="n"/>
      <c r="CP14" s="109" t="n"/>
      <c r="CQ14" s="130" t="n"/>
      <c r="CR14" s="178" t="n"/>
      <c r="CS14" s="184" t="n"/>
      <c r="CT14" s="130" t="n"/>
      <c r="CU14" s="109" t="n"/>
      <c r="CV14" s="130" t="n"/>
      <c r="CW14" s="178" t="n"/>
      <c r="CX14" s="184" t="n"/>
      <c r="CY14" s="130" t="n"/>
      <c r="CZ14" s="109" t="n"/>
      <c r="DA14" s="130" t="n"/>
      <c r="DB14" s="178" t="n"/>
      <c r="DC14" s="184" t="n"/>
      <c r="DD14" s="130" t="n"/>
      <c r="DE14" s="109" t="n"/>
      <c r="DF14" s="130" t="n"/>
      <c r="DG14" s="178" t="n"/>
      <c r="DH14" s="184" t="n"/>
      <c r="DI14" s="130" t="n"/>
      <c r="DJ14" s="109" t="n"/>
      <c r="DK14" s="130" t="n"/>
      <c r="DL14" s="178" t="n"/>
      <c r="DM14" s="184" t="n"/>
      <c r="DN14" s="130" t="n"/>
      <c r="DO14" s="194" t="n"/>
      <c r="DP14" s="130" t="n"/>
      <c r="DQ14" s="178" t="n"/>
      <c r="DR14" s="184" t="n"/>
      <c r="DS14" s="130" t="n"/>
      <c r="DT14" s="109" t="n"/>
      <c r="DU14" s="130" t="n"/>
      <c r="DV14" s="180">
        <f>SUMPRODUCT(--(MOD(COLUMN($BN14:$DU14),5)=MOD(COLUMN($BN14),5)),$BN14:$DU14)</f>
        <v/>
      </c>
      <c r="DW14" s="181">
        <f>Автовик_разбивка[[#This Row],[Цена, 
юань, без НДС 1]]*DV14</f>
        <v/>
      </c>
      <c r="DX14" s="186">
        <f>SUMPRODUCT(--(MOD(COLUMN($BN14:$DU14),5)=MOD(COLUMN($BN14)+1,5)),$BN14:$DU14)</f>
        <v/>
      </c>
      <c r="DY14" s="186">
        <f>Автовик_разбивка[[#This Row],[Цена, 
юань, без НДС 1]]*DX14</f>
        <v/>
      </c>
      <c r="DZ14" s="130">
        <f>SUMPRODUCT(--(MOD(COLUMN($BN14:$DU14),5)=MOD(COLUMN($BN14)+2,5)),$BN14:$DU14)</f>
        <v/>
      </c>
      <c r="EA14" s="187">
        <f>Автовик_разбивка[[#This Row],[Цена, 
юань, без НДС 1]]*DZ14</f>
        <v/>
      </c>
      <c r="EB14" s="109">
        <f>SUMPRODUCT(--(MOD(COLUMN($BN14:$DU14),5)=MOD(COLUMN($BN14)+3,5)),$BN14:$DU14)</f>
        <v/>
      </c>
      <c r="EC14" s="224">
        <f>Автовик_разбивка[[#This Row],[Цена, 
юань, без НДС 1]]*EB14</f>
        <v/>
      </c>
    </row>
    <row r="15">
      <c r="A15" s="221" t="n">
        <v>11</v>
      </c>
      <c r="B15" s="172" t="inlineStr">
        <is>
          <t>Политранс</t>
        </is>
      </c>
      <c r="C15" s="173" t="inlineStr">
        <is>
          <t>TEBS</t>
        </is>
      </c>
      <c r="D15" s="173" t="inlineStr">
        <is>
          <t xml:space="preserve">TEBS 2s/2m 
15м </t>
        </is>
      </c>
      <c r="E15" s="174" t="n">
        <v>1</v>
      </c>
      <c r="F15" s="174" t="n"/>
      <c r="G15" s="174" t="n"/>
      <c r="H15" s="175" t="n">
        <v>4640061000</v>
      </c>
      <c r="I15" s="176" t="inlineStr">
        <is>
          <t>Кран уровня пола, 5-ти портовый</t>
        </is>
      </c>
      <c r="J15" s="911" t="n"/>
      <c r="K15" s="912" t="n"/>
      <c r="L15" s="178" t="n">
        <v>70</v>
      </c>
      <c r="M15" s="130">
        <f>$E15*75</f>
        <v/>
      </c>
      <c r="N15" s="179" t="n">
        <v>70</v>
      </c>
      <c r="O15" s="130" t="n"/>
      <c r="P15" s="178" t="n">
        <v>70</v>
      </c>
      <c r="Q15" s="130">
        <f>$E15*70</f>
        <v/>
      </c>
      <c r="R15" s="179" t="n">
        <v>0</v>
      </c>
      <c r="S15" s="130" t="n"/>
      <c r="T15" s="178" t="n">
        <v>70</v>
      </c>
      <c r="U15" s="130">
        <f>$E15*100</f>
        <v/>
      </c>
      <c r="V15" s="179" t="n">
        <v>100</v>
      </c>
      <c r="W15" s="130" t="n"/>
      <c r="X15" s="178" t="n">
        <v>70</v>
      </c>
      <c r="Y15" s="130">
        <f>$E15*70</f>
        <v/>
      </c>
      <c r="Z15" s="179" t="n">
        <v>70</v>
      </c>
      <c r="AA15" s="130" t="n"/>
      <c r="AB15" s="178" t="n">
        <v>70</v>
      </c>
      <c r="AC15" s="130">
        <f>$E15*70</f>
        <v/>
      </c>
      <c r="AD15" s="109" t="n"/>
      <c r="AE15" s="130" t="n"/>
      <c r="AF15" s="178" t="n">
        <v>70</v>
      </c>
      <c r="AG15" s="130">
        <f>$E15*70</f>
        <v/>
      </c>
      <c r="AH15" s="109" t="n"/>
      <c r="AI15" s="130" t="n"/>
      <c r="AJ15" s="178" t="n">
        <v>70</v>
      </c>
      <c r="AK15" s="130">
        <f>$E15*70</f>
        <v/>
      </c>
      <c r="AL15" s="109" t="n"/>
      <c r="AM15" s="130" t="n"/>
      <c r="AN15" s="178" t="n">
        <v>70</v>
      </c>
      <c r="AO15" s="130">
        <f>$E15*50</f>
        <v/>
      </c>
      <c r="AP15" s="109" t="n"/>
      <c r="AQ15" s="130" t="n"/>
      <c r="AR15" s="178" t="n">
        <v>70</v>
      </c>
      <c r="AS15" s="130">
        <f>$E15*50</f>
        <v/>
      </c>
      <c r="AT15" s="109" t="n"/>
      <c r="AU15" s="130" t="n"/>
      <c r="AV15" s="178" t="n">
        <v>70</v>
      </c>
      <c r="AW15" s="130">
        <f>$E15*50</f>
        <v/>
      </c>
      <c r="AX15" s="109" t="n"/>
      <c r="AY15" s="130" t="n"/>
      <c r="AZ15" s="178" t="n">
        <v>70</v>
      </c>
      <c r="BA15" s="130">
        <f>$E15*50</f>
        <v/>
      </c>
      <c r="BB15" s="179" t="n"/>
      <c r="BC15" s="130" t="n"/>
      <c r="BD15" s="178" t="n">
        <v>70</v>
      </c>
      <c r="BE15" s="130">
        <f>$E15*40</f>
        <v/>
      </c>
      <c r="BF15" s="109" t="n"/>
      <c r="BG15" s="130" t="n"/>
      <c r="BH15" s="180">
        <f>SUMPRODUCT(--(MOD(COLUMN($L15:$BG15),4)=MOD(COLUMN($L15),4)),$L15:$BG15)</f>
        <v/>
      </c>
      <c r="BI15" s="181">
        <f>Автовик_разбивка[[#This Row],[Цена, 
юань, без НДС 1]]*BH15</f>
        <v/>
      </c>
      <c r="BJ15" s="130">
        <f>SUMPRODUCT(--(MOD(COLUMN($L15:$BG15),4)=MOD(COLUMN($L15)+1,4)),$L15:$BG15)</f>
        <v/>
      </c>
      <c r="BK15" s="187">
        <f>Автовик_разбивка[[#This Row],[Цена, 
юань, без НДС 1]]*BJ15</f>
        <v/>
      </c>
      <c r="BL15" s="109">
        <f>SUMPRODUCT(--(MOD(COLUMN($L15:$BG15),4)=MOD(COLUMN($L15)+2,4)),$L15:$BG15)</f>
        <v/>
      </c>
      <c r="BM15" s="224">
        <f>Автовик_разбивка[[#This Row],[Цена, 
юань, без НДС 1]]*BL15</f>
        <v/>
      </c>
      <c r="BN15" s="178" t="n"/>
      <c r="BO15" s="184" t="n"/>
      <c r="BP15" s="130">
        <f>$E15*30</f>
        <v/>
      </c>
      <c r="BQ15" s="179" t="n"/>
      <c r="BR15" s="130" t="n"/>
      <c r="BS15" s="178" t="n"/>
      <c r="BT15" s="184" t="n"/>
      <c r="BU15" s="130">
        <f>$E15*30</f>
        <v/>
      </c>
      <c r="BV15" s="179" t="n"/>
      <c r="BW15" s="130" t="n"/>
      <c r="BX15" s="178" t="n"/>
      <c r="BY15" s="184" t="n"/>
      <c r="BZ15" s="130">
        <f>$E15*40</f>
        <v/>
      </c>
      <c r="CA15" s="179" t="n"/>
      <c r="CB15" s="130" t="n"/>
      <c r="CC15" s="178" t="n"/>
      <c r="CD15" s="184" t="n"/>
      <c r="CE15" s="130">
        <f>$E15*40</f>
        <v/>
      </c>
      <c r="CF15" s="179" t="n"/>
      <c r="CG15" s="130" t="n"/>
      <c r="CH15" s="178" t="n"/>
      <c r="CI15" s="184" t="n"/>
      <c r="CJ15" s="130">
        <f>$E15*50</f>
        <v/>
      </c>
      <c r="CK15" s="109" t="n"/>
      <c r="CL15" s="130" t="n"/>
      <c r="CM15" s="178" t="n"/>
      <c r="CN15" s="184" t="n"/>
      <c r="CO15" s="130">
        <f>$E15*50</f>
        <v/>
      </c>
      <c r="CP15" s="109" t="n"/>
      <c r="CQ15" s="130" t="n"/>
      <c r="CR15" s="178" t="n"/>
      <c r="CS15" s="184" t="n"/>
      <c r="CT15" s="130">
        <f>$E15*50</f>
        <v/>
      </c>
      <c r="CU15" s="109" t="n"/>
      <c r="CV15" s="130" t="n"/>
      <c r="CW15" s="178" t="n"/>
      <c r="CX15" s="184" t="n"/>
      <c r="CY15" s="130">
        <f>$E15*50</f>
        <v/>
      </c>
      <c r="CZ15" s="109" t="n"/>
      <c r="DA15" s="130" t="n"/>
      <c r="DB15" s="178" t="n"/>
      <c r="DC15" s="184" t="n"/>
      <c r="DD15" s="130">
        <f>$E15*50</f>
        <v/>
      </c>
      <c r="DE15" s="109" t="n"/>
      <c r="DF15" s="130" t="n"/>
      <c r="DG15" s="178" t="n"/>
      <c r="DH15" s="184" t="n"/>
      <c r="DI15" s="130">
        <f>$E15*50</f>
        <v/>
      </c>
      <c r="DJ15" s="109" t="n"/>
      <c r="DK15" s="130" t="n"/>
      <c r="DL15" s="178" t="n"/>
      <c r="DM15" s="184" t="n"/>
      <c r="DN15" s="130">
        <f>$E15*50</f>
        <v/>
      </c>
      <c r="DO15" s="179" t="n"/>
      <c r="DP15" s="130" t="n"/>
      <c r="DQ15" s="178" t="n"/>
      <c r="DR15" s="184" t="n"/>
      <c r="DS15" s="130">
        <f>$E15*50</f>
        <v/>
      </c>
      <c r="DT15" s="109" t="n"/>
      <c r="DU15" s="130" t="n"/>
      <c r="DV15" s="180">
        <f>SUMPRODUCT(--(MOD(COLUMN($BN15:$DU15),5)=MOD(COLUMN($BN15),5)),$BN15:$DU15)</f>
        <v/>
      </c>
      <c r="DW15" s="181">
        <f>Автовик_разбивка[[#This Row],[Цена, 
юань, без НДС 1]]*DV15</f>
        <v/>
      </c>
      <c r="DX15" s="186">
        <f>SUMPRODUCT(--(MOD(COLUMN($BN15:$DU15),5)=MOD(COLUMN($BN15)+1,5)),$BN15:$DU15)</f>
        <v/>
      </c>
      <c r="DY15" s="186">
        <f>Автовик_разбивка[[#This Row],[Цена, 
юань, без НДС 1]]*DX15</f>
        <v/>
      </c>
      <c r="DZ15" s="130">
        <f>SUMPRODUCT(--(MOD(COLUMN($BN15:$DU15),5)=MOD(COLUMN($BN15)+2,5)),$BN15:$DU15)</f>
        <v/>
      </c>
      <c r="EA15" s="187">
        <f>Автовик_разбивка[[#This Row],[Цена, 
юань, без НДС 1]]*DZ15</f>
        <v/>
      </c>
      <c r="EB15" s="109">
        <f>SUMPRODUCT(--(MOD(COLUMN($BN15:$DU15),5)=MOD(COLUMN($BN15)+3,5)),$BN15:$DU15)</f>
        <v/>
      </c>
      <c r="EC15" s="224">
        <f>Автовик_разбивка[[#This Row],[Цена, 
юань, без НДС 1]]*EB15</f>
        <v/>
      </c>
    </row>
    <row r="16">
      <c r="A16" s="221" t="n">
        <v>11</v>
      </c>
      <c r="B16" s="172" t="inlineStr">
        <is>
          <t>Политранс</t>
        </is>
      </c>
      <c r="C16" s="173" t="inlineStr">
        <is>
          <t>TEBS</t>
        </is>
      </c>
      <c r="D16" s="173" t="inlineStr">
        <is>
          <t xml:space="preserve">TEBS 2s/2m 
15м </t>
        </is>
      </c>
      <c r="E16" s="174" t="n">
        <v>1</v>
      </c>
      <c r="F16" s="174" t="n"/>
      <c r="G16" s="174" t="n"/>
      <c r="H16" s="175" t="n">
        <v>4801020640</v>
      </c>
      <c r="I16" s="176" t="inlineStr">
        <is>
          <t>Модулятор EBS, с PEM, без фит.</t>
        </is>
      </c>
      <c r="J16" s="911" t="n"/>
      <c r="K16" s="912" t="n"/>
      <c r="L16" s="178" t="n">
        <v>70</v>
      </c>
      <c r="M16" s="130">
        <f>$E16*75</f>
        <v/>
      </c>
      <c r="N16" s="179" t="n">
        <v>24</v>
      </c>
      <c r="O16" s="130" t="n"/>
      <c r="P16" s="178" t="n">
        <v>70</v>
      </c>
      <c r="Q16" s="130">
        <f>$E16*70</f>
        <v/>
      </c>
      <c r="R16" s="179" t="n">
        <v>0</v>
      </c>
      <c r="S16" s="130" t="n"/>
      <c r="T16" s="178" t="n">
        <v>70</v>
      </c>
      <c r="U16" s="130">
        <f>$E16*100</f>
        <v/>
      </c>
      <c r="V16" s="179" t="n">
        <v>80</v>
      </c>
      <c r="W16" s="130" t="n"/>
      <c r="X16" s="178" t="n">
        <v>70</v>
      </c>
      <c r="Y16" s="130">
        <f>$E16*70</f>
        <v/>
      </c>
      <c r="Z16" s="179" t="n">
        <v>70</v>
      </c>
      <c r="AA16" s="130" t="n"/>
      <c r="AB16" s="178" t="n">
        <v>70</v>
      </c>
      <c r="AC16" s="130">
        <f>$E16*70</f>
        <v/>
      </c>
      <c r="AD16" s="109" t="n"/>
      <c r="AE16" s="130" t="n"/>
      <c r="AF16" s="178" t="n">
        <v>70</v>
      </c>
      <c r="AG16" s="130">
        <f>$E16*70</f>
        <v/>
      </c>
      <c r="AH16" s="109" t="n"/>
      <c r="AI16" s="130" t="n"/>
      <c r="AJ16" s="178" t="n">
        <v>70</v>
      </c>
      <c r="AK16" s="130">
        <f>$E16*70</f>
        <v/>
      </c>
      <c r="AL16" s="109" t="n"/>
      <c r="AM16" s="130" t="n"/>
      <c r="AN16" s="178" t="n">
        <v>70</v>
      </c>
      <c r="AO16" s="130">
        <f>$E16*50</f>
        <v/>
      </c>
      <c r="AP16" s="109" t="n"/>
      <c r="AQ16" s="130" t="n"/>
      <c r="AR16" s="178" t="n">
        <v>70</v>
      </c>
      <c r="AS16" s="130">
        <f>$E16*50</f>
        <v/>
      </c>
      <c r="AT16" s="109" t="n"/>
      <c r="AU16" s="130" t="n"/>
      <c r="AV16" s="178" t="n">
        <v>70</v>
      </c>
      <c r="AW16" s="130">
        <f>$E16*50</f>
        <v/>
      </c>
      <c r="AX16" s="109" t="n"/>
      <c r="AY16" s="130" t="n"/>
      <c r="AZ16" s="178" t="n">
        <v>70</v>
      </c>
      <c r="BA16" s="130">
        <f>$E16*50</f>
        <v/>
      </c>
      <c r="BB16" s="193" t="n"/>
      <c r="BC16" s="130" t="n"/>
      <c r="BD16" s="178" t="n">
        <v>70</v>
      </c>
      <c r="BE16" s="130">
        <f>$E16*40</f>
        <v/>
      </c>
      <c r="BF16" s="109" t="n"/>
      <c r="BG16" s="130" t="n"/>
      <c r="BH16" s="180">
        <f>SUMPRODUCT(--(MOD(COLUMN($L16:$BG16),4)=MOD(COLUMN($L16),4)),$L16:$BG16)</f>
        <v/>
      </c>
      <c r="BI16" s="181">
        <f>Автовик_разбивка[[#This Row],[Цена, 
юань, без НДС 1]]*BH16</f>
        <v/>
      </c>
      <c r="BJ16" s="130">
        <f>SUMPRODUCT(--(MOD(COLUMN($L16:$BG16),4)=MOD(COLUMN($L16)+1,4)),$L16:$BG16)</f>
        <v/>
      </c>
      <c r="BK16" s="187">
        <f>Автовик_разбивка[[#This Row],[Цена, 
юань, без НДС 1]]*BJ16</f>
        <v/>
      </c>
      <c r="BL16" s="109">
        <f>SUMPRODUCT(--(MOD(COLUMN($L16:$BG16),4)=MOD(COLUMN($L16)+2,4)),$L16:$BG16)</f>
        <v/>
      </c>
      <c r="BM16" s="224">
        <f>Автовик_разбивка[[#This Row],[Цена, 
юань, без НДС 1]]*BL16</f>
        <v/>
      </c>
      <c r="BN16" s="178" t="n"/>
      <c r="BO16" s="184" t="n"/>
      <c r="BP16" s="130">
        <f>$E16*30</f>
        <v/>
      </c>
      <c r="BQ16" s="179" t="n"/>
      <c r="BR16" s="130" t="n"/>
      <c r="BS16" s="178" t="n"/>
      <c r="BT16" s="184" t="n"/>
      <c r="BU16" s="130">
        <f>$E16*30</f>
        <v/>
      </c>
      <c r="BV16" s="179" t="n"/>
      <c r="BW16" s="130" t="n"/>
      <c r="BX16" s="178" t="n"/>
      <c r="BY16" s="184" t="n"/>
      <c r="BZ16" s="130">
        <f>$E16*40</f>
        <v/>
      </c>
      <c r="CA16" s="179" t="n"/>
      <c r="CB16" s="130" t="n"/>
      <c r="CC16" s="178" t="n"/>
      <c r="CD16" s="184" t="n"/>
      <c r="CE16" s="130">
        <f>$E16*40</f>
        <v/>
      </c>
      <c r="CF16" s="179" t="n"/>
      <c r="CG16" s="130" t="n"/>
      <c r="CH16" s="178" t="n"/>
      <c r="CI16" s="184" t="n"/>
      <c r="CJ16" s="130">
        <f>$E16*50</f>
        <v/>
      </c>
      <c r="CK16" s="109" t="n"/>
      <c r="CL16" s="130" t="n"/>
      <c r="CM16" s="178" t="n"/>
      <c r="CN16" s="184" t="n"/>
      <c r="CO16" s="130">
        <f>$E16*50</f>
        <v/>
      </c>
      <c r="CP16" s="109" t="n"/>
      <c r="CQ16" s="130" t="n"/>
      <c r="CR16" s="178" t="n"/>
      <c r="CS16" s="184" t="n"/>
      <c r="CT16" s="130">
        <f>$E16*50</f>
        <v/>
      </c>
      <c r="CU16" s="109" t="n"/>
      <c r="CV16" s="130" t="n"/>
      <c r="CW16" s="178" t="n"/>
      <c r="CX16" s="184" t="n"/>
      <c r="CY16" s="130">
        <f>$E16*50</f>
        <v/>
      </c>
      <c r="CZ16" s="109" t="n"/>
      <c r="DA16" s="130" t="n"/>
      <c r="DB16" s="178" t="n"/>
      <c r="DC16" s="184" t="n"/>
      <c r="DD16" s="130">
        <f>$E16*50</f>
        <v/>
      </c>
      <c r="DE16" s="109" t="n"/>
      <c r="DF16" s="130" t="n"/>
      <c r="DG16" s="178" t="n"/>
      <c r="DH16" s="184" t="n"/>
      <c r="DI16" s="130">
        <f>$E16*50</f>
        <v/>
      </c>
      <c r="DJ16" s="109" t="n"/>
      <c r="DK16" s="130" t="n"/>
      <c r="DL16" s="178" t="n"/>
      <c r="DM16" s="184" t="n"/>
      <c r="DN16" s="130">
        <f>$E16*50</f>
        <v/>
      </c>
      <c r="DO16" s="193" t="n"/>
      <c r="DP16" s="130" t="n"/>
      <c r="DQ16" s="178" t="n"/>
      <c r="DR16" s="184" t="n"/>
      <c r="DS16" s="130">
        <f>$E16*50</f>
        <v/>
      </c>
      <c r="DT16" s="109" t="n"/>
      <c r="DU16" s="130" t="n"/>
      <c r="DV16" s="180">
        <f>SUMPRODUCT(--(MOD(COLUMN($BN16:$DU16),5)=MOD(COLUMN($BN16),5)),$BN16:$DU16)</f>
        <v/>
      </c>
      <c r="DW16" s="181">
        <f>Автовик_разбивка[[#This Row],[Цена, 
юань, без НДС 1]]*DV16</f>
        <v/>
      </c>
      <c r="DX16" s="186">
        <f>SUMPRODUCT(--(MOD(COLUMN($BN16:$DU16),5)=MOD(COLUMN($BN16)+1,5)),$BN16:$DU16)</f>
        <v/>
      </c>
      <c r="DY16" s="186">
        <f>Автовик_разбивка[[#This Row],[Цена, 
юань, без НДС 1]]*DX16</f>
        <v/>
      </c>
      <c r="DZ16" s="130">
        <f>SUMPRODUCT(--(MOD(COLUMN($BN16:$DU16),5)=MOD(COLUMN($BN16)+2,5)),$BN16:$DU16)</f>
        <v/>
      </c>
      <c r="EA16" s="187">
        <f>Автовик_разбивка[[#This Row],[Цена, 
юань, без НДС 1]]*DZ16</f>
        <v/>
      </c>
      <c r="EB16" s="109">
        <f>SUMPRODUCT(--(MOD(COLUMN($BN16:$DU16),5)=MOD(COLUMN($BN16)+3,5)),$BN16:$DU16)</f>
        <v/>
      </c>
      <c r="EC16" s="224">
        <f>Автовик_разбивка[[#This Row],[Цена, 
юань, без НДС 1]]*EB16</f>
        <v/>
      </c>
    </row>
    <row r="17">
      <c r="A17" s="221" t="n">
        <v>11</v>
      </c>
      <c r="B17" s="172" t="inlineStr">
        <is>
          <t>Политранс</t>
        </is>
      </c>
      <c r="C17" s="173" t="inlineStr">
        <is>
          <t>TEBS</t>
        </is>
      </c>
      <c r="D17" s="173" t="inlineStr">
        <is>
          <t xml:space="preserve">TEBS 2s/2m 
15м </t>
        </is>
      </c>
      <c r="E17" s="174" t="n"/>
      <c r="F17" s="174" t="n"/>
      <c r="G17" s="174" t="n"/>
      <c r="H17" s="225" t="n">
        <v>4801020640</v>
      </c>
      <c r="I17" s="226" t="inlineStr">
        <is>
          <t>Модулятор EBS, с PEM, без фит. без CAN</t>
        </is>
      </c>
      <c r="J17" s="911" t="n"/>
      <c r="K17" s="912" t="n"/>
      <c r="L17" s="178" t="n"/>
      <c r="M17" s="130" t="n">
        <v>0</v>
      </c>
      <c r="N17" s="179" t="n">
        <v>46</v>
      </c>
      <c r="O17" s="130" t="n"/>
      <c r="P17" s="178" t="n"/>
      <c r="Q17" s="130" t="n">
        <v>0</v>
      </c>
      <c r="R17" s="179" t="n">
        <v>0</v>
      </c>
      <c r="S17" s="130" t="n"/>
      <c r="T17" s="178" t="n"/>
      <c r="U17" s="130" t="n">
        <v>0</v>
      </c>
      <c r="V17" s="179" t="n">
        <v>20</v>
      </c>
      <c r="W17" s="130" t="n"/>
      <c r="X17" s="178" t="n"/>
      <c r="Y17" s="130" t="n">
        <v>0</v>
      </c>
      <c r="Z17" s="179" t="n">
        <v>0</v>
      </c>
      <c r="AA17" s="130" t="n"/>
      <c r="AB17" s="178" t="n"/>
      <c r="AC17" s="130" t="n"/>
      <c r="AD17" s="109" t="n"/>
      <c r="AE17" s="130" t="n"/>
      <c r="AF17" s="178" t="n"/>
      <c r="AG17" s="130" t="n"/>
      <c r="AH17" s="109" t="n"/>
      <c r="AI17" s="130" t="n"/>
      <c r="AJ17" s="178" t="n"/>
      <c r="AK17" s="130" t="n"/>
      <c r="AL17" s="109" t="n"/>
      <c r="AM17" s="130" t="n"/>
      <c r="AN17" s="178" t="n"/>
      <c r="AO17" s="130" t="n"/>
      <c r="AP17" s="109" t="n"/>
      <c r="AQ17" s="130" t="n"/>
      <c r="AR17" s="178" t="n"/>
      <c r="AS17" s="130" t="n"/>
      <c r="AT17" s="109" t="n"/>
      <c r="AU17" s="130" t="n"/>
      <c r="AV17" s="178" t="n"/>
      <c r="AW17" s="130" t="n"/>
      <c r="AX17" s="109" t="n"/>
      <c r="AY17" s="130" t="n"/>
      <c r="AZ17" s="178" t="n"/>
      <c r="BA17" s="130">
        <f>$E17*50</f>
        <v/>
      </c>
      <c r="BB17" s="179" t="n"/>
      <c r="BC17" s="130" t="n"/>
      <c r="BD17" s="178" t="n"/>
      <c r="BE17" s="130">
        <f>$E17*40</f>
        <v/>
      </c>
      <c r="BF17" s="109" t="n"/>
      <c r="BG17" s="130" t="n"/>
      <c r="BH17" s="180">
        <f>SUMPRODUCT(--(MOD(COLUMN($L17:$BG17),4)=MOD(COLUMN($L17),4)),$L17:$BG17)</f>
        <v/>
      </c>
      <c r="BI17" s="181">
        <f>Автовик_разбивка[[#This Row],[Цена, 
юань, без НДС 1]]*BH17</f>
        <v/>
      </c>
      <c r="BJ17" s="130">
        <f>SUMPRODUCT(--(MOD(COLUMN($L17:$BG17),4)=MOD(COLUMN($L17)+1,4)),$L17:$BG17)</f>
        <v/>
      </c>
      <c r="BK17" s="187">
        <f>Автовик_разбивка[[#This Row],[Цена, 
юань, без НДС 1]]*BJ17</f>
        <v/>
      </c>
      <c r="BL17" s="109">
        <f>SUMPRODUCT(--(MOD(COLUMN($L17:$BG17),4)=MOD(COLUMN($L17)+2,4)),$L17:$BG17)</f>
        <v/>
      </c>
      <c r="BM17" s="224">
        <f>Автовик_разбивка[[#This Row],[Цена, 
юань, без НДС 1]]*BL17</f>
        <v/>
      </c>
      <c r="BN17" s="178" t="n"/>
      <c r="BO17" s="184" t="n"/>
      <c r="BP17" s="130">
        <f>$E17*30</f>
        <v/>
      </c>
      <c r="BQ17" s="179" t="n"/>
      <c r="BR17" s="130" t="n"/>
      <c r="BS17" s="178" t="n"/>
      <c r="BT17" s="184" t="n"/>
      <c r="BU17" s="130">
        <f>$E17*30</f>
        <v/>
      </c>
      <c r="BV17" s="179" t="n"/>
      <c r="BW17" s="130" t="n"/>
      <c r="BX17" s="178" t="n"/>
      <c r="BY17" s="184" t="n"/>
      <c r="BZ17" s="130">
        <f>$E17*40</f>
        <v/>
      </c>
      <c r="CA17" s="179" t="n"/>
      <c r="CB17" s="130" t="n"/>
      <c r="CC17" s="178" t="n"/>
      <c r="CD17" s="184" t="n"/>
      <c r="CE17" s="130">
        <f>$E17*40</f>
        <v/>
      </c>
      <c r="CF17" s="179" t="n"/>
      <c r="CG17" s="130" t="n"/>
      <c r="CH17" s="178" t="n"/>
      <c r="CI17" s="184" t="n"/>
      <c r="CJ17" s="130">
        <f>$E17*50</f>
        <v/>
      </c>
      <c r="CK17" s="109" t="n"/>
      <c r="CL17" s="130" t="n"/>
      <c r="CM17" s="178" t="n"/>
      <c r="CN17" s="184" t="n"/>
      <c r="CO17" s="130">
        <f>$E17*50</f>
        <v/>
      </c>
      <c r="CP17" s="109" t="n"/>
      <c r="CQ17" s="130" t="n"/>
      <c r="CR17" s="178" t="n"/>
      <c r="CS17" s="184" t="n"/>
      <c r="CT17" s="130">
        <f>$E17*50</f>
        <v/>
      </c>
      <c r="CU17" s="109" t="n"/>
      <c r="CV17" s="130" t="n"/>
      <c r="CW17" s="178" t="n"/>
      <c r="CX17" s="184" t="n"/>
      <c r="CY17" s="130">
        <f>$E17*50</f>
        <v/>
      </c>
      <c r="CZ17" s="109" t="n"/>
      <c r="DA17" s="130" t="n"/>
      <c r="DB17" s="178" t="n"/>
      <c r="DC17" s="184" t="n"/>
      <c r="DD17" s="130">
        <f>$E17*50</f>
        <v/>
      </c>
      <c r="DE17" s="109" t="n"/>
      <c r="DF17" s="130" t="n"/>
      <c r="DG17" s="178" t="n"/>
      <c r="DH17" s="184" t="n"/>
      <c r="DI17" s="130">
        <f>$E17*50</f>
        <v/>
      </c>
      <c r="DJ17" s="109" t="n"/>
      <c r="DK17" s="130" t="n"/>
      <c r="DL17" s="178" t="n"/>
      <c r="DM17" s="184" t="n"/>
      <c r="DN17" s="130">
        <f>$E17*50</f>
        <v/>
      </c>
      <c r="DO17" s="179" t="n"/>
      <c r="DP17" s="130" t="n"/>
      <c r="DQ17" s="178" t="n"/>
      <c r="DR17" s="184" t="n"/>
      <c r="DS17" s="130">
        <f>$E17*50</f>
        <v/>
      </c>
      <c r="DT17" s="109" t="n"/>
      <c r="DU17" s="130" t="n"/>
      <c r="DV17" s="180">
        <f>SUMPRODUCT(--(MOD(COLUMN($BN17:$DU17),5)=MOD(COLUMN($BN17),5)),$BN17:$DU17)</f>
        <v/>
      </c>
      <c r="DW17" s="181">
        <f>Автовик_разбивка[[#This Row],[Цена, 
юань, без НДС 1]]*DV17</f>
        <v/>
      </c>
      <c r="DX17" s="186">
        <f>SUMPRODUCT(--(MOD(COLUMN($BN17:$DU17),5)=MOD(COLUMN($BN17)+1,5)),$BN17:$DU17)</f>
        <v/>
      </c>
      <c r="DY17" s="186">
        <f>Автовик_разбивка[[#This Row],[Цена, 
юань, без НДС 1]]*DX17</f>
        <v/>
      </c>
      <c r="DZ17" s="130">
        <f>SUMPRODUCT(--(MOD(COLUMN($BN17:$DU17),5)=MOD(COLUMN($BN17)+2,5)),$BN17:$DU17)</f>
        <v/>
      </c>
      <c r="EA17" s="187">
        <f>Автовик_разбивка[[#This Row],[Цена, 
юань, без НДС 1]]*DZ17</f>
        <v/>
      </c>
      <c r="EB17" s="109">
        <f>SUMPRODUCT(--(MOD(COLUMN($BN17:$DU17),5)=MOD(COLUMN($BN17)+3,5)),$BN17:$DU17)</f>
        <v/>
      </c>
      <c r="EC17" s="224">
        <f>Автовик_разбивка[[#This Row],[Цена, 
юань, без НДС 1]]*EB17</f>
        <v/>
      </c>
    </row>
    <row r="18">
      <c r="A18" s="221" t="n">
        <v>11</v>
      </c>
      <c r="B18" s="172" t="inlineStr">
        <is>
          <t>Политранс</t>
        </is>
      </c>
      <c r="C18" s="173" t="inlineStr">
        <is>
          <t>TEBS</t>
        </is>
      </c>
      <c r="D18" s="173" t="inlineStr">
        <is>
          <t xml:space="preserve">TEBS 2s/2m 
15м </t>
        </is>
      </c>
      <c r="E18" s="174" t="n">
        <v>1</v>
      </c>
      <c r="F18" s="174" t="n"/>
      <c r="G18" s="174" t="n"/>
      <c r="H18" s="175" t="n">
        <v>9522010010</v>
      </c>
      <c r="I18" s="176" t="inlineStr">
        <is>
          <t>Головка соединительная (управляющая)</t>
        </is>
      </c>
      <c r="J18" s="911" t="n"/>
      <c r="K18" s="913" t="n"/>
      <c r="L18" s="178" t="n">
        <v>70</v>
      </c>
      <c r="M18" s="130">
        <f>$E18*75</f>
        <v/>
      </c>
      <c r="N18" s="179" t="n">
        <v>70</v>
      </c>
      <c r="O18" s="130" t="n"/>
      <c r="P18" s="178" t="n">
        <v>70</v>
      </c>
      <c r="Q18" s="130">
        <f>$E18*70</f>
        <v/>
      </c>
      <c r="R18" s="179" t="n">
        <v>0</v>
      </c>
      <c r="S18" s="130" t="n"/>
      <c r="T18" s="178" t="n">
        <v>70</v>
      </c>
      <c r="U18" s="130">
        <f>$E18*100</f>
        <v/>
      </c>
      <c r="V18" s="179" t="n">
        <v>100</v>
      </c>
      <c r="W18" s="130" t="n"/>
      <c r="X18" s="178" t="n">
        <v>70</v>
      </c>
      <c r="Y18" s="130">
        <f>$E18*70</f>
        <v/>
      </c>
      <c r="Z18" s="179" t="n">
        <v>70</v>
      </c>
      <c r="AA18" s="130" t="n"/>
      <c r="AB18" s="178" t="n">
        <v>70</v>
      </c>
      <c r="AC18" s="130">
        <f>$E18*70</f>
        <v/>
      </c>
      <c r="AD18" s="179" t="n"/>
      <c r="AE18" s="130" t="n"/>
      <c r="AF18" s="178" t="n">
        <v>70</v>
      </c>
      <c r="AG18" s="130">
        <f>$E18*70</f>
        <v/>
      </c>
      <c r="AH18" s="179" t="n"/>
      <c r="AI18" s="130" t="n"/>
      <c r="AJ18" s="178" t="n">
        <v>70</v>
      </c>
      <c r="AK18" s="130">
        <f>$E18*70</f>
        <v/>
      </c>
      <c r="AL18" s="179" t="n"/>
      <c r="AM18" s="130" t="n"/>
      <c r="AN18" s="178" t="n">
        <v>70</v>
      </c>
      <c r="AO18" s="130">
        <f>$E18*50</f>
        <v/>
      </c>
      <c r="AP18" s="179" t="n"/>
      <c r="AQ18" s="130" t="n"/>
      <c r="AR18" s="178" t="n">
        <v>70</v>
      </c>
      <c r="AS18" s="130">
        <f>$E18*50</f>
        <v/>
      </c>
      <c r="AT18" s="179" t="n"/>
      <c r="AU18" s="130" t="n"/>
      <c r="AV18" s="178" t="n">
        <v>70</v>
      </c>
      <c r="AW18" s="130">
        <f>$E18*50</f>
        <v/>
      </c>
      <c r="AX18" s="179" t="n"/>
      <c r="AY18" s="130" t="n"/>
      <c r="AZ18" s="178" t="n">
        <v>70</v>
      </c>
      <c r="BA18" s="130">
        <f>$E18*50</f>
        <v/>
      </c>
      <c r="BB18" s="228" t="n"/>
      <c r="BC18" s="130" t="n"/>
      <c r="BD18" s="178" t="n">
        <v>70</v>
      </c>
      <c r="BE18" s="130">
        <f>$E18*40</f>
        <v/>
      </c>
      <c r="BF18" s="109" t="n"/>
      <c r="BG18" s="130" t="n"/>
      <c r="BH18" s="180">
        <f>SUMPRODUCT(--(MOD(COLUMN($L18:$BG18),4)=MOD(COLUMN($L18),4)),$L18:$BG18)</f>
        <v/>
      </c>
      <c r="BI18" s="181">
        <f>Автовик_разбивка[[#This Row],[Цена, 
юань, без НДС 1]]*BH18</f>
        <v/>
      </c>
      <c r="BJ18" s="130">
        <f>SUMPRODUCT(--(MOD(COLUMN($L18:$BG18),4)=MOD(COLUMN($L18)+1,4)),$L18:$BG18)</f>
        <v/>
      </c>
      <c r="BK18" s="187">
        <f>Автовик_разбивка[[#This Row],[Цена, 
юань, без НДС 1]]*BJ18</f>
        <v/>
      </c>
      <c r="BL18" s="109">
        <f>SUMPRODUCT(--(MOD(COLUMN($L18:$BG18),4)=MOD(COLUMN($L18)+2,4)),$L18:$BG18)</f>
        <v/>
      </c>
      <c r="BM18" s="224">
        <f>Автовик_разбивка[[#This Row],[Цена, 
юань, без НДС 1]]*BL18</f>
        <v/>
      </c>
      <c r="BN18" s="178" t="n"/>
      <c r="BO18" s="184" t="n"/>
      <c r="BP18" s="130">
        <f>$E18*30</f>
        <v/>
      </c>
      <c r="BQ18" s="179" t="n"/>
      <c r="BR18" s="130" t="n"/>
      <c r="BS18" s="178" t="n"/>
      <c r="BT18" s="184" t="n"/>
      <c r="BU18" s="130">
        <f>$E18*30</f>
        <v/>
      </c>
      <c r="BV18" s="179" t="n"/>
      <c r="BW18" s="130" t="n"/>
      <c r="BX18" s="178" t="n"/>
      <c r="BY18" s="184" t="n"/>
      <c r="BZ18" s="130">
        <f>$E18*40</f>
        <v/>
      </c>
      <c r="CA18" s="179" t="n"/>
      <c r="CB18" s="130" t="n"/>
      <c r="CC18" s="178" t="n"/>
      <c r="CD18" s="184" t="n"/>
      <c r="CE18" s="130">
        <f>$E18*40</f>
        <v/>
      </c>
      <c r="CF18" s="179" t="n"/>
      <c r="CG18" s="130" t="n"/>
      <c r="CH18" s="178" t="n"/>
      <c r="CI18" s="184" t="n"/>
      <c r="CJ18" s="130">
        <f>$E18*50</f>
        <v/>
      </c>
      <c r="CK18" s="179" t="n"/>
      <c r="CL18" s="130" t="n"/>
      <c r="CM18" s="178" t="n"/>
      <c r="CN18" s="184" t="n"/>
      <c r="CO18" s="130">
        <f>$E18*50</f>
        <v/>
      </c>
      <c r="CP18" s="179" t="n"/>
      <c r="CQ18" s="130" t="n"/>
      <c r="CR18" s="178" t="n"/>
      <c r="CS18" s="184" t="n"/>
      <c r="CT18" s="130">
        <f>$E18*50</f>
        <v/>
      </c>
      <c r="CU18" s="179" t="n"/>
      <c r="CV18" s="130" t="n"/>
      <c r="CW18" s="178" t="n"/>
      <c r="CX18" s="184" t="n"/>
      <c r="CY18" s="130">
        <f>$E18*50</f>
        <v/>
      </c>
      <c r="CZ18" s="179" t="n"/>
      <c r="DA18" s="130" t="n"/>
      <c r="DB18" s="178" t="n"/>
      <c r="DC18" s="184" t="n"/>
      <c r="DD18" s="130">
        <f>$E18*50</f>
        <v/>
      </c>
      <c r="DE18" s="179" t="n"/>
      <c r="DF18" s="130" t="n"/>
      <c r="DG18" s="178" t="n"/>
      <c r="DH18" s="184" t="n"/>
      <c r="DI18" s="130">
        <f>$E18*50</f>
        <v/>
      </c>
      <c r="DJ18" s="179" t="n"/>
      <c r="DK18" s="130" t="n"/>
      <c r="DL18" s="178" t="n"/>
      <c r="DM18" s="184" t="n"/>
      <c r="DN18" s="130">
        <f>$E18*50</f>
        <v/>
      </c>
      <c r="DO18" s="228" t="n"/>
      <c r="DP18" s="130" t="n"/>
      <c r="DQ18" s="178" t="n"/>
      <c r="DR18" s="184" t="n"/>
      <c r="DS18" s="130">
        <f>$E18*50</f>
        <v/>
      </c>
      <c r="DT18" s="109" t="n"/>
      <c r="DU18" s="130" t="n"/>
      <c r="DV18" s="180">
        <f>SUMPRODUCT(--(MOD(COLUMN($BN18:$DU18),5)=MOD(COLUMN($BN18),5)),$BN18:$DU18)</f>
        <v/>
      </c>
      <c r="DW18" s="181">
        <f>Автовик_разбивка[[#This Row],[Цена, 
юань, без НДС 1]]*DV18</f>
        <v/>
      </c>
      <c r="DX18" s="186">
        <f>SUMPRODUCT(--(MOD(COLUMN($BN18:$DU18),5)=MOD(COLUMN($BN18)+1,5)),$BN18:$DU18)</f>
        <v/>
      </c>
      <c r="DY18" s="186">
        <f>Автовик_разбивка[[#This Row],[Цена, 
юань, без НДС 1]]*DX18</f>
        <v/>
      </c>
      <c r="DZ18" s="130">
        <f>SUMPRODUCT(--(MOD(COLUMN($BN18:$DU18),5)=MOD(COLUMN($BN18)+2,5)),$BN18:$DU18)</f>
        <v/>
      </c>
      <c r="EA18" s="187">
        <f>Автовик_разбивка[[#This Row],[Цена, 
юань, без НДС 1]]*DZ18</f>
        <v/>
      </c>
      <c r="EB18" s="109">
        <f>SUMPRODUCT(--(MOD(COLUMN($BN18:$DU18),5)=MOD(COLUMN($BN18)+3,5)),$BN18:$DU18)</f>
        <v/>
      </c>
      <c r="EC18" s="224">
        <f>Автовик_разбивка[[#This Row],[Цена, 
юань, без НДС 1]]*EB18</f>
        <v/>
      </c>
    </row>
    <row r="19">
      <c r="A19" s="221" t="n">
        <v>11</v>
      </c>
      <c r="B19" s="172" t="inlineStr">
        <is>
          <t>Политранс</t>
        </is>
      </c>
      <c r="C19" s="173" t="inlineStr">
        <is>
          <t>TEBS</t>
        </is>
      </c>
      <c r="D19" s="173" t="inlineStr">
        <is>
          <t xml:space="preserve">TEBS 2s/2m 
15м </t>
        </is>
      </c>
      <c r="E19" s="174" t="n">
        <v>1</v>
      </c>
      <c r="F19" s="174" t="n"/>
      <c r="G19" s="174" t="n"/>
      <c r="H19" s="175" t="n">
        <v>9522010020</v>
      </c>
      <c r="I19" s="176" t="inlineStr">
        <is>
          <t>Головка соединительная (питающая)</t>
        </is>
      </c>
      <c r="J19" s="911" t="n"/>
      <c r="K19" s="913" t="n"/>
      <c r="L19" s="178" t="n">
        <v>70</v>
      </c>
      <c r="M19" s="130">
        <f>$E19*75</f>
        <v/>
      </c>
      <c r="N19" s="179" t="n">
        <v>70</v>
      </c>
      <c r="O19" s="130" t="n"/>
      <c r="P19" s="178" t="n">
        <v>70</v>
      </c>
      <c r="Q19" s="130">
        <f>$E19*70</f>
        <v/>
      </c>
      <c r="R19" s="179" t="n">
        <v>0</v>
      </c>
      <c r="S19" s="130" t="n"/>
      <c r="T19" s="178" t="n">
        <v>70</v>
      </c>
      <c r="U19" s="130">
        <f>$E19*100</f>
        <v/>
      </c>
      <c r="V19" s="179" t="n">
        <v>100</v>
      </c>
      <c r="W19" s="130" t="n"/>
      <c r="X19" s="178" t="n">
        <v>70</v>
      </c>
      <c r="Y19" s="130">
        <f>$E19*70</f>
        <v/>
      </c>
      <c r="Z19" s="179" t="n">
        <v>70</v>
      </c>
      <c r="AA19" s="130" t="n"/>
      <c r="AB19" s="178" t="n">
        <v>70</v>
      </c>
      <c r="AC19" s="130">
        <f>$E19*70</f>
        <v/>
      </c>
      <c r="AD19" s="179" t="n"/>
      <c r="AE19" s="130" t="n"/>
      <c r="AF19" s="178" t="n">
        <v>70</v>
      </c>
      <c r="AG19" s="130">
        <f>$E19*70</f>
        <v/>
      </c>
      <c r="AH19" s="179" t="n"/>
      <c r="AI19" s="130" t="n"/>
      <c r="AJ19" s="178" t="n">
        <v>70</v>
      </c>
      <c r="AK19" s="130">
        <f>$E19*70</f>
        <v/>
      </c>
      <c r="AL19" s="179" t="n"/>
      <c r="AM19" s="130" t="n"/>
      <c r="AN19" s="178" t="n">
        <v>70</v>
      </c>
      <c r="AO19" s="130">
        <f>$E19*50</f>
        <v/>
      </c>
      <c r="AP19" s="179" t="n"/>
      <c r="AQ19" s="130" t="n"/>
      <c r="AR19" s="178" t="n">
        <v>70</v>
      </c>
      <c r="AS19" s="130">
        <f>$E19*50</f>
        <v/>
      </c>
      <c r="AT19" s="179" t="n"/>
      <c r="AU19" s="130" t="n"/>
      <c r="AV19" s="178" t="n">
        <v>70</v>
      </c>
      <c r="AW19" s="130">
        <f>$E19*50</f>
        <v/>
      </c>
      <c r="AX19" s="179" t="n"/>
      <c r="AY19" s="130" t="n"/>
      <c r="AZ19" s="178" t="n">
        <v>70</v>
      </c>
      <c r="BA19" s="130">
        <f>$E19*50</f>
        <v/>
      </c>
      <c r="BB19" s="228" t="n"/>
      <c r="BC19" s="130" t="n"/>
      <c r="BD19" s="178" t="n">
        <v>70</v>
      </c>
      <c r="BE19" s="130">
        <f>$E19*40</f>
        <v/>
      </c>
      <c r="BF19" s="109" t="n"/>
      <c r="BG19" s="130" t="n"/>
      <c r="BH19" s="180">
        <f>SUMPRODUCT(--(MOD(COLUMN($L19:$BG19),4)=MOD(COLUMN($L19),4)),$L19:$BG19)</f>
        <v/>
      </c>
      <c r="BI19" s="181">
        <f>Автовик_разбивка[[#This Row],[Цена, 
юань, без НДС 1]]*BH19</f>
        <v/>
      </c>
      <c r="BJ19" s="130">
        <f>SUMPRODUCT(--(MOD(COLUMN($L19:$BG19),4)=MOD(COLUMN($L19)+1,4)),$L19:$BG19)</f>
        <v/>
      </c>
      <c r="BK19" s="187">
        <f>Автовик_разбивка[[#This Row],[Цена, 
юань, без НДС 1]]*BJ19</f>
        <v/>
      </c>
      <c r="BL19" s="109">
        <f>SUMPRODUCT(--(MOD(COLUMN($L19:$BG19),4)=MOD(COLUMN($L19)+2,4)),$L19:$BG19)</f>
        <v/>
      </c>
      <c r="BM19" s="224">
        <f>Автовик_разбивка[[#This Row],[Цена, 
юань, без НДС 1]]*BL19</f>
        <v/>
      </c>
      <c r="BN19" s="178" t="n"/>
      <c r="BO19" s="184" t="n"/>
      <c r="BP19" s="130">
        <f>$E19*30</f>
        <v/>
      </c>
      <c r="BQ19" s="179" t="n"/>
      <c r="BR19" s="130" t="n"/>
      <c r="BS19" s="178" t="n"/>
      <c r="BT19" s="184" t="n"/>
      <c r="BU19" s="130">
        <f>$E19*30</f>
        <v/>
      </c>
      <c r="BV19" s="179" t="n"/>
      <c r="BW19" s="130" t="n"/>
      <c r="BX19" s="178" t="n"/>
      <c r="BY19" s="184" t="n"/>
      <c r="BZ19" s="130">
        <f>$E19*40</f>
        <v/>
      </c>
      <c r="CA19" s="179" t="n"/>
      <c r="CB19" s="130" t="n"/>
      <c r="CC19" s="178" t="n"/>
      <c r="CD19" s="184" t="n"/>
      <c r="CE19" s="130">
        <f>$E19*40</f>
        <v/>
      </c>
      <c r="CF19" s="179" t="n"/>
      <c r="CG19" s="130" t="n"/>
      <c r="CH19" s="178" t="n"/>
      <c r="CI19" s="184" t="n"/>
      <c r="CJ19" s="130">
        <f>$E19*50</f>
        <v/>
      </c>
      <c r="CK19" s="179" t="n"/>
      <c r="CL19" s="130" t="n"/>
      <c r="CM19" s="178" t="n"/>
      <c r="CN19" s="184" t="n"/>
      <c r="CO19" s="130">
        <f>$E19*50</f>
        <v/>
      </c>
      <c r="CP19" s="179" t="n"/>
      <c r="CQ19" s="130" t="n"/>
      <c r="CR19" s="178" t="n"/>
      <c r="CS19" s="184" t="n"/>
      <c r="CT19" s="130">
        <f>$E19*50</f>
        <v/>
      </c>
      <c r="CU19" s="179" t="n"/>
      <c r="CV19" s="130" t="n"/>
      <c r="CW19" s="178" t="n"/>
      <c r="CX19" s="184" t="n"/>
      <c r="CY19" s="130">
        <f>$E19*50</f>
        <v/>
      </c>
      <c r="CZ19" s="179" t="n"/>
      <c r="DA19" s="130" t="n"/>
      <c r="DB19" s="178" t="n"/>
      <c r="DC19" s="184" t="n"/>
      <c r="DD19" s="130">
        <f>$E19*50</f>
        <v/>
      </c>
      <c r="DE19" s="179" t="n"/>
      <c r="DF19" s="130" t="n"/>
      <c r="DG19" s="178" t="n"/>
      <c r="DH19" s="184" t="n"/>
      <c r="DI19" s="130">
        <f>$E19*50</f>
        <v/>
      </c>
      <c r="DJ19" s="179" t="n"/>
      <c r="DK19" s="130" t="n"/>
      <c r="DL19" s="178" t="n"/>
      <c r="DM19" s="184" t="n"/>
      <c r="DN19" s="130">
        <f>$E19*50</f>
        <v/>
      </c>
      <c r="DO19" s="228" t="n"/>
      <c r="DP19" s="130" t="n"/>
      <c r="DQ19" s="178" t="n"/>
      <c r="DR19" s="184" t="n"/>
      <c r="DS19" s="130">
        <f>$E19*50</f>
        <v/>
      </c>
      <c r="DT19" s="109" t="n"/>
      <c r="DU19" s="130" t="n"/>
      <c r="DV19" s="180">
        <f>SUMPRODUCT(--(MOD(COLUMN($BN19:$DU19),5)=MOD(COLUMN($BN19),5)),$BN19:$DU19)</f>
        <v/>
      </c>
      <c r="DW19" s="181">
        <f>Автовик_разбивка[[#This Row],[Цена, 
юань, без НДС 1]]*DV19</f>
        <v/>
      </c>
      <c r="DX19" s="186">
        <f>SUMPRODUCT(--(MOD(COLUMN($BN19:$DU19),5)=MOD(COLUMN($BN19)+1,5)),$BN19:$DU19)</f>
        <v/>
      </c>
      <c r="DY19" s="186">
        <f>Автовик_разбивка[[#This Row],[Цена, 
юань, без НДС 1]]*DX19</f>
        <v/>
      </c>
      <c r="DZ19" s="130">
        <f>SUMPRODUCT(--(MOD(COLUMN($BN19:$DU19),5)=MOD(COLUMN($BN19)+2,5)),$BN19:$DU19)</f>
        <v/>
      </c>
      <c r="EA19" s="187">
        <f>Автовик_разбивка[[#This Row],[Цена, 
юань, без НДС 1]]*DZ19</f>
        <v/>
      </c>
      <c r="EB19" s="109">
        <f>SUMPRODUCT(--(MOD(COLUMN($BN19:$DU19),5)=MOD(COLUMN($BN19)+3,5)),$BN19:$DU19)</f>
        <v/>
      </c>
      <c r="EC19" s="224">
        <f>Автовик_разбивка[[#This Row],[Цена, 
юань, без НДС 1]]*EB19</f>
        <v/>
      </c>
    </row>
    <row r="20">
      <c r="A20" s="221" t="n">
        <v>11</v>
      </c>
      <c r="B20" s="172" t="inlineStr">
        <is>
          <t>Политранс</t>
        </is>
      </c>
      <c r="C20" s="173" t="inlineStr">
        <is>
          <t>TEBS</t>
        </is>
      </c>
      <c r="D20" s="173" t="inlineStr">
        <is>
          <t xml:space="preserve">TEBS 2s/2m 
15м </t>
        </is>
      </c>
      <c r="E20" s="174" t="n">
        <v>1</v>
      </c>
      <c r="F20" s="174" t="n"/>
      <c r="G20" s="174" t="n"/>
      <c r="H20" s="175" t="n">
        <v>9710029000</v>
      </c>
      <c r="I20" s="176" t="inlineStr">
        <is>
          <t>Воздухораспределитель с клапаном растормаживания</t>
        </is>
      </c>
      <c r="J20" s="911" t="n"/>
      <c r="K20" s="912" t="n"/>
      <c r="L20" s="178" t="n">
        <v>70</v>
      </c>
      <c r="M20" s="130">
        <f>$E20*75</f>
        <v/>
      </c>
      <c r="N20" s="179" t="n">
        <v>70</v>
      </c>
      <c r="O20" s="130" t="n"/>
      <c r="P20" s="178" t="n">
        <v>70</v>
      </c>
      <c r="Q20" s="130">
        <f>$E20*70</f>
        <v/>
      </c>
      <c r="R20" s="179" t="n">
        <v>0</v>
      </c>
      <c r="S20" s="130" t="n"/>
      <c r="T20" s="178" t="n">
        <v>70</v>
      </c>
      <c r="U20" s="130">
        <f>$E20*100</f>
        <v/>
      </c>
      <c r="V20" s="179" t="n">
        <v>100</v>
      </c>
      <c r="W20" s="130" t="n"/>
      <c r="X20" s="178" t="n">
        <v>70</v>
      </c>
      <c r="Y20" s="130">
        <f>$E20*70</f>
        <v/>
      </c>
      <c r="Z20" s="179" t="n">
        <v>70</v>
      </c>
      <c r="AA20" s="130" t="n"/>
      <c r="AB20" s="178" t="n">
        <v>70</v>
      </c>
      <c r="AC20" s="130">
        <f>$E20*70</f>
        <v/>
      </c>
      <c r="AD20" s="109" t="n"/>
      <c r="AE20" s="130" t="n"/>
      <c r="AF20" s="178" t="n">
        <v>70</v>
      </c>
      <c r="AG20" s="130">
        <f>$E20*70</f>
        <v/>
      </c>
      <c r="AH20" s="109" t="n"/>
      <c r="AI20" s="130" t="n"/>
      <c r="AJ20" s="178" t="n">
        <v>70</v>
      </c>
      <c r="AK20" s="130">
        <f>$E20*70</f>
        <v/>
      </c>
      <c r="AL20" s="109" t="n"/>
      <c r="AM20" s="130" t="n"/>
      <c r="AN20" s="178" t="n">
        <v>70</v>
      </c>
      <c r="AO20" s="130">
        <f>$E20*50</f>
        <v/>
      </c>
      <c r="AP20" s="109" t="n"/>
      <c r="AQ20" s="130" t="n"/>
      <c r="AR20" s="178" t="n">
        <v>70</v>
      </c>
      <c r="AS20" s="130">
        <f>$E20*50</f>
        <v/>
      </c>
      <c r="AT20" s="109" t="n"/>
      <c r="AU20" s="130" t="n"/>
      <c r="AV20" s="178" t="n">
        <v>70</v>
      </c>
      <c r="AW20" s="130">
        <f>$E20*50</f>
        <v/>
      </c>
      <c r="AX20" s="109" t="n"/>
      <c r="AY20" s="130" t="n"/>
      <c r="AZ20" s="178" t="n">
        <v>70</v>
      </c>
      <c r="BA20" s="130">
        <f>$E20*50</f>
        <v/>
      </c>
      <c r="BB20" s="194" t="n"/>
      <c r="BC20" s="130" t="n"/>
      <c r="BD20" s="178" t="n">
        <v>70</v>
      </c>
      <c r="BE20" s="130">
        <f>$E20*40</f>
        <v/>
      </c>
      <c r="BF20" s="109" t="n"/>
      <c r="BG20" s="130" t="n"/>
      <c r="BH20" s="180">
        <f>SUMPRODUCT(--(MOD(COLUMN($L20:$BG20),4)=MOD(COLUMN($L20),4)),$L20:$BG20)</f>
        <v/>
      </c>
      <c r="BI20" s="181">
        <f>Автовик_разбивка[[#This Row],[Цена, 
юань, без НДС 1]]*BH20</f>
        <v/>
      </c>
      <c r="BJ20" s="130">
        <f>SUMPRODUCT(--(MOD(COLUMN($L20:$BG20),4)=MOD(COLUMN($L20)+1,4)),$L20:$BG20)</f>
        <v/>
      </c>
      <c r="BK20" s="187">
        <f>Автовик_разбивка[[#This Row],[Цена, 
юань, без НДС 1]]*BJ20</f>
        <v/>
      </c>
      <c r="BL20" s="109">
        <f>SUMPRODUCT(--(MOD(COLUMN($L20:$BG20),4)=MOD(COLUMN($L20)+2,4)),$L20:$BG20)</f>
        <v/>
      </c>
      <c r="BM20" s="224">
        <f>Автовик_разбивка[[#This Row],[Цена, 
юань, без НДС 1]]*BL20</f>
        <v/>
      </c>
      <c r="BN20" s="178" t="n"/>
      <c r="BO20" s="184" t="n"/>
      <c r="BP20" s="130">
        <f>$E20*30</f>
        <v/>
      </c>
      <c r="BQ20" s="179" t="n"/>
      <c r="BR20" s="130" t="n"/>
      <c r="BS20" s="178" t="n"/>
      <c r="BT20" s="184" t="n"/>
      <c r="BU20" s="130">
        <f>$E20*30</f>
        <v/>
      </c>
      <c r="BV20" s="179" t="n"/>
      <c r="BW20" s="130" t="n"/>
      <c r="BX20" s="178" t="n"/>
      <c r="BY20" s="184" t="n"/>
      <c r="BZ20" s="130">
        <f>$E20*40</f>
        <v/>
      </c>
      <c r="CA20" s="179" t="n"/>
      <c r="CB20" s="130" t="n"/>
      <c r="CC20" s="178" t="n"/>
      <c r="CD20" s="184" t="n"/>
      <c r="CE20" s="130">
        <f>$E20*40</f>
        <v/>
      </c>
      <c r="CF20" s="179" t="n"/>
      <c r="CG20" s="130" t="n"/>
      <c r="CH20" s="178" t="n"/>
      <c r="CI20" s="184" t="n"/>
      <c r="CJ20" s="130">
        <f>$E20*50</f>
        <v/>
      </c>
      <c r="CK20" s="109" t="n"/>
      <c r="CL20" s="130" t="n"/>
      <c r="CM20" s="178" t="n"/>
      <c r="CN20" s="184" t="n"/>
      <c r="CO20" s="130">
        <f>$E20*50</f>
        <v/>
      </c>
      <c r="CP20" s="109" t="n"/>
      <c r="CQ20" s="130" t="n"/>
      <c r="CR20" s="178" t="n"/>
      <c r="CS20" s="184" t="n"/>
      <c r="CT20" s="130">
        <f>$E20*50</f>
        <v/>
      </c>
      <c r="CU20" s="109" t="n"/>
      <c r="CV20" s="130" t="n"/>
      <c r="CW20" s="178" t="n"/>
      <c r="CX20" s="184" t="n"/>
      <c r="CY20" s="130">
        <f>$E20*50</f>
        <v/>
      </c>
      <c r="CZ20" s="109" t="n"/>
      <c r="DA20" s="130" t="n"/>
      <c r="DB20" s="178" t="n"/>
      <c r="DC20" s="184" t="n"/>
      <c r="DD20" s="130">
        <f>$E20*50</f>
        <v/>
      </c>
      <c r="DE20" s="109" t="n"/>
      <c r="DF20" s="130" t="n"/>
      <c r="DG20" s="178" t="n"/>
      <c r="DH20" s="184" t="n"/>
      <c r="DI20" s="130">
        <f>$E20*50</f>
        <v/>
      </c>
      <c r="DJ20" s="109" t="n"/>
      <c r="DK20" s="130" t="n"/>
      <c r="DL20" s="178" t="n"/>
      <c r="DM20" s="184" t="n"/>
      <c r="DN20" s="130">
        <f>$E20*50</f>
        <v/>
      </c>
      <c r="DO20" s="194" t="n"/>
      <c r="DP20" s="130" t="n"/>
      <c r="DQ20" s="178" t="n"/>
      <c r="DR20" s="184" t="n"/>
      <c r="DS20" s="130">
        <f>$E20*50</f>
        <v/>
      </c>
      <c r="DT20" s="109" t="n"/>
      <c r="DU20" s="130" t="n"/>
      <c r="DV20" s="180">
        <f>SUMPRODUCT(--(MOD(COLUMN($BN20:$DU20),5)=MOD(COLUMN($BN20),5)),$BN20:$DU20)</f>
        <v/>
      </c>
      <c r="DW20" s="181">
        <f>Автовик_разбивка[[#This Row],[Цена, 
юань, без НДС 1]]*DV20</f>
        <v/>
      </c>
      <c r="DX20" s="186">
        <f>SUMPRODUCT(--(MOD(COLUMN($BN20:$DU20),5)=MOD(COLUMN($BN20)+1,5)),$BN20:$DU20)</f>
        <v/>
      </c>
      <c r="DY20" s="186">
        <f>Автовик_разбивка[[#This Row],[Цена, 
юань, без НДС 1]]*DX20</f>
        <v/>
      </c>
      <c r="DZ20" s="130">
        <f>SUMPRODUCT(--(MOD(COLUMN($BN20:$DU20),5)=MOD(COLUMN($BN20)+2,5)),$BN20:$DU20)</f>
        <v/>
      </c>
      <c r="EA20" s="187">
        <f>Автовик_разбивка[[#This Row],[Цена, 
юань, без НДС 1]]*DZ20</f>
        <v/>
      </c>
      <c r="EB20" s="109">
        <f>SUMPRODUCT(--(MOD(COLUMN($BN20:$DU20),5)=MOD(COLUMN($BN20)+3,5)),$BN20:$DU20)</f>
        <v/>
      </c>
      <c r="EC20" s="224">
        <f>Автовик_разбивка[[#This Row],[Цена, 
юань, без НДС 1]]*EB20</f>
        <v/>
      </c>
    </row>
    <row r="21">
      <c r="A21" s="221" t="n">
        <v>11</v>
      </c>
      <c r="B21" s="172" t="inlineStr">
        <is>
          <t>Политранс</t>
        </is>
      </c>
      <c r="C21" s="173" t="inlineStr">
        <is>
          <t>TEBS</t>
        </is>
      </c>
      <c r="D21" s="173" t="n"/>
      <c r="E21" s="174" t="n"/>
      <c r="F21" s="174" t="n"/>
      <c r="G21" s="174" t="n">
        <v>2</v>
      </c>
      <c r="H21" s="175" t="n">
        <v>4460084042</v>
      </c>
      <c r="I21" s="176" t="inlineStr">
        <is>
          <t>Розетка АБС (7 контактов)</t>
        </is>
      </c>
      <c r="J21" s="911" t="n"/>
      <c r="K21" s="912" t="n"/>
      <c r="L21" s="178" t="n"/>
      <c r="M21" s="130" t="n"/>
      <c r="N21" s="179" t="n"/>
      <c r="O21" s="130" t="n"/>
      <c r="P21" s="178" t="n"/>
      <c r="Q21" s="130" t="n"/>
      <c r="R21" s="179" t="n"/>
      <c r="S21" s="130" t="n"/>
      <c r="T21" s="178" t="n"/>
      <c r="U21" s="130" t="n"/>
      <c r="V21" s="179" t="n"/>
      <c r="W21" s="130" t="n"/>
      <c r="X21" s="178" t="n"/>
      <c r="Y21" s="130" t="n"/>
      <c r="Z21" s="179" t="n"/>
      <c r="AA21" s="130" t="n"/>
      <c r="AB21" s="178" t="n"/>
      <c r="AC21" s="130" t="n"/>
      <c r="AD21" s="109" t="n"/>
      <c r="AE21" s="130" t="n"/>
      <c r="AF21" s="178" t="n"/>
      <c r="AG21" s="130" t="n"/>
      <c r="AH21" s="109" t="n"/>
      <c r="AI21" s="130" t="n"/>
      <c r="AJ21" s="178" t="n"/>
      <c r="AK21" s="130" t="n"/>
      <c r="AL21" s="109" t="n"/>
      <c r="AM21" s="130" t="n"/>
      <c r="AN21" s="178" t="n"/>
      <c r="AO21" s="130" t="n"/>
      <c r="AP21" s="109" t="n"/>
      <c r="AQ21" s="130" t="n"/>
      <c r="AR21" s="178" t="n"/>
      <c r="AS21" s="130" t="n"/>
      <c r="AT21" s="109" t="n"/>
      <c r="AU21" s="130" t="n"/>
      <c r="AV21" s="178" t="n"/>
      <c r="AW21" s="130" t="n"/>
      <c r="AX21" s="109" t="n"/>
      <c r="AY21" s="130" t="n"/>
      <c r="AZ21" s="178" t="n"/>
      <c r="BA21" s="130" t="n"/>
      <c r="BB21" s="194" t="n"/>
      <c r="BC21" s="130" t="n"/>
      <c r="BD21" s="178" t="n"/>
      <c r="BE21" s="130" t="n"/>
      <c r="BF21" s="109" t="n"/>
      <c r="BG21" s="130" t="n"/>
      <c r="BH21" s="180">
        <f>SUMPRODUCT(--(MOD(COLUMN($L21:$BG21),4)=MOD(COLUMN($L21),4)),$L21:$BG21)</f>
        <v/>
      </c>
      <c r="BI21" s="181">
        <f>Автовик_разбивка[[#This Row],[Цена, 
юань, без НДС 1]]*BH21</f>
        <v/>
      </c>
      <c r="BJ21" s="130">
        <f>SUMPRODUCT(--(MOD(COLUMN($L21:$BG21),4)=MOD(COLUMN($L21)+1,4)),$L21:$BG21)</f>
        <v/>
      </c>
      <c r="BK21" s="187">
        <f>Автовик_разбивка[[#This Row],[Цена, 
юань, без НДС 1]]*BJ21</f>
        <v/>
      </c>
      <c r="BL21" s="109">
        <f>SUMPRODUCT(--(MOD(COLUMN($L21:$BG21),4)=MOD(COLUMN($L21)+2,4)),$L21:$BG21)</f>
        <v/>
      </c>
      <c r="BM21" s="224">
        <f>Автовик_разбивка[[#This Row],[Цена, 
юань, без НДС 1]]*BL21</f>
        <v/>
      </c>
      <c r="BN21" s="178" t="n"/>
      <c r="BO21" s="184" t="n"/>
      <c r="BP21" s="130" t="n"/>
      <c r="BQ21" s="179" t="n"/>
      <c r="BR21" s="130" t="n"/>
      <c r="BS21" s="178" t="n"/>
      <c r="BT21" s="184" t="n"/>
      <c r="BU21" s="130" t="n"/>
      <c r="BV21" s="179" t="n"/>
      <c r="BW21" s="130" t="n"/>
      <c r="BX21" s="178" t="n"/>
      <c r="BY21" s="184" t="n"/>
      <c r="BZ21" s="130" t="n"/>
      <c r="CA21" s="179" t="n"/>
      <c r="CB21" s="130" t="n"/>
      <c r="CC21" s="178" t="n"/>
      <c r="CD21" s="184" t="n"/>
      <c r="CE21" s="130" t="n"/>
      <c r="CF21" s="179" t="n"/>
      <c r="CG21" s="130" t="n"/>
      <c r="CH21" s="178" t="n"/>
      <c r="CI21" s="184" t="n"/>
      <c r="CJ21" s="130" t="n"/>
      <c r="CK21" s="109" t="n"/>
      <c r="CL21" s="130" t="n"/>
      <c r="CM21" s="178" t="n"/>
      <c r="CN21" s="184" t="n"/>
      <c r="CO21" s="130" t="n"/>
      <c r="CP21" s="109" t="n"/>
      <c r="CQ21" s="130" t="n"/>
      <c r="CR21" s="178" t="n"/>
      <c r="CS21" s="184" t="n"/>
      <c r="CT21" s="130" t="n"/>
      <c r="CU21" s="109" t="n"/>
      <c r="CV21" s="130" t="n"/>
      <c r="CW21" s="178" t="n"/>
      <c r="CX21" s="184" t="n"/>
      <c r="CY21" s="130" t="n"/>
      <c r="CZ21" s="109" t="n"/>
      <c r="DA21" s="130" t="n"/>
      <c r="DB21" s="178" t="n"/>
      <c r="DC21" s="184" t="n"/>
      <c r="DD21" s="130" t="n"/>
      <c r="DE21" s="109" t="n"/>
      <c r="DF21" s="130" t="n"/>
      <c r="DG21" s="178" t="n"/>
      <c r="DH21" s="184" t="n"/>
      <c r="DI21" s="130" t="n"/>
      <c r="DJ21" s="109" t="n"/>
      <c r="DK21" s="130" t="n"/>
      <c r="DL21" s="178" t="n"/>
      <c r="DM21" s="184" t="n"/>
      <c r="DN21" s="130" t="n"/>
      <c r="DO21" s="194" t="n"/>
      <c r="DP21" s="130" t="n"/>
      <c r="DQ21" s="178" t="n"/>
      <c r="DR21" s="184" t="n"/>
      <c r="DS21" s="130" t="n"/>
      <c r="DT21" s="109" t="n"/>
      <c r="DU21" s="130" t="n"/>
      <c r="DV21" s="180">
        <f>SUMPRODUCT(--(MOD(COLUMN($BN21:$DU21),5)=MOD(COLUMN($BN21),5)),$BN21:$DU21)</f>
        <v/>
      </c>
      <c r="DW21" s="181">
        <f>Автовик_разбивка[[#This Row],[Цена, 
юань, без НДС 1]]*DV21</f>
        <v/>
      </c>
      <c r="DX21" s="186">
        <f>SUMPRODUCT(--(MOD(COLUMN($BN21:$DU21),5)=MOD(COLUMN($BN21)+1,5)),$BN21:$DU21)</f>
        <v/>
      </c>
      <c r="DY21" s="186">
        <f>Автовик_разбивка[[#This Row],[Цена, 
юань, без НДС 1]]*DX21</f>
        <v/>
      </c>
      <c r="DZ21" s="130">
        <f>SUMPRODUCT(--(MOD(COLUMN($BN21:$DU21),5)=MOD(COLUMN($BN21)+2,5)),$BN21:$DU21)</f>
        <v/>
      </c>
      <c r="EA21" s="187">
        <f>Автовик_разбивка[[#This Row],[Цена, 
юань, без НДС 1]]*DZ21</f>
        <v/>
      </c>
      <c r="EB21" s="109">
        <f>SUMPRODUCT(--(MOD(COLUMN($BN21:$DU21),5)=MOD(COLUMN($BN21)+3,5)),$BN21:$DU21)</f>
        <v/>
      </c>
      <c r="EC21" s="224">
        <f>Автовик_разбивка[[#This Row],[Цена, 
юань, без НДС 1]]*EB21</f>
        <v/>
      </c>
    </row>
    <row r="22">
      <c r="A22" s="221" t="n">
        <v>11</v>
      </c>
      <c r="B22" s="172" t="inlineStr">
        <is>
          <t>Политранс</t>
        </is>
      </c>
      <c r="C22" s="173" t="inlineStr">
        <is>
          <t>TEBS</t>
        </is>
      </c>
      <c r="D22" s="173" t="n"/>
      <c r="E22" s="174" t="n"/>
      <c r="F22" s="174" t="n"/>
      <c r="G22" s="174" t="n">
        <v>2</v>
      </c>
      <c r="H22" s="175" t="n">
        <v>4493711800</v>
      </c>
      <c r="I22" s="176" t="inlineStr">
        <is>
          <t>Кабель питания, 18 м</t>
        </is>
      </c>
      <c r="J22" s="911" t="n"/>
      <c r="K22" s="912" t="n"/>
      <c r="L22" s="178" t="n"/>
      <c r="M22" s="130" t="n"/>
      <c r="N22" s="179" t="n"/>
      <c r="O22" s="130" t="n"/>
      <c r="P22" s="178" t="n"/>
      <c r="Q22" s="130" t="n"/>
      <c r="R22" s="179" t="n"/>
      <c r="S22" s="130" t="n"/>
      <c r="T22" s="178" t="n"/>
      <c r="U22" s="130" t="n"/>
      <c r="V22" s="179" t="n"/>
      <c r="W22" s="130" t="n"/>
      <c r="X22" s="178" t="n"/>
      <c r="Y22" s="130" t="n"/>
      <c r="Z22" s="179" t="n"/>
      <c r="AA22" s="130" t="n"/>
      <c r="AB22" s="178" t="n"/>
      <c r="AC22" s="130" t="n"/>
      <c r="AD22" s="109" t="n"/>
      <c r="AE22" s="130" t="n"/>
      <c r="AF22" s="178" t="n"/>
      <c r="AG22" s="130" t="n"/>
      <c r="AH22" s="109" t="n"/>
      <c r="AI22" s="130" t="n"/>
      <c r="AJ22" s="178" t="n"/>
      <c r="AK22" s="130" t="n"/>
      <c r="AL22" s="109" t="n"/>
      <c r="AM22" s="130" t="n"/>
      <c r="AN22" s="178" t="n"/>
      <c r="AO22" s="130" t="n"/>
      <c r="AP22" s="109" t="n"/>
      <c r="AQ22" s="130" t="n"/>
      <c r="AR22" s="178" t="n"/>
      <c r="AS22" s="130" t="n"/>
      <c r="AT22" s="109" t="n"/>
      <c r="AU22" s="130" t="n"/>
      <c r="AV22" s="178" t="n"/>
      <c r="AW22" s="130" t="n"/>
      <c r="AX22" s="109" t="n"/>
      <c r="AY22" s="130" t="n"/>
      <c r="AZ22" s="178" t="n"/>
      <c r="BA22" s="130" t="n"/>
      <c r="BB22" s="194" t="n"/>
      <c r="BC22" s="130" t="n"/>
      <c r="BD22" s="178" t="n"/>
      <c r="BE22" s="130" t="n"/>
      <c r="BF22" s="109" t="n"/>
      <c r="BG22" s="130" t="n"/>
      <c r="BH22" s="180">
        <f>SUMPRODUCT(--(MOD(COLUMN($L22:$BG22),4)=MOD(COLUMN($L22),4)),$L22:$BG22)</f>
        <v/>
      </c>
      <c r="BI22" s="181">
        <f>Автовик_разбивка[[#This Row],[Цена, 
юань, без НДС 1]]*BH22</f>
        <v/>
      </c>
      <c r="BJ22" s="130">
        <f>SUMPRODUCT(--(MOD(COLUMN($L22:$BG22),4)=MOD(COLUMN($L22)+1,4)),$L22:$BG22)</f>
        <v/>
      </c>
      <c r="BK22" s="187">
        <f>Автовик_разбивка[[#This Row],[Цена, 
юань, без НДС 1]]*BJ22</f>
        <v/>
      </c>
      <c r="BL22" s="109">
        <f>SUMPRODUCT(--(MOD(COLUMN($L22:$BG22),4)=MOD(COLUMN($L22)+2,4)),$L22:$BG22)</f>
        <v/>
      </c>
      <c r="BM22" s="224">
        <f>Автовик_разбивка[[#This Row],[Цена, 
юань, без НДС 1]]*BL22</f>
        <v/>
      </c>
      <c r="BN22" s="178" t="n"/>
      <c r="BO22" s="184" t="n"/>
      <c r="BP22" s="130" t="n"/>
      <c r="BQ22" s="179" t="n"/>
      <c r="BR22" s="130" t="n"/>
      <c r="BS22" s="178" t="n"/>
      <c r="BT22" s="184" t="n"/>
      <c r="BU22" s="130" t="n"/>
      <c r="BV22" s="179" t="n"/>
      <c r="BW22" s="130" t="n"/>
      <c r="BX22" s="178" t="n"/>
      <c r="BY22" s="184" t="n"/>
      <c r="BZ22" s="130" t="n"/>
      <c r="CA22" s="179" t="n"/>
      <c r="CB22" s="130" t="n"/>
      <c r="CC22" s="178" t="n"/>
      <c r="CD22" s="184" t="n"/>
      <c r="CE22" s="130" t="n"/>
      <c r="CF22" s="179" t="n"/>
      <c r="CG22" s="130" t="n"/>
      <c r="CH22" s="178" t="n"/>
      <c r="CI22" s="184" t="n"/>
      <c r="CJ22" s="130" t="n"/>
      <c r="CK22" s="109" t="n"/>
      <c r="CL22" s="130" t="n"/>
      <c r="CM22" s="178" t="n"/>
      <c r="CN22" s="184" t="n"/>
      <c r="CO22" s="130" t="n"/>
      <c r="CP22" s="109" t="n"/>
      <c r="CQ22" s="130" t="n"/>
      <c r="CR22" s="178" t="n"/>
      <c r="CS22" s="184" t="n"/>
      <c r="CT22" s="130" t="n"/>
      <c r="CU22" s="109" t="n"/>
      <c r="CV22" s="130" t="n"/>
      <c r="CW22" s="178" t="n"/>
      <c r="CX22" s="184" t="n"/>
      <c r="CY22" s="130" t="n"/>
      <c r="CZ22" s="109" t="n"/>
      <c r="DA22" s="130" t="n"/>
      <c r="DB22" s="178" t="n"/>
      <c r="DC22" s="184" t="n"/>
      <c r="DD22" s="130" t="n"/>
      <c r="DE22" s="109" t="n"/>
      <c r="DF22" s="130" t="n"/>
      <c r="DG22" s="178" t="n"/>
      <c r="DH22" s="184" t="n"/>
      <c r="DI22" s="130" t="n"/>
      <c r="DJ22" s="109" t="n"/>
      <c r="DK22" s="130" t="n"/>
      <c r="DL22" s="178" t="n"/>
      <c r="DM22" s="184" t="n"/>
      <c r="DN22" s="130" t="n"/>
      <c r="DO22" s="194" t="n"/>
      <c r="DP22" s="130" t="n"/>
      <c r="DQ22" s="178" t="n"/>
      <c r="DR22" s="184" t="n"/>
      <c r="DS22" s="130" t="n"/>
      <c r="DT22" s="109" t="n"/>
      <c r="DU22" s="130" t="n"/>
      <c r="DV22" s="180">
        <f>SUMPRODUCT(--(MOD(COLUMN($BN22:$DU22),5)=MOD(COLUMN($BN22),5)),$BN22:$DU22)</f>
        <v/>
      </c>
      <c r="DW22" s="181">
        <f>Автовик_разбивка[[#This Row],[Цена, 
юань, без НДС 1]]*DV22</f>
        <v/>
      </c>
      <c r="DX22" s="186">
        <f>SUMPRODUCT(--(MOD(COLUMN($BN22:$DU22),5)=MOD(COLUMN($BN22)+1,5)),$BN22:$DU22)</f>
        <v/>
      </c>
      <c r="DY22" s="186">
        <f>Автовик_разбивка[[#This Row],[Цена, 
юань, без НДС 1]]*DX22</f>
        <v/>
      </c>
      <c r="DZ22" s="130">
        <f>SUMPRODUCT(--(MOD(COLUMN($BN22:$DU22),5)=MOD(COLUMN($BN22)+2,5)),$BN22:$DU22)</f>
        <v/>
      </c>
      <c r="EA22" s="187">
        <f>Автовик_разбивка[[#This Row],[Цена, 
юань, без НДС 1]]*DZ22</f>
        <v/>
      </c>
      <c r="EB22" s="109">
        <f>SUMPRODUCT(--(MOD(COLUMN($BN22:$DU22),5)=MOD(COLUMN($BN22)+3,5)),$BN22:$DU22)</f>
        <v/>
      </c>
      <c r="EC22" s="224">
        <f>Автовик_разбивка[[#This Row],[Цена, 
юань, без НДС 1]]*EB22</f>
        <v/>
      </c>
    </row>
    <row r="23">
      <c r="A23" s="221" t="n">
        <v>11</v>
      </c>
      <c r="B23" s="172" t="inlineStr">
        <is>
          <t>Политранс</t>
        </is>
      </c>
      <c r="C23" s="173" t="n"/>
      <c r="D23" s="173" t="n"/>
      <c r="E23" s="174" t="n"/>
      <c r="F23" s="174" t="n"/>
      <c r="G23" s="174" t="n"/>
      <c r="H23" s="175" t="n">
        <v>9253771100</v>
      </c>
      <c r="I23" s="176" t="inlineStr">
        <is>
          <t>Энергоаккумулятор тип 30/30</t>
        </is>
      </c>
      <c r="J23" s="911" t="n"/>
      <c r="K23" s="912" t="n"/>
      <c r="L23" s="178" t="n"/>
      <c r="M23" s="130" t="n"/>
      <c r="N23" s="179" t="n"/>
      <c r="O23" s="130" t="n"/>
      <c r="P23" s="178" t="n"/>
      <c r="Q23" s="130" t="n"/>
      <c r="R23" s="179" t="n"/>
      <c r="S23" s="130" t="n"/>
      <c r="T23" s="178" t="n"/>
      <c r="U23" s="130" t="n">
        <v>0</v>
      </c>
      <c r="V23" s="179" t="n">
        <v>4</v>
      </c>
      <c r="W23" s="130" t="n"/>
      <c r="X23" s="178" t="n"/>
      <c r="Y23" s="130" t="n"/>
      <c r="Z23" s="179" t="n"/>
      <c r="AA23" s="130" t="n"/>
      <c r="AB23" s="178" t="n"/>
      <c r="AC23" s="130" t="n"/>
      <c r="AD23" s="109" t="n"/>
      <c r="AE23" s="130" t="n"/>
      <c r="AF23" s="178" t="n"/>
      <c r="AG23" s="130" t="n"/>
      <c r="AH23" s="109" t="n"/>
      <c r="AI23" s="130" t="n"/>
      <c r="AJ23" s="178" t="n"/>
      <c r="AK23" s="130" t="n"/>
      <c r="AL23" s="109" t="n"/>
      <c r="AM23" s="130" t="n"/>
      <c r="AN23" s="178" t="n"/>
      <c r="AO23" s="130" t="n"/>
      <c r="AP23" s="109" t="n"/>
      <c r="AQ23" s="130" t="n"/>
      <c r="AR23" s="178" t="n"/>
      <c r="AS23" s="130" t="n"/>
      <c r="AT23" s="109" t="n"/>
      <c r="AU23" s="130" t="n"/>
      <c r="AV23" s="178" t="n"/>
      <c r="AW23" s="130" t="n"/>
      <c r="AX23" s="109" t="n"/>
      <c r="AY23" s="130" t="n"/>
      <c r="AZ23" s="178" t="n"/>
      <c r="BA23" s="130" t="n"/>
      <c r="BB23" s="194" t="n"/>
      <c r="BC23" s="130" t="n"/>
      <c r="BD23" s="178" t="n"/>
      <c r="BE23" s="130" t="n"/>
      <c r="BF23" s="109" t="n"/>
      <c r="BG23" s="130" t="n"/>
      <c r="BH23" s="180">
        <f>SUMPRODUCT(--(MOD(COLUMN($L23:$BG23),4)=MOD(COLUMN($L23),4)),$L23:$BG23)</f>
        <v/>
      </c>
      <c r="BI23" s="181">
        <f>Автовик_разбивка[[#This Row],[Цена, 
юань, без НДС 1]]*BH23</f>
        <v/>
      </c>
      <c r="BJ23" s="130">
        <f>SUMPRODUCT(--(MOD(COLUMN($L23:$BG23),4)=MOD(COLUMN($L23)+1,4)),$L23:$BG23)</f>
        <v/>
      </c>
      <c r="BK23" s="187">
        <f>Автовик_разбивка[[#This Row],[Цена, 
юань, без НДС 1]]*BJ23</f>
        <v/>
      </c>
      <c r="BL23" s="109">
        <f>SUMPRODUCT(--(MOD(COLUMN($L23:$BG23),4)=MOD(COLUMN($L23)+2,4)),$L23:$BG23)</f>
        <v/>
      </c>
      <c r="BM23" s="224">
        <f>Автовик_разбивка[[#This Row],[Цена, 
юань, без НДС 1]]*BL23</f>
        <v/>
      </c>
      <c r="BN23" s="178" t="n"/>
      <c r="BO23" s="184" t="n"/>
      <c r="BP23" s="130" t="n"/>
      <c r="BQ23" s="179" t="n"/>
      <c r="BR23" s="130" t="n"/>
      <c r="BS23" s="178" t="n"/>
      <c r="BT23" s="184" t="n"/>
      <c r="BU23" s="130" t="n"/>
      <c r="BV23" s="179" t="n"/>
      <c r="BW23" s="130" t="n"/>
      <c r="BX23" s="178" t="n"/>
      <c r="BY23" s="184" t="n"/>
      <c r="BZ23" s="130" t="n"/>
      <c r="CA23" s="179" t="n"/>
      <c r="CB23" s="130" t="n"/>
      <c r="CC23" s="178" t="n"/>
      <c r="CD23" s="184" t="n"/>
      <c r="CE23" s="130" t="n"/>
      <c r="CF23" s="179" t="n"/>
      <c r="CG23" s="130" t="n"/>
      <c r="CH23" s="178" t="n"/>
      <c r="CI23" s="184" t="n"/>
      <c r="CJ23" s="130" t="n"/>
      <c r="CK23" s="109" t="n"/>
      <c r="CL23" s="130" t="n"/>
      <c r="CM23" s="178" t="n"/>
      <c r="CN23" s="184" t="n"/>
      <c r="CO23" s="130" t="n"/>
      <c r="CP23" s="109" t="n"/>
      <c r="CQ23" s="130" t="n"/>
      <c r="CR23" s="178" t="n"/>
      <c r="CS23" s="184" t="n"/>
      <c r="CT23" s="130" t="n"/>
      <c r="CU23" s="109" t="n"/>
      <c r="CV23" s="130" t="n"/>
      <c r="CW23" s="178" t="n"/>
      <c r="CX23" s="184" t="n"/>
      <c r="CY23" s="130" t="n"/>
      <c r="CZ23" s="109" t="n"/>
      <c r="DA23" s="130" t="n"/>
      <c r="DB23" s="178" t="n"/>
      <c r="DC23" s="184" t="n"/>
      <c r="DD23" s="130" t="n"/>
      <c r="DE23" s="109" t="n"/>
      <c r="DF23" s="130" t="n"/>
      <c r="DG23" s="178" t="n"/>
      <c r="DH23" s="184" t="n"/>
      <c r="DI23" s="130" t="n"/>
      <c r="DJ23" s="109" t="n"/>
      <c r="DK23" s="130" t="n"/>
      <c r="DL23" s="178" t="n"/>
      <c r="DM23" s="184" t="n"/>
      <c r="DN23" s="130" t="n"/>
      <c r="DO23" s="194" t="n"/>
      <c r="DP23" s="130" t="n"/>
      <c r="DQ23" s="178" t="n"/>
      <c r="DR23" s="184" t="n"/>
      <c r="DS23" s="130" t="n"/>
      <c r="DT23" s="109" t="n"/>
      <c r="DU23" s="130" t="n"/>
      <c r="DV23" s="180">
        <f>SUMPRODUCT(--(MOD(COLUMN($BN23:$DU23),5)=MOD(COLUMN($BN23),5)),$BN23:$DU23)</f>
        <v/>
      </c>
      <c r="DW23" s="181">
        <f>Автовик_разбивка[[#This Row],[Цена, 
юань, без НДС 1]]*DV23</f>
        <v/>
      </c>
      <c r="DX23" s="186">
        <f>SUMPRODUCT(--(MOD(COLUMN($BN23:$DU23),5)=MOD(COLUMN($BN23)+1,5)),$BN23:$DU23)</f>
        <v/>
      </c>
      <c r="DY23" s="186">
        <f>Автовик_разбивка[[#This Row],[Цена, 
юань, без НДС 1]]*DX23</f>
        <v/>
      </c>
      <c r="DZ23" s="130">
        <f>SUMPRODUCT(--(MOD(COLUMN($BN23:$DU23),5)=MOD(COLUMN($BN23)+2,5)),$BN23:$DU23)</f>
        <v/>
      </c>
      <c r="EA23" s="187">
        <f>Автовик_разбивка[[#This Row],[Цена, 
юань, без НДС 1]]*DZ23</f>
        <v/>
      </c>
      <c r="EB23" s="109">
        <f>SUMPRODUCT(--(MOD(COLUMN($BN23:$DU23),5)=MOD(COLUMN($BN23)+3,5)),$BN23:$DU23)</f>
        <v/>
      </c>
      <c r="EC23" s="224">
        <f>Автовик_разбивка[[#This Row],[Цена, 
юань, без НДС 1]]*EB23</f>
        <v/>
      </c>
    </row>
    <row r="24">
      <c r="A24" s="221" t="n">
        <v>11</v>
      </c>
      <c r="B24" s="172" t="inlineStr">
        <is>
          <t>Политранс</t>
        </is>
      </c>
      <c r="C24" s="132" t="n"/>
      <c r="D24" s="132" t="n"/>
      <c r="E24" s="229" t="n"/>
      <c r="F24" s="229" t="n"/>
      <c r="G24" s="229" t="n"/>
      <c r="H24" s="230" t="n"/>
      <c r="I24" s="231" t="inlineStr">
        <is>
          <t>Итого</t>
        </is>
      </c>
      <c r="J24" s="914" t="n"/>
      <c r="K24" s="914" t="n"/>
      <c r="L24" s="233" t="n"/>
      <c r="M24" s="234" t="n"/>
      <c r="N24" s="235" t="n"/>
      <c r="O24" s="234" t="n"/>
      <c r="P24" s="233" t="n"/>
      <c r="Q24" s="234" t="n"/>
      <c r="R24" s="235" t="n"/>
      <c r="S24" s="234" t="n"/>
      <c r="T24" s="233" t="n"/>
      <c r="U24" s="234" t="n"/>
      <c r="V24" s="235" t="n"/>
      <c r="W24" s="234" t="n"/>
      <c r="X24" s="233" t="n"/>
      <c r="Y24" s="234" t="n"/>
      <c r="Z24" s="179" t="n"/>
      <c r="AA24" s="234" t="n"/>
      <c r="AB24" s="233" t="n"/>
      <c r="AC24" s="234" t="n"/>
      <c r="AD24" s="235" t="n"/>
      <c r="AE24" s="234" t="n"/>
      <c r="AF24" s="233" t="n"/>
      <c r="AG24" s="234" t="n"/>
      <c r="AH24" s="179" t="n"/>
      <c r="AI24" s="234" t="n"/>
      <c r="AJ24" s="233" t="n"/>
      <c r="AK24" s="234" t="n"/>
      <c r="AL24" s="179" t="n"/>
      <c r="AM24" s="234" t="n"/>
      <c r="AN24" s="233" t="n"/>
      <c r="AO24" s="234" t="n"/>
      <c r="AP24" s="179" t="n"/>
      <c r="AQ24" s="234" t="n"/>
      <c r="AR24" s="233" t="n"/>
      <c r="AS24" s="234" t="n"/>
      <c r="AT24" s="179" t="n"/>
      <c r="AU24" s="234" t="n"/>
      <c r="AV24" s="233" t="n"/>
      <c r="AW24" s="234" t="n"/>
      <c r="AX24" s="235" t="n"/>
      <c r="AY24" s="234" t="n"/>
      <c r="AZ24" s="233" t="n"/>
      <c r="BA24" s="236" t="n"/>
      <c r="BB24" s="114" t="n"/>
      <c r="BC24" s="234" t="n"/>
      <c r="BD24" s="233" t="n"/>
      <c r="BE24" s="237" t="n"/>
      <c r="BF24" s="115" t="n"/>
      <c r="BG24" s="234" t="n"/>
      <c r="BH24" s="233">
        <f>SUMPRODUCT(--(MOD(COLUMN($L24:$BG24),4)=MOD(COLUMN($L24),4)),$L24:$BG24)</f>
        <v/>
      </c>
      <c r="BI24" s="238">
        <f>Автовик_разбивка[[#This Row],[Цена, 
юань, без НДС 1]]*BH24</f>
        <v/>
      </c>
      <c r="BJ24" s="237">
        <f>SUMPRODUCT(--(MOD(COLUMN($L24:$BG24),4)=MOD(COLUMN($L24)+1,4)),$L24:$BG24)</f>
        <v/>
      </c>
      <c r="BK24" s="239">
        <f>Автовик_разбивка[[#This Row],[Цена, 
юань, без НДС 1]]*BJ24</f>
        <v/>
      </c>
      <c r="BL24" s="115">
        <f>SUMPRODUCT(--(MOD(COLUMN($L24:$BG24),4)=MOD(COLUMN($L24)+2,4)),$L24:$BG24)</f>
        <v/>
      </c>
      <c r="BM24" s="240">
        <f>Автовик_разбивка[[#This Row],[Цена, 
юань, без НДС 1]]*BL24</f>
        <v/>
      </c>
      <c r="BN24" s="233" t="n"/>
      <c r="BO24" s="241" t="n"/>
      <c r="BP24" s="234" t="n"/>
      <c r="BQ24" s="235" t="n"/>
      <c r="BR24" s="234" t="n"/>
      <c r="BS24" s="233" t="n"/>
      <c r="BT24" s="241" t="n"/>
      <c r="BU24" s="234" t="n"/>
      <c r="BV24" s="235" t="n"/>
      <c r="BW24" s="234" t="n"/>
      <c r="BX24" s="233" t="n"/>
      <c r="BY24" s="241" t="n"/>
      <c r="BZ24" s="234" t="n"/>
      <c r="CA24" s="235" t="n"/>
      <c r="CB24" s="234" t="n"/>
      <c r="CC24" s="233" t="n"/>
      <c r="CD24" s="241" t="n"/>
      <c r="CE24" s="234" t="n"/>
      <c r="CF24" s="179" t="n"/>
      <c r="CG24" s="234" t="n"/>
      <c r="CH24" s="233" t="n"/>
      <c r="CI24" s="241" t="n"/>
      <c r="CJ24" s="234" t="n"/>
      <c r="CK24" s="235" t="n"/>
      <c r="CL24" s="234" t="n"/>
      <c r="CM24" s="233" t="n"/>
      <c r="CN24" s="241" t="n"/>
      <c r="CO24" s="234" t="n"/>
      <c r="CP24" s="179" t="n"/>
      <c r="CQ24" s="234" t="n"/>
      <c r="CR24" s="233" t="n"/>
      <c r="CS24" s="241" t="n"/>
      <c r="CT24" s="234" t="n"/>
      <c r="CU24" s="179" t="n"/>
      <c r="CV24" s="234" t="n"/>
      <c r="CW24" s="233" t="n"/>
      <c r="CX24" s="241" t="n"/>
      <c r="CY24" s="234" t="n"/>
      <c r="CZ24" s="179" t="n"/>
      <c r="DA24" s="234" t="n"/>
      <c r="DB24" s="233" t="n"/>
      <c r="DC24" s="241" t="n"/>
      <c r="DD24" s="234" t="n"/>
      <c r="DE24" s="179" t="n"/>
      <c r="DF24" s="234" t="n"/>
      <c r="DG24" s="233" t="n"/>
      <c r="DH24" s="241" t="n"/>
      <c r="DI24" s="234" t="n"/>
      <c r="DJ24" s="235" t="n"/>
      <c r="DK24" s="234" t="n"/>
      <c r="DL24" s="233" t="n"/>
      <c r="DM24" s="241" t="n"/>
      <c r="DN24" s="236" t="n"/>
      <c r="DO24" s="114" t="n"/>
      <c r="DP24" s="234" t="n"/>
      <c r="DQ24" s="233" t="n"/>
      <c r="DR24" s="241" t="n"/>
      <c r="DS24" s="237" t="n"/>
      <c r="DT24" s="115" t="n"/>
      <c r="DU24" s="234" t="n"/>
      <c r="DV24" s="233">
        <f>SUMPRODUCT(--(MOD(COLUMN($BN24:$DU24),5)=MOD(COLUMN($BN24),5)),$BN24:$DU24)</f>
        <v/>
      </c>
      <c r="DW24" s="238">
        <f>Автовик_разбивка[[#This Row],[Цена, 
юань, без НДС 1]]*DV24</f>
        <v/>
      </c>
      <c r="DX24" s="242">
        <f>SUMPRODUCT(--(MOD(COLUMN($BN24:$DU24),5)=MOD(COLUMN($BN24)+1,5)),$BN24:$DU24)</f>
        <v/>
      </c>
      <c r="DY24" s="242">
        <f>Автовик_разбивка[[#This Row],[Цена, 
юань, без НДС 1]]*DX24</f>
        <v/>
      </c>
      <c r="DZ24" s="237">
        <f>SUMPRODUCT(--(MOD(COLUMN($BN24:$DU24),5)=MOD(COLUMN($BN24)+2,5)),$BN24:$DU24)</f>
        <v/>
      </c>
      <c r="EA24" s="239">
        <f>Автовик_разбивка[[#This Row],[Цена, 
юань, без НДС 1]]*DZ24</f>
        <v/>
      </c>
      <c r="EB24" s="115">
        <f>SUMPRODUCT(--(MOD(COLUMN($BN24:$DU24),5)=MOD(COLUMN($BN24)+3,5)),$BN24:$DU24)</f>
        <v/>
      </c>
      <c r="EC24" s="240">
        <f>Автовик_разбивка[[#This Row],[Цена, 
юань, без НДС 1]]*EB24</f>
        <v/>
      </c>
    </row>
    <row r="25">
      <c r="A25" s="221" t="n">
        <v>11</v>
      </c>
      <c r="B25" s="243" t="inlineStr">
        <is>
          <t>Политранс</t>
        </is>
      </c>
      <c r="C25" s="244" t="n"/>
      <c r="D25" s="244" t="n"/>
      <c r="E25" s="245" t="n"/>
      <c r="F25" s="245" t="n"/>
      <c r="G25" s="245" t="n"/>
      <c r="H25" s="246" t="n"/>
      <c r="I25" s="247" t="n"/>
      <c r="J25" s="915" t="n"/>
      <c r="K25" s="915" t="n"/>
      <c r="L25" s="249" t="n"/>
      <c r="M25" s="249" t="n"/>
      <c r="N25" s="249" t="n"/>
      <c r="O25" s="249" t="n"/>
      <c r="P25" s="249" t="n"/>
      <c r="Q25" s="249" t="n"/>
      <c r="R25" s="249" t="n"/>
      <c r="S25" s="249" t="n"/>
      <c r="T25" s="249" t="n"/>
      <c r="U25" s="249" t="n"/>
      <c r="V25" s="249" t="n"/>
      <c r="W25" s="249" t="n"/>
      <c r="X25" s="249" t="n"/>
      <c r="Y25" s="249" t="n"/>
      <c r="Z25" s="249" t="n"/>
      <c r="AA25" s="249" t="n"/>
      <c r="AB25" s="249" t="n"/>
      <c r="AC25" s="249" t="n"/>
      <c r="AD25" s="249" t="n"/>
      <c r="AE25" s="249" t="n"/>
      <c r="AF25" s="249" t="n"/>
      <c r="AG25" s="249" t="n"/>
      <c r="AH25" s="249" t="n"/>
      <c r="AI25" s="249" t="n"/>
      <c r="AJ25" s="249" t="n"/>
      <c r="AK25" s="249" t="n"/>
      <c r="AL25" s="249" t="n"/>
      <c r="AM25" s="249" t="n"/>
      <c r="AN25" s="249" t="n"/>
      <c r="AO25" s="249" t="n"/>
      <c r="AP25" s="249" t="n"/>
      <c r="AQ25" s="249" t="n"/>
      <c r="AR25" s="249" t="n"/>
      <c r="AS25" s="249" t="n"/>
      <c r="AT25" s="249" t="n"/>
      <c r="AU25" s="249" t="n"/>
      <c r="AV25" s="249" t="n"/>
      <c r="AW25" s="249" t="n"/>
      <c r="AX25" s="250" t="n"/>
      <c r="AY25" s="249" t="n"/>
      <c r="AZ25" s="250" t="n"/>
      <c r="BA25" s="250" t="n"/>
      <c r="BB25" s="250" t="n"/>
      <c r="BC25" s="249" t="n"/>
      <c r="BD25" s="250" t="n"/>
      <c r="BE25" s="250" t="n"/>
      <c r="BF25" s="250" t="n"/>
      <c r="BG25" s="249" t="n"/>
      <c r="BH25" s="250">
        <f>SUMPRODUCT(--(MOD(COLUMN($L25:$BG25),4)=MOD(COLUMN($L25),4)),$L25:$BG25)</f>
        <v/>
      </c>
      <c r="BI25" s="251">
        <f>Автовик_разбивка[[#This Row],[Цена, 
юань, без НДС 1]]*BH25</f>
        <v/>
      </c>
      <c r="BJ25" s="250">
        <f>SUMPRODUCT(--(MOD(COLUMN($L25:$BG25),4)=MOD(COLUMN($L25)+1,4)),$L25:$BG25)</f>
        <v/>
      </c>
      <c r="BK25" s="251">
        <f>Автовик_разбивка[[#This Row],[Цена, 
юань, без НДС 1]]*BJ25</f>
        <v/>
      </c>
      <c r="BL25" s="250">
        <f>SUMPRODUCT(--(MOD(COLUMN($L25:$BG25),4)=MOD(COLUMN($L25)+2,4)),$L25:$BG25)</f>
        <v/>
      </c>
      <c r="BM25" s="251">
        <f>Автовик_разбивка[[#This Row],[Цена, 
юань, без НДС 1]]*BL25</f>
        <v/>
      </c>
      <c r="BN25" s="249" t="n"/>
      <c r="BO25" s="249" t="n"/>
      <c r="BP25" s="249" t="n"/>
      <c r="BQ25" s="249" t="n"/>
      <c r="BR25" s="249" t="n"/>
      <c r="BS25" s="249" t="n"/>
      <c r="BT25" s="249" t="n"/>
      <c r="BU25" s="249" t="n"/>
      <c r="BV25" s="249" t="n"/>
      <c r="BW25" s="249" t="n"/>
      <c r="BX25" s="249" t="n"/>
      <c r="BY25" s="249" t="n"/>
      <c r="BZ25" s="249" t="n"/>
      <c r="CA25" s="249" t="n"/>
      <c r="CB25" s="249" t="n"/>
      <c r="CC25" s="249" t="n"/>
      <c r="CD25" s="249" t="n"/>
      <c r="CE25" s="249" t="n"/>
      <c r="CF25" s="249" t="n"/>
      <c r="CG25" s="249" t="n"/>
      <c r="CH25" s="249" t="n"/>
      <c r="CI25" s="249" t="n"/>
      <c r="CJ25" s="249" t="n"/>
      <c r="CK25" s="249" t="n"/>
      <c r="CL25" s="249" t="n"/>
      <c r="CM25" s="249" t="n"/>
      <c r="CN25" s="249" t="n"/>
      <c r="CO25" s="249" t="n"/>
      <c r="CP25" s="249" t="n"/>
      <c r="CQ25" s="249" t="n"/>
      <c r="CR25" s="249" t="n"/>
      <c r="CS25" s="249" t="n"/>
      <c r="CT25" s="249" t="n"/>
      <c r="CU25" s="249" t="n"/>
      <c r="CV25" s="249" t="n"/>
      <c r="CW25" s="249" t="n"/>
      <c r="CX25" s="249" t="n"/>
      <c r="CY25" s="249" t="n"/>
      <c r="CZ25" s="249" t="n"/>
      <c r="DA25" s="249" t="n"/>
      <c r="DB25" s="249" t="n"/>
      <c r="DC25" s="249" t="n"/>
      <c r="DD25" s="249" t="n"/>
      <c r="DE25" s="249" t="n"/>
      <c r="DF25" s="249" t="n"/>
      <c r="DG25" s="249" t="n"/>
      <c r="DH25" s="249" t="n"/>
      <c r="DI25" s="249" t="n"/>
      <c r="DJ25" s="250" t="n"/>
      <c r="DK25" s="249" t="n"/>
      <c r="DL25" s="250" t="n"/>
      <c r="DM25" s="250" t="n"/>
      <c r="DN25" s="250" t="n"/>
      <c r="DO25" s="250" t="n"/>
      <c r="DP25" s="249" t="n"/>
      <c r="DQ25" s="250" t="n"/>
      <c r="DR25" s="250" t="n"/>
      <c r="DS25" s="250" t="n"/>
      <c r="DT25" s="250" t="n"/>
      <c r="DU25" s="249" t="n"/>
      <c r="DV25" s="250">
        <f>SUMPRODUCT(--(MOD(COLUMN($BN25:$DU25),5)=MOD(COLUMN($BN25),5)),$BN25:$DU25)</f>
        <v/>
      </c>
      <c r="DW25" s="251">
        <f>Автовик_разбивка[[#This Row],[Цена, 
юань, без НДС 1]]*DV25</f>
        <v/>
      </c>
      <c r="DX25" s="251">
        <f>SUMPRODUCT(--(MOD(COLUMN($BN25:$DU25),5)=MOD(COLUMN($BN25)+1,5)),$BN25:$DU25)</f>
        <v/>
      </c>
      <c r="DY25" s="251">
        <f>Автовик_разбивка[[#This Row],[Цена, 
юань, без НДС 1]]*DX25</f>
        <v/>
      </c>
      <c r="DZ25" s="250">
        <f>SUMPRODUCT(--(MOD(COLUMN($BN25:$DU25),5)=MOD(COLUMN($BN25)+2,5)),$BN25:$DU25)</f>
        <v/>
      </c>
      <c r="EA25" s="251">
        <f>Автовик_разбивка[[#This Row],[Цена, 
юань, без НДС 1]]*DZ25</f>
        <v/>
      </c>
      <c r="EB25" s="250">
        <f>SUMPRODUCT(--(MOD(COLUMN($BN25:$DU25),5)=MOD(COLUMN($BN25)+3,5)),$BN25:$DU25)</f>
        <v/>
      </c>
      <c r="EC25" s="251">
        <f>Автовик_разбивка[[#This Row],[Цена, 
юань, без НДС 1]]*EB25</f>
        <v/>
      </c>
    </row>
    <row r="26">
      <c r="A26" s="221" t="n">
        <v>11</v>
      </c>
      <c r="B26" s="172" t="inlineStr">
        <is>
          <t>САВ</t>
        </is>
      </c>
      <c r="C26" s="173" t="inlineStr">
        <is>
          <t>TEBS</t>
        </is>
      </c>
      <c r="D26" s="173" t="inlineStr">
        <is>
          <t>LACV</t>
        </is>
      </c>
      <c r="E26" s="174" t="n">
        <v>1</v>
      </c>
      <c r="F26" s="174" t="n"/>
      <c r="G26" s="174" t="n"/>
      <c r="H26" s="175" t="n">
        <v>4494430600</v>
      </c>
      <c r="I26" s="176" t="inlineStr">
        <is>
          <t>Кабель клапана управления подъемом оси, 6 м</t>
        </is>
      </c>
      <c r="J26" s="911" t="n"/>
      <c r="K26" s="912" t="n"/>
      <c r="L26" s="178" t="n">
        <v>0</v>
      </c>
      <c r="M26" s="130">
        <f>$E26*0</f>
        <v/>
      </c>
      <c r="N26" s="179" t="n">
        <v>15</v>
      </c>
      <c r="O26" s="130" t="n"/>
      <c r="P26" s="178" t="n">
        <v>5</v>
      </c>
      <c r="Q26" s="130">
        <f>$E26*5</f>
        <v/>
      </c>
      <c r="R26" s="179" t="n">
        <v>30</v>
      </c>
      <c r="S26" s="130" t="n"/>
      <c r="T26" s="178" t="n">
        <v>10</v>
      </c>
      <c r="U26" s="130">
        <f>$E26*15</f>
        <v/>
      </c>
      <c r="V26" s="179" t="n">
        <v>25</v>
      </c>
      <c r="W26" s="130" t="n"/>
      <c r="X26" s="178" t="n">
        <v>10</v>
      </c>
      <c r="Y26" s="130">
        <f>$E26*10</f>
        <v/>
      </c>
      <c r="Z26" s="179" t="n">
        <v>35</v>
      </c>
      <c r="AA26" s="130" t="n"/>
      <c r="AB26" s="178" t="n">
        <v>10</v>
      </c>
      <c r="AC26" s="130">
        <f>$E26*10</f>
        <v/>
      </c>
      <c r="AD26" s="179" t="n"/>
      <c r="AE26" s="130" t="n"/>
      <c r="AF26" s="178" t="n">
        <v>10</v>
      </c>
      <c r="AG26" s="130">
        <f>$E26*10</f>
        <v/>
      </c>
      <c r="AH26" s="179" t="n"/>
      <c r="AI26" s="130" t="n"/>
      <c r="AJ26" s="178" t="n">
        <v>10</v>
      </c>
      <c r="AK26" s="130">
        <f>$E26*10</f>
        <v/>
      </c>
      <c r="AL26" s="179" t="n"/>
      <c r="AM26" s="130" t="n"/>
      <c r="AN26" s="178" t="n">
        <v>10</v>
      </c>
      <c r="AO26" s="130">
        <f>$E26*10</f>
        <v/>
      </c>
      <c r="AP26" s="179" t="n"/>
      <c r="AQ26" s="130" t="n"/>
      <c r="AR26" s="178" t="n">
        <v>10</v>
      </c>
      <c r="AS26" s="130">
        <f>$E26*5</f>
        <v/>
      </c>
      <c r="AT26" s="179" t="n"/>
      <c r="AU26" s="130" t="n"/>
      <c r="AV26" s="178" t="n">
        <v>10</v>
      </c>
      <c r="AW26" s="130">
        <f>$E26*10</f>
        <v/>
      </c>
      <c r="AX26" s="179" t="n"/>
      <c r="AY26" s="130" t="n"/>
      <c r="AZ26" s="178" t="n">
        <v>10</v>
      </c>
      <c r="BA26" s="130">
        <f>$E26*10</f>
        <v/>
      </c>
      <c r="BB26" s="194" t="n"/>
      <c r="BC26" s="130" t="n"/>
      <c r="BD26" s="178" t="n">
        <v>10</v>
      </c>
      <c r="BE26" s="130">
        <f>$E26*4</f>
        <v/>
      </c>
      <c r="BF26" s="109" t="n"/>
      <c r="BG26" s="130" t="n"/>
      <c r="BH26" s="180">
        <f>SUMPRODUCT(--(MOD(COLUMN($L26:$BG26),4)=MOD(COLUMN($L26),4)),$L26:$BG26)</f>
        <v/>
      </c>
      <c r="BI26" s="181">
        <f>Автовик_разбивка[[#This Row],[Цена, 
юань, без НДС 1]]*BH26</f>
        <v/>
      </c>
      <c r="BJ26" s="130">
        <f>SUMPRODUCT(--(MOD(COLUMN($L26:$BG26),4)=MOD(COLUMN($L26)+1,4)),$L26:$BG26)</f>
        <v/>
      </c>
      <c r="BK26" s="187">
        <f>Автовик_разбивка[[#This Row],[Цена, 
юань, без НДС 1]]*BJ26</f>
        <v/>
      </c>
      <c r="BL26" s="109">
        <f>SUMPRODUCT(--(MOD(COLUMN($L26:$BG26),4)=MOD(COLUMN($L26)+2,4)),$L26:$BG26)</f>
        <v/>
      </c>
      <c r="BM26" s="224">
        <f>Автовик_разбивка[[#This Row],[Цена, 
юань, без НДС 1]]*BL26</f>
        <v/>
      </c>
      <c r="BN26" s="178" t="n"/>
      <c r="BO26" s="184" t="n"/>
      <c r="BP26" s="130">
        <f>$E26*5</f>
        <v/>
      </c>
      <c r="BQ26" s="179" t="n"/>
      <c r="BR26" s="130" t="n"/>
      <c r="BS26" s="178" t="n"/>
      <c r="BT26" s="184" t="n"/>
      <c r="BU26" s="130">
        <f>$E26*5</f>
        <v/>
      </c>
      <c r="BV26" s="179" t="n"/>
      <c r="BW26" s="130" t="n"/>
      <c r="BX26" s="178" t="n"/>
      <c r="BY26" s="184" t="n"/>
      <c r="BZ26" s="130">
        <f>$E26*10</f>
        <v/>
      </c>
      <c r="CA26" s="179" t="n"/>
      <c r="CB26" s="130" t="n"/>
      <c r="CC26" s="178" t="n"/>
      <c r="CD26" s="184" t="n"/>
      <c r="CE26" s="130">
        <f>$E26*10</f>
        <v/>
      </c>
      <c r="CF26" s="179" t="n"/>
      <c r="CG26" s="130" t="n"/>
      <c r="CH26" s="178" t="n"/>
      <c r="CI26" s="184" t="n"/>
      <c r="CJ26" s="130">
        <f>$E26*10</f>
        <v/>
      </c>
      <c r="CK26" s="179" t="n"/>
      <c r="CL26" s="130" t="n"/>
      <c r="CM26" s="178" t="n"/>
      <c r="CN26" s="184" t="n"/>
      <c r="CO26" s="130">
        <f>$E26*10</f>
        <v/>
      </c>
      <c r="CP26" s="179" t="n"/>
      <c r="CQ26" s="130" t="n"/>
      <c r="CR26" s="178" t="n"/>
      <c r="CS26" s="184" t="n"/>
      <c r="CT26" s="130">
        <f>$E26*10</f>
        <v/>
      </c>
      <c r="CU26" s="179" t="n"/>
      <c r="CV26" s="130" t="n"/>
      <c r="CW26" s="178" t="n"/>
      <c r="CX26" s="184" t="n"/>
      <c r="CY26" s="130">
        <f>$E26*10</f>
        <v/>
      </c>
      <c r="CZ26" s="179" t="n"/>
      <c r="DA26" s="130" t="n"/>
      <c r="DB26" s="178" t="n"/>
      <c r="DC26" s="184" t="n"/>
      <c r="DD26" s="130">
        <f>$E26*10</f>
        <v/>
      </c>
      <c r="DE26" s="179" t="n"/>
      <c r="DF26" s="130" t="n"/>
      <c r="DG26" s="178" t="n"/>
      <c r="DH26" s="184" t="n"/>
      <c r="DI26" s="130">
        <f>$E26*10</f>
        <v/>
      </c>
      <c r="DJ26" s="179" t="n"/>
      <c r="DK26" s="130" t="n"/>
      <c r="DL26" s="178" t="n"/>
      <c r="DM26" s="184" t="n"/>
      <c r="DN26" s="130">
        <f>$E26*10</f>
        <v/>
      </c>
      <c r="DO26" s="194" t="n"/>
      <c r="DP26" s="130" t="n"/>
      <c r="DQ26" s="178" t="n"/>
      <c r="DR26" s="184" t="n"/>
      <c r="DS26" s="130">
        <f>$E26*10</f>
        <v/>
      </c>
      <c r="DT26" s="109" t="n"/>
      <c r="DU26" s="130" t="n"/>
      <c r="DV26" s="180">
        <f>SUMPRODUCT(--(MOD(COLUMN($BN26:$DU26),5)=MOD(COLUMN($BN26),5)),$BN26:$DU26)</f>
        <v/>
      </c>
      <c r="DW26" s="181">
        <f>Автовик_разбивка[[#This Row],[Цена, 
юань, без НДС 1]]*DV26</f>
        <v/>
      </c>
      <c r="DX26" s="186">
        <f>SUMPRODUCT(--(MOD(COLUMN($BN26:$DU26),5)=MOD(COLUMN($BN26)+1,5)),$BN26:$DU26)</f>
        <v/>
      </c>
      <c r="DY26" s="186">
        <f>Автовик_разбивка[[#This Row],[Цена, 
юань, без НДС 1]]*DX26</f>
        <v/>
      </c>
      <c r="DZ26" s="130">
        <f>SUMPRODUCT(--(MOD(COLUMN($BN26:$DU26),5)=MOD(COLUMN($BN26)+2,5)),$BN26:$DU26)</f>
        <v/>
      </c>
      <c r="EA26" s="187">
        <f>Автовик_разбивка[[#This Row],[Цена, 
юань, без НДС 1]]*DZ26</f>
        <v/>
      </c>
      <c r="EB26" s="109">
        <f>SUMPRODUCT(--(MOD(COLUMN($BN26:$DU26),5)=MOD(COLUMN($BN26)+3,5)),$BN26:$DU26)</f>
        <v/>
      </c>
      <c r="EC26" s="224">
        <f>Автовик_разбивка[[#This Row],[Цена, 
юань, без НДС 1]]*EB26</f>
        <v/>
      </c>
    </row>
    <row r="27">
      <c r="A27" s="221" t="n">
        <v>11</v>
      </c>
      <c r="B27" s="172" t="inlineStr">
        <is>
          <t>САВ</t>
        </is>
      </c>
      <c r="C27" s="173" t="inlineStr">
        <is>
          <t>TEBS</t>
        </is>
      </c>
      <c r="D27" s="173" t="inlineStr">
        <is>
          <t>LACV</t>
        </is>
      </c>
      <c r="E27" s="174" t="n">
        <v>1</v>
      </c>
      <c r="F27" s="174" t="n"/>
      <c r="G27" s="174" t="n"/>
      <c r="H27" s="175" t="n">
        <v>4630840310</v>
      </c>
      <c r="I27" s="176" t="inlineStr">
        <is>
          <t>Клапан управления подъемом оси (LACV)</t>
        </is>
      </c>
      <c r="J27" s="911" t="n"/>
      <c r="K27" s="912" t="n"/>
      <c r="L27" s="178" t="n">
        <v>0</v>
      </c>
      <c r="M27" s="130">
        <f>$E27*0</f>
        <v/>
      </c>
      <c r="N27" s="179" t="n">
        <v>15</v>
      </c>
      <c r="O27" s="130" t="n"/>
      <c r="P27" s="178" t="n">
        <v>5</v>
      </c>
      <c r="Q27" s="130">
        <f>$E27*5</f>
        <v/>
      </c>
      <c r="R27" s="179" t="n">
        <v>30</v>
      </c>
      <c r="S27" s="130" t="n"/>
      <c r="T27" s="178" t="n">
        <v>10</v>
      </c>
      <c r="U27" s="130">
        <f>$E27*15</f>
        <v/>
      </c>
      <c r="V27" s="179" t="n">
        <v>25</v>
      </c>
      <c r="W27" s="130" t="n"/>
      <c r="X27" s="178" t="n">
        <v>10</v>
      </c>
      <c r="Y27" s="130">
        <f>$E27*10</f>
        <v/>
      </c>
      <c r="Z27" s="179" t="n">
        <v>35</v>
      </c>
      <c r="AA27" s="130" t="n"/>
      <c r="AB27" s="178" t="n">
        <v>10</v>
      </c>
      <c r="AC27" s="130">
        <f>$E27*10</f>
        <v/>
      </c>
      <c r="AD27" s="179" t="n"/>
      <c r="AE27" s="130" t="n"/>
      <c r="AF27" s="178" t="n">
        <v>10</v>
      </c>
      <c r="AG27" s="130">
        <f>$E27*10</f>
        <v/>
      </c>
      <c r="AH27" s="179" t="n"/>
      <c r="AI27" s="130" t="n"/>
      <c r="AJ27" s="178" t="n">
        <v>10</v>
      </c>
      <c r="AK27" s="130">
        <f>$E27*10</f>
        <v/>
      </c>
      <c r="AL27" s="179" t="n"/>
      <c r="AM27" s="130" t="n"/>
      <c r="AN27" s="178" t="n">
        <v>10</v>
      </c>
      <c r="AO27" s="130">
        <f>$E27*10</f>
        <v/>
      </c>
      <c r="AP27" s="179" t="n"/>
      <c r="AQ27" s="130" t="n"/>
      <c r="AR27" s="178" t="n">
        <v>10</v>
      </c>
      <c r="AS27" s="130">
        <f>$E27*5</f>
        <v/>
      </c>
      <c r="AT27" s="179" t="n"/>
      <c r="AU27" s="130" t="n"/>
      <c r="AV27" s="178" t="n">
        <v>10</v>
      </c>
      <c r="AW27" s="130">
        <f>$E27*10</f>
        <v/>
      </c>
      <c r="AX27" s="179" t="n"/>
      <c r="AY27" s="130" t="n"/>
      <c r="AZ27" s="178" t="n">
        <v>10</v>
      </c>
      <c r="BA27" s="130">
        <f>$E27*10</f>
        <v/>
      </c>
      <c r="BB27" s="194" t="n"/>
      <c r="BC27" s="130" t="n"/>
      <c r="BD27" s="178" t="n">
        <v>10</v>
      </c>
      <c r="BE27" s="130">
        <f>$E27*4</f>
        <v/>
      </c>
      <c r="BF27" s="109" t="n"/>
      <c r="BG27" s="130" t="n"/>
      <c r="BH27" s="180">
        <f>SUMPRODUCT(--(MOD(COLUMN($L27:$BG27),4)=MOD(COLUMN($L27),4)),$L27:$BG27)</f>
        <v/>
      </c>
      <c r="BI27" s="181">
        <f>Автовик_разбивка[[#This Row],[Цена, 
юань, без НДС 1]]*BH27</f>
        <v/>
      </c>
      <c r="BJ27" s="130">
        <f>SUMPRODUCT(--(MOD(COLUMN($L27:$BG27),4)=MOD(COLUMN($L27)+1,4)),$L27:$BG27)</f>
        <v/>
      </c>
      <c r="BK27" s="187">
        <f>Автовик_разбивка[[#This Row],[Цена, 
юань, без НДС 1]]*BJ27</f>
        <v/>
      </c>
      <c r="BL27" s="109">
        <f>SUMPRODUCT(--(MOD(COLUMN($L27:$BG27),4)=MOD(COLUMN($L27)+2,4)),$L27:$BG27)</f>
        <v/>
      </c>
      <c r="BM27" s="224">
        <f>Автовик_разбивка[[#This Row],[Цена, 
юань, без НДС 1]]*BL27</f>
        <v/>
      </c>
      <c r="BN27" s="178" t="n"/>
      <c r="BO27" s="184" t="n"/>
      <c r="BP27" s="130">
        <f>$E27*5</f>
        <v/>
      </c>
      <c r="BQ27" s="179" t="n"/>
      <c r="BR27" s="130" t="n"/>
      <c r="BS27" s="178" t="n"/>
      <c r="BT27" s="184" t="n"/>
      <c r="BU27" s="130">
        <f>$E27*5</f>
        <v/>
      </c>
      <c r="BV27" s="179" t="n"/>
      <c r="BW27" s="130" t="n"/>
      <c r="BX27" s="178" t="n"/>
      <c r="BY27" s="184" t="n"/>
      <c r="BZ27" s="130">
        <f>$E27*10</f>
        <v/>
      </c>
      <c r="CA27" s="179" t="n"/>
      <c r="CB27" s="130" t="n"/>
      <c r="CC27" s="178" t="n"/>
      <c r="CD27" s="184" t="n"/>
      <c r="CE27" s="130">
        <f>$E27*10</f>
        <v/>
      </c>
      <c r="CF27" s="179" t="n"/>
      <c r="CG27" s="130" t="n"/>
      <c r="CH27" s="178" t="n"/>
      <c r="CI27" s="184" t="n"/>
      <c r="CJ27" s="130">
        <f>$E27*10</f>
        <v/>
      </c>
      <c r="CK27" s="179" t="n"/>
      <c r="CL27" s="130" t="n"/>
      <c r="CM27" s="178" t="n"/>
      <c r="CN27" s="184" t="n"/>
      <c r="CO27" s="130">
        <f>$E27*10</f>
        <v/>
      </c>
      <c r="CP27" s="179" t="n"/>
      <c r="CQ27" s="130" t="n"/>
      <c r="CR27" s="178" t="n"/>
      <c r="CS27" s="184" t="n"/>
      <c r="CT27" s="130">
        <f>$E27*10</f>
        <v/>
      </c>
      <c r="CU27" s="179" t="n"/>
      <c r="CV27" s="130" t="n"/>
      <c r="CW27" s="178" t="n"/>
      <c r="CX27" s="184" t="n"/>
      <c r="CY27" s="130">
        <f>$E27*10</f>
        <v/>
      </c>
      <c r="CZ27" s="179" t="n"/>
      <c r="DA27" s="130" t="n"/>
      <c r="DB27" s="178" t="n"/>
      <c r="DC27" s="184" t="n"/>
      <c r="DD27" s="130">
        <f>$E27*10</f>
        <v/>
      </c>
      <c r="DE27" s="179" t="n"/>
      <c r="DF27" s="130" t="n"/>
      <c r="DG27" s="178" t="n"/>
      <c r="DH27" s="184" t="n"/>
      <c r="DI27" s="130">
        <f>$E27*10</f>
        <v/>
      </c>
      <c r="DJ27" s="179" t="n"/>
      <c r="DK27" s="130" t="n"/>
      <c r="DL27" s="178" t="n"/>
      <c r="DM27" s="184" t="n"/>
      <c r="DN27" s="130">
        <f>$E27*10</f>
        <v/>
      </c>
      <c r="DO27" s="194" t="n"/>
      <c r="DP27" s="130" t="n"/>
      <c r="DQ27" s="178" t="n"/>
      <c r="DR27" s="184" t="n"/>
      <c r="DS27" s="130">
        <f>$E27*10</f>
        <v/>
      </c>
      <c r="DT27" s="109" t="n"/>
      <c r="DU27" s="130" t="n"/>
      <c r="DV27" s="180">
        <f>SUMPRODUCT(--(MOD(COLUMN($BN27:$DU27),5)=MOD(COLUMN($BN27),5)),$BN27:$DU27)</f>
        <v/>
      </c>
      <c r="DW27" s="181">
        <f>Автовик_разбивка[[#This Row],[Цена, 
юань, без НДС 1]]*DV27</f>
        <v/>
      </c>
      <c r="DX27" s="186">
        <f>SUMPRODUCT(--(MOD(COLUMN($BN27:$DU27),5)=MOD(COLUMN($BN27)+1,5)),$BN27:$DU27)</f>
        <v/>
      </c>
      <c r="DY27" s="186">
        <f>Автовик_разбивка[[#This Row],[Цена, 
юань, без НДС 1]]*DX27</f>
        <v/>
      </c>
      <c r="DZ27" s="130">
        <f>SUMPRODUCT(--(MOD(COLUMN($BN27:$DU27),5)=MOD(COLUMN($BN27)+2,5)),$BN27:$DU27)</f>
        <v/>
      </c>
      <c r="EA27" s="187">
        <f>Автовик_разбивка[[#This Row],[Цена, 
юань, без НДС 1]]*DZ27</f>
        <v/>
      </c>
      <c r="EB27" s="109">
        <f>SUMPRODUCT(--(MOD(COLUMN($BN27:$DU27),5)=MOD(COLUMN($BN27)+3,5)),$BN27:$DU27)</f>
        <v/>
      </c>
      <c r="EC27" s="224">
        <f>Автовик_разбивка[[#This Row],[Цена, 
юань, без НДС 1]]*EB27</f>
        <v/>
      </c>
    </row>
    <row r="28">
      <c r="A28" s="221" t="n">
        <v>11</v>
      </c>
      <c r="B28" s="172" t="inlineStr">
        <is>
          <t>САВ</t>
        </is>
      </c>
      <c r="C28" s="173" t="inlineStr">
        <is>
          <t>TEBS</t>
        </is>
      </c>
      <c r="D28" s="173" t="inlineStr">
        <is>
          <t xml:space="preserve">TEBS 2s/2m 
15м </t>
        </is>
      </c>
      <c r="E28" s="174" t="n">
        <v>1</v>
      </c>
      <c r="F28" s="174" t="n"/>
      <c r="G28" s="174" t="n"/>
      <c r="H28" s="175" t="n">
        <v>4334010030</v>
      </c>
      <c r="I28" s="176" t="inlineStr">
        <is>
          <t>Упругий элемент</t>
        </is>
      </c>
      <c r="J28" s="911" t="n"/>
      <c r="K28" s="913" t="n"/>
      <c r="L28" s="178" t="n">
        <v>0</v>
      </c>
      <c r="M28" s="130">
        <f>$E28*0</f>
        <v/>
      </c>
      <c r="N28" s="179" t="n">
        <v>3</v>
      </c>
      <c r="O28" s="130" t="n"/>
      <c r="P28" s="178" t="n">
        <v>5</v>
      </c>
      <c r="Q28" s="130">
        <f>$E28*5</f>
        <v/>
      </c>
      <c r="R28" s="179" t="n">
        <v>10</v>
      </c>
      <c r="S28" s="130" t="n"/>
      <c r="T28" s="178" t="n">
        <v>10</v>
      </c>
      <c r="U28" s="130">
        <f>$E28*15</f>
        <v/>
      </c>
      <c r="V28" s="179" t="n">
        <v>11</v>
      </c>
      <c r="W28" s="130" t="n"/>
      <c r="X28" s="178" t="n">
        <v>10</v>
      </c>
      <c r="Y28" s="130">
        <f>$E28*10</f>
        <v/>
      </c>
      <c r="Z28" s="179" t="n">
        <v>22</v>
      </c>
      <c r="AA28" s="130" t="n"/>
      <c r="AB28" s="178" t="n">
        <v>10</v>
      </c>
      <c r="AC28" s="130">
        <f>$E28*10</f>
        <v/>
      </c>
      <c r="AD28" s="109" t="n"/>
      <c r="AE28" s="252" t="n"/>
      <c r="AF28" s="178" t="n">
        <v>10</v>
      </c>
      <c r="AG28" s="130">
        <f>$E28*10</f>
        <v/>
      </c>
      <c r="AH28" s="109" t="n"/>
      <c r="AI28" s="252" t="n"/>
      <c r="AJ28" s="178" t="n">
        <v>10</v>
      </c>
      <c r="AK28" s="130">
        <f>$E28*10</f>
        <v/>
      </c>
      <c r="AL28" s="109" t="n"/>
      <c r="AM28" s="252" t="n"/>
      <c r="AN28" s="178" t="n">
        <v>10</v>
      </c>
      <c r="AO28" s="130">
        <f>$E28*0</f>
        <v/>
      </c>
      <c r="AP28" s="109" t="n"/>
      <c r="AQ28" s="252" t="n"/>
      <c r="AR28" s="178" t="n">
        <v>10</v>
      </c>
      <c r="AS28" s="130">
        <f>$E28*5</f>
        <v/>
      </c>
      <c r="AT28" s="109" t="n"/>
      <c r="AU28" s="252" t="n"/>
      <c r="AV28" s="178" t="n">
        <v>10</v>
      </c>
      <c r="AW28" s="130">
        <f>$E28*10</f>
        <v/>
      </c>
      <c r="AX28" s="109" t="n"/>
      <c r="AY28" s="252" t="n"/>
      <c r="AZ28" s="178" t="n">
        <v>10</v>
      </c>
      <c r="BA28" s="130">
        <f>$E28*10</f>
        <v/>
      </c>
      <c r="BB28" s="194" t="n"/>
      <c r="BC28" s="252" t="n"/>
      <c r="BD28" s="178" t="n">
        <v>10</v>
      </c>
      <c r="BE28" s="130">
        <f>$E28*4</f>
        <v/>
      </c>
      <c r="BF28" s="109" t="n"/>
      <c r="BG28" s="252" t="n"/>
      <c r="BH28" s="180">
        <f>SUMPRODUCT(--(MOD(COLUMN($L28:$BG28),4)=MOD(COLUMN($L28),4)),$L28:$BG28)</f>
        <v/>
      </c>
      <c r="BI28" s="181">
        <f>Автовик_разбивка[[#This Row],[Цена, 
юань, без НДС 1]]*BH28</f>
        <v/>
      </c>
      <c r="BJ28" s="130">
        <f>SUMPRODUCT(--(MOD(COLUMN($L28:$BG28),4)=MOD(COLUMN($L28)+1,4)),$L28:$BG28)</f>
        <v/>
      </c>
      <c r="BK28" s="187">
        <f>Автовик_разбивка[[#This Row],[Цена, 
юань, без НДС 1]]*BJ28</f>
        <v/>
      </c>
      <c r="BL28" s="109">
        <f>SUMPRODUCT(--(MOD(COLUMN($L28:$BG28),4)=MOD(COLUMN($L28)+2,4)),$L28:$BG28)</f>
        <v/>
      </c>
      <c r="BM28" s="224">
        <f>Автовик_разбивка[[#This Row],[Цена, 
юань, без НДС 1]]*BL28</f>
        <v/>
      </c>
      <c r="BN28" s="178" t="n"/>
      <c r="BO28" s="184" t="n"/>
      <c r="BP28" s="130">
        <f>$E28*5</f>
        <v/>
      </c>
      <c r="BQ28" s="179" t="n"/>
      <c r="BR28" s="130" t="n"/>
      <c r="BS28" s="178" t="n"/>
      <c r="BT28" s="184" t="n"/>
      <c r="BU28" s="130">
        <f>$E28*5</f>
        <v/>
      </c>
      <c r="BV28" s="179" t="n"/>
      <c r="BW28" s="130" t="n"/>
      <c r="BX28" s="178" t="n"/>
      <c r="BY28" s="184" t="n"/>
      <c r="BZ28" s="130">
        <f>$E28*10</f>
        <v/>
      </c>
      <c r="CA28" s="179" t="n"/>
      <c r="CB28" s="130" t="n"/>
      <c r="CC28" s="178" t="n"/>
      <c r="CD28" s="184" t="n"/>
      <c r="CE28" s="130">
        <f>$E28*10</f>
        <v/>
      </c>
      <c r="CF28" s="179" t="n"/>
      <c r="CG28" s="130" t="n"/>
      <c r="CH28" s="178" t="n"/>
      <c r="CI28" s="184" t="n"/>
      <c r="CJ28" s="130">
        <f>$E28*10</f>
        <v/>
      </c>
      <c r="CK28" s="109" t="n"/>
      <c r="CL28" s="252" t="n"/>
      <c r="CM28" s="178" t="n"/>
      <c r="CN28" s="184" t="n"/>
      <c r="CO28" s="130">
        <f>$E28*10</f>
        <v/>
      </c>
      <c r="CP28" s="109" t="n"/>
      <c r="CQ28" s="252" t="n"/>
      <c r="CR28" s="178" t="n"/>
      <c r="CS28" s="184" t="n"/>
      <c r="CT28" s="130">
        <f>$E28*10</f>
        <v/>
      </c>
      <c r="CU28" s="109" t="n"/>
      <c r="CV28" s="252" t="n"/>
      <c r="CW28" s="178" t="n"/>
      <c r="CX28" s="184" t="n"/>
      <c r="CY28" s="130">
        <f>$E28*10</f>
        <v/>
      </c>
      <c r="CZ28" s="109" t="n"/>
      <c r="DA28" s="252" t="n"/>
      <c r="DB28" s="178" t="n"/>
      <c r="DC28" s="184" t="n"/>
      <c r="DD28" s="130">
        <f>$E28*10</f>
        <v/>
      </c>
      <c r="DE28" s="109" t="n"/>
      <c r="DF28" s="252" t="n"/>
      <c r="DG28" s="178" t="n"/>
      <c r="DH28" s="184" t="n"/>
      <c r="DI28" s="130">
        <f>$E28*10</f>
        <v/>
      </c>
      <c r="DJ28" s="109" t="n"/>
      <c r="DK28" s="252" t="n"/>
      <c r="DL28" s="178" t="n"/>
      <c r="DM28" s="184" t="n"/>
      <c r="DN28" s="130">
        <f>$E28*10</f>
        <v/>
      </c>
      <c r="DO28" s="194" t="n"/>
      <c r="DP28" s="252" t="n"/>
      <c r="DQ28" s="178" t="n"/>
      <c r="DR28" s="184" t="n"/>
      <c r="DS28" s="130">
        <f>$E28*10</f>
        <v/>
      </c>
      <c r="DT28" s="109" t="n"/>
      <c r="DU28" s="252" t="n"/>
      <c r="DV28" s="180">
        <f>SUMPRODUCT(--(MOD(COLUMN($BN28:$DU28),5)=MOD(COLUMN($BN28),5)),$BN28:$DU28)</f>
        <v/>
      </c>
      <c r="DW28" s="181">
        <f>Автовик_разбивка[[#This Row],[Цена, 
юань, без НДС 1]]*DV28</f>
        <v/>
      </c>
      <c r="DX28" s="186">
        <f>SUMPRODUCT(--(MOD(COLUMN($BN28:$DU28),5)=MOD(COLUMN($BN28)+1,5)),$BN28:$DU28)</f>
        <v/>
      </c>
      <c r="DY28" s="186">
        <f>Автовик_разбивка[[#This Row],[Цена, 
юань, без НДС 1]]*DX28</f>
        <v/>
      </c>
      <c r="DZ28" s="130">
        <f>SUMPRODUCT(--(MOD(COLUMN($BN28:$DU28),5)=MOD(COLUMN($BN28)+2,5)),$BN28:$DU28)</f>
        <v/>
      </c>
      <c r="EA28" s="187">
        <f>Автовик_разбивка[[#This Row],[Цена, 
юань, без НДС 1]]*DZ28</f>
        <v/>
      </c>
      <c r="EB28" s="109">
        <f>SUMPRODUCT(--(MOD(COLUMN($BN28:$DU28),5)=MOD(COLUMN($BN28)+3,5)),$BN28:$DU28)</f>
        <v/>
      </c>
      <c r="EC28" s="224">
        <f>Автовик_разбивка[[#This Row],[Цена, 
юань, без НДС 1]]*EB28</f>
        <v/>
      </c>
    </row>
    <row r="29">
      <c r="A29" s="221" t="n">
        <v>11</v>
      </c>
      <c r="B29" s="172" t="inlineStr">
        <is>
          <t>САВ</t>
        </is>
      </c>
      <c r="C29" s="173" t="inlineStr">
        <is>
          <t>TEBS</t>
        </is>
      </c>
      <c r="D29" s="173" t="inlineStr">
        <is>
          <t xml:space="preserve">TEBS 2s/2m 
15м </t>
        </is>
      </c>
      <c r="E29" s="174" t="n">
        <v>1</v>
      </c>
      <c r="F29" s="174" t="n"/>
      <c r="G29" s="174" t="n"/>
      <c r="H29" s="175" t="n">
        <v>4491731500</v>
      </c>
      <c r="I29" s="176" t="inlineStr">
        <is>
          <t>Кабель питания, 15 м</t>
        </is>
      </c>
      <c r="J29" s="911" t="n"/>
      <c r="K29" s="912" t="n"/>
      <c r="L29" s="178" t="n">
        <v>0</v>
      </c>
      <c r="M29" s="130">
        <f>$E29*0</f>
        <v/>
      </c>
      <c r="N29" s="179" t="n">
        <v>3</v>
      </c>
      <c r="O29" s="130" t="n"/>
      <c r="P29" s="178" t="n">
        <v>5</v>
      </c>
      <c r="Q29" s="130">
        <f>$E29*5</f>
        <v/>
      </c>
      <c r="R29" s="179" t="n">
        <v>10</v>
      </c>
      <c r="S29" s="130" t="n"/>
      <c r="T29" s="178" t="n">
        <v>10</v>
      </c>
      <c r="U29" s="130">
        <f>$E29*15</f>
        <v/>
      </c>
      <c r="V29" s="179" t="n">
        <v>11</v>
      </c>
      <c r="W29" s="130" t="n"/>
      <c r="X29" s="178" t="n">
        <v>10</v>
      </c>
      <c r="Y29" s="130">
        <f>$E29*10</f>
        <v/>
      </c>
      <c r="Z29" s="179" t="n">
        <v>22</v>
      </c>
      <c r="AA29" s="130" t="n"/>
      <c r="AB29" s="178" t="n">
        <v>10</v>
      </c>
      <c r="AC29" s="130">
        <f>$E29*10</f>
        <v/>
      </c>
      <c r="AD29" s="109" t="n"/>
      <c r="AE29" s="252" t="n"/>
      <c r="AF29" s="178" t="n">
        <v>10</v>
      </c>
      <c r="AG29" s="130">
        <f>$E29*10</f>
        <v/>
      </c>
      <c r="AH29" s="109" t="n"/>
      <c r="AI29" s="252" t="n"/>
      <c r="AJ29" s="178" t="n">
        <v>10</v>
      </c>
      <c r="AK29" s="130">
        <f>$E29*10</f>
        <v/>
      </c>
      <c r="AL29" s="109" t="n"/>
      <c r="AM29" s="252" t="n"/>
      <c r="AN29" s="178" t="n">
        <v>10</v>
      </c>
      <c r="AO29" s="130">
        <f>$E29*0</f>
        <v/>
      </c>
      <c r="AP29" s="109" t="n"/>
      <c r="AQ29" s="252" t="n"/>
      <c r="AR29" s="178" t="n">
        <v>10</v>
      </c>
      <c r="AS29" s="130">
        <f>$E29*5</f>
        <v/>
      </c>
      <c r="AT29" s="109" t="n"/>
      <c r="AU29" s="252" t="n"/>
      <c r="AV29" s="178" t="n">
        <v>10</v>
      </c>
      <c r="AW29" s="130">
        <f>$E29*10</f>
        <v/>
      </c>
      <c r="AX29" s="109" t="n"/>
      <c r="AY29" s="252" t="n"/>
      <c r="AZ29" s="178" t="n">
        <v>10</v>
      </c>
      <c r="BA29" s="130">
        <f>$E29*10</f>
        <v/>
      </c>
      <c r="BB29" s="193" t="n"/>
      <c r="BC29" s="252" t="n"/>
      <c r="BD29" s="178" t="n">
        <v>10</v>
      </c>
      <c r="BE29" s="130">
        <f>$E29*4</f>
        <v/>
      </c>
      <c r="BF29" s="109" t="n"/>
      <c r="BG29" s="252" t="n"/>
      <c r="BH29" s="180">
        <f>SUMPRODUCT(--(MOD(COLUMN($L29:$BG29),4)=MOD(COLUMN($L29),4)),$L29:$BG29)</f>
        <v/>
      </c>
      <c r="BI29" s="181">
        <f>Автовик_разбивка[[#This Row],[Цена, 
юань, без НДС 1]]*BH29</f>
        <v/>
      </c>
      <c r="BJ29" s="130">
        <f>SUMPRODUCT(--(MOD(COLUMN($L29:$BG29),4)=MOD(COLUMN($L29)+1,4)),$L29:$BG29)</f>
        <v/>
      </c>
      <c r="BK29" s="187">
        <f>Автовик_разбивка[[#This Row],[Цена, 
юань, без НДС 1]]*BJ29</f>
        <v/>
      </c>
      <c r="BL29" s="109">
        <f>SUMPRODUCT(--(MOD(COLUMN($L29:$BG29),4)=MOD(COLUMN($L29)+2,4)),$L29:$BG29)</f>
        <v/>
      </c>
      <c r="BM29" s="224">
        <f>Автовик_разбивка[[#This Row],[Цена, 
юань, без НДС 1]]*BL29</f>
        <v/>
      </c>
      <c r="BN29" s="178" t="n"/>
      <c r="BO29" s="184" t="n"/>
      <c r="BP29" s="130">
        <f>$E29*5</f>
        <v/>
      </c>
      <c r="BQ29" s="179" t="n"/>
      <c r="BR29" s="130" t="n"/>
      <c r="BS29" s="178" t="n"/>
      <c r="BT29" s="184" t="n"/>
      <c r="BU29" s="130">
        <f>$E29*5</f>
        <v/>
      </c>
      <c r="BV29" s="179" t="n"/>
      <c r="BW29" s="130" t="n"/>
      <c r="BX29" s="178" t="n"/>
      <c r="BY29" s="184" t="n"/>
      <c r="BZ29" s="130">
        <f>$E29*10</f>
        <v/>
      </c>
      <c r="CA29" s="179" t="n"/>
      <c r="CB29" s="130" t="n"/>
      <c r="CC29" s="178" t="n"/>
      <c r="CD29" s="184" t="n"/>
      <c r="CE29" s="130">
        <f>$E29*10</f>
        <v/>
      </c>
      <c r="CF29" s="179" t="n"/>
      <c r="CG29" s="130" t="n"/>
      <c r="CH29" s="178" t="n"/>
      <c r="CI29" s="184" t="n"/>
      <c r="CJ29" s="130">
        <f>$E29*10</f>
        <v/>
      </c>
      <c r="CK29" s="109" t="n"/>
      <c r="CL29" s="252" t="n"/>
      <c r="CM29" s="178" t="n"/>
      <c r="CN29" s="184" t="n"/>
      <c r="CO29" s="130">
        <f>$E29*10</f>
        <v/>
      </c>
      <c r="CP29" s="109" t="n"/>
      <c r="CQ29" s="252" t="n"/>
      <c r="CR29" s="178" t="n"/>
      <c r="CS29" s="184" t="n"/>
      <c r="CT29" s="130">
        <f>$E29*10</f>
        <v/>
      </c>
      <c r="CU29" s="109" t="n"/>
      <c r="CV29" s="252" t="n"/>
      <c r="CW29" s="178" t="n"/>
      <c r="CX29" s="184" t="n"/>
      <c r="CY29" s="130">
        <f>$E29*10</f>
        <v/>
      </c>
      <c r="CZ29" s="109" t="n"/>
      <c r="DA29" s="252" t="n"/>
      <c r="DB29" s="178" t="n"/>
      <c r="DC29" s="184" t="n"/>
      <c r="DD29" s="130">
        <f>$E29*10</f>
        <v/>
      </c>
      <c r="DE29" s="109" t="n"/>
      <c r="DF29" s="252" t="n"/>
      <c r="DG29" s="178" t="n"/>
      <c r="DH29" s="184" t="n"/>
      <c r="DI29" s="130">
        <f>$E29*10</f>
        <v/>
      </c>
      <c r="DJ29" s="109" t="n"/>
      <c r="DK29" s="252" t="n"/>
      <c r="DL29" s="178" t="n"/>
      <c r="DM29" s="184" t="n"/>
      <c r="DN29" s="130">
        <f>$E29*10</f>
        <v/>
      </c>
      <c r="DO29" s="193" t="n"/>
      <c r="DP29" s="252" t="n"/>
      <c r="DQ29" s="178" t="n"/>
      <c r="DR29" s="184" t="n"/>
      <c r="DS29" s="130">
        <f>$E29*10</f>
        <v/>
      </c>
      <c r="DT29" s="109" t="n"/>
      <c r="DU29" s="252" t="n"/>
      <c r="DV29" s="180">
        <f>SUMPRODUCT(--(MOD(COLUMN($BN29:$DU29),5)=MOD(COLUMN($BN29),5)),$BN29:$DU29)</f>
        <v/>
      </c>
      <c r="DW29" s="181">
        <f>Автовик_разбивка[[#This Row],[Цена, 
юань, без НДС 1]]*DV29</f>
        <v/>
      </c>
      <c r="DX29" s="186">
        <f>SUMPRODUCT(--(MOD(COLUMN($BN29:$DU29),5)=MOD(COLUMN($BN29)+1,5)),$BN29:$DU29)</f>
        <v/>
      </c>
      <c r="DY29" s="186">
        <f>Автовик_разбивка[[#This Row],[Цена, 
юань, без НДС 1]]*DX29</f>
        <v/>
      </c>
      <c r="DZ29" s="130">
        <f>SUMPRODUCT(--(MOD(COLUMN($BN29:$DU29),5)=MOD(COLUMN($BN29)+2,5)),$BN29:$DU29)</f>
        <v/>
      </c>
      <c r="EA29" s="187">
        <f>Автовик_разбивка[[#This Row],[Цена, 
юань, без НДС 1]]*DZ29</f>
        <v/>
      </c>
      <c r="EB29" s="109">
        <f>SUMPRODUCT(--(MOD(COLUMN($BN29:$DU29),5)=MOD(COLUMN($BN29)+3,5)),$BN29:$DU29)</f>
        <v/>
      </c>
      <c r="EC29" s="224">
        <f>Автовик_разбивка[[#This Row],[Цена, 
юань, без НДС 1]]*EB29</f>
        <v/>
      </c>
    </row>
    <row r="30">
      <c r="A30" s="221" t="n">
        <v>11</v>
      </c>
      <c r="B30" s="172" t="inlineStr">
        <is>
          <t>САВ</t>
        </is>
      </c>
      <c r="C30" s="173" t="inlineStr">
        <is>
          <t>TEBS</t>
        </is>
      </c>
      <c r="D30" s="173" t="inlineStr">
        <is>
          <t xml:space="preserve">TEBS 2s/2m 
15м </t>
        </is>
      </c>
      <c r="E30" s="174" t="n"/>
      <c r="F30" s="174" t="n"/>
      <c r="G30" s="174" t="n"/>
      <c r="H30" s="175" t="n">
        <v>4497230400</v>
      </c>
      <c r="I30" s="176" t="inlineStr">
        <is>
          <t>Кабель датчика, 4 м</t>
        </is>
      </c>
      <c r="J30" s="911" t="n"/>
      <c r="K30" s="912" t="n"/>
      <c r="L30" s="178" t="n"/>
      <c r="M30" s="130" t="n">
        <v>0</v>
      </c>
      <c r="N30" s="179" t="n">
        <v>6</v>
      </c>
      <c r="O30" s="130" t="n"/>
      <c r="P30" s="178" t="n"/>
      <c r="Q30" s="130" t="n">
        <v>0</v>
      </c>
      <c r="R30" s="179" t="n">
        <v>20</v>
      </c>
      <c r="S30" s="130" t="n"/>
      <c r="T30" s="178" t="n"/>
      <c r="U30" s="130" t="n">
        <v>0</v>
      </c>
      <c r="V30" s="179" t="n">
        <v>10</v>
      </c>
      <c r="W30" s="130" t="n"/>
      <c r="X30" s="178" t="n"/>
      <c r="Y30" s="130" t="n"/>
      <c r="Z30" s="179" t="n"/>
      <c r="AA30" s="130" t="n"/>
      <c r="AB30" s="178" t="n"/>
      <c r="AC30" s="130" t="n"/>
      <c r="AD30" s="109" t="n"/>
      <c r="AE30" s="252" t="n"/>
      <c r="AF30" s="178" t="n"/>
      <c r="AG30" s="130" t="n"/>
      <c r="AH30" s="109" t="n"/>
      <c r="AI30" s="252" t="n"/>
      <c r="AJ30" s="178" t="n"/>
      <c r="AK30" s="130" t="n"/>
      <c r="AL30" s="109" t="n"/>
      <c r="AM30" s="252" t="n"/>
      <c r="AN30" s="178" t="n"/>
      <c r="AO30" s="130" t="n"/>
      <c r="AP30" s="109" t="n"/>
      <c r="AQ30" s="252" t="n"/>
      <c r="AR30" s="178" t="n"/>
      <c r="AS30" s="130" t="n"/>
      <c r="AT30" s="109" t="n"/>
      <c r="AU30" s="252" t="n"/>
      <c r="AV30" s="178" t="n"/>
      <c r="AW30" s="130" t="n"/>
      <c r="AX30" s="109" t="n"/>
      <c r="AY30" s="252" t="n"/>
      <c r="AZ30" s="178" t="n"/>
      <c r="BA30" s="130" t="n"/>
      <c r="BB30" s="193" t="n"/>
      <c r="BC30" s="252" t="n"/>
      <c r="BD30" s="178" t="n"/>
      <c r="BE30" s="130">
        <f>$E30*4</f>
        <v/>
      </c>
      <c r="BF30" s="109" t="n"/>
      <c r="BG30" s="252" t="n"/>
      <c r="BH30" s="180">
        <f>SUMPRODUCT(--(MOD(COLUMN($L30:$BG30),4)=MOD(COLUMN($L30),4)),$L30:$BG30)</f>
        <v/>
      </c>
      <c r="BI30" s="181">
        <f>Автовик_разбивка[[#This Row],[Цена, 
юань, без НДС 1]]*BH30</f>
        <v/>
      </c>
      <c r="BJ30" s="130">
        <f>SUMPRODUCT(--(MOD(COLUMN($L30:$BG30),4)=MOD(COLUMN($L30)+1,4)),$L30:$BG30)</f>
        <v/>
      </c>
      <c r="BK30" s="187">
        <f>Автовик_разбивка[[#This Row],[Цена, 
юань, без НДС 1]]*BJ30</f>
        <v/>
      </c>
      <c r="BL30" s="109">
        <f>SUMPRODUCT(--(MOD(COLUMN($L30:$BG30),4)=MOD(COLUMN($L30)+2,4)),$L30:$BG30)</f>
        <v/>
      </c>
      <c r="BM30" s="224">
        <f>Автовик_разбивка[[#This Row],[Цена, 
юань, без НДС 1]]*BL30</f>
        <v/>
      </c>
      <c r="BN30" s="178" t="n"/>
      <c r="BO30" s="184" t="n"/>
      <c r="BP30" s="130">
        <f>$E30*5</f>
        <v/>
      </c>
      <c r="BQ30" s="179" t="n"/>
      <c r="BR30" s="130" t="n"/>
      <c r="BS30" s="178" t="n"/>
      <c r="BT30" s="184" t="n"/>
      <c r="BU30" s="130">
        <f>$E30*5</f>
        <v/>
      </c>
      <c r="BV30" s="179" t="n"/>
      <c r="BW30" s="130" t="n"/>
      <c r="BX30" s="178" t="n"/>
      <c r="BY30" s="184" t="n"/>
      <c r="BZ30" s="130">
        <f>$E30*10</f>
        <v/>
      </c>
      <c r="CA30" s="179" t="n"/>
      <c r="CB30" s="130" t="n"/>
      <c r="CC30" s="178" t="n"/>
      <c r="CD30" s="184" t="n"/>
      <c r="CE30" s="130">
        <f>$E30*10</f>
        <v/>
      </c>
      <c r="CF30" s="179" t="n"/>
      <c r="CG30" s="130" t="n"/>
      <c r="CH30" s="178" t="n"/>
      <c r="CI30" s="184" t="n"/>
      <c r="CJ30" s="130">
        <f>$E30*10</f>
        <v/>
      </c>
      <c r="CK30" s="109" t="n"/>
      <c r="CL30" s="252" t="n"/>
      <c r="CM30" s="178" t="n"/>
      <c r="CN30" s="184" t="n"/>
      <c r="CO30" s="130">
        <f>$E30*10</f>
        <v/>
      </c>
      <c r="CP30" s="109" t="n"/>
      <c r="CQ30" s="252" t="n"/>
      <c r="CR30" s="178" t="n"/>
      <c r="CS30" s="184" t="n"/>
      <c r="CT30" s="130">
        <f>$E30*10</f>
        <v/>
      </c>
      <c r="CU30" s="109" t="n"/>
      <c r="CV30" s="252" t="n"/>
      <c r="CW30" s="178" t="n"/>
      <c r="CX30" s="184" t="n"/>
      <c r="CY30" s="130">
        <f>$E30*10</f>
        <v/>
      </c>
      <c r="CZ30" s="109" t="n"/>
      <c r="DA30" s="252" t="n"/>
      <c r="DB30" s="178" t="n"/>
      <c r="DC30" s="184" t="n"/>
      <c r="DD30" s="130">
        <f>$E30*10</f>
        <v/>
      </c>
      <c r="DE30" s="109" t="n"/>
      <c r="DF30" s="252" t="n"/>
      <c r="DG30" s="178" t="n"/>
      <c r="DH30" s="184" t="n"/>
      <c r="DI30" s="130">
        <f>$E30*10</f>
        <v/>
      </c>
      <c r="DJ30" s="109" t="n"/>
      <c r="DK30" s="252" t="n"/>
      <c r="DL30" s="178" t="n"/>
      <c r="DM30" s="184" t="n"/>
      <c r="DN30" s="130">
        <f>$E30*10</f>
        <v/>
      </c>
      <c r="DO30" s="193" t="n"/>
      <c r="DP30" s="252" t="n"/>
      <c r="DQ30" s="178" t="n"/>
      <c r="DR30" s="184" t="n"/>
      <c r="DS30" s="130">
        <f>$E30*10</f>
        <v/>
      </c>
      <c r="DT30" s="109" t="n"/>
      <c r="DU30" s="252" t="n"/>
      <c r="DV30" s="180">
        <f>SUMPRODUCT(--(MOD(COLUMN($BN30:$DU30),5)=MOD(COLUMN($BN30),5)),$BN30:$DU30)</f>
        <v/>
      </c>
      <c r="DW30" s="181">
        <f>Автовик_разбивка[[#This Row],[Цена, 
юань, без НДС 1]]*DV30</f>
        <v/>
      </c>
      <c r="DX30" s="186">
        <f>SUMPRODUCT(--(MOD(COLUMN($BN30:$DU30),5)=MOD(COLUMN($BN30)+1,5)),$BN30:$DU30)</f>
        <v/>
      </c>
      <c r="DY30" s="186">
        <f>Автовик_разбивка[[#This Row],[Цена, 
юань, без НДС 1]]*DX30</f>
        <v/>
      </c>
      <c r="DZ30" s="130">
        <f>SUMPRODUCT(--(MOD(COLUMN($BN30:$DU30),5)=MOD(COLUMN($BN30)+2,5)),$BN30:$DU30)</f>
        <v/>
      </c>
      <c r="EA30" s="187">
        <f>Автовик_разбивка[[#This Row],[Цена, 
юань, без НДС 1]]*DZ30</f>
        <v/>
      </c>
      <c r="EB30" s="109">
        <f>SUMPRODUCT(--(MOD(COLUMN($BN30:$DU30),5)=MOD(COLUMN($BN30)+3,5)),$BN30:$DU30)</f>
        <v/>
      </c>
      <c r="EC30" s="224">
        <f>Автовик_разбивка[[#This Row],[Цена, 
юань, без НДС 1]]*EB30</f>
        <v/>
      </c>
    </row>
    <row r="31">
      <c r="A31" s="221" t="n">
        <v>11</v>
      </c>
      <c r="B31" s="172" t="inlineStr">
        <is>
          <t>САВ</t>
        </is>
      </c>
      <c r="C31" s="173" t="inlineStr">
        <is>
          <t>TEBS</t>
        </is>
      </c>
      <c r="D31" s="173" t="inlineStr">
        <is>
          <t xml:space="preserve">TEBS 2s/2m 
15м </t>
        </is>
      </c>
      <c r="E31" s="174" t="n">
        <v>2</v>
      </c>
      <c r="F31" s="174" t="n"/>
      <c r="G31" s="174" t="n"/>
      <c r="H31" s="175" t="n">
        <v>4497230500</v>
      </c>
      <c r="I31" s="176" t="inlineStr">
        <is>
          <t>Кабель датчика, 5 м</t>
        </is>
      </c>
      <c r="J31" s="911" t="n"/>
      <c r="K31" s="912" t="n"/>
      <c r="L31" s="178" t="n">
        <v>0</v>
      </c>
      <c r="M31" s="130">
        <f>$E31*0</f>
        <v/>
      </c>
      <c r="N31" s="179" t="n">
        <v>0</v>
      </c>
      <c r="O31" s="130" t="n"/>
      <c r="P31" s="178" t="n">
        <v>10</v>
      </c>
      <c r="Q31" s="130">
        <f>$E31*5</f>
        <v/>
      </c>
      <c r="R31" s="179" t="n">
        <v>0</v>
      </c>
      <c r="S31" s="130" t="n"/>
      <c r="T31" s="178" t="n">
        <v>20</v>
      </c>
      <c r="U31" s="130">
        <f>$E31*15</f>
        <v/>
      </c>
      <c r="V31" s="179" t="n">
        <v>12</v>
      </c>
      <c r="W31" s="130" t="n"/>
      <c r="X31" s="178" t="n">
        <v>20</v>
      </c>
      <c r="Y31" s="130">
        <f>$E31*10</f>
        <v/>
      </c>
      <c r="Z31" s="179" t="n">
        <v>44</v>
      </c>
      <c r="AA31" s="130" t="n"/>
      <c r="AB31" s="178" t="n">
        <v>20</v>
      </c>
      <c r="AC31" s="130">
        <f>$E31*10</f>
        <v/>
      </c>
      <c r="AD31" s="109" t="n"/>
      <c r="AE31" s="252" t="n"/>
      <c r="AF31" s="178" t="n">
        <v>20</v>
      </c>
      <c r="AG31" s="130">
        <f>$E31*10</f>
        <v/>
      </c>
      <c r="AH31" s="109" t="n"/>
      <c r="AI31" s="252" t="n"/>
      <c r="AJ31" s="178" t="n">
        <v>20</v>
      </c>
      <c r="AK31" s="130">
        <f>$E31*10</f>
        <v/>
      </c>
      <c r="AL31" s="109" t="n"/>
      <c r="AM31" s="252" t="n"/>
      <c r="AN31" s="178" t="n">
        <v>20</v>
      </c>
      <c r="AO31" s="130">
        <f>$E31*0</f>
        <v/>
      </c>
      <c r="AP31" s="109" t="n"/>
      <c r="AQ31" s="252" t="n"/>
      <c r="AR31" s="178" t="n">
        <v>20</v>
      </c>
      <c r="AS31" s="130">
        <f>$E31*5</f>
        <v/>
      </c>
      <c r="AT31" s="109" t="n"/>
      <c r="AU31" s="252" t="n"/>
      <c r="AV31" s="178" t="n">
        <v>20</v>
      </c>
      <c r="AW31" s="130">
        <f>$E31*10</f>
        <v/>
      </c>
      <c r="AX31" s="109" t="n"/>
      <c r="AY31" s="252" t="n"/>
      <c r="AZ31" s="178" t="n">
        <v>20</v>
      </c>
      <c r="BA31" s="130">
        <f>$E31*10</f>
        <v/>
      </c>
      <c r="BB31" s="193" t="n"/>
      <c r="BC31" s="252" t="n"/>
      <c r="BD31" s="178" t="n">
        <v>20</v>
      </c>
      <c r="BE31" s="130">
        <f>$E31*4</f>
        <v/>
      </c>
      <c r="BF31" s="109" t="n"/>
      <c r="BG31" s="252" t="n"/>
      <c r="BH31" s="180">
        <f>SUMPRODUCT(--(MOD(COLUMN($L31:$BG31),4)=MOD(COLUMN($L31),4)),$L31:$BG31)</f>
        <v/>
      </c>
      <c r="BI31" s="181">
        <f>Автовик_разбивка[[#This Row],[Цена, 
юань, без НДС 1]]*BH31</f>
        <v/>
      </c>
      <c r="BJ31" s="130">
        <f>SUMPRODUCT(--(MOD(COLUMN($L31:$BG31),4)=MOD(COLUMN($L31)+1,4)),$L31:$BG31)</f>
        <v/>
      </c>
      <c r="BK31" s="187">
        <f>Автовик_разбивка[[#This Row],[Цена, 
юань, без НДС 1]]*BJ31</f>
        <v/>
      </c>
      <c r="BL31" s="109">
        <f>SUMPRODUCT(--(MOD(COLUMN($L31:$BG31),4)=MOD(COLUMN($L31)+2,4)),$L31:$BG31)</f>
        <v/>
      </c>
      <c r="BM31" s="224">
        <f>Автовик_разбивка[[#This Row],[Цена, 
юань, без НДС 1]]*BL31</f>
        <v/>
      </c>
      <c r="BN31" s="178" t="n"/>
      <c r="BO31" s="184" t="n"/>
      <c r="BP31" s="130">
        <f>$E31*5</f>
        <v/>
      </c>
      <c r="BQ31" s="179" t="n"/>
      <c r="BR31" s="130" t="n"/>
      <c r="BS31" s="178" t="n"/>
      <c r="BT31" s="184" t="n"/>
      <c r="BU31" s="130">
        <f>$E31*5</f>
        <v/>
      </c>
      <c r="BV31" s="179" t="n"/>
      <c r="BW31" s="130" t="n"/>
      <c r="BX31" s="178" t="n"/>
      <c r="BY31" s="184" t="n"/>
      <c r="BZ31" s="130">
        <f>$E31*10</f>
        <v/>
      </c>
      <c r="CA31" s="179" t="n"/>
      <c r="CB31" s="130" t="n"/>
      <c r="CC31" s="178" t="n"/>
      <c r="CD31" s="184" t="n"/>
      <c r="CE31" s="130">
        <f>$E31*10</f>
        <v/>
      </c>
      <c r="CF31" s="179" t="n"/>
      <c r="CG31" s="130" t="n"/>
      <c r="CH31" s="178" t="n"/>
      <c r="CI31" s="184" t="n"/>
      <c r="CJ31" s="130">
        <f>$E31*10</f>
        <v/>
      </c>
      <c r="CK31" s="109" t="n"/>
      <c r="CL31" s="252" t="n"/>
      <c r="CM31" s="178" t="n"/>
      <c r="CN31" s="184" t="n"/>
      <c r="CO31" s="130">
        <f>$E31*10</f>
        <v/>
      </c>
      <c r="CP31" s="109" t="n"/>
      <c r="CQ31" s="252" t="n"/>
      <c r="CR31" s="178" t="n"/>
      <c r="CS31" s="184" t="n"/>
      <c r="CT31" s="130">
        <f>$E31*10</f>
        <v/>
      </c>
      <c r="CU31" s="109" t="n"/>
      <c r="CV31" s="252" t="n"/>
      <c r="CW31" s="178" t="n"/>
      <c r="CX31" s="184" t="n"/>
      <c r="CY31" s="130">
        <f>$E31*10</f>
        <v/>
      </c>
      <c r="CZ31" s="109" t="n"/>
      <c r="DA31" s="252" t="n"/>
      <c r="DB31" s="178" t="n"/>
      <c r="DC31" s="184" t="n"/>
      <c r="DD31" s="130">
        <f>$E31*10</f>
        <v/>
      </c>
      <c r="DE31" s="109" t="n"/>
      <c r="DF31" s="252" t="n"/>
      <c r="DG31" s="178" t="n"/>
      <c r="DH31" s="184" t="n"/>
      <c r="DI31" s="130">
        <f>$E31*10</f>
        <v/>
      </c>
      <c r="DJ31" s="109" t="n"/>
      <c r="DK31" s="252" t="n"/>
      <c r="DL31" s="178" t="n"/>
      <c r="DM31" s="184" t="n"/>
      <c r="DN31" s="130">
        <f>$E31*10</f>
        <v/>
      </c>
      <c r="DO31" s="193" t="n"/>
      <c r="DP31" s="252" t="n"/>
      <c r="DQ31" s="178" t="n"/>
      <c r="DR31" s="184" t="n"/>
      <c r="DS31" s="130">
        <f>$E31*10</f>
        <v/>
      </c>
      <c r="DT31" s="109" t="n"/>
      <c r="DU31" s="252" t="n"/>
      <c r="DV31" s="180">
        <f>SUMPRODUCT(--(MOD(COLUMN($BN31:$DU31),5)=MOD(COLUMN($BN31),5)),$BN31:$DU31)</f>
        <v/>
      </c>
      <c r="DW31" s="181">
        <f>Автовик_разбивка[[#This Row],[Цена, 
юань, без НДС 1]]*DV31</f>
        <v/>
      </c>
      <c r="DX31" s="186">
        <f>SUMPRODUCT(--(MOD(COLUMN($BN31:$DU31),5)=MOD(COLUMN($BN31)+1,5)),$BN31:$DU31)</f>
        <v/>
      </c>
      <c r="DY31" s="186">
        <f>Автовик_разбивка[[#This Row],[Цена, 
юань, без НДС 1]]*DX31</f>
        <v/>
      </c>
      <c r="DZ31" s="130">
        <f>SUMPRODUCT(--(MOD(COLUMN($BN31:$DU31),5)=MOD(COLUMN($BN31)+2,5)),$BN31:$DU31)</f>
        <v/>
      </c>
      <c r="EA31" s="187">
        <f>Автовик_разбивка[[#This Row],[Цена, 
юань, без НДС 1]]*DZ31</f>
        <v/>
      </c>
      <c r="EB31" s="109">
        <f>SUMPRODUCT(--(MOD(COLUMN($BN31:$DU31),5)=MOD(COLUMN($BN31)+3,5)),$BN31:$DU31)</f>
        <v/>
      </c>
      <c r="EC31" s="224">
        <f>Автовик_разбивка[[#This Row],[Цена, 
юань, без НДС 1]]*EB31</f>
        <v/>
      </c>
    </row>
    <row r="32">
      <c r="A32" s="221" t="n">
        <v>11</v>
      </c>
      <c r="B32" s="172" t="inlineStr">
        <is>
          <t>САВ</t>
        </is>
      </c>
      <c r="C32" s="173" t="inlineStr">
        <is>
          <t>TEBS</t>
        </is>
      </c>
      <c r="D32" s="173" t="inlineStr">
        <is>
          <t xml:space="preserve">TEBS 2s/2m 
15м </t>
        </is>
      </c>
      <c r="E32" s="174" t="n">
        <v>1</v>
      </c>
      <c r="F32" s="174" t="n"/>
      <c r="G32" s="174" t="n"/>
      <c r="H32" s="175" t="n">
        <v>4630320200</v>
      </c>
      <c r="I32" s="176" t="inlineStr">
        <is>
          <t>Кран ручного управления</t>
        </is>
      </c>
      <c r="J32" s="911" t="n"/>
      <c r="K32" s="913" t="n"/>
      <c r="L32" s="178" t="n">
        <v>0</v>
      </c>
      <c r="M32" s="130">
        <f>$E32*0</f>
        <v/>
      </c>
      <c r="N32" s="179" t="n">
        <v>3</v>
      </c>
      <c r="O32" s="130" t="n"/>
      <c r="P32" s="178" t="n">
        <v>5</v>
      </c>
      <c r="Q32" s="130">
        <f>$E32*5</f>
        <v/>
      </c>
      <c r="R32" s="179" t="n">
        <v>10</v>
      </c>
      <c r="S32" s="130" t="n"/>
      <c r="T32" s="178" t="n">
        <v>10</v>
      </c>
      <c r="U32" s="130">
        <f>$E32*15</f>
        <v/>
      </c>
      <c r="V32" s="179" t="n">
        <v>11</v>
      </c>
      <c r="W32" s="130" t="n"/>
      <c r="X32" s="178" t="n">
        <v>10</v>
      </c>
      <c r="Y32" s="130">
        <f>$E32*10</f>
        <v/>
      </c>
      <c r="Z32" s="179" t="n">
        <v>22</v>
      </c>
      <c r="AA32" s="130" t="n"/>
      <c r="AB32" s="178" t="n">
        <v>10</v>
      </c>
      <c r="AC32" s="130">
        <f>$E32*10</f>
        <v/>
      </c>
      <c r="AD32" s="109" t="n"/>
      <c r="AE32" s="252" t="n"/>
      <c r="AF32" s="178" t="n">
        <v>10</v>
      </c>
      <c r="AG32" s="130">
        <f>$E32*10</f>
        <v/>
      </c>
      <c r="AH32" s="109" t="n"/>
      <c r="AI32" s="252" t="n"/>
      <c r="AJ32" s="178" t="n">
        <v>10</v>
      </c>
      <c r="AK32" s="130">
        <f>$E32*10</f>
        <v/>
      </c>
      <c r="AL32" s="109" t="n"/>
      <c r="AM32" s="252" t="n"/>
      <c r="AN32" s="178" t="n">
        <v>10</v>
      </c>
      <c r="AO32" s="130">
        <f>$E32*0</f>
        <v/>
      </c>
      <c r="AP32" s="109" t="n"/>
      <c r="AQ32" s="252" t="n"/>
      <c r="AR32" s="178" t="n">
        <v>10</v>
      </c>
      <c r="AS32" s="130">
        <f>$E32*5</f>
        <v/>
      </c>
      <c r="AT32" s="109" t="n"/>
      <c r="AU32" s="252" t="n"/>
      <c r="AV32" s="178" t="n">
        <v>10</v>
      </c>
      <c r="AW32" s="130">
        <f>$E32*10</f>
        <v/>
      </c>
      <c r="AX32" s="109" t="n"/>
      <c r="AY32" s="252" t="n"/>
      <c r="AZ32" s="178" t="n">
        <v>10</v>
      </c>
      <c r="BA32" s="130">
        <f>$E32*10</f>
        <v/>
      </c>
      <c r="BB32" s="194" t="n"/>
      <c r="BC32" s="252" t="n"/>
      <c r="BD32" s="178" t="n">
        <v>10</v>
      </c>
      <c r="BE32" s="130">
        <f>$E32*4</f>
        <v/>
      </c>
      <c r="BF32" s="109" t="n"/>
      <c r="BG32" s="252" t="n"/>
      <c r="BH32" s="180">
        <f>SUMPRODUCT(--(MOD(COLUMN($L32:$BG32),4)=MOD(COLUMN($L32),4)),$L32:$BG32)</f>
        <v/>
      </c>
      <c r="BI32" s="181">
        <f>Автовик_разбивка[[#This Row],[Цена, 
юань, без НДС 1]]*BH32</f>
        <v/>
      </c>
      <c r="BJ32" s="130">
        <f>SUMPRODUCT(--(MOD(COLUMN($L32:$BG32),4)=MOD(COLUMN($L32)+1,4)),$L32:$BG32)</f>
        <v/>
      </c>
      <c r="BK32" s="187">
        <f>Автовик_разбивка[[#This Row],[Цена, 
юань, без НДС 1]]*BJ32</f>
        <v/>
      </c>
      <c r="BL32" s="109">
        <f>SUMPRODUCT(--(MOD(COLUMN($L32:$BG32),4)=MOD(COLUMN($L32)+2,4)),$L32:$BG32)</f>
        <v/>
      </c>
      <c r="BM32" s="224">
        <f>Автовик_разбивка[[#This Row],[Цена, 
юань, без НДС 1]]*BL32</f>
        <v/>
      </c>
      <c r="BN32" s="178" t="n"/>
      <c r="BO32" s="184" t="n"/>
      <c r="BP32" s="130">
        <f>$E32*5</f>
        <v/>
      </c>
      <c r="BQ32" s="179" t="n"/>
      <c r="BR32" s="130" t="n"/>
      <c r="BS32" s="178" t="n"/>
      <c r="BT32" s="184" t="n"/>
      <c r="BU32" s="130">
        <f>$E32*5</f>
        <v/>
      </c>
      <c r="BV32" s="179" t="n"/>
      <c r="BW32" s="130" t="n"/>
      <c r="BX32" s="178" t="n"/>
      <c r="BY32" s="184" t="n"/>
      <c r="BZ32" s="130">
        <f>$E32*10</f>
        <v/>
      </c>
      <c r="CA32" s="179" t="n"/>
      <c r="CB32" s="130" t="n"/>
      <c r="CC32" s="178" t="n"/>
      <c r="CD32" s="184" t="n"/>
      <c r="CE32" s="130">
        <f>$E32*10</f>
        <v/>
      </c>
      <c r="CF32" s="179" t="n"/>
      <c r="CG32" s="130" t="n"/>
      <c r="CH32" s="178" t="n"/>
      <c r="CI32" s="184" t="n"/>
      <c r="CJ32" s="130">
        <f>$E32*10</f>
        <v/>
      </c>
      <c r="CK32" s="109" t="n"/>
      <c r="CL32" s="252" t="n"/>
      <c r="CM32" s="178" t="n"/>
      <c r="CN32" s="184" t="n"/>
      <c r="CO32" s="130">
        <f>$E32*10</f>
        <v/>
      </c>
      <c r="CP32" s="109" t="n"/>
      <c r="CQ32" s="252" t="n"/>
      <c r="CR32" s="178" t="n"/>
      <c r="CS32" s="184" t="n"/>
      <c r="CT32" s="130">
        <f>$E32*10</f>
        <v/>
      </c>
      <c r="CU32" s="109" t="n"/>
      <c r="CV32" s="252" t="n"/>
      <c r="CW32" s="178" t="n"/>
      <c r="CX32" s="184" t="n"/>
      <c r="CY32" s="130">
        <f>$E32*10</f>
        <v/>
      </c>
      <c r="CZ32" s="109" t="n"/>
      <c r="DA32" s="252" t="n"/>
      <c r="DB32" s="178" t="n"/>
      <c r="DC32" s="184" t="n"/>
      <c r="DD32" s="130">
        <f>$E32*10</f>
        <v/>
      </c>
      <c r="DE32" s="109" t="n"/>
      <c r="DF32" s="252" t="n"/>
      <c r="DG32" s="178" t="n"/>
      <c r="DH32" s="184" t="n"/>
      <c r="DI32" s="130">
        <f>$E32*10</f>
        <v/>
      </c>
      <c r="DJ32" s="109" t="n"/>
      <c r="DK32" s="252" t="n"/>
      <c r="DL32" s="178" t="n"/>
      <c r="DM32" s="184" t="n"/>
      <c r="DN32" s="130">
        <f>$E32*10</f>
        <v/>
      </c>
      <c r="DO32" s="194" t="n"/>
      <c r="DP32" s="252" t="n"/>
      <c r="DQ32" s="178" t="n"/>
      <c r="DR32" s="184" t="n"/>
      <c r="DS32" s="130">
        <f>$E32*10</f>
        <v/>
      </c>
      <c r="DT32" s="109" t="n"/>
      <c r="DU32" s="252" t="n"/>
      <c r="DV32" s="180">
        <f>SUMPRODUCT(--(MOD(COLUMN($BN32:$DU32),5)=MOD(COLUMN($BN32),5)),$BN32:$DU32)</f>
        <v/>
      </c>
      <c r="DW32" s="181">
        <f>Автовик_разбивка[[#This Row],[Цена, 
юань, без НДС 1]]*DV32</f>
        <v/>
      </c>
      <c r="DX32" s="186">
        <f>SUMPRODUCT(--(MOD(COLUMN($BN32:$DU32),5)=MOD(COLUMN($BN32)+1,5)),$BN32:$DU32)</f>
        <v/>
      </c>
      <c r="DY32" s="186">
        <f>Автовик_разбивка[[#This Row],[Цена, 
юань, без НДС 1]]*DX32</f>
        <v/>
      </c>
      <c r="DZ32" s="130">
        <f>SUMPRODUCT(--(MOD(COLUMN($BN32:$DU32),5)=MOD(COLUMN($BN32)+2,5)),$BN32:$DU32)</f>
        <v/>
      </c>
      <c r="EA32" s="187">
        <f>Автовик_разбивка[[#This Row],[Цена, 
юань, без НДС 1]]*DZ32</f>
        <v/>
      </c>
      <c r="EB32" s="109">
        <f>SUMPRODUCT(--(MOD(COLUMN($BN32:$DU32),5)=MOD(COLUMN($BN32)+3,5)),$BN32:$DU32)</f>
        <v/>
      </c>
      <c r="EC32" s="224">
        <f>Автовик_разбивка[[#This Row],[Цена, 
юань, без НДС 1]]*EB32</f>
        <v/>
      </c>
    </row>
    <row r="33">
      <c r="A33" s="221" t="n">
        <v>11</v>
      </c>
      <c r="B33" s="172" t="inlineStr">
        <is>
          <t>САВ</t>
        </is>
      </c>
      <c r="C33" s="173" t="inlineStr">
        <is>
          <t>TEBS</t>
        </is>
      </c>
      <c r="D33" s="173" t="inlineStr">
        <is>
          <t xml:space="preserve">TEBS 2s/2m 
15м </t>
        </is>
      </c>
      <c r="E33" s="174" t="n">
        <v>1</v>
      </c>
      <c r="F33" s="174" t="n"/>
      <c r="G33" s="174" t="n"/>
      <c r="H33" s="175" t="n">
        <v>4640061000</v>
      </c>
      <c r="I33" s="176" t="inlineStr">
        <is>
          <t>Кран уровня пола, 5-ти портовый</t>
        </is>
      </c>
      <c r="J33" s="911" t="n"/>
      <c r="K33" s="912" t="n"/>
      <c r="L33" s="178" t="n">
        <v>0</v>
      </c>
      <c r="M33" s="130">
        <f>$E33*0</f>
        <v/>
      </c>
      <c r="N33" s="179" t="n">
        <v>3</v>
      </c>
      <c r="O33" s="130" t="n"/>
      <c r="P33" s="178" t="n">
        <v>5</v>
      </c>
      <c r="Q33" s="130">
        <f>$E33*5</f>
        <v/>
      </c>
      <c r="R33" s="179" t="n">
        <v>10</v>
      </c>
      <c r="S33" s="130" t="n"/>
      <c r="T33" s="178" t="n">
        <v>10</v>
      </c>
      <c r="U33" s="130">
        <f>$E33*15</f>
        <v/>
      </c>
      <c r="V33" s="179" t="n">
        <v>11</v>
      </c>
      <c r="W33" s="130" t="n"/>
      <c r="X33" s="178" t="n">
        <v>10</v>
      </c>
      <c r="Y33" s="130">
        <f>$E33*10</f>
        <v/>
      </c>
      <c r="Z33" s="179" t="n">
        <v>22</v>
      </c>
      <c r="AA33" s="130" t="n"/>
      <c r="AB33" s="178" t="n">
        <v>10</v>
      </c>
      <c r="AC33" s="130">
        <f>$E33*10</f>
        <v/>
      </c>
      <c r="AD33" s="109" t="n"/>
      <c r="AE33" s="252" t="n"/>
      <c r="AF33" s="178" t="n">
        <v>10</v>
      </c>
      <c r="AG33" s="130">
        <f>$E33*10</f>
        <v/>
      </c>
      <c r="AH33" s="109" t="n"/>
      <c r="AI33" s="252" t="n"/>
      <c r="AJ33" s="178" t="n">
        <v>10</v>
      </c>
      <c r="AK33" s="130">
        <f>$E33*10</f>
        <v/>
      </c>
      <c r="AL33" s="109" t="n"/>
      <c r="AM33" s="252" t="n"/>
      <c r="AN33" s="178" t="n">
        <v>10</v>
      </c>
      <c r="AO33" s="130">
        <f>$E33*0</f>
        <v/>
      </c>
      <c r="AP33" s="109" t="n"/>
      <c r="AQ33" s="252" t="n"/>
      <c r="AR33" s="178" t="n">
        <v>10</v>
      </c>
      <c r="AS33" s="130">
        <f>$E33*5</f>
        <v/>
      </c>
      <c r="AT33" s="109" t="n"/>
      <c r="AU33" s="252" t="n"/>
      <c r="AV33" s="178" t="n">
        <v>10</v>
      </c>
      <c r="AW33" s="130">
        <f>$E33*10</f>
        <v/>
      </c>
      <c r="AX33" s="109" t="n"/>
      <c r="AY33" s="252" t="n"/>
      <c r="AZ33" s="178" t="n">
        <v>10</v>
      </c>
      <c r="BA33" s="130">
        <f>$E33*10</f>
        <v/>
      </c>
      <c r="BB33" s="179" t="n"/>
      <c r="BC33" s="252" t="n"/>
      <c r="BD33" s="178" t="n">
        <v>10</v>
      </c>
      <c r="BE33" s="130">
        <f>$E33*4</f>
        <v/>
      </c>
      <c r="BF33" s="109" t="n"/>
      <c r="BG33" s="252" t="n"/>
      <c r="BH33" s="180">
        <f>SUMPRODUCT(--(MOD(COLUMN($L33:$BG33),4)=MOD(COLUMN($L33),4)),$L33:$BG33)</f>
        <v/>
      </c>
      <c r="BI33" s="181">
        <f>Автовик_разбивка[[#This Row],[Цена, 
юань, без НДС 1]]*BH33</f>
        <v/>
      </c>
      <c r="BJ33" s="130">
        <f>SUMPRODUCT(--(MOD(COLUMN($L33:$BG33),4)=MOD(COLUMN($L33)+1,4)),$L33:$BG33)</f>
        <v/>
      </c>
      <c r="BK33" s="187">
        <f>Автовик_разбивка[[#This Row],[Цена, 
юань, без НДС 1]]*BJ33</f>
        <v/>
      </c>
      <c r="BL33" s="109">
        <f>SUMPRODUCT(--(MOD(COLUMN($L33:$BG33),4)=MOD(COLUMN($L33)+2,4)),$L33:$BG33)</f>
        <v/>
      </c>
      <c r="BM33" s="224">
        <f>Автовик_разбивка[[#This Row],[Цена, 
юань, без НДС 1]]*BL33</f>
        <v/>
      </c>
      <c r="BN33" s="178" t="n"/>
      <c r="BO33" s="184" t="n"/>
      <c r="BP33" s="130">
        <f>$E33*5</f>
        <v/>
      </c>
      <c r="BQ33" s="179" t="n"/>
      <c r="BR33" s="130" t="n"/>
      <c r="BS33" s="178" t="n"/>
      <c r="BT33" s="184" t="n"/>
      <c r="BU33" s="130">
        <f>$E33*5</f>
        <v/>
      </c>
      <c r="BV33" s="179" t="n"/>
      <c r="BW33" s="130" t="n"/>
      <c r="BX33" s="178" t="n"/>
      <c r="BY33" s="184" t="n"/>
      <c r="BZ33" s="130">
        <f>$E33*10</f>
        <v/>
      </c>
      <c r="CA33" s="179" t="n"/>
      <c r="CB33" s="130" t="n"/>
      <c r="CC33" s="178" t="n"/>
      <c r="CD33" s="184" t="n"/>
      <c r="CE33" s="130">
        <f>$E33*10</f>
        <v/>
      </c>
      <c r="CF33" s="179" t="n"/>
      <c r="CG33" s="130" t="n"/>
      <c r="CH33" s="178" t="n"/>
      <c r="CI33" s="184" t="n"/>
      <c r="CJ33" s="130">
        <f>$E33*10</f>
        <v/>
      </c>
      <c r="CK33" s="109" t="n"/>
      <c r="CL33" s="252" t="n"/>
      <c r="CM33" s="178" t="n"/>
      <c r="CN33" s="184" t="n"/>
      <c r="CO33" s="130">
        <f>$E33*10</f>
        <v/>
      </c>
      <c r="CP33" s="109" t="n"/>
      <c r="CQ33" s="252" t="n"/>
      <c r="CR33" s="178" t="n"/>
      <c r="CS33" s="184" t="n"/>
      <c r="CT33" s="130">
        <f>$E33*10</f>
        <v/>
      </c>
      <c r="CU33" s="109" t="n"/>
      <c r="CV33" s="252" t="n"/>
      <c r="CW33" s="178" t="n"/>
      <c r="CX33" s="184" t="n"/>
      <c r="CY33" s="130">
        <f>$E33*10</f>
        <v/>
      </c>
      <c r="CZ33" s="109" t="n"/>
      <c r="DA33" s="252" t="n"/>
      <c r="DB33" s="178" t="n"/>
      <c r="DC33" s="184" t="n"/>
      <c r="DD33" s="130">
        <f>$E33*10</f>
        <v/>
      </c>
      <c r="DE33" s="109" t="n"/>
      <c r="DF33" s="252" t="n"/>
      <c r="DG33" s="178" t="n"/>
      <c r="DH33" s="184" t="n"/>
      <c r="DI33" s="130">
        <f>$E33*10</f>
        <v/>
      </c>
      <c r="DJ33" s="109" t="n"/>
      <c r="DK33" s="252" t="n"/>
      <c r="DL33" s="178" t="n"/>
      <c r="DM33" s="184" t="n"/>
      <c r="DN33" s="130">
        <f>$E33*10</f>
        <v/>
      </c>
      <c r="DO33" s="179" t="n"/>
      <c r="DP33" s="252" t="n"/>
      <c r="DQ33" s="178" t="n"/>
      <c r="DR33" s="184" t="n"/>
      <c r="DS33" s="130">
        <f>$E33*10</f>
        <v/>
      </c>
      <c r="DT33" s="109" t="n"/>
      <c r="DU33" s="252" t="n"/>
      <c r="DV33" s="180">
        <f>SUMPRODUCT(--(MOD(COLUMN($BN33:$DU33),5)=MOD(COLUMN($BN33),5)),$BN33:$DU33)</f>
        <v/>
      </c>
      <c r="DW33" s="181">
        <f>Автовик_разбивка[[#This Row],[Цена, 
юань, без НДС 1]]*DV33</f>
        <v/>
      </c>
      <c r="DX33" s="186">
        <f>SUMPRODUCT(--(MOD(COLUMN($BN33:$DU33),5)=MOD(COLUMN($BN33)+1,5)),$BN33:$DU33)</f>
        <v/>
      </c>
      <c r="DY33" s="186">
        <f>Автовик_разбивка[[#This Row],[Цена, 
юань, без НДС 1]]*DX33</f>
        <v/>
      </c>
      <c r="DZ33" s="130">
        <f>SUMPRODUCT(--(MOD(COLUMN($BN33:$DU33),5)=MOD(COLUMN($BN33)+2,5)),$BN33:$DU33)</f>
        <v/>
      </c>
      <c r="EA33" s="187">
        <f>Автовик_разбивка[[#This Row],[Цена, 
юань, без НДС 1]]*DZ33</f>
        <v/>
      </c>
      <c r="EB33" s="109">
        <f>SUMPRODUCT(--(MOD(COLUMN($BN33:$DU33),5)=MOD(COLUMN($BN33)+3,5)),$BN33:$DU33)</f>
        <v/>
      </c>
      <c r="EC33" s="224">
        <f>Автовик_разбивка[[#This Row],[Цена, 
юань, без НДС 1]]*EB33</f>
        <v/>
      </c>
    </row>
    <row r="34">
      <c r="A34" s="221" t="n">
        <v>11</v>
      </c>
      <c r="B34" s="172" t="inlineStr">
        <is>
          <t>САВ</t>
        </is>
      </c>
      <c r="C34" s="173" t="inlineStr">
        <is>
          <t>TEBS</t>
        </is>
      </c>
      <c r="D34" s="173" t="inlineStr">
        <is>
          <t xml:space="preserve">TEBS 2s/2m 
15м </t>
        </is>
      </c>
      <c r="E34" s="174" t="n">
        <v>1</v>
      </c>
      <c r="F34" s="174" t="n"/>
      <c r="G34" s="174" t="n"/>
      <c r="H34" s="175" t="n">
        <v>4801020640</v>
      </c>
      <c r="I34" s="176" t="inlineStr">
        <is>
          <t>Модулятор EBS, с PEM, без фит.</t>
        </is>
      </c>
      <c r="J34" s="911" t="n"/>
      <c r="K34" s="913" t="n"/>
      <c r="L34" s="178" t="n">
        <v>0</v>
      </c>
      <c r="M34" s="130">
        <f>$E34*0</f>
        <v/>
      </c>
      <c r="N34" s="179" t="n">
        <v>3</v>
      </c>
      <c r="O34" s="130" t="n"/>
      <c r="P34" s="178" t="n">
        <v>5</v>
      </c>
      <c r="Q34" s="130">
        <f>$E34*5</f>
        <v/>
      </c>
      <c r="R34" s="179" t="n">
        <v>10</v>
      </c>
      <c r="S34" s="130" t="n"/>
      <c r="T34" s="178" t="n">
        <v>10</v>
      </c>
      <c r="U34" s="130">
        <f>$E34*15</f>
        <v/>
      </c>
      <c r="V34" s="179" t="n">
        <v>11</v>
      </c>
      <c r="W34" s="130" t="n"/>
      <c r="X34" s="178" t="n">
        <v>10</v>
      </c>
      <c r="Y34" s="130">
        <f>$E34*10</f>
        <v/>
      </c>
      <c r="Z34" s="179" t="n">
        <v>22</v>
      </c>
      <c r="AA34" s="130" t="n"/>
      <c r="AB34" s="178" t="n">
        <v>10</v>
      </c>
      <c r="AC34" s="130">
        <f>$E34*10</f>
        <v/>
      </c>
      <c r="AD34" s="109" t="n"/>
      <c r="AE34" s="252" t="n"/>
      <c r="AF34" s="178" t="n">
        <v>10</v>
      </c>
      <c r="AG34" s="130">
        <f>$E34*10</f>
        <v/>
      </c>
      <c r="AH34" s="109" t="n"/>
      <c r="AI34" s="252" t="n"/>
      <c r="AJ34" s="178" t="n">
        <v>10</v>
      </c>
      <c r="AK34" s="130">
        <f>$E34*10</f>
        <v/>
      </c>
      <c r="AL34" s="109" t="n"/>
      <c r="AM34" s="252" t="n"/>
      <c r="AN34" s="178" t="n">
        <v>10</v>
      </c>
      <c r="AO34" s="130">
        <f>$E34*0</f>
        <v/>
      </c>
      <c r="AP34" s="109" t="n"/>
      <c r="AQ34" s="252" t="n"/>
      <c r="AR34" s="178" t="n">
        <v>10</v>
      </c>
      <c r="AS34" s="130">
        <f>$E34*5</f>
        <v/>
      </c>
      <c r="AT34" s="109" t="n"/>
      <c r="AU34" s="252" t="n"/>
      <c r="AV34" s="178" t="n">
        <v>10</v>
      </c>
      <c r="AW34" s="130">
        <f>$E34*10</f>
        <v/>
      </c>
      <c r="AX34" s="109" t="n"/>
      <c r="AY34" s="252" t="n"/>
      <c r="AZ34" s="178" t="n">
        <v>10</v>
      </c>
      <c r="BA34" s="130">
        <f>$E34*10</f>
        <v/>
      </c>
      <c r="BB34" s="193" t="n"/>
      <c r="BC34" s="252" t="n"/>
      <c r="BD34" s="178" t="n">
        <v>10</v>
      </c>
      <c r="BE34" s="130">
        <f>$E34*4</f>
        <v/>
      </c>
      <c r="BF34" s="109" t="n"/>
      <c r="BG34" s="252" t="n"/>
      <c r="BH34" s="180">
        <f>SUMPRODUCT(--(MOD(COLUMN($L34:$BG34),4)=MOD(COLUMN($L34),4)),$L34:$BG34)</f>
        <v/>
      </c>
      <c r="BI34" s="181">
        <f>Автовик_разбивка[[#This Row],[Цена, 
юань, без НДС 1]]*BH34</f>
        <v/>
      </c>
      <c r="BJ34" s="130">
        <f>SUMPRODUCT(--(MOD(COLUMN($L34:$BG34),4)=MOD(COLUMN($L34)+1,4)),$L34:$BG34)</f>
        <v/>
      </c>
      <c r="BK34" s="187">
        <f>Автовик_разбивка[[#This Row],[Цена, 
юань, без НДС 1]]*BJ34</f>
        <v/>
      </c>
      <c r="BL34" s="109">
        <f>SUMPRODUCT(--(MOD(COLUMN($L34:$BG34),4)=MOD(COLUMN($L34)+2,4)),$L34:$BG34)</f>
        <v/>
      </c>
      <c r="BM34" s="224">
        <f>Автовик_разбивка[[#This Row],[Цена, 
юань, без НДС 1]]*BL34</f>
        <v/>
      </c>
      <c r="BN34" s="178" t="n"/>
      <c r="BO34" s="184" t="n"/>
      <c r="BP34" s="130">
        <f>$E34*5</f>
        <v/>
      </c>
      <c r="BQ34" s="179" t="n"/>
      <c r="BR34" s="130" t="n"/>
      <c r="BS34" s="178" t="n"/>
      <c r="BT34" s="184" t="n"/>
      <c r="BU34" s="130">
        <f>$E34*5</f>
        <v/>
      </c>
      <c r="BV34" s="179" t="n"/>
      <c r="BW34" s="130" t="n"/>
      <c r="BX34" s="178" t="n"/>
      <c r="BY34" s="184" t="n"/>
      <c r="BZ34" s="130">
        <f>$E34*10</f>
        <v/>
      </c>
      <c r="CA34" s="179" t="n"/>
      <c r="CB34" s="130" t="n"/>
      <c r="CC34" s="178" t="n"/>
      <c r="CD34" s="184" t="n"/>
      <c r="CE34" s="130">
        <f>$E34*10</f>
        <v/>
      </c>
      <c r="CF34" s="179" t="n"/>
      <c r="CG34" s="130" t="n"/>
      <c r="CH34" s="178" t="n"/>
      <c r="CI34" s="184" t="n"/>
      <c r="CJ34" s="130">
        <f>$E34*10</f>
        <v/>
      </c>
      <c r="CK34" s="109" t="n"/>
      <c r="CL34" s="252" t="n"/>
      <c r="CM34" s="178" t="n"/>
      <c r="CN34" s="184" t="n"/>
      <c r="CO34" s="130">
        <f>$E34*10</f>
        <v/>
      </c>
      <c r="CP34" s="109" t="n"/>
      <c r="CQ34" s="252" t="n"/>
      <c r="CR34" s="178" t="n"/>
      <c r="CS34" s="184" t="n"/>
      <c r="CT34" s="130">
        <f>$E34*10</f>
        <v/>
      </c>
      <c r="CU34" s="109" t="n"/>
      <c r="CV34" s="252" t="n"/>
      <c r="CW34" s="178" t="n"/>
      <c r="CX34" s="184" t="n"/>
      <c r="CY34" s="130">
        <f>$E34*10</f>
        <v/>
      </c>
      <c r="CZ34" s="109" t="n"/>
      <c r="DA34" s="252" t="n"/>
      <c r="DB34" s="178" t="n"/>
      <c r="DC34" s="184" t="n"/>
      <c r="DD34" s="130">
        <f>$E34*10</f>
        <v/>
      </c>
      <c r="DE34" s="109" t="n"/>
      <c r="DF34" s="252" t="n"/>
      <c r="DG34" s="178" t="n"/>
      <c r="DH34" s="184" t="n"/>
      <c r="DI34" s="130">
        <f>$E34*10</f>
        <v/>
      </c>
      <c r="DJ34" s="109" t="n"/>
      <c r="DK34" s="252" t="n"/>
      <c r="DL34" s="178" t="n"/>
      <c r="DM34" s="184" t="n"/>
      <c r="DN34" s="130">
        <f>$E34*10</f>
        <v/>
      </c>
      <c r="DO34" s="193" t="n"/>
      <c r="DP34" s="252" t="n"/>
      <c r="DQ34" s="178" t="n"/>
      <c r="DR34" s="184" t="n"/>
      <c r="DS34" s="130">
        <f>$E34*10</f>
        <v/>
      </c>
      <c r="DT34" s="109" t="n"/>
      <c r="DU34" s="252" t="n"/>
      <c r="DV34" s="180">
        <f>SUMPRODUCT(--(MOD(COLUMN($BN34:$DU34),5)=MOD(COLUMN($BN34),5)),$BN34:$DU34)</f>
        <v/>
      </c>
      <c r="DW34" s="181">
        <f>Автовик_разбивка[[#This Row],[Цена, 
юань, без НДС 1]]*DV34</f>
        <v/>
      </c>
      <c r="DX34" s="186">
        <f>SUMPRODUCT(--(MOD(COLUMN($BN34:$DU34),5)=MOD(COLUMN($BN34)+1,5)),$BN34:$DU34)</f>
        <v/>
      </c>
      <c r="DY34" s="186">
        <f>Автовик_разбивка[[#This Row],[Цена, 
юань, без НДС 1]]*DX34</f>
        <v/>
      </c>
      <c r="DZ34" s="130">
        <f>SUMPRODUCT(--(MOD(COLUMN($BN34:$DU34),5)=MOD(COLUMN($BN34)+2,5)),$BN34:$DU34)</f>
        <v/>
      </c>
      <c r="EA34" s="187">
        <f>Автовик_разбивка[[#This Row],[Цена, 
юань, без НДС 1]]*DZ34</f>
        <v/>
      </c>
      <c r="EB34" s="109">
        <f>SUMPRODUCT(--(MOD(COLUMN($BN34:$DU34),5)=MOD(COLUMN($BN34)+3,5)),$BN34:$DU34)</f>
        <v/>
      </c>
      <c r="EC34" s="224">
        <f>Автовик_разбивка[[#This Row],[Цена, 
юань, без НДС 1]]*EB34</f>
        <v/>
      </c>
    </row>
    <row r="35">
      <c r="A35" s="221" t="n">
        <v>11</v>
      </c>
      <c r="B35" s="172" t="inlineStr">
        <is>
          <t>САВ</t>
        </is>
      </c>
      <c r="C35" s="173" t="inlineStr">
        <is>
          <t>TEBS</t>
        </is>
      </c>
      <c r="D35" s="173" t="inlineStr">
        <is>
          <t xml:space="preserve">TEBS 2s/2m 
15м </t>
        </is>
      </c>
      <c r="E35" s="174" t="n">
        <v>1</v>
      </c>
      <c r="F35" s="174" t="n"/>
      <c r="G35" s="174" t="n"/>
      <c r="H35" s="175" t="n">
        <v>9522010010</v>
      </c>
      <c r="I35" s="176" t="inlineStr">
        <is>
          <t>Головка соединительная (управляющая)</t>
        </is>
      </c>
      <c r="J35" s="911" t="n"/>
      <c r="K35" s="913" t="n"/>
      <c r="L35" s="178" t="n">
        <v>0</v>
      </c>
      <c r="M35" s="130">
        <f>$E35*0</f>
        <v/>
      </c>
      <c r="N35" s="179" t="n">
        <v>3</v>
      </c>
      <c r="O35" s="130" t="n"/>
      <c r="P35" s="178" t="n">
        <v>5</v>
      </c>
      <c r="Q35" s="130">
        <f>$E35*5</f>
        <v/>
      </c>
      <c r="R35" s="179" t="n">
        <v>10</v>
      </c>
      <c r="S35" s="130" t="n"/>
      <c r="T35" s="178" t="n">
        <v>10</v>
      </c>
      <c r="U35" s="130">
        <f>$E35*15</f>
        <v/>
      </c>
      <c r="V35" s="179" t="n">
        <v>11</v>
      </c>
      <c r="W35" s="130" t="n"/>
      <c r="X35" s="178" t="n">
        <v>10</v>
      </c>
      <c r="Y35" s="130">
        <f>$E35*10</f>
        <v/>
      </c>
      <c r="Z35" s="179" t="n">
        <v>22</v>
      </c>
      <c r="AA35" s="130" t="n"/>
      <c r="AB35" s="178" t="n">
        <v>10</v>
      </c>
      <c r="AC35" s="130">
        <f>$E35*10</f>
        <v/>
      </c>
      <c r="AD35" s="179" t="n"/>
      <c r="AE35" s="130" t="n"/>
      <c r="AF35" s="178" t="n">
        <v>10</v>
      </c>
      <c r="AG35" s="130">
        <f>$E35*10</f>
        <v/>
      </c>
      <c r="AH35" s="179" t="n"/>
      <c r="AI35" s="130" t="n"/>
      <c r="AJ35" s="178" t="n">
        <v>10</v>
      </c>
      <c r="AK35" s="130">
        <f>$E35*10</f>
        <v/>
      </c>
      <c r="AL35" s="179" t="n"/>
      <c r="AM35" s="130" t="n"/>
      <c r="AN35" s="178" t="n">
        <v>10</v>
      </c>
      <c r="AO35" s="130">
        <f>$E35*0</f>
        <v/>
      </c>
      <c r="AP35" s="179" t="n"/>
      <c r="AQ35" s="130" t="n"/>
      <c r="AR35" s="178" t="n">
        <v>10</v>
      </c>
      <c r="AS35" s="130">
        <f>$E35*5</f>
        <v/>
      </c>
      <c r="AT35" s="179" t="n"/>
      <c r="AU35" s="130" t="n"/>
      <c r="AV35" s="178" t="n">
        <v>10</v>
      </c>
      <c r="AW35" s="130">
        <f>$E35*10</f>
        <v/>
      </c>
      <c r="AX35" s="179" t="n"/>
      <c r="AY35" s="130" t="n"/>
      <c r="AZ35" s="178" t="n">
        <v>10</v>
      </c>
      <c r="BA35" s="130">
        <f>$E35*10</f>
        <v/>
      </c>
      <c r="BB35" s="228" t="n"/>
      <c r="BC35" s="130" t="n"/>
      <c r="BD35" s="178" t="n">
        <v>10</v>
      </c>
      <c r="BE35" s="130">
        <f>$E35*4</f>
        <v/>
      </c>
      <c r="BF35" s="109" t="n"/>
      <c r="BG35" s="130" t="n"/>
      <c r="BH35" s="180">
        <f>SUMPRODUCT(--(MOD(COLUMN($L35:$BG35),4)=MOD(COLUMN($L35),4)),$L35:$BG35)</f>
        <v/>
      </c>
      <c r="BI35" s="181">
        <f>Автовик_разбивка[[#This Row],[Цена, 
юань, без НДС 1]]*BH35</f>
        <v/>
      </c>
      <c r="BJ35" s="130">
        <f>SUMPRODUCT(--(MOD(COLUMN($L35:$BG35),4)=MOD(COLUMN($L35)+1,4)),$L35:$BG35)</f>
        <v/>
      </c>
      <c r="BK35" s="187">
        <f>Автовик_разбивка[[#This Row],[Цена, 
юань, без НДС 1]]*BJ35</f>
        <v/>
      </c>
      <c r="BL35" s="109">
        <f>SUMPRODUCT(--(MOD(COLUMN($L35:$BG35),4)=MOD(COLUMN($L35)+2,4)),$L35:$BG35)</f>
        <v/>
      </c>
      <c r="BM35" s="224">
        <f>Автовик_разбивка[[#This Row],[Цена, 
юань, без НДС 1]]*BL35</f>
        <v/>
      </c>
      <c r="BN35" s="178" t="n"/>
      <c r="BO35" s="184" t="n"/>
      <c r="BP35" s="130">
        <f>$E35*5</f>
        <v/>
      </c>
      <c r="BQ35" s="179" t="n"/>
      <c r="BR35" s="130" t="n"/>
      <c r="BS35" s="178" t="n"/>
      <c r="BT35" s="184" t="n"/>
      <c r="BU35" s="130">
        <f>$E35*5</f>
        <v/>
      </c>
      <c r="BV35" s="179" t="n"/>
      <c r="BW35" s="130" t="n"/>
      <c r="BX35" s="178" t="n"/>
      <c r="BY35" s="184" t="n"/>
      <c r="BZ35" s="130">
        <f>$E35*10</f>
        <v/>
      </c>
      <c r="CA35" s="179" t="n"/>
      <c r="CB35" s="130" t="n"/>
      <c r="CC35" s="178" t="n"/>
      <c r="CD35" s="184" t="n"/>
      <c r="CE35" s="130">
        <f>$E35*10</f>
        <v/>
      </c>
      <c r="CF35" s="179" t="n"/>
      <c r="CG35" s="130" t="n"/>
      <c r="CH35" s="178" t="n"/>
      <c r="CI35" s="184" t="n"/>
      <c r="CJ35" s="130">
        <f>$E35*10</f>
        <v/>
      </c>
      <c r="CK35" s="179" t="n"/>
      <c r="CL35" s="130" t="n"/>
      <c r="CM35" s="178" t="n"/>
      <c r="CN35" s="184" t="n"/>
      <c r="CO35" s="130">
        <f>$E35*10</f>
        <v/>
      </c>
      <c r="CP35" s="179" t="n"/>
      <c r="CQ35" s="130" t="n"/>
      <c r="CR35" s="178" t="n"/>
      <c r="CS35" s="184" t="n"/>
      <c r="CT35" s="130">
        <f>$E35*10</f>
        <v/>
      </c>
      <c r="CU35" s="179" t="n"/>
      <c r="CV35" s="130" t="n"/>
      <c r="CW35" s="178" t="n"/>
      <c r="CX35" s="184" t="n"/>
      <c r="CY35" s="130">
        <f>$E35*10</f>
        <v/>
      </c>
      <c r="CZ35" s="179" t="n"/>
      <c r="DA35" s="130" t="n"/>
      <c r="DB35" s="178" t="n"/>
      <c r="DC35" s="184" t="n"/>
      <c r="DD35" s="130">
        <f>$E35*10</f>
        <v/>
      </c>
      <c r="DE35" s="179" t="n"/>
      <c r="DF35" s="130" t="n"/>
      <c r="DG35" s="178" t="n"/>
      <c r="DH35" s="184" t="n"/>
      <c r="DI35" s="130">
        <f>$E35*10</f>
        <v/>
      </c>
      <c r="DJ35" s="179" t="n"/>
      <c r="DK35" s="130" t="n"/>
      <c r="DL35" s="178" t="n"/>
      <c r="DM35" s="184" t="n"/>
      <c r="DN35" s="130">
        <f>$E35*10</f>
        <v/>
      </c>
      <c r="DO35" s="228" t="n"/>
      <c r="DP35" s="130" t="n"/>
      <c r="DQ35" s="178" t="n"/>
      <c r="DR35" s="184" t="n"/>
      <c r="DS35" s="130">
        <f>$E35*10</f>
        <v/>
      </c>
      <c r="DT35" s="109" t="n"/>
      <c r="DU35" s="130" t="n"/>
      <c r="DV35" s="180">
        <f>SUMPRODUCT(--(MOD(COLUMN($BN35:$DU35),5)=MOD(COLUMN($BN35),5)),$BN35:$DU35)</f>
        <v/>
      </c>
      <c r="DW35" s="181">
        <f>Автовик_разбивка[[#This Row],[Цена, 
юань, без НДС 1]]*DV35</f>
        <v/>
      </c>
      <c r="DX35" s="186">
        <f>SUMPRODUCT(--(MOD(COLUMN($BN35:$DU35),5)=MOD(COLUMN($BN35)+1,5)),$BN35:$DU35)</f>
        <v/>
      </c>
      <c r="DY35" s="186">
        <f>Автовик_разбивка[[#This Row],[Цена, 
юань, без НДС 1]]*DX35</f>
        <v/>
      </c>
      <c r="DZ35" s="130">
        <f>SUMPRODUCT(--(MOD(COLUMN($BN35:$DU35),5)=MOD(COLUMN($BN35)+2,5)),$BN35:$DU35)</f>
        <v/>
      </c>
      <c r="EA35" s="187">
        <f>Автовик_разбивка[[#This Row],[Цена, 
юань, без НДС 1]]*DZ35</f>
        <v/>
      </c>
      <c r="EB35" s="109">
        <f>SUMPRODUCT(--(MOD(COLUMN($BN35:$DU35),5)=MOD(COLUMN($BN35)+3,5)),$BN35:$DU35)</f>
        <v/>
      </c>
      <c r="EC35" s="224">
        <f>Автовик_разбивка[[#This Row],[Цена, 
юань, без НДС 1]]*EB35</f>
        <v/>
      </c>
    </row>
    <row r="36">
      <c r="A36" s="221" t="n">
        <v>11</v>
      </c>
      <c r="B36" s="172" t="inlineStr">
        <is>
          <t>САВ</t>
        </is>
      </c>
      <c r="C36" s="173" t="inlineStr">
        <is>
          <t>TEBS</t>
        </is>
      </c>
      <c r="D36" s="173" t="inlineStr">
        <is>
          <t xml:space="preserve">TEBS 2s/2m 
15м </t>
        </is>
      </c>
      <c r="E36" s="174" t="n">
        <v>1</v>
      </c>
      <c r="F36" s="174" t="n"/>
      <c r="G36" s="174" t="n"/>
      <c r="H36" s="175" t="n">
        <v>9522010020</v>
      </c>
      <c r="I36" s="176" t="inlineStr">
        <is>
          <t>Головка соединительная (питающая)</t>
        </is>
      </c>
      <c r="J36" s="911" t="n"/>
      <c r="K36" s="913" t="n"/>
      <c r="L36" s="178" t="n">
        <v>0</v>
      </c>
      <c r="M36" s="130">
        <f>$E36*0</f>
        <v/>
      </c>
      <c r="N36" s="179" t="n">
        <v>3</v>
      </c>
      <c r="O36" s="130" t="n"/>
      <c r="P36" s="178" t="n">
        <v>5</v>
      </c>
      <c r="Q36" s="130">
        <f>$E36*5</f>
        <v/>
      </c>
      <c r="R36" s="179" t="n">
        <v>10</v>
      </c>
      <c r="S36" s="130" t="n"/>
      <c r="T36" s="178" t="n">
        <v>10</v>
      </c>
      <c r="U36" s="130">
        <f>$E36*15</f>
        <v/>
      </c>
      <c r="V36" s="179" t="n">
        <v>11</v>
      </c>
      <c r="W36" s="130" t="n"/>
      <c r="X36" s="178" t="n">
        <v>10</v>
      </c>
      <c r="Y36" s="130">
        <f>$E36*10</f>
        <v/>
      </c>
      <c r="Z36" s="179" t="n">
        <v>22</v>
      </c>
      <c r="AA36" s="130" t="n"/>
      <c r="AB36" s="178" t="n">
        <v>10</v>
      </c>
      <c r="AC36" s="130">
        <f>$E36*10</f>
        <v/>
      </c>
      <c r="AD36" s="179" t="n"/>
      <c r="AE36" s="130" t="n"/>
      <c r="AF36" s="178" t="n">
        <v>10</v>
      </c>
      <c r="AG36" s="130">
        <f>$E36*10</f>
        <v/>
      </c>
      <c r="AH36" s="179" t="n"/>
      <c r="AI36" s="130" t="n"/>
      <c r="AJ36" s="178" t="n">
        <v>10</v>
      </c>
      <c r="AK36" s="130">
        <f>$E36*10</f>
        <v/>
      </c>
      <c r="AL36" s="179" t="n"/>
      <c r="AM36" s="130" t="n"/>
      <c r="AN36" s="178" t="n">
        <v>10</v>
      </c>
      <c r="AO36" s="130">
        <f>$E36*0</f>
        <v/>
      </c>
      <c r="AP36" s="179" t="n"/>
      <c r="AQ36" s="130" t="n"/>
      <c r="AR36" s="178" t="n">
        <v>10</v>
      </c>
      <c r="AS36" s="130">
        <f>$E36*5</f>
        <v/>
      </c>
      <c r="AT36" s="179" t="n"/>
      <c r="AU36" s="130" t="n"/>
      <c r="AV36" s="178" t="n">
        <v>10</v>
      </c>
      <c r="AW36" s="130">
        <f>$E36*10</f>
        <v/>
      </c>
      <c r="AX36" s="179" t="n"/>
      <c r="AY36" s="130" t="n"/>
      <c r="AZ36" s="178" t="n">
        <v>10</v>
      </c>
      <c r="BA36" s="130">
        <f>$E36*10</f>
        <v/>
      </c>
      <c r="BB36" s="228" t="n"/>
      <c r="BC36" s="130" t="n"/>
      <c r="BD36" s="178" t="n">
        <v>10</v>
      </c>
      <c r="BE36" s="130">
        <f>$E36*4</f>
        <v/>
      </c>
      <c r="BF36" s="109" t="n"/>
      <c r="BG36" s="130" t="n"/>
      <c r="BH36" s="180">
        <f>SUMPRODUCT(--(MOD(COLUMN($L36:$BG36),4)=MOD(COLUMN($L36),4)),$L36:$BG36)</f>
        <v/>
      </c>
      <c r="BI36" s="181">
        <f>Автовик_разбивка[[#This Row],[Цена, 
юань, без НДС 1]]*BH36</f>
        <v/>
      </c>
      <c r="BJ36" s="130">
        <f>SUMPRODUCT(--(MOD(COLUMN($L36:$BG36),4)=MOD(COLUMN($L36)+1,4)),$L36:$BG36)</f>
        <v/>
      </c>
      <c r="BK36" s="187">
        <f>Автовик_разбивка[[#This Row],[Цена, 
юань, без НДС 1]]*BJ36</f>
        <v/>
      </c>
      <c r="BL36" s="109">
        <f>SUMPRODUCT(--(MOD(COLUMN($L36:$BG36),4)=MOD(COLUMN($L36)+2,4)),$L36:$BG36)</f>
        <v/>
      </c>
      <c r="BM36" s="224">
        <f>Автовик_разбивка[[#This Row],[Цена, 
юань, без НДС 1]]*BL36</f>
        <v/>
      </c>
      <c r="BN36" s="178" t="n"/>
      <c r="BO36" s="184" t="n"/>
      <c r="BP36" s="130">
        <f>$E36*5</f>
        <v/>
      </c>
      <c r="BQ36" s="179" t="n"/>
      <c r="BR36" s="130" t="n"/>
      <c r="BS36" s="178" t="n"/>
      <c r="BT36" s="184" t="n"/>
      <c r="BU36" s="130">
        <f>$E36*5</f>
        <v/>
      </c>
      <c r="BV36" s="179" t="n"/>
      <c r="BW36" s="130" t="n"/>
      <c r="BX36" s="178" t="n"/>
      <c r="BY36" s="184" t="n"/>
      <c r="BZ36" s="130">
        <f>$E36*10</f>
        <v/>
      </c>
      <c r="CA36" s="179" t="n"/>
      <c r="CB36" s="130" t="n"/>
      <c r="CC36" s="178" t="n"/>
      <c r="CD36" s="184" t="n"/>
      <c r="CE36" s="130">
        <f>$E36*10</f>
        <v/>
      </c>
      <c r="CF36" s="179" t="n"/>
      <c r="CG36" s="130" t="n"/>
      <c r="CH36" s="178" t="n"/>
      <c r="CI36" s="184" t="n"/>
      <c r="CJ36" s="130">
        <f>$E36*10</f>
        <v/>
      </c>
      <c r="CK36" s="179" t="n"/>
      <c r="CL36" s="130" t="n"/>
      <c r="CM36" s="178" t="n"/>
      <c r="CN36" s="184" t="n"/>
      <c r="CO36" s="130">
        <f>$E36*10</f>
        <v/>
      </c>
      <c r="CP36" s="179" t="n"/>
      <c r="CQ36" s="130" t="n"/>
      <c r="CR36" s="178" t="n"/>
      <c r="CS36" s="184" t="n"/>
      <c r="CT36" s="130">
        <f>$E36*10</f>
        <v/>
      </c>
      <c r="CU36" s="179" t="n"/>
      <c r="CV36" s="130" t="n"/>
      <c r="CW36" s="178" t="n"/>
      <c r="CX36" s="184" t="n"/>
      <c r="CY36" s="130">
        <f>$E36*10</f>
        <v/>
      </c>
      <c r="CZ36" s="179" t="n"/>
      <c r="DA36" s="130" t="n"/>
      <c r="DB36" s="178" t="n"/>
      <c r="DC36" s="184" t="n"/>
      <c r="DD36" s="130">
        <f>$E36*10</f>
        <v/>
      </c>
      <c r="DE36" s="179" t="n"/>
      <c r="DF36" s="130" t="n"/>
      <c r="DG36" s="178" t="n"/>
      <c r="DH36" s="184" t="n"/>
      <c r="DI36" s="130">
        <f>$E36*10</f>
        <v/>
      </c>
      <c r="DJ36" s="179" t="n"/>
      <c r="DK36" s="130" t="n"/>
      <c r="DL36" s="178" t="n"/>
      <c r="DM36" s="184" t="n"/>
      <c r="DN36" s="130">
        <f>$E36*10</f>
        <v/>
      </c>
      <c r="DO36" s="228" t="n"/>
      <c r="DP36" s="130" t="n"/>
      <c r="DQ36" s="178" t="n"/>
      <c r="DR36" s="184" t="n"/>
      <c r="DS36" s="130">
        <f>$E36*10</f>
        <v/>
      </c>
      <c r="DT36" s="109" t="n"/>
      <c r="DU36" s="130" t="n"/>
      <c r="DV36" s="180">
        <f>SUMPRODUCT(--(MOD(COLUMN($BN36:$DU36),5)=MOD(COLUMN($BN36),5)),$BN36:$DU36)</f>
        <v/>
      </c>
      <c r="DW36" s="181">
        <f>Автовик_разбивка[[#This Row],[Цена, 
юань, без НДС 1]]*DV36</f>
        <v/>
      </c>
      <c r="DX36" s="186">
        <f>SUMPRODUCT(--(MOD(COLUMN($BN36:$DU36),5)=MOD(COLUMN($BN36)+1,5)),$BN36:$DU36)</f>
        <v/>
      </c>
      <c r="DY36" s="186">
        <f>Автовик_разбивка[[#This Row],[Цена, 
юань, без НДС 1]]*DX36</f>
        <v/>
      </c>
      <c r="DZ36" s="130">
        <f>SUMPRODUCT(--(MOD(COLUMN($BN36:$DU36),5)=MOD(COLUMN($BN36)+2,5)),$BN36:$DU36)</f>
        <v/>
      </c>
      <c r="EA36" s="187">
        <f>Автовик_разбивка[[#This Row],[Цена, 
юань, без НДС 1]]*DZ36</f>
        <v/>
      </c>
      <c r="EB36" s="109">
        <f>SUMPRODUCT(--(MOD(COLUMN($BN36:$DU36),5)=MOD(COLUMN($BN36)+3,5)),$BN36:$DU36)</f>
        <v/>
      </c>
      <c r="EC36" s="224">
        <f>Автовик_разбивка[[#This Row],[Цена, 
юань, без НДС 1]]*EB36</f>
        <v/>
      </c>
    </row>
    <row r="37">
      <c r="A37" s="221" t="n">
        <v>11</v>
      </c>
      <c r="B37" s="172" t="inlineStr">
        <is>
          <t>САВ</t>
        </is>
      </c>
      <c r="C37" s="173" t="inlineStr">
        <is>
          <t>TEBS</t>
        </is>
      </c>
      <c r="D37" s="173" t="inlineStr">
        <is>
          <t xml:space="preserve">TEBS 2s/2m 
15м </t>
        </is>
      </c>
      <c r="E37" s="174" t="n">
        <v>1</v>
      </c>
      <c r="F37" s="174" t="n"/>
      <c r="G37" s="174" t="n"/>
      <c r="H37" s="175" t="n">
        <v>9710029000</v>
      </c>
      <c r="I37" s="176" t="inlineStr">
        <is>
          <t>Воздухораспределитель с клапаном растормаживания</t>
        </is>
      </c>
      <c r="J37" s="911" t="n"/>
      <c r="K37" s="913" t="n"/>
      <c r="L37" s="178" t="n">
        <v>0</v>
      </c>
      <c r="M37" s="130">
        <f>$E37*0</f>
        <v/>
      </c>
      <c r="N37" s="179" t="n">
        <v>3</v>
      </c>
      <c r="O37" s="130" t="n"/>
      <c r="P37" s="178" t="n">
        <v>5</v>
      </c>
      <c r="Q37" s="130">
        <f>$E37*5</f>
        <v/>
      </c>
      <c r="R37" s="179" t="n">
        <v>10</v>
      </c>
      <c r="S37" s="130" t="n"/>
      <c r="T37" s="178" t="n">
        <v>10</v>
      </c>
      <c r="U37" s="130">
        <f>$E37*15</f>
        <v/>
      </c>
      <c r="V37" s="179" t="n">
        <v>11</v>
      </c>
      <c r="W37" s="130" t="n"/>
      <c r="X37" s="178" t="n">
        <v>10</v>
      </c>
      <c r="Y37" s="130">
        <f>$E37*10</f>
        <v/>
      </c>
      <c r="Z37" s="179" t="n">
        <v>22</v>
      </c>
      <c r="AA37" s="130" t="n"/>
      <c r="AB37" s="178" t="n">
        <v>10</v>
      </c>
      <c r="AC37" s="130">
        <f>$E37*10</f>
        <v/>
      </c>
      <c r="AD37" s="109" t="n"/>
      <c r="AE37" s="252" t="n"/>
      <c r="AF37" s="178" t="n">
        <v>10</v>
      </c>
      <c r="AG37" s="130">
        <f>$E37*10</f>
        <v/>
      </c>
      <c r="AH37" s="109" t="n"/>
      <c r="AI37" s="252" t="n"/>
      <c r="AJ37" s="178" t="n">
        <v>10</v>
      </c>
      <c r="AK37" s="130">
        <f>$E37*10</f>
        <v/>
      </c>
      <c r="AL37" s="109" t="n"/>
      <c r="AM37" s="252" t="n"/>
      <c r="AN37" s="178" t="n">
        <v>10</v>
      </c>
      <c r="AO37" s="130">
        <f>$E37*0</f>
        <v/>
      </c>
      <c r="AP37" s="109" t="n"/>
      <c r="AQ37" s="252" t="n"/>
      <c r="AR37" s="178" t="n">
        <v>10</v>
      </c>
      <c r="AS37" s="130">
        <f>$E37*5</f>
        <v/>
      </c>
      <c r="AT37" s="109" t="n"/>
      <c r="AU37" s="252" t="n"/>
      <c r="AV37" s="178" t="n">
        <v>10</v>
      </c>
      <c r="AW37" s="130">
        <f>$E37*10</f>
        <v/>
      </c>
      <c r="AX37" s="109" t="n"/>
      <c r="AY37" s="252" t="n"/>
      <c r="AZ37" s="178" t="n">
        <v>10</v>
      </c>
      <c r="BA37" s="130">
        <f>$E37*10</f>
        <v/>
      </c>
      <c r="BB37" s="194" t="n"/>
      <c r="BC37" s="252" t="n"/>
      <c r="BD37" s="178" t="n">
        <v>10</v>
      </c>
      <c r="BE37" s="130">
        <f>$E37*4</f>
        <v/>
      </c>
      <c r="BF37" s="109" t="n"/>
      <c r="BG37" s="252" t="n"/>
      <c r="BH37" s="180">
        <f>SUMPRODUCT(--(MOD(COLUMN($L37:$BG37),4)=MOD(COLUMN($L37),4)),$L37:$BG37)</f>
        <v/>
      </c>
      <c r="BI37" s="181">
        <f>Автовик_разбивка[[#This Row],[Цена, 
юань, без НДС 1]]*BH37</f>
        <v/>
      </c>
      <c r="BJ37" s="130">
        <f>SUMPRODUCT(--(MOD(COLUMN($L37:$BG37),4)=MOD(COLUMN($L37)+1,4)),$L37:$BG37)</f>
        <v/>
      </c>
      <c r="BK37" s="187">
        <f>Автовик_разбивка[[#This Row],[Цена, 
юань, без НДС 1]]*BJ37</f>
        <v/>
      </c>
      <c r="BL37" s="109">
        <f>SUMPRODUCT(--(MOD(COLUMN($L37:$BG37),4)=MOD(COLUMN($L37)+2,4)),$L37:$BG37)</f>
        <v/>
      </c>
      <c r="BM37" s="224">
        <f>Автовик_разбивка[[#This Row],[Цена, 
юань, без НДС 1]]*BL37</f>
        <v/>
      </c>
      <c r="BN37" s="178" t="n"/>
      <c r="BO37" s="184" t="n"/>
      <c r="BP37" s="130">
        <f>$E37*5</f>
        <v/>
      </c>
      <c r="BQ37" s="179" t="n"/>
      <c r="BR37" s="130" t="n"/>
      <c r="BS37" s="178" t="n"/>
      <c r="BT37" s="184" t="n"/>
      <c r="BU37" s="130">
        <f>$E37*5</f>
        <v/>
      </c>
      <c r="BV37" s="179" t="n"/>
      <c r="BW37" s="130" t="n"/>
      <c r="BX37" s="178" t="n"/>
      <c r="BY37" s="184" t="n"/>
      <c r="BZ37" s="130">
        <f>$E37*10</f>
        <v/>
      </c>
      <c r="CA37" s="179" t="n"/>
      <c r="CB37" s="130" t="n"/>
      <c r="CC37" s="178" t="n"/>
      <c r="CD37" s="184" t="n"/>
      <c r="CE37" s="130">
        <f>$E37*10</f>
        <v/>
      </c>
      <c r="CF37" s="179" t="n"/>
      <c r="CG37" s="130" t="n"/>
      <c r="CH37" s="178" t="n"/>
      <c r="CI37" s="184" t="n"/>
      <c r="CJ37" s="130">
        <f>$E37*10</f>
        <v/>
      </c>
      <c r="CK37" s="109" t="n"/>
      <c r="CL37" s="252" t="n"/>
      <c r="CM37" s="178" t="n"/>
      <c r="CN37" s="184" t="n"/>
      <c r="CO37" s="130">
        <f>$E37*10</f>
        <v/>
      </c>
      <c r="CP37" s="109" t="n"/>
      <c r="CQ37" s="252" t="n"/>
      <c r="CR37" s="178" t="n"/>
      <c r="CS37" s="184" t="n"/>
      <c r="CT37" s="130">
        <f>$E37*10</f>
        <v/>
      </c>
      <c r="CU37" s="109" t="n"/>
      <c r="CV37" s="252" t="n"/>
      <c r="CW37" s="178" t="n"/>
      <c r="CX37" s="184" t="n"/>
      <c r="CY37" s="130">
        <f>$E37*10</f>
        <v/>
      </c>
      <c r="CZ37" s="109" t="n"/>
      <c r="DA37" s="252" t="n"/>
      <c r="DB37" s="178" t="n"/>
      <c r="DC37" s="184" t="n"/>
      <c r="DD37" s="130">
        <f>$E37*10</f>
        <v/>
      </c>
      <c r="DE37" s="109" t="n"/>
      <c r="DF37" s="252" t="n"/>
      <c r="DG37" s="178" t="n"/>
      <c r="DH37" s="184" t="n"/>
      <c r="DI37" s="130">
        <f>$E37*10</f>
        <v/>
      </c>
      <c r="DJ37" s="109" t="n"/>
      <c r="DK37" s="252" t="n"/>
      <c r="DL37" s="178" t="n"/>
      <c r="DM37" s="184" t="n"/>
      <c r="DN37" s="130">
        <f>$E37*10</f>
        <v/>
      </c>
      <c r="DO37" s="194" t="n"/>
      <c r="DP37" s="252" t="n"/>
      <c r="DQ37" s="178" t="n"/>
      <c r="DR37" s="184" t="n"/>
      <c r="DS37" s="130">
        <f>$E37*10</f>
        <v/>
      </c>
      <c r="DT37" s="109" t="n"/>
      <c r="DU37" s="252" t="n"/>
      <c r="DV37" s="180">
        <f>SUMPRODUCT(--(MOD(COLUMN($BN37:$DU37),5)=MOD(COLUMN($BN37),5)),$BN37:$DU37)</f>
        <v/>
      </c>
      <c r="DW37" s="181">
        <f>Автовик_разбивка[[#This Row],[Цена, 
юань, без НДС 1]]*DV37</f>
        <v/>
      </c>
      <c r="DX37" s="186">
        <f>SUMPRODUCT(--(MOD(COLUMN($BN37:$DU37),5)=MOD(COLUMN($BN37)+1,5)),$BN37:$DU37)</f>
        <v/>
      </c>
      <c r="DY37" s="186">
        <f>Автовик_разбивка[[#This Row],[Цена, 
юань, без НДС 1]]*DX37</f>
        <v/>
      </c>
      <c r="DZ37" s="130">
        <f>SUMPRODUCT(--(MOD(COLUMN($BN37:$DU37),5)=MOD(COLUMN($BN37)+2,5)),$BN37:$DU37)</f>
        <v/>
      </c>
      <c r="EA37" s="187">
        <f>Автовик_разбивка[[#This Row],[Цена, 
юань, без НДС 1]]*DZ37</f>
        <v/>
      </c>
      <c r="EB37" s="109">
        <f>SUMPRODUCT(--(MOD(COLUMN($BN37:$DU37),5)=MOD(COLUMN($BN37)+3,5)),$BN37:$DU37)</f>
        <v/>
      </c>
      <c r="EC37" s="224">
        <f>Автовик_разбивка[[#This Row],[Цена, 
юань, без НДС 1]]*EB37</f>
        <v/>
      </c>
    </row>
    <row r="38">
      <c r="A38" s="221" t="n">
        <v>11</v>
      </c>
      <c r="B38" s="172" t="inlineStr">
        <is>
          <t>САВ</t>
        </is>
      </c>
      <c r="C38" s="132" t="n"/>
      <c r="D38" s="132" t="n"/>
      <c r="E38" s="229" t="n"/>
      <c r="F38" s="229" t="n"/>
      <c r="G38" s="229" t="n"/>
      <c r="H38" s="230" t="n"/>
      <c r="I38" s="231" t="inlineStr">
        <is>
          <t>Итого</t>
        </is>
      </c>
      <c r="J38" s="914" t="n"/>
      <c r="K38" s="914" t="n"/>
      <c r="L38" s="233" t="n"/>
      <c r="M38" s="234" t="n"/>
      <c r="N38" s="235" t="n"/>
      <c r="O38" s="234" t="n"/>
      <c r="P38" s="233" t="n"/>
      <c r="Q38" s="234" t="n"/>
      <c r="R38" s="235" t="n"/>
      <c r="S38" s="234" t="n"/>
      <c r="T38" s="233" t="n"/>
      <c r="U38" s="234" t="n"/>
      <c r="V38" s="235" t="n"/>
      <c r="W38" s="234" t="n"/>
      <c r="X38" s="233" t="n"/>
      <c r="Y38" s="234" t="n"/>
      <c r="Z38" s="235" t="n"/>
      <c r="AA38" s="234" t="n"/>
      <c r="AB38" s="233" t="n"/>
      <c r="AC38" s="234" t="n"/>
      <c r="AD38" s="235" t="n"/>
      <c r="AE38" s="234" t="n"/>
      <c r="AF38" s="233" t="n"/>
      <c r="AG38" s="234" t="n"/>
      <c r="AH38" s="235" t="n"/>
      <c r="AI38" s="234" t="n"/>
      <c r="AJ38" s="233" t="n"/>
      <c r="AK38" s="234" t="n"/>
      <c r="AL38" s="235" t="n"/>
      <c r="AM38" s="234" t="n"/>
      <c r="AN38" s="233" t="n"/>
      <c r="AO38" s="234" t="n"/>
      <c r="AP38" s="235" t="n"/>
      <c r="AQ38" s="234" t="n"/>
      <c r="AR38" s="233" t="n"/>
      <c r="AS38" s="234" t="n"/>
      <c r="AT38" s="235" t="n"/>
      <c r="AU38" s="234" t="n"/>
      <c r="AV38" s="233" t="n"/>
      <c r="AW38" s="234" t="n"/>
      <c r="AX38" s="235" t="n"/>
      <c r="AY38" s="234" t="n"/>
      <c r="AZ38" s="233" t="n"/>
      <c r="BA38" s="234" t="n"/>
      <c r="BB38" s="235" t="n"/>
      <c r="BC38" s="234" t="n"/>
      <c r="BD38" s="233" t="n"/>
      <c r="BE38" s="234" t="n"/>
      <c r="BF38" s="235" t="n"/>
      <c r="BG38" s="234" t="n"/>
      <c r="BH38" s="233">
        <f>SUMPRODUCT(--(MOD(COLUMN($L38:$BG38),4)=MOD(COLUMN($L38),4)),$L38:$BG38)</f>
        <v/>
      </c>
      <c r="BI38" s="238">
        <f>Автовик_разбивка[[#This Row],[Цена, 
юань, без НДС 1]]*BH38</f>
        <v/>
      </c>
      <c r="BJ38" s="234">
        <f>SUMPRODUCT(--(MOD(COLUMN($L38:$BG38),4)=MOD(COLUMN($L38)+1,4)),$L38:$BG38)</f>
        <v/>
      </c>
      <c r="BK38" s="253">
        <f>Автовик_разбивка[[#This Row],[Цена, 
юань, без НДС 1]]*BJ38</f>
        <v/>
      </c>
      <c r="BL38" s="235">
        <f>SUMPRODUCT(--(MOD(COLUMN($L38:$BG38),4)=MOD(COLUMN($L38)+2,4)),$L38:$BG38)</f>
        <v/>
      </c>
      <c r="BM38" s="254">
        <f>Автовик_разбивка[[#This Row],[Цена, 
юань, без НДС 1]]*BL38</f>
        <v/>
      </c>
      <c r="BN38" s="233" t="n"/>
      <c r="BO38" s="241" t="n"/>
      <c r="BP38" s="234" t="n"/>
      <c r="BQ38" s="235" t="n"/>
      <c r="BR38" s="234" t="n"/>
      <c r="BS38" s="233" t="n"/>
      <c r="BT38" s="241" t="n"/>
      <c r="BU38" s="234" t="n"/>
      <c r="BV38" s="235" t="n"/>
      <c r="BW38" s="234" t="n"/>
      <c r="BX38" s="233" t="n"/>
      <c r="BY38" s="241" t="n"/>
      <c r="BZ38" s="234" t="n"/>
      <c r="CA38" s="235" t="n"/>
      <c r="CB38" s="234" t="n"/>
      <c r="CC38" s="233" t="n"/>
      <c r="CD38" s="241" t="n"/>
      <c r="CE38" s="234" t="n"/>
      <c r="CF38" s="235" t="n"/>
      <c r="CG38" s="234" t="n"/>
      <c r="CH38" s="233" t="n"/>
      <c r="CI38" s="241" t="n"/>
      <c r="CJ38" s="234" t="n"/>
      <c r="CK38" s="235" t="n"/>
      <c r="CL38" s="234" t="n"/>
      <c r="CM38" s="233" t="n"/>
      <c r="CN38" s="241" t="n"/>
      <c r="CO38" s="234" t="n"/>
      <c r="CP38" s="235" t="n"/>
      <c r="CQ38" s="234" t="n"/>
      <c r="CR38" s="233" t="n"/>
      <c r="CS38" s="241" t="n"/>
      <c r="CT38" s="234" t="n"/>
      <c r="CU38" s="235" t="n"/>
      <c r="CV38" s="234" t="n"/>
      <c r="CW38" s="233" t="n"/>
      <c r="CX38" s="241" t="n"/>
      <c r="CY38" s="234" t="n"/>
      <c r="CZ38" s="235" t="n"/>
      <c r="DA38" s="234" t="n"/>
      <c r="DB38" s="233" t="n"/>
      <c r="DC38" s="241" t="n"/>
      <c r="DD38" s="234" t="n"/>
      <c r="DE38" s="235" t="n"/>
      <c r="DF38" s="234" t="n"/>
      <c r="DG38" s="233" t="n"/>
      <c r="DH38" s="241" t="n"/>
      <c r="DI38" s="234" t="n"/>
      <c r="DJ38" s="235" t="n"/>
      <c r="DK38" s="234" t="n"/>
      <c r="DL38" s="233" t="n"/>
      <c r="DM38" s="241" t="n"/>
      <c r="DN38" s="234" t="n"/>
      <c r="DO38" s="235" t="n"/>
      <c r="DP38" s="234" t="n"/>
      <c r="DQ38" s="233" t="n"/>
      <c r="DR38" s="241" t="n"/>
      <c r="DS38" s="234" t="n"/>
      <c r="DT38" s="235" t="n"/>
      <c r="DU38" s="234" t="n"/>
      <c r="DV38" s="233">
        <f>SUMPRODUCT(--(MOD(COLUMN($BN38:$DU38),5)=MOD(COLUMN($BN38),5)),$BN38:$DU38)</f>
        <v/>
      </c>
      <c r="DW38" s="238">
        <f>Автовик_разбивка[[#This Row],[Цена, 
юань, без НДС 1]]*DV38</f>
        <v/>
      </c>
      <c r="DX38" s="242">
        <f>SUMPRODUCT(--(MOD(COLUMN($BN38:$DU38),5)=MOD(COLUMN($BN38)+1,5)),$BN38:$DU38)</f>
        <v/>
      </c>
      <c r="DY38" s="242">
        <f>Автовик_разбивка[[#This Row],[Цена, 
юань, без НДС 1]]*DX38</f>
        <v/>
      </c>
      <c r="DZ38" s="234">
        <f>SUMPRODUCT(--(MOD(COLUMN($BN38:$DU38),5)=MOD(COLUMN($BN38)+2,5)),$BN38:$DU38)</f>
        <v/>
      </c>
      <c r="EA38" s="253">
        <f>Автовик_разбивка[[#This Row],[Цена, 
юань, без НДС 1]]*DZ38</f>
        <v/>
      </c>
      <c r="EB38" s="235">
        <f>SUMPRODUCT(--(MOD(COLUMN($BN38:$DU38),5)=MOD(COLUMN($BN38)+3,5)),$BN38:$DU38)</f>
        <v/>
      </c>
      <c r="EC38" s="254">
        <f>Автовик_разбивка[[#This Row],[Цена, 
юань, без НДС 1]]*EB38</f>
        <v/>
      </c>
    </row>
    <row r="39">
      <c r="A39" s="221" t="n">
        <v>11</v>
      </c>
      <c r="B39" s="243" t="inlineStr">
        <is>
          <t>САВ</t>
        </is>
      </c>
      <c r="C39" s="244" t="n"/>
      <c r="D39" s="244" t="n"/>
      <c r="E39" s="245" t="n"/>
      <c r="F39" s="245" t="n"/>
      <c r="G39" s="245" t="n"/>
      <c r="H39" s="246" t="n"/>
      <c r="I39" s="247" t="n"/>
      <c r="J39" s="915" t="n"/>
      <c r="K39" s="915" t="n"/>
      <c r="L39" s="249" t="n"/>
      <c r="M39" s="249" t="n"/>
      <c r="N39" s="249" t="n"/>
      <c r="O39" s="249" t="n"/>
      <c r="P39" s="249" t="n"/>
      <c r="Q39" s="249" t="n"/>
      <c r="R39" s="249" t="n"/>
      <c r="S39" s="249" t="n"/>
      <c r="T39" s="249" t="n"/>
      <c r="U39" s="249" t="n"/>
      <c r="V39" s="249" t="n"/>
      <c r="W39" s="249" t="n"/>
      <c r="X39" s="249" t="n"/>
      <c r="Y39" s="249" t="n"/>
      <c r="Z39" s="249" t="n"/>
      <c r="AA39" s="249" t="n"/>
      <c r="AB39" s="249" t="n"/>
      <c r="AC39" s="249" t="n"/>
      <c r="AD39" s="249" t="n"/>
      <c r="AE39" s="249" t="n"/>
      <c r="AF39" s="249" t="n"/>
      <c r="AG39" s="249" t="n"/>
      <c r="AH39" s="249" t="n"/>
      <c r="AI39" s="249" t="n"/>
      <c r="AJ39" s="249" t="n"/>
      <c r="AK39" s="249" t="n"/>
      <c r="AL39" s="249" t="n"/>
      <c r="AM39" s="249" t="n"/>
      <c r="AN39" s="249" t="n"/>
      <c r="AO39" s="249" t="n"/>
      <c r="AP39" s="249" t="n"/>
      <c r="AQ39" s="249" t="n"/>
      <c r="AR39" s="249" t="n"/>
      <c r="AS39" s="249" t="n"/>
      <c r="AT39" s="249" t="n"/>
      <c r="AU39" s="249" t="n"/>
      <c r="AV39" s="249" t="n"/>
      <c r="AW39" s="249" t="n"/>
      <c r="AX39" s="250" t="n"/>
      <c r="AY39" s="249" t="n"/>
      <c r="AZ39" s="250" t="n"/>
      <c r="BA39" s="250" t="n"/>
      <c r="BB39" s="250" t="n"/>
      <c r="BC39" s="249" t="n"/>
      <c r="BD39" s="250" t="n"/>
      <c r="BE39" s="250" t="n"/>
      <c r="BF39" s="250" t="n"/>
      <c r="BG39" s="249" t="n"/>
      <c r="BH39" s="250">
        <f>SUMPRODUCT(--(MOD(COLUMN($L39:$BG39),4)=MOD(COLUMN($L39),4)),$L39:$BG39)</f>
        <v/>
      </c>
      <c r="BI39" s="251">
        <f>Автовик_разбивка[[#This Row],[Цена, 
юань, без НДС 1]]*BH39</f>
        <v/>
      </c>
      <c r="BJ39" s="250">
        <f>SUMPRODUCT(--(MOD(COLUMN($L39:$BG39),4)=MOD(COLUMN($L39)+1,4)),$L39:$BG39)</f>
        <v/>
      </c>
      <c r="BK39" s="251">
        <f>Автовик_разбивка[[#This Row],[Цена, 
юань, без НДС 1]]*BJ39</f>
        <v/>
      </c>
      <c r="BL39" s="250">
        <f>SUMPRODUCT(--(MOD(COLUMN($L39:$BG39),4)=MOD(COLUMN($L39)+2,4)),$L39:$BG39)</f>
        <v/>
      </c>
      <c r="BM39" s="251">
        <f>Автовик_разбивка[[#This Row],[Цена, 
юань, без НДС 1]]*BL39</f>
        <v/>
      </c>
      <c r="BN39" s="249" t="n"/>
      <c r="BO39" s="249" t="n"/>
      <c r="BP39" s="249" t="n"/>
      <c r="BQ39" s="249" t="n"/>
      <c r="BR39" s="249" t="n"/>
      <c r="BS39" s="249" t="n"/>
      <c r="BT39" s="249" t="n"/>
      <c r="BU39" s="249" t="n"/>
      <c r="BV39" s="249" t="n"/>
      <c r="BW39" s="249" t="n"/>
      <c r="BX39" s="249" t="n"/>
      <c r="BY39" s="249" t="n"/>
      <c r="BZ39" s="249" t="n"/>
      <c r="CA39" s="249" t="n"/>
      <c r="CB39" s="249" t="n"/>
      <c r="CC39" s="249" t="n"/>
      <c r="CD39" s="249" t="n"/>
      <c r="CE39" s="249" t="n"/>
      <c r="CF39" s="249" t="n"/>
      <c r="CG39" s="249" t="n"/>
      <c r="CH39" s="249" t="n"/>
      <c r="CI39" s="249" t="n"/>
      <c r="CJ39" s="249" t="n"/>
      <c r="CK39" s="249" t="n"/>
      <c r="CL39" s="249" t="n"/>
      <c r="CM39" s="249" t="n"/>
      <c r="CN39" s="249" t="n"/>
      <c r="CO39" s="249" t="n"/>
      <c r="CP39" s="249" t="n"/>
      <c r="CQ39" s="249" t="n"/>
      <c r="CR39" s="249" t="n"/>
      <c r="CS39" s="249" t="n"/>
      <c r="CT39" s="249" t="n"/>
      <c r="CU39" s="249" t="n"/>
      <c r="CV39" s="249" t="n"/>
      <c r="CW39" s="249" t="n"/>
      <c r="CX39" s="249" t="n"/>
      <c r="CY39" s="249" t="n"/>
      <c r="CZ39" s="249" t="n"/>
      <c r="DA39" s="249" t="n"/>
      <c r="DB39" s="249" t="n"/>
      <c r="DC39" s="249" t="n"/>
      <c r="DD39" s="249" t="n"/>
      <c r="DE39" s="249" t="n"/>
      <c r="DF39" s="249" t="n"/>
      <c r="DG39" s="249" t="n"/>
      <c r="DH39" s="249" t="n"/>
      <c r="DI39" s="249" t="n"/>
      <c r="DJ39" s="250" t="n"/>
      <c r="DK39" s="249" t="n"/>
      <c r="DL39" s="250" t="n"/>
      <c r="DM39" s="250" t="n"/>
      <c r="DN39" s="250" t="n"/>
      <c r="DO39" s="250" t="n"/>
      <c r="DP39" s="249" t="n"/>
      <c r="DQ39" s="250" t="n"/>
      <c r="DR39" s="250" t="n"/>
      <c r="DS39" s="250" t="n"/>
      <c r="DT39" s="250" t="n"/>
      <c r="DU39" s="249" t="n"/>
      <c r="DV39" s="250">
        <f>SUMPRODUCT(--(MOD(COLUMN($BN39:$DU39),5)=MOD(COLUMN($BN39),5)),$BN39:$DU39)</f>
        <v/>
      </c>
      <c r="DW39" s="251">
        <f>Автовик_разбивка[[#This Row],[Цена, 
юань, без НДС 1]]*DV39</f>
        <v/>
      </c>
      <c r="DX39" s="251">
        <f>SUMPRODUCT(--(MOD(COLUMN($BN39:$DU39),5)=MOD(COLUMN($BN39)+1,5)),$BN39:$DU39)</f>
        <v/>
      </c>
      <c r="DY39" s="251">
        <f>Автовик_разбивка[[#This Row],[Цена, 
юань, без НДС 1]]*DX39</f>
        <v/>
      </c>
      <c r="DZ39" s="250">
        <f>SUMPRODUCT(--(MOD(COLUMN($BN39:$DU39),5)=MOD(COLUMN($BN39)+2,5)),$BN39:$DU39)</f>
        <v/>
      </c>
      <c r="EA39" s="251">
        <f>Автовик_разбивка[[#This Row],[Цена, 
юань, без НДС 1]]*DZ39</f>
        <v/>
      </c>
      <c r="EB39" s="250">
        <f>SUMPRODUCT(--(MOD(COLUMN($BN39:$DU39),5)=MOD(COLUMN($BN39)+3,5)),$BN39:$DU39)</f>
        <v/>
      </c>
      <c r="EC39" s="251">
        <f>Автовик_разбивка[[#This Row],[Цена, 
юань, без НДС 1]]*EB39</f>
        <v/>
      </c>
    </row>
    <row r="40">
      <c r="A40" s="221" t="n">
        <v>11</v>
      </c>
      <c r="B40" s="172" t="inlineStr">
        <is>
          <t>УСТ</t>
        </is>
      </c>
      <c r="C40" s="173" t="inlineStr">
        <is>
          <t>TEBS</t>
        </is>
      </c>
      <c r="D40" s="173" t="inlineStr">
        <is>
          <t>LACVx2+TH+FL</t>
        </is>
      </c>
      <c r="E40" s="174" t="n">
        <v>4</v>
      </c>
      <c r="F40" s="174" t="n"/>
      <c r="G40" s="174" t="n"/>
      <c r="H40" s="175" t="n">
        <v>4494430600</v>
      </c>
      <c r="I40" s="176" t="inlineStr">
        <is>
          <t>Кабель клапана управления подъемом оси, 6 м</t>
        </is>
      </c>
      <c r="J40" s="911" t="n"/>
      <c r="K40" s="912" t="n"/>
      <c r="L40" s="178" t="n">
        <v>240</v>
      </c>
      <c r="M40" s="130">
        <f>$E40*60</f>
        <v/>
      </c>
      <c r="N40" s="179" t="n">
        <v>122</v>
      </c>
      <c r="O40" s="130" t="n"/>
      <c r="P40" s="178" t="n">
        <v>240</v>
      </c>
      <c r="Q40" s="130">
        <f>$E40*60</f>
        <v/>
      </c>
      <c r="R40" s="179" t="n">
        <v>201</v>
      </c>
      <c r="S40" s="130" t="n"/>
      <c r="T40" s="178" t="n">
        <v>240</v>
      </c>
      <c r="U40" s="130">
        <f>$E40*60</f>
        <v/>
      </c>
      <c r="V40" s="179" t="n">
        <v>240</v>
      </c>
      <c r="W40" s="130" t="n"/>
      <c r="X40" s="178" t="n">
        <v>240</v>
      </c>
      <c r="Y40" s="130">
        <f>$E40*60</f>
        <v/>
      </c>
      <c r="Z40" s="179" t="n">
        <v>200</v>
      </c>
      <c r="AA40" s="130" t="n"/>
      <c r="AB40" s="178" t="n">
        <v>240</v>
      </c>
      <c r="AC40" s="130">
        <f>$E40*60</f>
        <v/>
      </c>
      <c r="AD40" s="179" t="n"/>
      <c r="AE40" s="130" t="n"/>
      <c r="AF40" s="178" t="n">
        <v>240</v>
      </c>
      <c r="AG40" s="130">
        <f>$E40*60</f>
        <v/>
      </c>
      <c r="AH40" s="179" t="n"/>
      <c r="AI40" s="130" t="n"/>
      <c r="AJ40" s="178" t="n">
        <v>240</v>
      </c>
      <c r="AK40" s="130">
        <f>$E40*60</f>
        <v/>
      </c>
      <c r="AL40" s="179" t="n"/>
      <c r="AM40" s="130" t="n"/>
      <c r="AN40" s="178" t="n">
        <v>240</v>
      </c>
      <c r="AO40" s="130">
        <f>$E40*50</f>
        <v/>
      </c>
      <c r="AP40" s="179" t="n"/>
      <c r="AQ40" s="130" t="n"/>
      <c r="AR40" s="178" t="n">
        <v>240</v>
      </c>
      <c r="AS40" s="130">
        <f>$E40*50</f>
        <v/>
      </c>
      <c r="AT40" s="179" t="n"/>
      <c r="AU40" s="130" t="n"/>
      <c r="AV40" s="178" t="n">
        <v>240</v>
      </c>
      <c r="AW40" s="130">
        <f>$E40*50</f>
        <v/>
      </c>
      <c r="AX40" s="179" t="n"/>
      <c r="AY40" s="130" t="n"/>
      <c r="AZ40" s="178" t="n">
        <v>240</v>
      </c>
      <c r="BA40" s="130">
        <f>$E40*60</f>
        <v/>
      </c>
      <c r="BB40" s="194" t="n"/>
      <c r="BC40" s="130" t="n"/>
      <c r="BD40" s="178" t="n">
        <v>240</v>
      </c>
      <c r="BE40" s="130">
        <f>$E40*50</f>
        <v/>
      </c>
      <c r="BF40" s="109" t="n"/>
      <c r="BG40" s="130" t="n"/>
      <c r="BH40" s="180">
        <f>SUMPRODUCT(--(MOD(COLUMN($L40:$BG40),4)=MOD(COLUMN($L40),4)),$L40:$BG40)</f>
        <v/>
      </c>
      <c r="BI40" s="181">
        <f>Автовик_разбивка[[#This Row],[Цена, 
юань, без НДС 1]]*BH40</f>
        <v/>
      </c>
      <c r="BJ40" s="130">
        <f>SUMPRODUCT(--(MOD(COLUMN($L40:$BG40),4)=MOD(COLUMN($L40)+1,4)),$L40:$BG40)</f>
        <v/>
      </c>
      <c r="BK40" s="187">
        <f>Автовик_разбивка[[#This Row],[Цена, 
юань, без НДС 1]]*BJ40</f>
        <v/>
      </c>
      <c r="BL40" s="109">
        <f>SUMPRODUCT(--(MOD(COLUMN($L40:$BG40),4)=MOD(COLUMN($L40)+2,4)),$L40:$BG40)</f>
        <v/>
      </c>
      <c r="BM40" s="224">
        <f>Автовик_разбивка[[#This Row],[Цена, 
юань, без НДС 1]]*BL40</f>
        <v/>
      </c>
      <c r="BN40" s="178" t="n"/>
      <c r="BO40" s="184" t="n"/>
      <c r="BP40" s="130">
        <f>$E40*40</f>
        <v/>
      </c>
      <c r="BQ40" s="179" t="n"/>
      <c r="BR40" s="130" t="n"/>
      <c r="BS40" s="178" t="n"/>
      <c r="BT40" s="184" t="n"/>
      <c r="BU40" s="130">
        <f>$E40*40</f>
        <v/>
      </c>
      <c r="BV40" s="179" t="n"/>
      <c r="BW40" s="130" t="n"/>
      <c r="BX40" s="178" t="n"/>
      <c r="BY40" s="184" t="n"/>
      <c r="BZ40" s="130">
        <f>$E40*50</f>
        <v/>
      </c>
      <c r="CA40" s="179" t="n"/>
      <c r="CB40" s="130" t="n"/>
      <c r="CC40" s="178" t="n"/>
      <c r="CD40" s="184" t="n"/>
      <c r="CE40" s="130">
        <f>$E40*50</f>
        <v/>
      </c>
      <c r="CF40" s="179" t="n"/>
      <c r="CG40" s="130" t="n"/>
      <c r="CH40" s="178" t="n"/>
      <c r="CI40" s="184" t="n"/>
      <c r="CJ40" s="130">
        <f>$E40*60</f>
        <v/>
      </c>
      <c r="CK40" s="179" t="n"/>
      <c r="CL40" s="130" t="n"/>
      <c r="CM40" s="178" t="n"/>
      <c r="CN40" s="184" t="n"/>
      <c r="CO40" s="130">
        <f>$E40*50</f>
        <v/>
      </c>
      <c r="CP40" s="179" t="n"/>
      <c r="CQ40" s="130" t="n"/>
      <c r="CR40" s="178" t="n"/>
      <c r="CS40" s="184" t="n"/>
      <c r="CT40" s="130">
        <f>$E40*60</f>
        <v/>
      </c>
      <c r="CU40" s="179" t="n"/>
      <c r="CV40" s="130" t="n"/>
      <c r="CW40" s="178" t="n"/>
      <c r="CX40" s="184" t="n"/>
      <c r="CY40" s="130">
        <f>$E40*50</f>
        <v/>
      </c>
      <c r="CZ40" s="179" t="n"/>
      <c r="DA40" s="130" t="n"/>
      <c r="DB40" s="178" t="n"/>
      <c r="DC40" s="184" t="n"/>
      <c r="DD40" s="130">
        <f>$E40*60</f>
        <v/>
      </c>
      <c r="DE40" s="179" t="n"/>
      <c r="DF40" s="130" t="n"/>
      <c r="DG40" s="178" t="n"/>
      <c r="DH40" s="184" t="n"/>
      <c r="DI40" s="130">
        <f>$E40*50</f>
        <v/>
      </c>
      <c r="DJ40" s="179" t="n"/>
      <c r="DK40" s="130" t="n"/>
      <c r="DL40" s="178" t="n"/>
      <c r="DM40" s="184" t="n"/>
      <c r="DN40" s="130">
        <f>$E40*60</f>
        <v/>
      </c>
      <c r="DO40" s="194" t="n"/>
      <c r="DP40" s="130" t="n"/>
      <c r="DQ40" s="178" t="n"/>
      <c r="DR40" s="184" t="n"/>
      <c r="DS40" s="130">
        <f>$E40*50</f>
        <v/>
      </c>
      <c r="DT40" s="109" t="n"/>
      <c r="DU40" s="130" t="n"/>
      <c r="DV40" s="180">
        <f>SUMPRODUCT(--(MOD(COLUMN($BN40:$DU40),5)=MOD(COLUMN($BN40),5)),$BN40:$DU40)</f>
        <v/>
      </c>
      <c r="DW40" s="181">
        <f>Автовик_разбивка[[#This Row],[Цена, 
юань, без НДС 1]]*DV40</f>
        <v/>
      </c>
      <c r="DX40" s="186">
        <f>SUMPRODUCT(--(MOD(COLUMN($BN40:$DU40),5)=MOD(COLUMN($BN40)+1,5)),$BN40:$DU40)</f>
        <v/>
      </c>
      <c r="DY40" s="186">
        <f>Автовик_разбивка[[#This Row],[Цена, 
юань, без НДС 1]]*DX40</f>
        <v/>
      </c>
      <c r="DZ40" s="130">
        <f>SUMPRODUCT(--(MOD(COLUMN($BN40:$DU40),5)=MOD(COLUMN($BN40)+2,5)),$BN40:$DU40)</f>
        <v/>
      </c>
      <c r="EA40" s="187">
        <f>Автовик_разбивка[[#This Row],[Цена, 
юань, без НДС 1]]*DZ40</f>
        <v/>
      </c>
      <c r="EB40" s="109">
        <f>SUMPRODUCT(--(MOD(COLUMN($BN40:$DU40),5)=MOD(COLUMN($BN40)+3,5)),$BN40:$DU40)</f>
        <v/>
      </c>
      <c r="EC40" s="224">
        <f>Автовик_разбивка[[#This Row],[Цена, 
юань, без НДС 1]]*EB40</f>
        <v/>
      </c>
    </row>
    <row r="41">
      <c r="A41" s="221" t="n">
        <v>11</v>
      </c>
      <c r="B41" s="172" t="inlineStr">
        <is>
          <t>УСТ</t>
        </is>
      </c>
      <c r="C41" s="173" t="inlineStr">
        <is>
          <t>TEBS</t>
        </is>
      </c>
      <c r="D41" s="173" t="inlineStr">
        <is>
          <t>LACVx2+TH+FL</t>
        </is>
      </c>
      <c r="E41" s="174" t="n">
        <v>2</v>
      </c>
      <c r="F41" s="174" t="n"/>
      <c r="G41" s="174" t="n"/>
      <c r="H41" s="175" t="n">
        <v>4630840310</v>
      </c>
      <c r="I41" s="176" t="inlineStr">
        <is>
          <t>Клапан управления подъемом оси (LACV)</t>
        </is>
      </c>
      <c r="J41" s="911" t="n"/>
      <c r="K41" s="912" t="n"/>
      <c r="L41" s="178" t="n">
        <v>120</v>
      </c>
      <c r="M41" s="130">
        <f>$E41*60</f>
        <v/>
      </c>
      <c r="N41" s="179" t="n">
        <v>122</v>
      </c>
      <c r="O41" s="130" t="n"/>
      <c r="P41" s="178" t="n">
        <v>120</v>
      </c>
      <c r="Q41" s="130">
        <f>$E41*60</f>
        <v/>
      </c>
      <c r="R41" s="179" t="n">
        <v>100</v>
      </c>
      <c r="S41" s="130" t="n"/>
      <c r="T41" s="178" t="n">
        <v>120</v>
      </c>
      <c r="U41" s="130">
        <f>$E41*60</f>
        <v/>
      </c>
      <c r="V41" s="179" t="n">
        <v>120</v>
      </c>
      <c r="W41" s="130" t="n"/>
      <c r="X41" s="178" t="n">
        <v>120</v>
      </c>
      <c r="Y41" s="130">
        <f>$E41*60</f>
        <v/>
      </c>
      <c r="Z41" s="179" t="n">
        <v>100</v>
      </c>
      <c r="AA41" s="130" t="n"/>
      <c r="AB41" s="178" t="n">
        <v>120</v>
      </c>
      <c r="AC41" s="130">
        <f>$E41*60</f>
        <v/>
      </c>
      <c r="AD41" s="179" t="n"/>
      <c r="AE41" s="130" t="n"/>
      <c r="AF41" s="178" t="n">
        <v>120</v>
      </c>
      <c r="AG41" s="130">
        <f>$E41*60</f>
        <v/>
      </c>
      <c r="AH41" s="179" t="n"/>
      <c r="AI41" s="130" t="n"/>
      <c r="AJ41" s="178" t="n">
        <v>120</v>
      </c>
      <c r="AK41" s="130">
        <f>$E41*60</f>
        <v/>
      </c>
      <c r="AL41" s="179" t="n"/>
      <c r="AM41" s="130" t="n"/>
      <c r="AN41" s="178" t="n">
        <v>120</v>
      </c>
      <c r="AO41" s="130">
        <f>$E41*50</f>
        <v/>
      </c>
      <c r="AP41" s="179" t="n"/>
      <c r="AQ41" s="130" t="n"/>
      <c r="AR41" s="178" t="n">
        <v>120</v>
      </c>
      <c r="AS41" s="130">
        <f>$E41*50</f>
        <v/>
      </c>
      <c r="AT41" s="179" t="n"/>
      <c r="AU41" s="130" t="n"/>
      <c r="AV41" s="178" t="n">
        <v>120</v>
      </c>
      <c r="AW41" s="130">
        <f>$E41*50</f>
        <v/>
      </c>
      <c r="AX41" s="179" t="n"/>
      <c r="AY41" s="130" t="n"/>
      <c r="AZ41" s="178" t="n">
        <v>120</v>
      </c>
      <c r="BA41" s="130">
        <f>$E41*60</f>
        <v/>
      </c>
      <c r="BB41" s="194" t="n"/>
      <c r="BC41" s="130" t="n"/>
      <c r="BD41" s="178" t="n">
        <v>120</v>
      </c>
      <c r="BE41" s="130">
        <f>$E41*50</f>
        <v/>
      </c>
      <c r="BF41" s="109" t="n"/>
      <c r="BG41" s="130" t="n"/>
      <c r="BH41" s="180">
        <f>SUMPRODUCT(--(MOD(COLUMN($L41:$BG41),4)=MOD(COLUMN($L41),4)),$L41:$BG41)</f>
        <v/>
      </c>
      <c r="BI41" s="181">
        <f>Автовик_разбивка[[#This Row],[Цена, 
юань, без НДС 1]]*BH41</f>
        <v/>
      </c>
      <c r="BJ41" s="130">
        <f>SUMPRODUCT(--(MOD(COLUMN($L41:$BG41),4)=MOD(COLUMN($L41)+1,4)),$L41:$BG41)</f>
        <v/>
      </c>
      <c r="BK41" s="187">
        <f>Автовик_разбивка[[#This Row],[Цена, 
юань, без НДС 1]]*BJ41</f>
        <v/>
      </c>
      <c r="BL41" s="109">
        <f>SUMPRODUCT(--(MOD(COLUMN($L41:$BG41),4)=MOD(COLUMN($L41)+2,4)),$L41:$BG41)</f>
        <v/>
      </c>
      <c r="BM41" s="224">
        <f>Автовик_разбивка[[#This Row],[Цена, 
юань, без НДС 1]]*BL41</f>
        <v/>
      </c>
      <c r="BN41" s="178" t="n"/>
      <c r="BO41" s="184" t="n"/>
      <c r="BP41" s="130">
        <f>$E41*40</f>
        <v/>
      </c>
      <c r="BQ41" s="179" t="n"/>
      <c r="BR41" s="130" t="n"/>
      <c r="BS41" s="178" t="n"/>
      <c r="BT41" s="184" t="n"/>
      <c r="BU41" s="130">
        <f>$E41*40</f>
        <v/>
      </c>
      <c r="BV41" s="179" t="n"/>
      <c r="BW41" s="130" t="n"/>
      <c r="BX41" s="178" t="n"/>
      <c r="BY41" s="184" t="n"/>
      <c r="BZ41" s="130">
        <f>$E41*50</f>
        <v/>
      </c>
      <c r="CA41" s="179" t="n"/>
      <c r="CB41" s="130" t="n"/>
      <c r="CC41" s="178" t="n"/>
      <c r="CD41" s="184" t="n"/>
      <c r="CE41" s="130">
        <f>$E41*50</f>
        <v/>
      </c>
      <c r="CF41" s="179" t="n"/>
      <c r="CG41" s="130" t="n"/>
      <c r="CH41" s="178" t="n"/>
      <c r="CI41" s="184" t="n"/>
      <c r="CJ41" s="130">
        <f>$E41*60</f>
        <v/>
      </c>
      <c r="CK41" s="179" t="n"/>
      <c r="CL41" s="130" t="n"/>
      <c r="CM41" s="178" t="n"/>
      <c r="CN41" s="184" t="n"/>
      <c r="CO41" s="130">
        <f>$E41*50</f>
        <v/>
      </c>
      <c r="CP41" s="179" t="n"/>
      <c r="CQ41" s="130" t="n"/>
      <c r="CR41" s="178" t="n"/>
      <c r="CS41" s="184" t="n"/>
      <c r="CT41" s="130">
        <f>$E41*60</f>
        <v/>
      </c>
      <c r="CU41" s="179" t="n"/>
      <c r="CV41" s="130" t="n"/>
      <c r="CW41" s="178" t="n"/>
      <c r="CX41" s="184" t="n"/>
      <c r="CY41" s="130">
        <f>$E41*50</f>
        <v/>
      </c>
      <c r="CZ41" s="179" t="n"/>
      <c r="DA41" s="130" t="n"/>
      <c r="DB41" s="178" t="n"/>
      <c r="DC41" s="184" t="n"/>
      <c r="DD41" s="130">
        <f>$E41*60</f>
        <v/>
      </c>
      <c r="DE41" s="179" t="n"/>
      <c r="DF41" s="130" t="n"/>
      <c r="DG41" s="178" t="n"/>
      <c r="DH41" s="184" t="n"/>
      <c r="DI41" s="130">
        <f>$E41*50</f>
        <v/>
      </c>
      <c r="DJ41" s="179" t="n"/>
      <c r="DK41" s="130" t="n"/>
      <c r="DL41" s="178" t="n"/>
      <c r="DM41" s="184" t="n"/>
      <c r="DN41" s="130">
        <f>$E41*60</f>
        <v/>
      </c>
      <c r="DO41" s="194" t="n"/>
      <c r="DP41" s="130" t="n"/>
      <c r="DQ41" s="178" t="n"/>
      <c r="DR41" s="184" t="n"/>
      <c r="DS41" s="130">
        <f>$E41*50</f>
        <v/>
      </c>
      <c r="DT41" s="109" t="n"/>
      <c r="DU41" s="130" t="n"/>
      <c r="DV41" s="180">
        <f>SUMPRODUCT(--(MOD(COLUMN($BN41:$DU41),5)=MOD(COLUMN($BN41),5)),$BN41:$DU41)</f>
        <v/>
      </c>
      <c r="DW41" s="181">
        <f>Автовик_разбивка[[#This Row],[Цена, 
юань, без НДС 1]]*DV41</f>
        <v/>
      </c>
      <c r="DX41" s="186">
        <f>SUMPRODUCT(--(MOD(COLUMN($BN41:$DU41),5)=MOD(COLUMN($BN41)+1,5)),$BN41:$DU41)</f>
        <v/>
      </c>
      <c r="DY41" s="186">
        <f>Автовик_разбивка[[#This Row],[Цена, 
юань, без НДС 1]]*DX41</f>
        <v/>
      </c>
      <c r="DZ41" s="130">
        <f>SUMPRODUCT(--(MOD(COLUMN($BN41:$DU41),5)=MOD(COLUMN($BN41)+2,5)),$BN41:$DU41)</f>
        <v/>
      </c>
      <c r="EA41" s="187">
        <f>Автовик_разбивка[[#This Row],[Цена, 
юань, без НДС 1]]*DZ41</f>
        <v/>
      </c>
      <c r="EB41" s="109">
        <f>SUMPRODUCT(--(MOD(COLUMN($BN41:$DU41),5)=MOD(COLUMN($BN41)+3,5)),$BN41:$DU41)</f>
        <v/>
      </c>
      <c r="EC41" s="224">
        <f>Автовик_разбивка[[#This Row],[Цена, 
юань, без НДС 1]]*EB41</f>
        <v/>
      </c>
    </row>
    <row r="42">
      <c r="A42" s="221" t="n">
        <v>11</v>
      </c>
      <c r="B42" s="172" t="inlineStr">
        <is>
          <t>УСТ</t>
        </is>
      </c>
      <c r="C42" s="173" t="inlineStr">
        <is>
          <t>TEBS</t>
        </is>
      </c>
      <c r="D42" s="173" t="inlineStr">
        <is>
          <t>TEBS 4s/2m 
12м</t>
        </is>
      </c>
      <c r="E42" s="174" t="n">
        <v>1</v>
      </c>
      <c r="F42" s="174" t="n"/>
      <c r="G42" s="174" t="n"/>
      <c r="H42" s="175" t="n">
        <v>4334010030</v>
      </c>
      <c r="I42" s="176" t="inlineStr">
        <is>
          <t>Упругий элемент</t>
        </is>
      </c>
      <c r="J42" s="911" t="n"/>
      <c r="K42" s="913" t="n"/>
      <c r="L42" s="178" t="n">
        <v>60</v>
      </c>
      <c r="M42" s="130">
        <f>$E42*60</f>
        <v/>
      </c>
      <c r="N42" s="179" t="n">
        <v>60</v>
      </c>
      <c r="O42" s="130" t="n"/>
      <c r="P42" s="178" t="n">
        <v>60</v>
      </c>
      <c r="Q42" s="130">
        <f>$E42*60</f>
        <v/>
      </c>
      <c r="R42" s="179" t="n">
        <v>50</v>
      </c>
      <c r="S42" s="130" t="n"/>
      <c r="T42" s="178" t="n">
        <v>60</v>
      </c>
      <c r="U42" s="130">
        <f>$E42*60</f>
        <v/>
      </c>
      <c r="V42" s="179" t="n">
        <v>60</v>
      </c>
      <c r="W42" s="130" t="n"/>
      <c r="X42" s="178" t="n">
        <v>60</v>
      </c>
      <c r="Y42" s="130">
        <f>$E42*60</f>
        <v/>
      </c>
      <c r="Z42" s="179" t="n">
        <v>50</v>
      </c>
      <c r="AA42" s="130" t="n"/>
      <c r="AB42" s="178" t="n">
        <v>60</v>
      </c>
      <c r="AC42" s="130">
        <f>$E42*60</f>
        <v/>
      </c>
      <c r="AD42" s="109" t="n"/>
      <c r="AE42" s="252" t="n"/>
      <c r="AF42" s="178" t="n">
        <v>60</v>
      </c>
      <c r="AG42" s="130">
        <f>$E42*60</f>
        <v/>
      </c>
      <c r="AH42" s="109" t="n"/>
      <c r="AI42" s="252" t="n"/>
      <c r="AJ42" s="178" t="n">
        <v>60</v>
      </c>
      <c r="AK42" s="130">
        <f>$E42*60</f>
        <v/>
      </c>
      <c r="AL42" s="109" t="n"/>
      <c r="AM42" s="252" t="n"/>
      <c r="AN42" s="178" t="n">
        <v>60</v>
      </c>
      <c r="AO42" s="130">
        <f>$E42*50</f>
        <v/>
      </c>
      <c r="AP42" s="109" t="n"/>
      <c r="AQ42" s="252" t="n"/>
      <c r="AR42" s="178" t="n">
        <v>60</v>
      </c>
      <c r="AS42" s="130">
        <f>$E42*50</f>
        <v/>
      </c>
      <c r="AT42" s="109" t="n"/>
      <c r="AU42" s="252" t="n"/>
      <c r="AV42" s="178" t="n">
        <v>60</v>
      </c>
      <c r="AW42" s="130">
        <f>$E42*50</f>
        <v/>
      </c>
      <c r="AX42" s="109" t="n"/>
      <c r="AY42" s="252" t="n"/>
      <c r="AZ42" s="178" t="n">
        <v>60</v>
      </c>
      <c r="BA42" s="130">
        <f>$E42*60</f>
        <v/>
      </c>
      <c r="BB42" s="194" t="n"/>
      <c r="BC42" s="252" t="n"/>
      <c r="BD42" s="178" t="n">
        <v>60</v>
      </c>
      <c r="BE42" s="130">
        <f>$E42*50</f>
        <v/>
      </c>
      <c r="BF42" s="109" t="n"/>
      <c r="BG42" s="252" t="n"/>
      <c r="BH42" s="180">
        <f>SUMPRODUCT(--(MOD(COLUMN($L42:$BG42),4)=MOD(COLUMN($L42),4)),$L42:$BG42)</f>
        <v/>
      </c>
      <c r="BI42" s="181">
        <f>Автовик_разбивка[[#This Row],[Цена, 
юань, без НДС 1]]*BH42</f>
        <v/>
      </c>
      <c r="BJ42" s="130">
        <f>SUMPRODUCT(--(MOD(COLUMN($L42:$BG42),4)=MOD(COLUMN($L42)+1,4)),$L42:$BG42)</f>
        <v/>
      </c>
      <c r="BK42" s="187">
        <f>Автовик_разбивка[[#This Row],[Цена, 
юань, без НДС 1]]*BJ42</f>
        <v/>
      </c>
      <c r="BL42" s="109">
        <f>SUMPRODUCT(--(MOD(COLUMN($L42:$BG42),4)=MOD(COLUMN($L42)+2,4)),$L42:$BG42)</f>
        <v/>
      </c>
      <c r="BM42" s="224">
        <f>Автовик_разбивка[[#This Row],[Цена, 
юань, без НДС 1]]*BL42</f>
        <v/>
      </c>
      <c r="BN42" s="178" t="n"/>
      <c r="BO42" s="184" t="n"/>
      <c r="BP42" s="130">
        <f>$E42*40</f>
        <v/>
      </c>
      <c r="BQ42" s="179" t="n"/>
      <c r="BR42" s="130" t="n"/>
      <c r="BS42" s="178" t="n"/>
      <c r="BT42" s="184" t="n"/>
      <c r="BU42" s="130">
        <f>$E42*40</f>
        <v/>
      </c>
      <c r="BV42" s="179" t="n"/>
      <c r="BW42" s="130" t="n"/>
      <c r="BX42" s="178" t="n"/>
      <c r="BY42" s="184" t="n"/>
      <c r="BZ42" s="130">
        <f>$E42*50</f>
        <v/>
      </c>
      <c r="CA42" s="179" t="n"/>
      <c r="CB42" s="130" t="n"/>
      <c r="CC42" s="178" t="n"/>
      <c r="CD42" s="184" t="n"/>
      <c r="CE42" s="130">
        <f>$E42*60</f>
        <v/>
      </c>
      <c r="CF42" s="179" t="n"/>
      <c r="CG42" s="130" t="n"/>
      <c r="CH42" s="178" t="n"/>
      <c r="CI42" s="184" t="n"/>
      <c r="CJ42" s="130">
        <f>$E42*60</f>
        <v/>
      </c>
      <c r="CK42" s="109" t="n"/>
      <c r="CL42" s="252" t="n"/>
      <c r="CM42" s="178" t="n"/>
      <c r="CN42" s="184" t="n"/>
      <c r="CO42" s="130">
        <f>$E42*60</f>
        <v/>
      </c>
      <c r="CP42" s="109" t="n"/>
      <c r="CQ42" s="252" t="n"/>
      <c r="CR42" s="178" t="n"/>
      <c r="CS42" s="184" t="n"/>
      <c r="CT42" s="130">
        <f>$E42*60</f>
        <v/>
      </c>
      <c r="CU42" s="109" t="n"/>
      <c r="CV42" s="252" t="n"/>
      <c r="CW42" s="178" t="n"/>
      <c r="CX42" s="184" t="n"/>
      <c r="CY42" s="130">
        <f>$E42*60</f>
        <v/>
      </c>
      <c r="CZ42" s="109" t="n"/>
      <c r="DA42" s="252" t="n"/>
      <c r="DB42" s="178" t="n"/>
      <c r="DC42" s="184" t="n"/>
      <c r="DD42" s="130">
        <f>$E42*60</f>
        <v/>
      </c>
      <c r="DE42" s="109" t="n"/>
      <c r="DF42" s="252" t="n"/>
      <c r="DG42" s="178" t="n"/>
      <c r="DH42" s="184" t="n"/>
      <c r="DI42" s="130">
        <f>$E42*60</f>
        <v/>
      </c>
      <c r="DJ42" s="109" t="n"/>
      <c r="DK42" s="252" t="n"/>
      <c r="DL42" s="178" t="n"/>
      <c r="DM42" s="184" t="n"/>
      <c r="DN42" s="130">
        <f>$E42*60</f>
        <v/>
      </c>
      <c r="DO42" s="194" t="n"/>
      <c r="DP42" s="252" t="n"/>
      <c r="DQ42" s="178" t="n"/>
      <c r="DR42" s="184" t="n"/>
      <c r="DS42" s="130">
        <f>$E42*60</f>
        <v/>
      </c>
      <c r="DT42" s="109" t="n"/>
      <c r="DU42" s="252" t="n"/>
      <c r="DV42" s="180">
        <f>SUMPRODUCT(--(MOD(COLUMN($BN42:$DU42),5)=MOD(COLUMN($BN42),5)),$BN42:$DU42)</f>
        <v/>
      </c>
      <c r="DW42" s="181">
        <f>Автовик_разбивка[[#This Row],[Цена, 
юань, без НДС 1]]*DV42</f>
        <v/>
      </c>
      <c r="DX42" s="186">
        <f>SUMPRODUCT(--(MOD(COLUMN($BN42:$DU42),5)=MOD(COLUMN($BN42)+1,5)),$BN42:$DU42)</f>
        <v/>
      </c>
      <c r="DY42" s="186">
        <f>Автовик_разбивка[[#This Row],[Цена, 
юань, без НДС 1]]*DX42</f>
        <v/>
      </c>
      <c r="DZ42" s="130">
        <f>SUMPRODUCT(--(MOD(COLUMN($BN42:$DU42),5)=MOD(COLUMN($BN42)+2,5)),$BN42:$DU42)</f>
        <v/>
      </c>
      <c r="EA42" s="187">
        <f>Автовик_разбивка[[#This Row],[Цена, 
юань, без НДС 1]]*DZ42</f>
        <v/>
      </c>
      <c r="EB42" s="109">
        <f>SUMPRODUCT(--(MOD(COLUMN($BN42:$DU42),5)=MOD(COLUMN($BN42)+3,5)),$BN42:$DU42)</f>
        <v/>
      </c>
      <c r="EC42" s="224">
        <f>Автовик_разбивка[[#This Row],[Цена, 
юань, без НДС 1]]*EB42</f>
        <v/>
      </c>
    </row>
    <row r="43">
      <c r="A43" s="221" t="n">
        <v>11</v>
      </c>
      <c r="B43" s="172" t="inlineStr">
        <is>
          <t>УСТ</t>
        </is>
      </c>
      <c r="C43" s="173" t="inlineStr">
        <is>
          <t>TEBS</t>
        </is>
      </c>
      <c r="D43" s="173" t="inlineStr">
        <is>
          <t>TEBS 4s/2m 
12м</t>
        </is>
      </c>
      <c r="E43" s="174" t="n">
        <v>1</v>
      </c>
      <c r="F43" s="174" t="n"/>
      <c r="G43" s="174" t="n"/>
      <c r="H43" s="175" t="n">
        <v>4491731200</v>
      </c>
      <c r="I43" s="176" t="inlineStr">
        <is>
          <t>Кабель питания, 12 м</t>
        </is>
      </c>
      <c r="J43" s="911" t="n"/>
      <c r="K43" s="912" t="n"/>
      <c r="L43" s="178" t="n">
        <v>60</v>
      </c>
      <c r="M43" s="130">
        <f>$E43*60</f>
        <v/>
      </c>
      <c r="N43" s="179" t="n">
        <v>60</v>
      </c>
      <c r="O43" s="130" t="n"/>
      <c r="P43" s="178" t="n">
        <v>60</v>
      </c>
      <c r="Q43" s="130">
        <f>$E43*60</f>
        <v/>
      </c>
      <c r="R43" s="179" t="n">
        <v>50</v>
      </c>
      <c r="S43" s="130" t="n"/>
      <c r="T43" s="178" t="n">
        <v>60</v>
      </c>
      <c r="U43" s="130">
        <f>$E43*60</f>
        <v/>
      </c>
      <c r="V43" s="179" t="n">
        <v>60</v>
      </c>
      <c r="W43" s="130" t="n"/>
      <c r="X43" s="178" t="n">
        <v>60</v>
      </c>
      <c r="Y43" s="130">
        <f>$E43*60</f>
        <v/>
      </c>
      <c r="Z43" s="179" t="n">
        <v>50</v>
      </c>
      <c r="AA43" s="130" t="n"/>
      <c r="AB43" s="178" t="n">
        <v>60</v>
      </c>
      <c r="AC43" s="130">
        <f>$E43*60</f>
        <v/>
      </c>
      <c r="AD43" s="109" t="n"/>
      <c r="AE43" s="252" t="n"/>
      <c r="AF43" s="178" t="n">
        <v>60</v>
      </c>
      <c r="AG43" s="130">
        <f>$E43*60</f>
        <v/>
      </c>
      <c r="AH43" s="109" t="n"/>
      <c r="AI43" s="252" t="n"/>
      <c r="AJ43" s="178" t="n">
        <v>60</v>
      </c>
      <c r="AK43" s="130">
        <f>$E43*60</f>
        <v/>
      </c>
      <c r="AL43" s="109" t="n"/>
      <c r="AM43" s="252" t="n"/>
      <c r="AN43" s="178" t="n">
        <v>60</v>
      </c>
      <c r="AO43" s="130">
        <f>$E43*50</f>
        <v/>
      </c>
      <c r="AP43" s="109" t="n"/>
      <c r="AQ43" s="252" t="n"/>
      <c r="AR43" s="178" t="n">
        <v>60</v>
      </c>
      <c r="AS43" s="130">
        <f>$E43*50</f>
        <v/>
      </c>
      <c r="AT43" s="109" t="n"/>
      <c r="AU43" s="252" t="n"/>
      <c r="AV43" s="178" t="n">
        <v>60</v>
      </c>
      <c r="AW43" s="130">
        <f>$E43*50</f>
        <v/>
      </c>
      <c r="AX43" s="109" t="n"/>
      <c r="AY43" s="252" t="n"/>
      <c r="AZ43" s="178" t="n">
        <v>60</v>
      </c>
      <c r="BA43" s="130">
        <f>$E43*60</f>
        <v/>
      </c>
      <c r="BB43" s="193" t="n"/>
      <c r="BC43" s="252" t="n"/>
      <c r="BD43" s="178" t="n">
        <v>60</v>
      </c>
      <c r="BE43" s="130">
        <f>$E43*50</f>
        <v/>
      </c>
      <c r="BF43" s="109" t="n"/>
      <c r="BG43" s="252" t="n"/>
      <c r="BH43" s="180">
        <f>SUMPRODUCT(--(MOD(COLUMN($L43:$BG43),4)=MOD(COLUMN($L43),4)),$L43:$BG43)</f>
        <v/>
      </c>
      <c r="BI43" s="181">
        <f>Автовик_разбивка[[#This Row],[Цена, 
юань, без НДС 1]]*BH43</f>
        <v/>
      </c>
      <c r="BJ43" s="130">
        <f>SUMPRODUCT(--(MOD(COLUMN($L43:$BG43),4)=MOD(COLUMN($L43)+1,4)),$L43:$BG43)</f>
        <v/>
      </c>
      <c r="BK43" s="187">
        <f>Автовик_разбивка[[#This Row],[Цена, 
юань, без НДС 1]]*BJ43</f>
        <v/>
      </c>
      <c r="BL43" s="109">
        <f>SUMPRODUCT(--(MOD(COLUMN($L43:$BG43),4)=MOD(COLUMN($L43)+2,4)),$L43:$BG43)</f>
        <v/>
      </c>
      <c r="BM43" s="224">
        <f>Автовик_разбивка[[#This Row],[Цена, 
юань, без НДС 1]]*BL43</f>
        <v/>
      </c>
      <c r="BN43" s="178" t="n"/>
      <c r="BO43" s="184" t="n"/>
      <c r="BP43" s="130">
        <f>$E43*40</f>
        <v/>
      </c>
      <c r="BQ43" s="179" t="n"/>
      <c r="BR43" s="130" t="n"/>
      <c r="BS43" s="178" t="n"/>
      <c r="BT43" s="184" t="n"/>
      <c r="BU43" s="130">
        <f>$E43*40</f>
        <v/>
      </c>
      <c r="BV43" s="179" t="n"/>
      <c r="BW43" s="130" t="n"/>
      <c r="BX43" s="178" t="n"/>
      <c r="BY43" s="184" t="n"/>
      <c r="BZ43" s="130">
        <f>$E43*50</f>
        <v/>
      </c>
      <c r="CA43" s="179" t="n"/>
      <c r="CB43" s="130" t="n"/>
      <c r="CC43" s="178" t="n"/>
      <c r="CD43" s="184" t="n"/>
      <c r="CE43" s="130">
        <f>$E43*60</f>
        <v/>
      </c>
      <c r="CF43" s="179" t="n"/>
      <c r="CG43" s="130" t="n"/>
      <c r="CH43" s="178" t="n"/>
      <c r="CI43" s="184" t="n"/>
      <c r="CJ43" s="130">
        <f>$E43*60</f>
        <v/>
      </c>
      <c r="CK43" s="109" t="n"/>
      <c r="CL43" s="252" t="n"/>
      <c r="CM43" s="178" t="n"/>
      <c r="CN43" s="184" t="n"/>
      <c r="CO43" s="130">
        <f>$E43*60</f>
        <v/>
      </c>
      <c r="CP43" s="109" t="n"/>
      <c r="CQ43" s="252" t="n"/>
      <c r="CR43" s="178" t="n"/>
      <c r="CS43" s="184" t="n"/>
      <c r="CT43" s="130">
        <f>$E43*60</f>
        <v/>
      </c>
      <c r="CU43" s="109" t="n"/>
      <c r="CV43" s="252" t="n"/>
      <c r="CW43" s="178" t="n"/>
      <c r="CX43" s="184" t="n"/>
      <c r="CY43" s="130">
        <f>$E43*60</f>
        <v/>
      </c>
      <c r="CZ43" s="109" t="n"/>
      <c r="DA43" s="252" t="n"/>
      <c r="DB43" s="178" t="n"/>
      <c r="DC43" s="184" t="n"/>
      <c r="DD43" s="130">
        <f>$E43*60</f>
        <v/>
      </c>
      <c r="DE43" s="109" t="n"/>
      <c r="DF43" s="252" t="n"/>
      <c r="DG43" s="178" t="n"/>
      <c r="DH43" s="184" t="n"/>
      <c r="DI43" s="130">
        <f>$E43*60</f>
        <v/>
      </c>
      <c r="DJ43" s="109" t="n"/>
      <c r="DK43" s="252" t="n"/>
      <c r="DL43" s="178" t="n"/>
      <c r="DM43" s="184" t="n"/>
      <c r="DN43" s="130">
        <f>$E43*60</f>
        <v/>
      </c>
      <c r="DO43" s="193" t="n"/>
      <c r="DP43" s="252" t="n"/>
      <c r="DQ43" s="178" t="n"/>
      <c r="DR43" s="184" t="n"/>
      <c r="DS43" s="130">
        <f>$E43*60</f>
        <v/>
      </c>
      <c r="DT43" s="109" t="n"/>
      <c r="DU43" s="252" t="n"/>
      <c r="DV43" s="180">
        <f>SUMPRODUCT(--(MOD(COLUMN($BN43:$DU43),5)=MOD(COLUMN($BN43),5)),$BN43:$DU43)</f>
        <v/>
      </c>
      <c r="DW43" s="181">
        <f>Автовик_разбивка[[#This Row],[Цена, 
юань, без НДС 1]]*DV43</f>
        <v/>
      </c>
      <c r="DX43" s="186">
        <f>SUMPRODUCT(--(MOD(COLUMN($BN43:$DU43),5)=MOD(COLUMN($BN43)+1,5)),$BN43:$DU43)</f>
        <v/>
      </c>
      <c r="DY43" s="186">
        <f>Автовик_разбивка[[#This Row],[Цена, 
юань, без НДС 1]]*DX43</f>
        <v/>
      </c>
      <c r="DZ43" s="130">
        <f>SUMPRODUCT(--(MOD(COLUMN($BN43:$DU43),5)=MOD(COLUMN($BN43)+2,5)),$BN43:$DU43)</f>
        <v/>
      </c>
      <c r="EA43" s="187">
        <f>Автовик_разбивка[[#This Row],[Цена, 
юань, без НДС 1]]*DZ43</f>
        <v/>
      </c>
      <c r="EB43" s="109">
        <f>SUMPRODUCT(--(MOD(COLUMN($BN43:$DU43),5)=MOD(COLUMN($BN43)+3,5)),$BN43:$DU43)</f>
        <v/>
      </c>
      <c r="EC43" s="224">
        <f>Автовик_разбивка[[#This Row],[Цена, 
юань, без НДС 1]]*EB43</f>
        <v/>
      </c>
    </row>
    <row r="44">
      <c r="A44" s="221" t="n">
        <v>11</v>
      </c>
      <c r="B44" s="172" t="inlineStr">
        <is>
          <t>УСТ</t>
        </is>
      </c>
      <c r="C44" s="173" t="inlineStr">
        <is>
          <t>TEBS</t>
        </is>
      </c>
      <c r="D44" s="173" t="inlineStr">
        <is>
          <t>TEBS 4s/2m 
12м</t>
        </is>
      </c>
      <c r="E44" s="174" t="n"/>
      <c r="F44" s="174" t="n"/>
      <c r="G44" s="174" t="n"/>
      <c r="H44" s="175" t="n">
        <v>4497230400</v>
      </c>
      <c r="I44" s="176" t="inlineStr">
        <is>
          <t>Кабель датчика, 4 м</t>
        </is>
      </c>
      <c r="J44" s="911" t="n"/>
      <c r="K44" s="912" t="n"/>
      <c r="L44" s="178" t="n"/>
      <c r="M44" s="130" t="n">
        <v>0</v>
      </c>
      <c r="N44" s="179" t="n">
        <v>120</v>
      </c>
      <c r="O44" s="130" t="n"/>
      <c r="P44" s="178" t="n"/>
      <c r="Q44" s="130">
        <f>$E44*60</f>
        <v/>
      </c>
      <c r="R44" s="179" t="n">
        <v>0</v>
      </c>
      <c r="S44" s="130" t="n"/>
      <c r="T44" s="178" t="n"/>
      <c r="U44" s="130">
        <f>$E44*60</f>
        <v/>
      </c>
      <c r="V44" s="179" t="n">
        <v>0</v>
      </c>
      <c r="W44" s="130" t="n"/>
      <c r="X44" s="178" t="n"/>
      <c r="Y44" s="130">
        <f>$E44*60</f>
        <v/>
      </c>
      <c r="Z44" s="179" t="n">
        <v>0</v>
      </c>
      <c r="AA44" s="130" t="n"/>
      <c r="AB44" s="178" t="n"/>
      <c r="AC44" s="130">
        <f>$E44*60</f>
        <v/>
      </c>
      <c r="AD44" s="109" t="n"/>
      <c r="AE44" s="252" t="n"/>
      <c r="AF44" s="178" t="n"/>
      <c r="AG44" s="130">
        <f>$E44*60</f>
        <v/>
      </c>
      <c r="AH44" s="109" t="n"/>
      <c r="AI44" s="252" t="n"/>
      <c r="AJ44" s="178" t="n"/>
      <c r="AK44" s="130">
        <f>$E44*60</f>
        <v/>
      </c>
      <c r="AL44" s="109" t="n"/>
      <c r="AM44" s="252" t="n"/>
      <c r="AN44" s="178" t="n"/>
      <c r="AO44" s="130">
        <f>$E44*50</f>
        <v/>
      </c>
      <c r="AP44" s="109" t="n"/>
      <c r="AQ44" s="252" t="n"/>
      <c r="AR44" s="178" t="n"/>
      <c r="AS44" s="130">
        <f>$E44*50</f>
        <v/>
      </c>
      <c r="AT44" s="109" t="n"/>
      <c r="AU44" s="252" t="n"/>
      <c r="AV44" s="178" t="n"/>
      <c r="AW44" s="130" t="n">
        <v>200</v>
      </c>
      <c r="AX44" s="109" t="n"/>
      <c r="AY44" s="252" t="n"/>
      <c r="AZ44" s="178" t="n"/>
      <c r="BA44" s="130">
        <f>$E44*60</f>
        <v/>
      </c>
      <c r="BB44" s="193" t="n"/>
      <c r="BC44" s="252" t="n"/>
      <c r="BD44" s="178" t="n"/>
      <c r="BE44" s="130">
        <f>$E44*50</f>
        <v/>
      </c>
      <c r="BF44" s="109" t="n"/>
      <c r="BG44" s="252" t="n"/>
      <c r="BH44" s="180">
        <f>SUMPRODUCT(--(MOD(COLUMN($L44:$BG44),4)=MOD(COLUMN($L44),4)),$L44:$BG44)</f>
        <v/>
      </c>
      <c r="BI44" s="181">
        <f>Автовик_разбивка[[#This Row],[Цена, 
юань, без НДС 1]]*BH44</f>
        <v/>
      </c>
      <c r="BJ44" s="130">
        <f>SUMPRODUCT(--(MOD(COLUMN($L44:$BG44),4)=MOD(COLUMN($L44)+1,4)),$L44:$BG44)</f>
        <v/>
      </c>
      <c r="BK44" s="187">
        <f>Автовик_разбивка[[#This Row],[Цена, 
юань, без НДС 1]]*BJ44</f>
        <v/>
      </c>
      <c r="BL44" s="109">
        <f>SUMPRODUCT(--(MOD(COLUMN($L44:$BG44),4)=MOD(COLUMN($L44)+2,4)),$L44:$BG44)</f>
        <v/>
      </c>
      <c r="BM44" s="224">
        <f>Автовик_разбивка[[#This Row],[Цена, 
юань, без НДС 1]]*BL44</f>
        <v/>
      </c>
      <c r="BN44" s="178" t="n"/>
      <c r="BO44" s="184" t="n"/>
      <c r="BP44" s="130">
        <f>$E44*40</f>
        <v/>
      </c>
      <c r="BQ44" s="179" t="n"/>
      <c r="BR44" s="130" t="n"/>
      <c r="BS44" s="178" t="n"/>
      <c r="BT44" s="184" t="n"/>
      <c r="BU44" s="130">
        <f>$E44*40</f>
        <v/>
      </c>
      <c r="BV44" s="179" t="n"/>
      <c r="BW44" s="130" t="n"/>
      <c r="BX44" s="178" t="n"/>
      <c r="BY44" s="184" t="n"/>
      <c r="BZ44" s="130">
        <f>$E44*50</f>
        <v/>
      </c>
      <c r="CA44" s="179" t="n"/>
      <c r="CB44" s="130" t="n"/>
      <c r="CC44" s="178" t="n"/>
      <c r="CD44" s="184" t="n"/>
      <c r="CE44" s="130">
        <f>$E44*60</f>
        <v/>
      </c>
      <c r="CF44" s="179" t="n"/>
      <c r="CG44" s="130" t="n"/>
      <c r="CH44" s="178" t="n"/>
      <c r="CI44" s="184" t="n"/>
      <c r="CJ44" s="130">
        <f>$E44*60</f>
        <v/>
      </c>
      <c r="CK44" s="109" t="n"/>
      <c r="CL44" s="252" t="n"/>
      <c r="CM44" s="178" t="n"/>
      <c r="CN44" s="184" t="n"/>
      <c r="CO44" s="130">
        <f>$E44*60</f>
        <v/>
      </c>
      <c r="CP44" s="109" t="n"/>
      <c r="CQ44" s="252" t="n"/>
      <c r="CR44" s="178" t="n"/>
      <c r="CS44" s="184" t="n"/>
      <c r="CT44" s="130">
        <f>$E44*60</f>
        <v/>
      </c>
      <c r="CU44" s="109" t="n"/>
      <c r="CV44" s="252" t="n"/>
      <c r="CW44" s="178" t="n"/>
      <c r="CX44" s="184" t="n"/>
      <c r="CY44" s="130">
        <f>$E44*60</f>
        <v/>
      </c>
      <c r="CZ44" s="109" t="n"/>
      <c r="DA44" s="252" t="n"/>
      <c r="DB44" s="178" t="n"/>
      <c r="DC44" s="184" t="n"/>
      <c r="DD44" s="130">
        <f>$E44*60</f>
        <v/>
      </c>
      <c r="DE44" s="109" t="n"/>
      <c r="DF44" s="252" t="n"/>
      <c r="DG44" s="178" t="n"/>
      <c r="DH44" s="184" t="n"/>
      <c r="DI44" s="130">
        <f>$E44*60</f>
        <v/>
      </c>
      <c r="DJ44" s="109" t="n"/>
      <c r="DK44" s="252" t="n"/>
      <c r="DL44" s="178" t="n"/>
      <c r="DM44" s="184" t="n"/>
      <c r="DN44" s="130">
        <f>$E44*60</f>
        <v/>
      </c>
      <c r="DO44" s="193" t="n"/>
      <c r="DP44" s="252" t="n"/>
      <c r="DQ44" s="178" t="n"/>
      <c r="DR44" s="184" t="n"/>
      <c r="DS44" s="130">
        <f>$E44*60</f>
        <v/>
      </c>
      <c r="DT44" s="109" t="n"/>
      <c r="DU44" s="252" t="n"/>
      <c r="DV44" s="180">
        <f>SUMPRODUCT(--(MOD(COLUMN($BN44:$DU44),5)=MOD(COLUMN($BN44),5)),$BN44:$DU44)</f>
        <v/>
      </c>
      <c r="DW44" s="181">
        <f>Автовик_разбивка[[#This Row],[Цена, 
юань, без НДС 1]]*DV44</f>
        <v/>
      </c>
      <c r="DX44" s="186">
        <f>SUMPRODUCT(--(MOD(COLUMN($BN44:$DU44),5)=MOD(COLUMN($BN44)+1,5)),$BN44:$DU44)</f>
        <v/>
      </c>
      <c r="DY44" s="186">
        <f>Автовик_разбивка[[#This Row],[Цена, 
юань, без НДС 1]]*DX44</f>
        <v/>
      </c>
      <c r="DZ44" s="130">
        <f>SUMPRODUCT(--(MOD(COLUMN($BN44:$DU44),5)=MOD(COLUMN($BN44)+2,5)),$BN44:$DU44)</f>
        <v/>
      </c>
      <c r="EA44" s="187">
        <f>Автовик_разбивка[[#This Row],[Цена, 
юань, без НДС 1]]*DZ44</f>
        <v/>
      </c>
      <c r="EB44" s="109">
        <f>SUMPRODUCT(--(MOD(COLUMN($BN44:$DU44),5)=MOD(COLUMN($BN44)+3,5)),$BN44:$DU44)</f>
        <v/>
      </c>
      <c r="EC44" s="224">
        <f>Автовик_разбивка[[#This Row],[Цена, 
юань, без НДС 1]]*EB44</f>
        <v/>
      </c>
    </row>
    <row r="45">
      <c r="A45" s="221" t="n">
        <v>11</v>
      </c>
      <c r="B45" s="172" t="inlineStr">
        <is>
          <t>УСТ</t>
        </is>
      </c>
      <c r="C45" s="173" t="inlineStr">
        <is>
          <t>TEBS</t>
        </is>
      </c>
      <c r="D45" s="173" t="inlineStr">
        <is>
          <t>TEBS 4s/2m 
12м</t>
        </is>
      </c>
      <c r="E45" s="174" t="n">
        <v>4</v>
      </c>
      <c r="F45" s="174" t="n"/>
      <c r="G45" s="174" t="n"/>
      <c r="H45" s="175" t="n">
        <v>4497230500</v>
      </c>
      <c r="I45" s="176" t="inlineStr">
        <is>
          <t>Кабель датчика, 5 м</t>
        </is>
      </c>
      <c r="J45" s="911" t="n"/>
      <c r="K45" s="912" t="n"/>
      <c r="L45" s="178" t="n">
        <v>240</v>
      </c>
      <c r="M45" s="130">
        <f>$E45*60</f>
        <v/>
      </c>
      <c r="N45" s="179" t="n">
        <v>0</v>
      </c>
      <c r="O45" s="130" t="n"/>
      <c r="P45" s="178" t="n">
        <v>240</v>
      </c>
      <c r="Q45" s="130">
        <f>$E45*60</f>
        <v/>
      </c>
      <c r="R45" s="179" t="n">
        <v>100</v>
      </c>
      <c r="S45" s="130" t="n"/>
      <c r="T45" s="178" t="n">
        <v>240</v>
      </c>
      <c r="U45" s="130">
        <f>$E45*60</f>
        <v/>
      </c>
      <c r="V45" s="179" t="n">
        <v>120</v>
      </c>
      <c r="W45" s="130" t="n"/>
      <c r="X45" s="178" t="n">
        <v>240</v>
      </c>
      <c r="Y45" s="130">
        <f>$E45*60</f>
        <v/>
      </c>
      <c r="Z45" s="179">
        <f>100+200</f>
        <v/>
      </c>
      <c r="AA45" s="130" t="n"/>
      <c r="AB45" s="178" t="n">
        <v>240</v>
      </c>
      <c r="AC45" s="130">
        <f>$E45*60</f>
        <v/>
      </c>
      <c r="AD45" s="109" t="n"/>
      <c r="AE45" s="252" t="n"/>
      <c r="AF45" s="178" t="n">
        <v>240</v>
      </c>
      <c r="AG45" s="130">
        <f>$E45*60</f>
        <v/>
      </c>
      <c r="AH45" s="109" t="n"/>
      <c r="AI45" s="252" t="n"/>
      <c r="AJ45" s="178" t="n">
        <v>240</v>
      </c>
      <c r="AK45" s="130">
        <f>$E45*60</f>
        <v/>
      </c>
      <c r="AL45" s="109" t="n"/>
      <c r="AM45" s="252" t="n"/>
      <c r="AN45" s="178" t="n">
        <v>240</v>
      </c>
      <c r="AO45" s="130">
        <f>$E45*50</f>
        <v/>
      </c>
      <c r="AP45" s="109" t="n"/>
      <c r="AQ45" s="252" t="n"/>
      <c r="AR45" s="178" t="n">
        <v>240</v>
      </c>
      <c r="AS45" s="130">
        <f>$E45*50</f>
        <v/>
      </c>
      <c r="AT45" s="109" t="n"/>
      <c r="AU45" s="252" t="n"/>
      <c r="AV45" s="178" t="n">
        <v>240</v>
      </c>
      <c r="AW45" s="130" t="n">
        <v>0</v>
      </c>
      <c r="AX45" s="109" t="n"/>
      <c r="AY45" s="252" t="n"/>
      <c r="AZ45" s="178" t="n">
        <v>240</v>
      </c>
      <c r="BA45" s="130">
        <f>$E45*60</f>
        <v/>
      </c>
      <c r="BB45" s="193" t="n"/>
      <c r="BC45" s="252" t="n"/>
      <c r="BD45" s="178" t="n">
        <v>240</v>
      </c>
      <c r="BE45" s="130">
        <f>$E45*50</f>
        <v/>
      </c>
      <c r="BF45" s="109" t="n"/>
      <c r="BG45" s="252" t="n"/>
      <c r="BH45" s="180">
        <f>SUMPRODUCT(--(MOD(COLUMN($L45:$BG45),4)=MOD(COLUMN($L45),4)),$L45:$BG45)</f>
        <v/>
      </c>
      <c r="BI45" s="181">
        <f>Автовик_разбивка[[#This Row],[Цена, 
юань, без НДС 1]]*BH45</f>
        <v/>
      </c>
      <c r="BJ45" s="130">
        <f>SUMPRODUCT(--(MOD(COLUMN($L45:$BG45),4)=MOD(COLUMN($L45)+1,4)),$L45:$BG45)</f>
        <v/>
      </c>
      <c r="BK45" s="187">
        <f>Автовик_разбивка[[#This Row],[Цена, 
юань, без НДС 1]]*BJ45</f>
        <v/>
      </c>
      <c r="BL45" s="109">
        <f>SUMPRODUCT(--(MOD(COLUMN($L45:$BG45),4)=MOD(COLUMN($L45)+2,4)),$L45:$BG45)</f>
        <v/>
      </c>
      <c r="BM45" s="224">
        <f>Автовик_разбивка[[#This Row],[Цена, 
юань, без НДС 1]]*BL45</f>
        <v/>
      </c>
      <c r="BN45" s="178" t="n"/>
      <c r="BO45" s="184" t="n"/>
      <c r="BP45" s="130">
        <f>$E45*40</f>
        <v/>
      </c>
      <c r="BQ45" s="179" t="n"/>
      <c r="BR45" s="130" t="n"/>
      <c r="BS45" s="178" t="n"/>
      <c r="BT45" s="184" t="n"/>
      <c r="BU45" s="130">
        <f>$E45*40</f>
        <v/>
      </c>
      <c r="BV45" s="179" t="n"/>
      <c r="BW45" s="130" t="n"/>
      <c r="BX45" s="178" t="n"/>
      <c r="BY45" s="184" t="n"/>
      <c r="BZ45" s="130">
        <f>$E45*50</f>
        <v/>
      </c>
      <c r="CA45" s="179" t="n"/>
      <c r="CB45" s="130" t="n"/>
      <c r="CC45" s="178" t="n"/>
      <c r="CD45" s="184" t="n"/>
      <c r="CE45" s="130">
        <f>$E45*60</f>
        <v/>
      </c>
      <c r="CF45" s="179" t="n"/>
      <c r="CG45" s="130" t="n"/>
      <c r="CH45" s="178" t="n"/>
      <c r="CI45" s="184" t="n"/>
      <c r="CJ45" s="130">
        <f>$E45*60</f>
        <v/>
      </c>
      <c r="CK45" s="109" t="n"/>
      <c r="CL45" s="252" t="n"/>
      <c r="CM45" s="178" t="n"/>
      <c r="CN45" s="184" t="n"/>
      <c r="CO45" s="130">
        <f>$E45*60</f>
        <v/>
      </c>
      <c r="CP45" s="109" t="n"/>
      <c r="CQ45" s="252" t="n"/>
      <c r="CR45" s="178" t="n"/>
      <c r="CS45" s="184" t="n"/>
      <c r="CT45" s="130">
        <f>$E45*60</f>
        <v/>
      </c>
      <c r="CU45" s="109" t="n"/>
      <c r="CV45" s="252" t="n"/>
      <c r="CW45" s="178" t="n"/>
      <c r="CX45" s="184" t="n"/>
      <c r="CY45" s="130">
        <f>$E45*60</f>
        <v/>
      </c>
      <c r="CZ45" s="109" t="n"/>
      <c r="DA45" s="252" t="n"/>
      <c r="DB45" s="178" t="n"/>
      <c r="DC45" s="184" t="n"/>
      <c r="DD45" s="130">
        <f>$E45*60</f>
        <v/>
      </c>
      <c r="DE45" s="109" t="n"/>
      <c r="DF45" s="252" t="n"/>
      <c r="DG45" s="178" t="n"/>
      <c r="DH45" s="184" t="n"/>
      <c r="DI45" s="130">
        <f>$E45*60</f>
        <v/>
      </c>
      <c r="DJ45" s="109" t="n"/>
      <c r="DK45" s="252" t="n"/>
      <c r="DL45" s="178" t="n"/>
      <c r="DM45" s="184" t="n"/>
      <c r="DN45" s="130">
        <f>$E45*60</f>
        <v/>
      </c>
      <c r="DO45" s="193" t="n"/>
      <c r="DP45" s="252" t="n"/>
      <c r="DQ45" s="178" t="n"/>
      <c r="DR45" s="184" t="n"/>
      <c r="DS45" s="130">
        <f>$E45*60</f>
        <v/>
      </c>
      <c r="DT45" s="109" t="n"/>
      <c r="DU45" s="252" t="n"/>
      <c r="DV45" s="180">
        <f>SUMPRODUCT(--(MOD(COLUMN($BN45:$DU45),5)=MOD(COLUMN($BN45),5)),$BN45:$DU45)</f>
        <v/>
      </c>
      <c r="DW45" s="181">
        <f>Автовик_разбивка[[#This Row],[Цена, 
юань, без НДС 1]]*DV45</f>
        <v/>
      </c>
      <c r="DX45" s="186">
        <f>SUMPRODUCT(--(MOD(COLUMN($BN45:$DU45),5)=MOD(COLUMN($BN45)+1,5)),$BN45:$DU45)</f>
        <v/>
      </c>
      <c r="DY45" s="186">
        <f>Автовик_разбивка[[#This Row],[Цена, 
юань, без НДС 1]]*DX45</f>
        <v/>
      </c>
      <c r="DZ45" s="130">
        <f>SUMPRODUCT(--(MOD(COLUMN($BN45:$DU45),5)=MOD(COLUMN($BN45)+2,5)),$BN45:$DU45)</f>
        <v/>
      </c>
      <c r="EA45" s="187">
        <f>Автовик_разбивка[[#This Row],[Цена, 
юань, без НДС 1]]*DZ45</f>
        <v/>
      </c>
      <c r="EB45" s="109">
        <f>SUMPRODUCT(--(MOD(COLUMN($BN45:$DU45),5)=MOD(COLUMN($BN45)+3,5)),$BN45:$DU45)</f>
        <v/>
      </c>
      <c r="EC45" s="224">
        <f>Автовик_разбивка[[#This Row],[Цена, 
юань, без НДС 1]]*EB45</f>
        <v/>
      </c>
    </row>
    <row r="46">
      <c r="A46" s="221" t="n">
        <v>11</v>
      </c>
      <c r="B46" s="172" t="inlineStr">
        <is>
          <t>УСТ</t>
        </is>
      </c>
      <c r="C46" s="173" t="inlineStr">
        <is>
          <t>TEBS</t>
        </is>
      </c>
      <c r="D46" s="173" t="inlineStr">
        <is>
          <t>TEBS 4s/2m 
12м</t>
        </is>
      </c>
      <c r="E46" s="174" t="n">
        <v>1</v>
      </c>
      <c r="F46" s="174" t="n"/>
      <c r="G46" s="174" t="n"/>
      <c r="H46" s="175" t="n">
        <v>4630320200</v>
      </c>
      <c r="I46" s="176" t="inlineStr">
        <is>
          <t>Кран ручного управления</t>
        </is>
      </c>
      <c r="J46" s="911" t="n"/>
      <c r="K46" s="913" t="n"/>
      <c r="L46" s="178" t="n">
        <v>60</v>
      </c>
      <c r="M46" s="130">
        <f>$E46*60</f>
        <v/>
      </c>
      <c r="N46" s="179" t="n">
        <v>60</v>
      </c>
      <c r="O46" s="130" t="n"/>
      <c r="P46" s="178" t="n">
        <v>60</v>
      </c>
      <c r="Q46" s="130">
        <f>$E46*60</f>
        <v/>
      </c>
      <c r="R46" s="179" t="n">
        <v>50</v>
      </c>
      <c r="S46" s="130" t="n"/>
      <c r="T46" s="178" t="n">
        <v>60</v>
      </c>
      <c r="U46" s="130">
        <f>$E46*60</f>
        <v/>
      </c>
      <c r="V46" s="179" t="n">
        <v>60</v>
      </c>
      <c r="W46" s="130" t="n"/>
      <c r="X46" s="178" t="n">
        <v>60</v>
      </c>
      <c r="Y46" s="130">
        <f>$E46*60</f>
        <v/>
      </c>
      <c r="Z46" s="179" t="n">
        <v>50</v>
      </c>
      <c r="AA46" s="130" t="n"/>
      <c r="AB46" s="178" t="n">
        <v>60</v>
      </c>
      <c r="AC46" s="130">
        <f>$E46*60</f>
        <v/>
      </c>
      <c r="AD46" s="109" t="n"/>
      <c r="AE46" s="252" t="n"/>
      <c r="AF46" s="178" t="n">
        <v>60</v>
      </c>
      <c r="AG46" s="130">
        <f>$E46*60</f>
        <v/>
      </c>
      <c r="AH46" s="109" t="n"/>
      <c r="AI46" s="252" t="n"/>
      <c r="AJ46" s="178" t="n">
        <v>60</v>
      </c>
      <c r="AK46" s="130">
        <f>$E46*60</f>
        <v/>
      </c>
      <c r="AL46" s="109" t="n"/>
      <c r="AM46" s="252" t="n"/>
      <c r="AN46" s="178" t="n">
        <v>60</v>
      </c>
      <c r="AO46" s="130">
        <f>$E46*50</f>
        <v/>
      </c>
      <c r="AP46" s="109" t="n"/>
      <c r="AQ46" s="252" t="n"/>
      <c r="AR46" s="178" t="n">
        <v>60</v>
      </c>
      <c r="AS46" s="130">
        <f>$E46*50</f>
        <v/>
      </c>
      <c r="AT46" s="109" t="n"/>
      <c r="AU46" s="252" t="n"/>
      <c r="AV46" s="178" t="n">
        <v>60</v>
      </c>
      <c r="AW46" s="130" t="n"/>
      <c r="AX46" s="109" t="n"/>
      <c r="AY46" s="252" t="n"/>
      <c r="AZ46" s="178" t="n">
        <v>60</v>
      </c>
      <c r="BA46" s="130" t="n">
        <v>10</v>
      </c>
      <c r="BB46" s="194" t="n"/>
      <c r="BC46" s="252" t="n"/>
      <c r="BD46" s="178" t="n">
        <v>60</v>
      </c>
      <c r="BE46" s="130">
        <f>$E46*50</f>
        <v/>
      </c>
      <c r="BF46" s="109" t="n"/>
      <c r="BG46" s="252" t="n"/>
      <c r="BH46" s="180">
        <f>SUMPRODUCT(--(MOD(COLUMN($L46:$BG46),4)=MOD(COLUMN($L46),4)),$L46:$BG46)</f>
        <v/>
      </c>
      <c r="BI46" s="181">
        <f>Автовик_разбивка[[#This Row],[Цена, 
юань, без НДС 1]]*BH46</f>
        <v/>
      </c>
      <c r="BJ46" s="130">
        <f>SUMPRODUCT(--(MOD(COLUMN($L46:$BG46),4)=MOD(COLUMN($L46)+1,4)),$L46:$BG46)</f>
        <v/>
      </c>
      <c r="BK46" s="187">
        <f>Автовик_разбивка[[#This Row],[Цена, 
юань, без НДС 1]]*BJ46</f>
        <v/>
      </c>
      <c r="BL46" s="109">
        <f>SUMPRODUCT(--(MOD(COLUMN($L46:$BG46),4)=MOD(COLUMN($L46)+2,4)),$L46:$BG46)</f>
        <v/>
      </c>
      <c r="BM46" s="224">
        <f>Автовик_разбивка[[#This Row],[Цена, 
юань, без НДС 1]]*BL46</f>
        <v/>
      </c>
      <c r="BN46" s="178" t="n"/>
      <c r="BO46" s="184" t="n"/>
      <c r="BP46" s="130">
        <f>$E46*40</f>
        <v/>
      </c>
      <c r="BQ46" s="179" t="n"/>
      <c r="BR46" s="130" t="n"/>
      <c r="BS46" s="178" t="n"/>
      <c r="BT46" s="184" t="n"/>
      <c r="BU46" s="130">
        <f>$E46*40</f>
        <v/>
      </c>
      <c r="BV46" s="179" t="n"/>
      <c r="BW46" s="130" t="n"/>
      <c r="BX46" s="178" t="n"/>
      <c r="BY46" s="184" t="n"/>
      <c r="BZ46" s="130">
        <f>$E46*50</f>
        <v/>
      </c>
      <c r="CA46" s="179" t="n"/>
      <c r="CB46" s="130" t="n"/>
      <c r="CC46" s="178" t="n"/>
      <c r="CD46" s="184" t="n"/>
      <c r="CE46" s="130">
        <f>$E46*60</f>
        <v/>
      </c>
      <c r="CF46" s="179" t="n"/>
      <c r="CG46" s="130" t="n"/>
      <c r="CH46" s="178" t="n"/>
      <c r="CI46" s="184" t="n"/>
      <c r="CJ46" s="130">
        <f>$E46*60</f>
        <v/>
      </c>
      <c r="CK46" s="109" t="n"/>
      <c r="CL46" s="252" t="n"/>
      <c r="CM46" s="178" t="n"/>
      <c r="CN46" s="184" t="n"/>
      <c r="CO46" s="130">
        <f>$E46*60</f>
        <v/>
      </c>
      <c r="CP46" s="109" t="n"/>
      <c r="CQ46" s="252" t="n"/>
      <c r="CR46" s="178" t="n"/>
      <c r="CS46" s="184" t="n"/>
      <c r="CT46" s="130">
        <f>$E46*60</f>
        <v/>
      </c>
      <c r="CU46" s="109" t="n"/>
      <c r="CV46" s="252" t="n"/>
      <c r="CW46" s="178" t="n"/>
      <c r="CX46" s="184" t="n"/>
      <c r="CY46" s="130">
        <f>$E46*60</f>
        <v/>
      </c>
      <c r="CZ46" s="109" t="n"/>
      <c r="DA46" s="252" t="n"/>
      <c r="DB46" s="178" t="n"/>
      <c r="DC46" s="184" t="n"/>
      <c r="DD46" s="130">
        <f>$E46*60</f>
        <v/>
      </c>
      <c r="DE46" s="109" t="n"/>
      <c r="DF46" s="252" t="n"/>
      <c r="DG46" s="178" t="n"/>
      <c r="DH46" s="184" t="n"/>
      <c r="DI46" s="130">
        <f>$E46*60</f>
        <v/>
      </c>
      <c r="DJ46" s="109" t="n"/>
      <c r="DK46" s="252" t="n"/>
      <c r="DL46" s="178" t="n"/>
      <c r="DM46" s="184" t="n"/>
      <c r="DN46" s="130">
        <f>$E46*60</f>
        <v/>
      </c>
      <c r="DO46" s="194" t="n"/>
      <c r="DP46" s="252" t="n"/>
      <c r="DQ46" s="178" t="n"/>
      <c r="DR46" s="184" t="n"/>
      <c r="DS46" s="130">
        <f>$E46*60</f>
        <v/>
      </c>
      <c r="DT46" s="109" t="n"/>
      <c r="DU46" s="252" t="n"/>
      <c r="DV46" s="180">
        <f>SUMPRODUCT(--(MOD(COLUMN($BN46:$DU46),5)=MOD(COLUMN($BN46),5)),$BN46:$DU46)</f>
        <v/>
      </c>
      <c r="DW46" s="181">
        <f>Автовик_разбивка[[#This Row],[Цена, 
юань, без НДС 1]]*DV46</f>
        <v/>
      </c>
      <c r="DX46" s="186">
        <f>SUMPRODUCT(--(MOD(COLUMN($BN46:$DU46),5)=MOD(COLUMN($BN46)+1,5)),$BN46:$DU46)</f>
        <v/>
      </c>
      <c r="DY46" s="186">
        <f>Автовик_разбивка[[#This Row],[Цена, 
юань, без НДС 1]]*DX46</f>
        <v/>
      </c>
      <c r="DZ46" s="130">
        <f>SUMPRODUCT(--(MOD(COLUMN($BN46:$DU46),5)=MOD(COLUMN($BN46)+2,5)),$BN46:$DU46)</f>
        <v/>
      </c>
      <c r="EA46" s="187">
        <f>Автовик_разбивка[[#This Row],[Цена, 
юань, без НДС 1]]*DZ46</f>
        <v/>
      </c>
      <c r="EB46" s="109">
        <f>SUMPRODUCT(--(MOD(COLUMN($BN46:$DU46),5)=MOD(COLUMN($BN46)+3,5)),$BN46:$DU46)</f>
        <v/>
      </c>
      <c r="EC46" s="224">
        <f>Автовик_разбивка[[#This Row],[Цена, 
юань, без НДС 1]]*EB46</f>
        <v/>
      </c>
    </row>
    <row r="47">
      <c r="A47" s="221" t="n">
        <v>11</v>
      </c>
      <c r="B47" s="172" t="inlineStr">
        <is>
          <t>УСТ</t>
        </is>
      </c>
      <c r="C47" s="173" t="inlineStr">
        <is>
          <t>TEBS</t>
        </is>
      </c>
      <c r="D47" s="173" t="inlineStr">
        <is>
          <t>TEBS 4s/2m 
12м</t>
        </is>
      </c>
      <c r="E47" s="174" t="n"/>
      <c r="F47" s="174" t="n"/>
      <c r="G47" s="174" t="n"/>
      <c r="H47" s="175" t="inlineStr">
        <is>
          <t>PRO0320200</t>
        </is>
      </c>
      <c r="I47" s="176" t="inlineStr">
        <is>
          <t>Кран ручного управления</t>
        </is>
      </c>
      <c r="J47" s="911" t="n"/>
      <c r="K47" s="913" t="n"/>
      <c r="L47" s="178" t="n"/>
      <c r="M47" s="130" t="n"/>
      <c r="N47" s="179" t="n"/>
      <c r="O47" s="130" t="n"/>
      <c r="P47" s="178" t="n"/>
      <c r="Q47" s="130" t="n"/>
      <c r="R47" s="179" t="n"/>
      <c r="S47" s="130" t="n"/>
      <c r="T47" s="178" t="n"/>
      <c r="U47" s="130" t="n"/>
      <c r="V47" s="179" t="n"/>
      <c r="W47" s="130" t="n"/>
      <c r="X47" s="178" t="n"/>
      <c r="Y47" s="130" t="n"/>
      <c r="Z47" s="179" t="n"/>
      <c r="AA47" s="130" t="n"/>
      <c r="AB47" s="178" t="n"/>
      <c r="AC47" s="130" t="n"/>
      <c r="AD47" s="109" t="n"/>
      <c r="AE47" s="252" t="n"/>
      <c r="AF47" s="178" t="n"/>
      <c r="AG47" s="130" t="n"/>
      <c r="AH47" s="109" t="n"/>
      <c r="AI47" s="252" t="n"/>
      <c r="AJ47" s="178" t="n"/>
      <c r="AK47" s="130" t="n"/>
      <c r="AL47" s="109" t="n"/>
      <c r="AM47" s="252" t="n"/>
      <c r="AN47" s="178" t="n"/>
      <c r="AO47" s="130" t="n"/>
      <c r="AP47" s="109" t="n"/>
      <c r="AQ47" s="252" t="n"/>
      <c r="AR47" s="178" t="n"/>
      <c r="AS47" s="130" t="n"/>
      <c r="AT47" s="109" t="n"/>
      <c r="AU47" s="252" t="n"/>
      <c r="AV47" s="178" t="n"/>
      <c r="AW47" s="130" t="n">
        <v>50</v>
      </c>
      <c r="AX47" s="109" t="n"/>
      <c r="AY47" s="252" t="n"/>
      <c r="AZ47" s="178" t="n"/>
      <c r="BA47" s="130" t="n">
        <v>50</v>
      </c>
      <c r="BB47" s="194" t="n"/>
      <c r="BC47" s="252" t="n"/>
      <c r="BD47" s="178" t="n"/>
      <c r="BE47" s="130">
        <f>$E47*50</f>
        <v/>
      </c>
      <c r="BF47" s="109" t="n"/>
      <c r="BG47" s="252" t="n"/>
      <c r="BH47" s="180">
        <f>SUMPRODUCT(--(MOD(COLUMN($L47:$BG47),4)=MOD(COLUMN($L47),4)),$L47:$BG47)</f>
        <v/>
      </c>
      <c r="BI47" s="181">
        <f>Автовик_разбивка[[#This Row],[Цена, 
юань, без НДС 1]]*BH47</f>
        <v/>
      </c>
      <c r="BJ47" s="130">
        <f>SUMPRODUCT(--(MOD(COLUMN($L47:$BG47),4)=MOD(COLUMN($L47)+1,4)),$L47:$BG47)</f>
        <v/>
      </c>
      <c r="BK47" s="187">
        <f>Автовик_разбивка[[#This Row],[Цена, 
юань, без НДС 1]]*BJ47</f>
        <v/>
      </c>
      <c r="BL47" s="109">
        <f>SUMPRODUCT(--(MOD(COLUMN($L47:$BG47),4)=MOD(COLUMN($L47)+2,4)),$L47:$BG47)</f>
        <v/>
      </c>
      <c r="BM47" s="224">
        <f>Автовик_разбивка[[#This Row],[Цена, 
юань, без НДС 1]]*BL47</f>
        <v/>
      </c>
      <c r="BN47" s="178" t="n"/>
      <c r="BO47" s="184" t="n"/>
      <c r="BP47" s="130">
        <f>$E47*40</f>
        <v/>
      </c>
      <c r="BQ47" s="179" t="n"/>
      <c r="BR47" s="130" t="n"/>
      <c r="BS47" s="178" t="n"/>
      <c r="BT47" s="184" t="n"/>
      <c r="BU47" s="130">
        <f>$E47*40</f>
        <v/>
      </c>
      <c r="BV47" s="179" t="n"/>
      <c r="BW47" s="130" t="n"/>
      <c r="BX47" s="178" t="n"/>
      <c r="BY47" s="184" t="n"/>
      <c r="BZ47" s="130">
        <f>$E47*50</f>
        <v/>
      </c>
      <c r="CA47" s="179" t="n"/>
      <c r="CB47" s="130" t="n"/>
      <c r="CC47" s="178" t="n"/>
      <c r="CD47" s="184" t="n"/>
      <c r="CE47" s="130" t="n"/>
      <c r="CF47" s="179" t="n"/>
      <c r="CG47" s="130" t="n"/>
      <c r="CH47" s="178" t="n"/>
      <c r="CI47" s="184" t="n"/>
      <c r="CJ47" s="130" t="n"/>
      <c r="CK47" s="109" t="n"/>
      <c r="CL47" s="252" t="n"/>
      <c r="CM47" s="178" t="n"/>
      <c r="CN47" s="184" t="n"/>
      <c r="CO47" s="130" t="n"/>
      <c r="CP47" s="109" t="n"/>
      <c r="CQ47" s="252" t="n"/>
      <c r="CR47" s="178" t="n"/>
      <c r="CS47" s="184" t="n"/>
      <c r="CT47" s="130" t="n"/>
      <c r="CU47" s="109" t="n"/>
      <c r="CV47" s="252" t="n"/>
      <c r="CW47" s="178" t="n"/>
      <c r="CX47" s="184" t="n"/>
      <c r="CY47" s="130" t="n"/>
      <c r="CZ47" s="109" t="n"/>
      <c r="DA47" s="252" t="n"/>
      <c r="DB47" s="178" t="n"/>
      <c r="DC47" s="184" t="n"/>
      <c r="DD47" s="130" t="n"/>
      <c r="DE47" s="109" t="n"/>
      <c r="DF47" s="252" t="n"/>
      <c r="DG47" s="178" t="n"/>
      <c r="DH47" s="184" t="n"/>
      <c r="DI47" s="130" t="n"/>
      <c r="DJ47" s="109" t="n"/>
      <c r="DK47" s="252" t="n"/>
      <c r="DL47" s="178" t="n"/>
      <c r="DM47" s="184" t="n"/>
      <c r="DN47" s="130" t="n"/>
      <c r="DO47" s="194" t="n"/>
      <c r="DP47" s="252" t="n"/>
      <c r="DQ47" s="178" t="n"/>
      <c r="DR47" s="184" t="n"/>
      <c r="DS47" s="130" t="n"/>
      <c r="DT47" s="109" t="n"/>
      <c r="DU47" s="252" t="n"/>
      <c r="DV47" s="180">
        <f>SUMPRODUCT(--(MOD(COLUMN($BN47:$DU47),5)=MOD(COLUMN($BN47),5)),$BN47:$DU47)</f>
        <v/>
      </c>
      <c r="DW47" s="181">
        <f>Автовик_разбивка[[#This Row],[Цена, 
юань, без НДС 1]]*DV47</f>
        <v/>
      </c>
      <c r="DX47" s="186">
        <f>SUMPRODUCT(--(MOD(COLUMN($BN47:$DU47),5)=MOD(COLUMN($BN47)+1,5)),$BN47:$DU47)</f>
        <v/>
      </c>
      <c r="DY47" s="186">
        <f>Автовик_разбивка[[#This Row],[Цена, 
юань, без НДС 1]]*DX47</f>
        <v/>
      </c>
      <c r="DZ47" s="130">
        <f>SUMPRODUCT(--(MOD(COLUMN($BN47:$DU47),5)=MOD(COLUMN($BN47)+2,5)),$BN47:$DU47)</f>
        <v/>
      </c>
      <c r="EA47" s="187">
        <f>Автовик_разбивка[[#This Row],[Цена, 
юань, без НДС 1]]*DZ47</f>
        <v/>
      </c>
      <c r="EB47" s="109">
        <f>SUMPRODUCT(--(MOD(COLUMN($BN47:$DU47),5)=MOD(COLUMN($BN47)+3,5)),$BN47:$DU47)</f>
        <v/>
      </c>
      <c r="EC47" s="224">
        <f>Автовик_разбивка[[#This Row],[Цена, 
юань, без НДС 1]]*EB47</f>
        <v/>
      </c>
    </row>
    <row r="48">
      <c r="A48" s="221" t="n">
        <v>11</v>
      </c>
      <c r="B48" s="172" t="inlineStr">
        <is>
          <t>УСТ</t>
        </is>
      </c>
      <c r="C48" s="173" t="inlineStr">
        <is>
          <t>TEBS</t>
        </is>
      </c>
      <c r="D48" s="173" t="inlineStr">
        <is>
          <t>TEBS 4s/2m 
12м</t>
        </is>
      </c>
      <c r="E48" s="174" t="n">
        <v>1</v>
      </c>
      <c r="F48" s="174" t="n"/>
      <c r="G48" s="174" t="n"/>
      <c r="H48" s="175" t="n">
        <v>4640061000</v>
      </c>
      <c r="I48" s="176" t="inlineStr">
        <is>
          <t>Кран уровня пола, 5-ти портовый</t>
        </is>
      </c>
      <c r="J48" s="911" t="n"/>
      <c r="K48" s="912" t="n"/>
      <c r="L48" s="178" t="n">
        <v>60</v>
      </c>
      <c r="M48" s="130">
        <f>$E48*60</f>
        <v/>
      </c>
      <c r="N48" s="179" t="n">
        <v>60</v>
      </c>
      <c r="O48" s="130" t="n"/>
      <c r="P48" s="178" t="n">
        <v>60</v>
      </c>
      <c r="Q48" s="130">
        <f>$E48*60</f>
        <v/>
      </c>
      <c r="R48" s="179" t="n">
        <v>50</v>
      </c>
      <c r="S48" s="130" t="n"/>
      <c r="T48" s="178" t="n">
        <v>60</v>
      </c>
      <c r="U48" s="130">
        <f>$E48*60</f>
        <v/>
      </c>
      <c r="V48" s="179" t="n">
        <v>60</v>
      </c>
      <c r="W48" s="130" t="n"/>
      <c r="X48" s="178" t="n">
        <v>60</v>
      </c>
      <c r="Y48" s="130">
        <f>$E48*60</f>
        <v/>
      </c>
      <c r="Z48" s="179" t="n">
        <v>50</v>
      </c>
      <c r="AA48" s="130" t="n"/>
      <c r="AB48" s="178" t="n">
        <v>60</v>
      </c>
      <c r="AC48" s="130">
        <f>$E48*60</f>
        <v/>
      </c>
      <c r="AD48" s="109" t="n"/>
      <c r="AE48" s="252" t="n"/>
      <c r="AF48" s="178" t="n">
        <v>60</v>
      </c>
      <c r="AG48" s="130">
        <f>$E48*60</f>
        <v/>
      </c>
      <c r="AH48" s="109" t="n"/>
      <c r="AI48" s="252" t="n"/>
      <c r="AJ48" s="178" t="n">
        <v>60</v>
      </c>
      <c r="AK48" s="130">
        <f>$E48*60</f>
        <v/>
      </c>
      <c r="AL48" s="109" t="n"/>
      <c r="AM48" s="252" t="n"/>
      <c r="AN48" s="178" t="n">
        <v>60</v>
      </c>
      <c r="AO48" s="130">
        <f>$E48*50</f>
        <v/>
      </c>
      <c r="AP48" s="109" t="n"/>
      <c r="AQ48" s="252" t="n"/>
      <c r="AR48" s="178" t="n">
        <v>60</v>
      </c>
      <c r="AS48" s="130">
        <f>$E48*50</f>
        <v/>
      </c>
      <c r="AT48" s="109" t="n"/>
      <c r="AU48" s="252" t="n"/>
      <c r="AV48" s="178" t="n">
        <v>60</v>
      </c>
      <c r="AW48" s="130">
        <f>$E48*50</f>
        <v/>
      </c>
      <c r="AX48" s="109" t="n"/>
      <c r="AY48" s="252" t="n"/>
      <c r="AZ48" s="178" t="n">
        <v>60</v>
      </c>
      <c r="BA48" s="130">
        <f>$E48*60</f>
        <v/>
      </c>
      <c r="BB48" s="179" t="n"/>
      <c r="BC48" s="252" t="n"/>
      <c r="BD48" s="178" t="n">
        <v>60</v>
      </c>
      <c r="BE48" s="130">
        <f>$E48*50</f>
        <v/>
      </c>
      <c r="BF48" s="109" t="n"/>
      <c r="BG48" s="252" t="n"/>
      <c r="BH48" s="180">
        <f>SUMPRODUCT(--(MOD(COLUMN($L48:$BG48),4)=MOD(COLUMN($L48),4)),$L48:$BG48)</f>
        <v/>
      </c>
      <c r="BI48" s="181">
        <f>Автовик_разбивка[[#This Row],[Цена, 
юань, без НДС 1]]*BH48</f>
        <v/>
      </c>
      <c r="BJ48" s="130">
        <f>SUMPRODUCT(--(MOD(COLUMN($L48:$BG48),4)=MOD(COLUMN($L48)+1,4)),$L48:$BG48)</f>
        <v/>
      </c>
      <c r="BK48" s="187">
        <f>Автовик_разбивка[[#This Row],[Цена, 
юань, без НДС 1]]*BJ48</f>
        <v/>
      </c>
      <c r="BL48" s="109">
        <f>SUMPRODUCT(--(MOD(COLUMN($L48:$BG48),4)=MOD(COLUMN($L48)+2,4)),$L48:$BG48)</f>
        <v/>
      </c>
      <c r="BM48" s="224">
        <f>Автовик_разбивка[[#This Row],[Цена, 
юань, без НДС 1]]*BL48</f>
        <v/>
      </c>
      <c r="BN48" s="178" t="n"/>
      <c r="BO48" s="184" t="n"/>
      <c r="BP48" s="130">
        <f>$E48*40</f>
        <v/>
      </c>
      <c r="BQ48" s="179" t="n"/>
      <c r="BR48" s="130" t="n"/>
      <c r="BS48" s="178" t="n"/>
      <c r="BT48" s="184" t="n"/>
      <c r="BU48" s="130">
        <f>$E48*40</f>
        <v/>
      </c>
      <c r="BV48" s="179" t="n"/>
      <c r="BW48" s="130" t="n"/>
      <c r="BX48" s="178" t="n"/>
      <c r="BY48" s="184" t="n"/>
      <c r="BZ48" s="130">
        <f>$E48*50</f>
        <v/>
      </c>
      <c r="CA48" s="179" t="n"/>
      <c r="CB48" s="130" t="n"/>
      <c r="CC48" s="178" t="n"/>
      <c r="CD48" s="184" t="n"/>
      <c r="CE48" s="130">
        <f>$E48*60</f>
        <v/>
      </c>
      <c r="CF48" s="179" t="n"/>
      <c r="CG48" s="130" t="n"/>
      <c r="CH48" s="178" t="n"/>
      <c r="CI48" s="184" t="n"/>
      <c r="CJ48" s="130">
        <f>$E48*60</f>
        <v/>
      </c>
      <c r="CK48" s="109" t="n"/>
      <c r="CL48" s="252" t="n"/>
      <c r="CM48" s="178" t="n"/>
      <c r="CN48" s="184" t="n"/>
      <c r="CO48" s="130">
        <f>$E48*60</f>
        <v/>
      </c>
      <c r="CP48" s="109" t="n"/>
      <c r="CQ48" s="252" t="n"/>
      <c r="CR48" s="178" t="n"/>
      <c r="CS48" s="184" t="n"/>
      <c r="CT48" s="130">
        <f>$E48*60</f>
        <v/>
      </c>
      <c r="CU48" s="109" t="n"/>
      <c r="CV48" s="252" t="n"/>
      <c r="CW48" s="178" t="n"/>
      <c r="CX48" s="184" t="n"/>
      <c r="CY48" s="130">
        <f>$E48*60</f>
        <v/>
      </c>
      <c r="CZ48" s="109" t="n"/>
      <c r="DA48" s="252" t="n"/>
      <c r="DB48" s="178" t="n"/>
      <c r="DC48" s="184" t="n"/>
      <c r="DD48" s="130">
        <f>$E48*60</f>
        <v/>
      </c>
      <c r="DE48" s="109" t="n"/>
      <c r="DF48" s="252" t="n"/>
      <c r="DG48" s="178" t="n"/>
      <c r="DH48" s="184" t="n"/>
      <c r="DI48" s="130">
        <f>$E48*60</f>
        <v/>
      </c>
      <c r="DJ48" s="109" t="n"/>
      <c r="DK48" s="252" t="n"/>
      <c r="DL48" s="178" t="n"/>
      <c r="DM48" s="184" t="n"/>
      <c r="DN48" s="130">
        <f>$E48*60</f>
        <v/>
      </c>
      <c r="DO48" s="179" t="n"/>
      <c r="DP48" s="252" t="n"/>
      <c r="DQ48" s="178" t="n"/>
      <c r="DR48" s="184" t="n"/>
      <c r="DS48" s="130">
        <f>$E48*60</f>
        <v/>
      </c>
      <c r="DT48" s="109" t="n"/>
      <c r="DU48" s="252" t="n"/>
      <c r="DV48" s="180">
        <f>SUMPRODUCT(--(MOD(COLUMN($BN48:$DU48),5)=MOD(COLUMN($BN48),5)),$BN48:$DU48)</f>
        <v/>
      </c>
      <c r="DW48" s="181">
        <f>Автовик_разбивка[[#This Row],[Цена, 
юань, без НДС 1]]*DV48</f>
        <v/>
      </c>
      <c r="DX48" s="186">
        <f>SUMPRODUCT(--(MOD(COLUMN($BN48:$DU48),5)=MOD(COLUMN($BN48)+1,5)),$BN48:$DU48)</f>
        <v/>
      </c>
      <c r="DY48" s="186">
        <f>Автовик_разбивка[[#This Row],[Цена, 
юань, без НДС 1]]*DX48</f>
        <v/>
      </c>
      <c r="DZ48" s="130">
        <f>SUMPRODUCT(--(MOD(COLUMN($BN48:$DU48),5)=MOD(COLUMN($BN48)+2,5)),$BN48:$DU48)</f>
        <v/>
      </c>
      <c r="EA48" s="187">
        <f>Автовик_разбивка[[#This Row],[Цена, 
юань, без НДС 1]]*DZ48</f>
        <v/>
      </c>
      <c r="EB48" s="109">
        <f>SUMPRODUCT(--(MOD(COLUMN($BN48:$DU48),5)=MOD(COLUMN($BN48)+3,5)),$BN48:$DU48)</f>
        <v/>
      </c>
      <c r="EC48" s="224">
        <f>Автовик_разбивка[[#This Row],[Цена, 
юань, без НДС 1]]*EB48</f>
        <v/>
      </c>
    </row>
    <row r="49">
      <c r="A49" s="221" t="n">
        <v>11</v>
      </c>
      <c r="B49" s="172" t="inlineStr">
        <is>
          <t>УСТ</t>
        </is>
      </c>
      <c r="C49" s="173" t="inlineStr">
        <is>
          <t>TEBS</t>
        </is>
      </c>
      <c r="D49" s="173" t="inlineStr">
        <is>
          <t>TEBS 4s/2m 
12м</t>
        </is>
      </c>
      <c r="E49" s="174" t="n">
        <v>1</v>
      </c>
      <c r="F49" s="174" t="n"/>
      <c r="G49" s="174" t="n"/>
      <c r="H49" s="175" t="n">
        <v>4801020640</v>
      </c>
      <c r="I49" s="176" t="inlineStr">
        <is>
          <t>Модулятор EBS, с PEM, без фит.</t>
        </is>
      </c>
      <c r="J49" s="911" t="n"/>
      <c r="K49" s="913" t="n"/>
      <c r="L49" s="178" t="n">
        <v>60</v>
      </c>
      <c r="M49" s="130">
        <f>$E49*60</f>
        <v/>
      </c>
      <c r="N49" s="179" t="n">
        <v>30</v>
      </c>
      <c r="O49" s="130" t="n"/>
      <c r="P49" s="178" t="n">
        <v>60</v>
      </c>
      <c r="Q49" s="130">
        <f>$E49*60</f>
        <v/>
      </c>
      <c r="R49" s="179" t="n">
        <v>50</v>
      </c>
      <c r="S49" s="130" t="n"/>
      <c r="T49" s="178" t="n">
        <v>60</v>
      </c>
      <c r="U49" s="130">
        <f>$E49*60</f>
        <v/>
      </c>
      <c r="V49" s="179" t="n">
        <v>0</v>
      </c>
      <c r="W49" s="130" t="n"/>
      <c r="X49" s="178" t="n">
        <v>60</v>
      </c>
      <c r="Y49" s="130">
        <f>$E49*60</f>
        <v/>
      </c>
      <c r="Z49" s="179" t="n">
        <v>50</v>
      </c>
      <c r="AA49" s="130" t="n"/>
      <c r="AB49" s="178" t="n">
        <v>60</v>
      </c>
      <c r="AC49" s="130">
        <f>$E49*60</f>
        <v/>
      </c>
      <c r="AD49" s="109" t="n"/>
      <c r="AE49" s="252" t="n"/>
      <c r="AF49" s="178" t="n">
        <v>60</v>
      </c>
      <c r="AG49" s="130">
        <f>$E49*60</f>
        <v/>
      </c>
      <c r="AH49" s="109" t="n"/>
      <c r="AI49" s="252" t="n"/>
      <c r="AJ49" s="178" t="n">
        <v>60</v>
      </c>
      <c r="AK49" s="130">
        <f>$E49*60</f>
        <v/>
      </c>
      <c r="AL49" s="109" t="n"/>
      <c r="AM49" s="252" t="n"/>
      <c r="AN49" s="178" t="n">
        <v>60</v>
      </c>
      <c r="AO49" s="130">
        <f>$E49*50</f>
        <v/>
      </c>
      <c r="AP49" s="109" t="n"/>
      <c r="AQ49" s="252" t="n"/>
      <c r="AR49" s="178" t="n">
        <v>60</v>
      </c>
      <c r="AS49" s="130">
        <f>$E49*50</f>
        <v/>
      </c>
      <c r="AT49" s="109" t="n"/>
      <c r="AU49" s="252" t="n"/>
      <c r="AV49" s="178" t="n">
        <v>60</v>
      </c>
      <c r="AW49" s="130">
        <f>$E49*50</f>
        <v/>
      </c>
      <c r="AX49" s="109" t="n"/>
      <c r="AY49" s="252" t="n"/>
      <c r="AZ49" s="178" t="n">
        <v>60</v>
      </c>
      <c r="BA49" s="130">
        <f>$E49*60</f>
        <v/>
      </c>
      <c r="BB49" s="193" t="n"/>
      <c r="BC49" s="252" t="n"/>
      <c r="BD49" s="178" t="n">
        <v>60</v>
      </c>
      <c r="BE49" s="130">
        <f>$E49*50</f>
        <v/>
      </c>
      <c r="BF49" s="109" t="n"/>
      <c r="BG49" s="252" t="n"/>
      <c r="BH49" s="180">
        <f>SUMPRODUCT(--(MOD(COLUMN($L49:$BG49),4)=MOD(COLUMN($L49),4)),$L49:$BG49)</f>
        <v/>
      </c>
      <c r="BI49" s="181">
        <f>Автовик_разбивка[[#This Row],[Цена, 
юань, без НДС 1]]*BH49</f>
        <v/>
      </c>
      <c r="BJ49" s="130">
        <f>SUMPRODUCT(--(MOD(COLUMN($L49:$BG49),4)=MOD(COLUMN($L49)+1,4)),$L49:$BG49)</f>
        <v/>
      </c>
      <c r="BK49" s="187">
        <f>Автовик_разбивка[[#This Row],[Цена, 
юань, без НДС 1]]*BJ49</f>
        <v/>
      </c>
      <c r="BL49" s="109">
        <f>SUMPRODUCT(--(MOD(COLUMN($L49:$BG49),4)=MOD(COLUMN($L49)+2,4)),$L49:$BG49)</f>
        <v/>
      </c>
      <c r="BM49" s="224">
        <f>Автовик_разбивка[[#This Row],[Цена, 
юань, без НДС 1]]*BL49</f>
        <v/>
      </c>
      <c r="BN49" s="178" t="n"/>
      <c r="BO49" s="184" t="n"/>
      <c r="BP49" s="130">
        <f>$E49*40</f>
        <v/>
      </c>
      <c r="BQ49" s="179" t="n"/>
      <c r="BR49" s="130" t="n"/>
      <c r="BS49" s="178" t="n"/>
      <c r="BT49" s="184" t="n"/>
      <c r="BU49" s="130">
        <f>$E49*40</f>
        <v/>
      </c>
      <c r="BV49" s="179" t="n"/>
      <c r="BW49" s="130" t="n"/>
      <c r="BX49" s="178" t="n"/>
      <c r="BY49" s="184" t="n"/>
      <c r="BZ49" s="130">
        <f>$E49*50</f>
        <v/>
      </c>
      <c r="CA49" s="179" t="n"/>
      <c r="CB49" s="130" t="n"/>
      <c r="CC49" s="178" t="n"/>
      <c r="CD49" s="184" t="n"/>
      <c r="CE49" s="130">
        <f>$E49*60</f>
        <v/>
      </c>
      <c r="CF49" s="179" t="n"/>
      <c r="CG49" s="130" t="n"/>
      <c r="CH49" s="178" t="n"/>
      <c r="CI49" s="184" t="n"/>
      <c r="CJ49" s="130">
        <f>$E49*60</f>
        <v/>
      </c>
      <c r="CK49" s="109" t="n"/>
      <c r="CL49" s="252" t="n"/>
      <c r="CM49" s="178" t="n"/>
      <c r="CN49" s="184" t="n"/>
      <c r="CO49" s="130">
        <f>$E49*60</f>
        <v/>
      </c>
      <c r="CP49" s="109" t="n"/>
      <c r="CQ49" s="252" t="n"/>
      <c r="CR49" s="178" t="n"/>
      <c r="CS49" s="184" t="n"/>
      <c r="CT49" s="130">
        <f>$E49*60</f>
        <v/>
      </c>
      <c r="CU49" s="109" t="n"/>
      <c r="CV49" s="252" t="n"/>
      <c r="CW49" s="178" t="n"/>
      <c r="CX49" s="184" t="n"/>
      <c r="CY49" s="130">
        <f>$E49*60</f>
        <v/>
      </c>
      <c r="CZ49" s="109" t="n"/>
      <c r="DA49" s="252" t="n"/>
      <c r="DB49" s="178" t="n"/>
      <c r="DC49" s="184" t="n"/>
      <c r="DD49" s="130">
        <f>$E49*60</f>
        <v/>
      </c>
      <c r="DE49" s="109" t="n"/>
      <c r="DF49" s="252" t="n"/>
      <c r="DG49" s="178" t="n"/>
      <c r="DH49" s="184" t="n"/>
      <c r="DI49" s="130">
        <f>$E49*60</f>
        <v/>
      </c>
      <c r="DJ49" s="109" t="n"/>
      <c r="DK49" s="252" t="n"/>
      <c r="DL49" s="178" t="n"/>
      <c r="DM49" s="184" t="n"/>
      <c r="DN49" s="130">
        <f>$E49*60</f>
        <v/>
      </c>
      <c r="DO49" s="193" t="n"/>
      <c r="DP49" s="252" t="n"/>
      <c r="DQ49" s="178" t="n"/>
      <c r="DR49" s="184" t="n"/>
      <c r="DS49" s="130">
        <f>$E49*60</f>
        <v/>
      </c>
      <c r="DT49" s="109" t="n"/>
      <c r="DU49" s="252" t="n"/>
      <c r="DV49" s="180">
        <f>SUMPRODUCT(--(MOD(COLUMN($BN49:$DU49),5)=MOD(COLUMN($BN49),5)),$BN49:$DU49)</f>
        <v/>
      </c>
      <c r="DW49" s="181">
        <f>Автовик_разбивка[[#This Row],[Цена, 
юань, без НДС 1]]*DV49</f>
        <v/>
      </c>
      <c r="DX49" s="186">
        <f>SUMPRODUCT(--(MOD(COLUMN($BN49:$DU49),5)=MOD(COLUMN($BN49)+1,5)),$BN49:$DU49)</f>
        <v/>
      </c>
      <c r="DY49" s="186">
        <f>Автовик_разбивка[[#This Row],[Цена, 
юань, без НДС 1]]*DX49</f>
        <v/>
      </c>
      <c r="DZ49" s="130">
        <f>SUMPRODUCT(--(MOD(COLUMN($BN49:$DU49),5)=MOD(COLUMN($BN49)+2,5)),$BN49:$DU49)</f>
        <v/>
      </c>
      <c r="EA49" s="187">
        <f>Автовик_разбивка[[#This Row],[Цена, 
юань, без НДС 1]]*DZ49</f>
        <v/>
      </c>
      <c r="EB49" s="109">
        <f>SUMPRODUCT(--(MOD(COLUMN($BN49:$DU49),5)=MOD(COLUMN($BN49)+3,5)),$BN49:$DU49)</f>
        <v/>
      </c>
      <c r="EC49" s="224">
        <f>Автовик_разбивка[[#This Row],[Цена, 
юань, без НДС 1]]*EB49</f>
        <v/>
      </c>
    </row>
    <row r="50">
      <c r="A50" s="221" t="n">
        <v>11</v>
      </c>
      <c r="B50" s="172" t="inlineStr">
        <is>
          <t>УСТ</t>
        </is>
      </c>
      <c r="C50" s="173" t="inlineStr">
        <is>
          <t>TEBS</t>
        </is>
      </c>
      <c r="D50" s="173" t="inlineStr">
        <is>
          <t>TEBS 4s/2m 
12м</t>
        </is>
      </c>
      <c r="E50" s="174" t="n"/>
      <c r="F50" s="174" t="n"/>
      <c r="G50" s="174" t="n"/>
      <c r="H50" s="225" t="n">
        <v>4801020640</v>
      </c>
      <c r="I50" s="226" t="inlineStr">
        <is>
          <t>Модулятор EBS, с PEM, без фит. без CAN</t>
        </is>
      </c>
      <c r="J50" s="911" t="n"/>
      <c r="K50" s="912" t="n"/>
      <c r="L50" s="178" t="n"/>
      <c r="M50" s="130" t="n">
        <v>0</v>
      </c>
      <c r="N50" s="179" t="n">
        <v>30</v>
      </c>
      <c r="O50" s="130" t="n"/>
      <c r="P50" s="178" t="n"/>
      <c r="Q50" s="130" t="n">
        <v>0</v>
      </c>
      <c r="R50" s="179" t="n">
        <v>0</v>
      </c>
      <c r="S50" s="130" t="n"/>
      <c r="T50" s="178" t="n"/>
      <c r="U50" s="130" t="n">
        <v>0</v>
      </c>
      <c r="V50" s="179" t="n">
        <v>60</v>
      </c>
      <c r="W50" s="130" t="n"/>
      <c r="X50" s="178" t="n"/>
      <c r="Y50" s="130" t="n">
        <v>0</v>
      </c>
      <c r="Z50" s="179" t="n">
        <v>0</v>
      </c>
      <c r="AA50" s="130" t="n"/>
      <c r="AB50" s="178" t="n"/>
      <c r="AC50" s="130" t="n"/>
      <c r="AD50" s="109" t="n"/>
      <c r="AE50" s="252" t="n"/>
      <c r="AF50" s="178" t="n"/>
      <c r="AG50" s="130" t="n"/>
      <c r="AH50" s="109" t="n"/>
      <c r="AI50" s="252" t="n"/>
      <c r="AJ50" s="178" t="n"/>
      <c r="AK50" s="130" t="n"/>
      <c r="AL50" s="109" t="n"/>
      <c r="AM50" s="252" t="n"/>
      <c r="AN50" s="178" t="n"/>
      <c r="AO50" s="130" t="n"/>
      <c r="AP50" s="109" t="n"/>
      <c r="AQ50" s="252" t="n"/>
      <c r="AR50" s="178" t="n"/>
      <c r="AS50" s="130" t="n"/>
      <c r="AT50" s="109" t="n"/>
      <c r="AU50" s="252" t="n"/>
      <c r="AV50" s="178" t="n"/>
      <c r="AW50" s="130" t="n"/>
      <c r="AX50" s="109" t="n"/>
      <c r="AY50" s="252" t="n"/>
      <c r="AZ50" s="178" t="n"/>
      <c r="BA50" s="130" t="n"/>
      <c r="BB50" s="179" t="n"/>
      <c r="BC50" s="252" t="n"/>
      <c r="BD50" s="178" t="n"/>
      <c r="BE50" s="130">
        <f>$E50*50</f>
        <v/>
      </c>
      <c r="BF50" s="109" t="n"/>
      <c r="BG50" s="252" t="n"/>
      <c r="BH50" s="180">
        <f>SUMPRODUCT(--(MOD(COLUMN($L50:$BG50),4)=MOD(COLUMN($L50),4)),$L50:$BG50)</f>
        <v/>
      </c>
      <c r="BI50" s="181">
        <f>Автовик_разбивка[[#This Row],[Цена, 
юань, без НДС 1]]*BH50</f>
        <v/>
      </c>
      <c r="BJ50" s="130">
        <f>SUMPRODUCT(--(MOD(COLUMN($L50:$BG50),4)=MOD(COLUMN($L50)+1,4)),$L50:$BG50)</f>
        <v/>
      </c>
      <c r="BK50" s="187">
        <f>Автовик_разбивка[[#This Row],[Цена, 
юань, без НДС 1]]*BJ50</f>
        <v/>
      </c>
      <c r="BL50" s="109">
        <f>SUMPRODUCT(--(MOD(COLUMN($L50:$BG50),4)=MOD(COLUMN($L50)+2,4)),$L50:$BG50)</f>
        <v/>
      </c>
      <c r="BM50" s="224">
        <f>Автовик_разбивка[[#This Row],[Цена, 
юань, без НДС 1]]*BL50</f>
        <v/>
      </c>
      <c r="BN50" s="178" t="n"/>
      <c r="BO50" s="184" t="n"/>
      <c r="BP50" s="130">
        <f>$E50*40</f>
        <v/>
      </c>
      <c r="BQ50" s="179" t="n"/>
      <c r="BR50" s="130" t="n"/>
      <c r="BS50" s="178" t="n"/>
      <c r="BT50" s="184" t="n"/>
      <c r="BU50" s="130">
        <f>$E50*40</f>
        <v/>
      </c>
      <c r="BV50" s="179" t="n"/>
      <c r="BW50" s="130" t="n"/>
      <c r="BX50" s="178" t="n"/>
      <c r="BY50" s="184" t="n"/>
      <c r="BZ50" s="130">
        <f>$E50*50</f>
        <v/>
      </c>
      <c r="CA50" s="179" t="n"/>
      <c r="CB50" s="130" t="n"/>
      <c r="CC50" s="178" t="n"/>
      <c r="CD50" s="184" t="n"/>
      <c r="CE50" s="130" t="n">
        <v>0</v>
      </c>
      <c r="CF50" s="179" t="n"/>
      <c r="CG50" s="130" t="n"/>
      <c r="CH50" s="178" t="n"/>
      <c r="CI50" s="184" t="n"/>
      <c r="CJ50" s="130" t="n">
        <v>0</v>
      </c>
      <c r="CK50" s="109" t="n"/>
      <c r="CL50" s="252" t="n"/>
      <c r="CM50" s="178" t="n"/>
      <c r="CN50" s="184" t="n"/>
      <c r="CO50" s="130" t="n">
        <v>0</v>
      </c>
      <c r="CP50" s="109" t="n"/>
      <c r="CQ50" s="252" t="n"/>
      <c r="CR50" s="178" t="n"/>
      <c r="CS50" s="184" t="n"/>
      <c r="CT50" s="130" t="n">
        <v>0</v>
      </c>
      <c r="CU50" s="109" t="n"/>
      <c r="CV50" s="252" t="n"/>
      <c r="CW50" s="178" t="n"/>
      <c r="CX50" s="184" t="n"/>
      <c r="CY50" s="130" t="n">
        <v>0</v>
      </c>
      <c r="CZ50" s="109" t="n"/>
      <c r="DA50" s="252" t="n"/>
      <c r="DB50" s="178" t="n"/>
      <c r="DC50" s="184" t="n"/>
      <c r="DD50" s="130" t="n">
        <v>0</v>
      </c>
      <c r="DE50" s="109" t="n"/>
      <c r="DF50" s="252" t="n"/>
      <c r="DG50" s="178" t="n"/>
      <c r="DH50" s="184" t="n"/>
      <c r="DI50" s="130" t="n">
        <v>0</v>
      </c>
      <c r="DJ50" s="109" t="n"/>
      <c r="DK50" s="252" t="n"/>
      <c r="DL50" s="178" t="n"/>
      <c r="DM50" s="184" t="n"/>
      <c r="DN50" s="130" t="n">
        <v>0</v>
      </c>
      <c r="DO50" s="179" t="n"/>
      <c r="DP50" s="252" t="n"/>
      <c r="DQ50" s="178" t="n"/>
      <c r="DR50" s="184" t="n"/>
      <c r="DS50" s="130" t="n">
        <v>0</v>
      </c>
      <c r="DT50" s="109" t="n"/>
      <c r="DU50" s="252" t="n"/>
      <c r="DV50" s="180">
        <f>SUMPRODUCT(--(MOD(COLUMN($BN50:$DU50),5)=MOD(COLUMN($BN50),5)),$BN50:$DU50)</f>
        <v/>
      </c>
      <c r="DW50" s="181">
        <f>Автовик_разбивка[[#This Row],[Цена, 
юань, без НДС 1]]*DV50</f>
        <v/>
      </c>
      <c r="DX50" s="186">
        <f>SUMPRODUCT(--(MOD(COLUMN($BN50:$DU50),5)=MOD(COLUMN($BN50)+1,5)),$BN50:$DU50)</f>
        <v/>
      </c>
      <c r="DY50" s="186">
        <f>Автовик_разбивка[[#This Row],[Цена, 
юань, без НДС 1]]*DX50</f>
        <v/>
      </c>
      <c r="DZ50" s="130">
        <f>SUMPRODUCT(--(MOD(COLUMN($BN50:$DU50),5)=MOD(COLUMN($BN50)+2,5)),$BN50:$DU50)</f>
        <v/>
      </c>
      <c r="EA50" s="187">
        <f>Автовик_разбивка[[#This Row],[Цена, 
юань, без НДС 1]]*DZ50</f>
        <v/>
      </c>
      <c r="EB50" s="109">
        <f>SUMPRODUCT(--(MOD(COLUMN($BN50:$DU50),5)=MOD(COLUMN($BN50)+3,5)),$BN50:$DU50)</f>
        <v/>
      </c>
      <c r="EC50" s="224">
        <f>Автовик_разбивка[[#This Row],[Цена, 
юань, без НДС 1]]*EB50</f>
        <v/>
      </c>
    </row>
    <row r="51">
      <c r="A51" s="221" t="n">
        <v>11</v>
      </c>
      <c r="B51" s="172" t="inlineStr">
        <is>
          <t>УСТ</t>
        </is>
      </c>
      <c r="C51" s="173" t="inlineStr">
        <is>
          <t>TEBS</t>
        </is>
      </c>
      <c r="D51" s="173" t="inlineStr">
        <is>
          <t>TEBS 4s/2m 
12м</t>
        </is>
      </c>
      <c r="E51" s="174" t="n">
        <v>1</v>
      </c>
      <c r="F51" s="174" t="n"/>
      <c r="G51" s="174" t="n"/>
      <c r="H51" s="175" t="n">
        <v>9522010010</v>
      </c>
      <c r="I51" s="176" t="inlineStr">
        <is>
          <t>Головка соединительная (управляющая)</t>
        </is>
      </c>
      <c r="J51" s="911" t="n"/>
      <c r="K51" s="913" t="n"/>
      <c r="L51" s="178" t="n">
        <v>60</v>
      </c>
      <c r="M51" s="130">
        <f>$E51*60</f>
        <v/>
      </c>
      <c r="N51" s="179" t="n">
        <v>60</v>
      </c>
      <c r="O51" s="130" t="n"/>
      <c r="P51" s="178" t="n">
        <v>60</v>
      </c>
      <c r="Q51" s="130">
        <f>$E51*60</f>
        <v/>
      </c>
      <c r="R51" s="179" t="n">
        <v>50</v>
      </c>
      <c r="S51" s="130" t="n"/>
      <c r="T51" s="178" t="n">
        <v>60</v>
      </c>
      <c r="U51" s="130">
        <f>$E51*60</f>
        <v/>
      </c>
      <c r="V51" s="179" t="n">
        <v>60</v>
      </c>
      <c r="W51" s="130" t="n"/>
      <c r="X51" s="178" t="n">
        <v>60</v>
      </c>
      <c r="Y51" s="130">
        <f>$E51*60</f>
        <v/>
      </c>
      <c r="Z51" s="179" t="n">
        <v>50</v>
      </c>
      <c r="AA51" s="130" t="n"/>
      <c r="AB51" s="178" t="n">
        <v>60</v>
      </c>
      <c r="AC51" s="130">
        <f>$E51*60</f>
        <v/>
      </c>
      <c r="AD51" s="179" t="n"/>
      <c r="AE51" s="130" t="n"/>
      <c r="AF51" s="178" t="n">
        <v>60</v>
      </c>
      <c r="AG51" s="130">
        <f>$E51*60</f>
        <v/>
      </c>
      <c r="AH51" s="179" t="n"/>
      <c r="AI51" s="130" t="n"/>
      <c r="AJ51" s="178" t="n">
        <v>60</v>
      </c>
      <c r="AK51" s="130">
        <f>$E51*60</f>
        <v/>
      </c>
      <c r="AL51" s="179" t="n"/>
      <c r="AM51" s="130" t="n"/>
      <c r="AN51" s="178" t="n">
        <v>60</v>
      </c>
      <c r="AO51" s="130">
        <f>$E51*50</f>
        <v/>
      </c>
      <c r="AP51" s="179" t="n"/>
      <c r="AQ51" s="130" t="n"/>
      <c r="AR51" s="178" t="n">
        <v>60</v>
      </c>
      <c r="AS51" s="130">
        <f>$E51*50</f>
        <v/>
      </c>
      <c r="AT51" s="179" t="n"/>
      <c r="AU51" s="130" t="n"/>
      <c r="AV51" s="178" t="n">
        <v>60</v>
      </c>
      <c r="AW51" s="130">
        <f>$E51*50</f>
        <v/>
      </c>
      <c r="AX51" s="179" t="n"/>
      <c r="AY51" s="130" t="n"/>
      <c r="AZ51" s="178" t="n">
        <v>60</v>
      </c>
      <c r="BA51" s="130">
        <f>$E51*60</f>
        <v/>
      </c>
      <c r="BB51" s="228" t="n"/>
      <c r="BC51" s="130" t="n"/>
      <c r="BD51" s="178" t="n">
        <v>60</v>
      </c>
      <c r="BE51" s="130">
        <f>$E51*50</f>
        <v/>
      </c>
      <c r="BF51" s="109" t="n"/>
      <c r="BG51" s="130" t="n"/>
      <c r="BH51" s="180">
        <f>SUMPRODUCT(--(MOD(COLUMN($L51:$BG51),4)=MOD(COLUMN($L51),4)),$L51:$BG51)</f>
        <v/>
      </c>
      <c r="BI51" s="181">
        <f>Автовик_разбивка[[#This Row],[Цена, 
юань, без НДС 1]]*BH51</f>
        <v/>
      </c>
      <c r="BJ51" s="130">
        <f>SUMPRODUCT(--(MOD(COLUMN($L51:$BG51),4)=MOD(COLUMN($L51)+1,4)),$L51:$BG51)</f>
        <v/>
      </c>
      <c r="BK51" s="187">
        <f>Автовик_разбивка[[#This Row],[Цена, 
юань, без НДС 1]]*BJ51</f>
        <v/>
      </c>
      <c r="BL51" s="109">
        <f>SUMPRODUCT(--(MOD(COLUMN($L51:$BG51),4)=MOD(COLUMN($L51)+2,4)),$L51:$BG51)</f>
        <v/>
      </c>
      <c r="BM51" s="224">
        <f>Автовик_разбивка[[#This Row],[Цена, 
юань, без НДС 1]]*BL51</f>
        <v/>
      </c>
      <c r="BN51" s="178" t="n"/>
      <c r="BO51" s="184" t="n"/>
      <c r="BP51" s="130">
        <f>$E51*40</f>
        <v/>
      </c>
      <c r="BQ51" s="179" t="n"/>
      <c r="BR51" s="130" t="n"/>
      <c r="BS51" s="178" t="n"/>
      <c r="BT51" s="184" t="n"/>
      <c r="BU51" s="130">
        <f>$E51*40</f>
        <v/>
      </c>
      <c r="BV51" s="179" t="n"/>
      <c r="BW51" s="130" t="n"/>
      <c r="BX51" s="178" t="n"/>
      <c r="BY51" s="184" t="n"/>
      <c r="BZ51" s="130">
        <f>$E51*50</f>
        <v/>
      </c>
      <c r="CA51" s="179" t="n"/>
      <c r="CB51" s="130" t="n"/>
      <c r="CC51" s="178" t="n"/>
      <c r="CD51" s="184" t="n"/>
      <c r="CE51" s="130">
        <f>$E51*60</f>
        <v/>
      </c>
      <c r="CF51" s="179" t="n"/>
      <c r="CG51" s="130" t="n"/>
      <c r="CH51" s="178" t="n"/>
      <c r="CI51" s="184" t="n"/>
      <c r="CJ51" s="130">
        <f>$E51*60</f>
        <v/>
      </c>
      <c r="CK51" s="179" t="n"/>
      <c r="CL51" s="130" t="n"/>
      <c r="CM51" s="178" t="n"/>
      <c r="CN51" s="184" t="n"/>
      <c r="CO51" s="130">
        <f>$E51*60</f>
        <v/>
      </c>
      <c r="CP51" s="179" t="n"/>
      <c r="CQ51" s="130" t="n"/>
      <c r="CR51" s="178" t="n"/>
      <c r="CS51" s="184" t="n"/>
      <c r="CT51" s="130">
        <f>$E51*60</f>
        <v/>
      </c>
      <c r="CU51" s="179" t="n"/>
      <c r="CV51" s="130" t="n"/>
      <c r="CW51" s="178" t="n"/>
      <c r="CX51" s="184" t="n"/>
      <c r="CY51" s="130">
        <f>$E51*60</f>
        <v/>
      </c>
      <c r="CZ51" s="179" t="n"/>
      <c r="DA51" s="130" t="n"/>
      <c r="DB51" s="178" t="n"/>
      <c r="DC51" s="184" t="n"/>
      <c r="DD51" s="130">
        <f>$E51*60</f>
        <v/>
      </c>
      <c r="DE51" s="179" t="n"/>
      <c r="DF51" s="130" t="n"/>
      <c r="DG51" s="178" t="n"/>
      <c r="DH51" s="184" t="n"/>
      <c r="DI51" s="130">
        <f>$E51*60</f>
        <v/>
      </c>
      <c r="DJ51" s="179" t="n"/>
      <c r="DK51" s="130" t="n"/>
      <c r="DL51" s="178" t="n"/>
      <c r="DM51" s="184" t="n"/>
      <c r="DN51" s="130">
        <f>$E51*60</f>
        <v/>
      </c>
      <c r="DO51" s="228" t="n"/>
      <c r="DP51" s="130" t="n"/>
      <c r="DQ51" s="178" t="n"/>
      <c r="DR51" s="184" t="n"/>
      <c r="DS51" s="130">
        <f>$E51*60</f>
        <v/>
      </c>
      <c r="DT51" s="109" t="n"/>
      <c r="DU51" s="130" t="n"/>
      <c r="DV51" s="180">
        <f>SUMPRODUCT(--(MOD(COLUMN($BN51:$DU51),5)=MOD(COLUMN($BN51),5)),$BN51:$DU51)</f>
        <v/>
      </c>
      <c r="DW51" s="181">
        <f>Автовик_разбивка[[#This Row],[Цена, 
юань, без НДС 1]]*DV51</f>
        <v/>
      </c>
      <c r="DX51" s="186">
        <f>SUMPRODUCT(--(MOD(COLUMN($BN51:$DU51),5)=MOD(COLUMN($BN51)+1,5)),$BN51:$DU51)</f>
        <v/>
      </c>
      <c r="DY51" s="186">
        <f>Автовик_разбивка[[#This Row],[Цена, 
юань, без НДС 1]]*DX51</f>
        <v/>
      </c>
      <c r="DZ51" s="130">
        <f>SUMPRODUCT(--(MOD(COLUMN($BN51:$DU51),5)=MOD(COLUMN($BN51)+2,5)),$BN51:$DU51)</f>
        <v/>
      </c>
      <c r="EA51" s="187">
        <f>Автовик_разбивка[[#This Row],[Цена, 
юань, без НДС 1]]*DZ51</f>
        <v/>
      </c>
      <c r="EB51" s="109">
        <f>SUMPRODUCT(--(MOD(COLUMN($BN51:$DU51),5)=MOD(COLUMN($BN51)+3,5)),$BN51:$DU51)</f>
        <v/>
      </c>
      <c r="EC51" s="224">
        <f>Автовик_разбивка[[#This Row],[Цена, 
юань, без НДС 1]]*EB51</f>
        <v/>
      </c>
    </row>
    <row r="52">
      <c r="A52" s="221" t="n">
        <v>11</v>
      </c>
      <c r="B52" s="172" t="inlineStr">
        <is>
          <t>УСТ</t>
        </is>
      </c>
      <c r="C52" s="173" t="inlineStr">
        <is>
          <t>TEBS</t>
        </is>
      </c>
      <c r="D52" s="173" t="inlineStr">
        <is>
          <t>TEBS 4s/2m 
12м</t>
        </is>
      </c>
      <c r="E52" s="174" t="n">
        <v>1</v>
      </c>
      <c r="F52" s="174" t="n"/>
      <c r="G52" s="174" t="n"/>
      <c r="H52" s="175" t="n">
        <v>9522010020</v>
      </c>
      <c r="I52" s="176" t="inlineStr">
        <is>
          <t>Головка соединительная (питающая)</t>
        </is>
      </c>
      <c r="J52" s="911" t="n"/>
      <c r="K52" s="913" t="n"/>
      <c r="L52" s="178" t="n">
        <v>60</v>
      </c>
      <c r="M52" s="130">
        <f>$E52*60</f>
        <v/>
      </c>
      <c r="N52" s="179" t="n">
        <v>60</v>
      </c>
      <c r="O52" s="130" t="n"/>
      <c r="P52" s="178" t="n">
        <v>60</v>
      </c>
      <c r="Q52" s="130">
        <f>$E52*60</f>
        <v/>
      </c>
      <c r="R52" s="179" t="n">
        <v>50</v>
      </c>
      <c r="S52" s="130" t="n"/>
      <c r="T52" s="178" t="n">
        <v>60</v>
      </c>
      <c r="U52" s="130">
        <f>$E52*60</f>
        <v/>
      </c>
      <c r="V52" s="179" t="n">
        <v>60</v>
      </c>
      <c r="W52" s="130" t="n"/>
      <c r="X52" s="178" t="n">
        <v>60</v>
      </c>
      <c r="Y52" s="130">
        <f>$E52*60</f>
        <v/>
      </c>
      <c r="Z52" s="179" t="n">
        <v>50</v>
      </c>
      <c r="AA52" s="130" t="n"/>
      <c r="AB52" s="178" t="n">
        <v>60</v>
      </c>
      <c r="AC52" s="130">
        <f>$E52*60</f>
        <v/>
      </c>
      <c r="AD52" s="179" t="n"/>
      <c r="AE52" s="130" t="n"/>
      <c r="AF52" s="178" t="n">
        <v>60</v>
      </c>
      <c r="AG52" s="130">
        <f>$E52*60</f>
        <v/>
      </c>
      <c r="AH52" s="179" t="n"/>
      <c r="AI52" s="130" t="n"/>
      <c r="AJ52" s="178" t="n">
        <v>60</v>
      </c>
      <c r="AK52" s="130">
        <f>$E52*60</f>
        <v/>
      </c>
      <c r="AL52" s="179" t="n"/>
      <c r="AM52" s="130" t="n"/>
      <c r="AN52" s="178" t="n">
        <v>60</v>
      </c>
      <c r="AO52" s="130">
        <f>$E52*50</f>
        <v/>
      </c>
      <c r="AP52" s="179" t="n"/>
      <c r="AQ52" s="130" t="n"/>
      <c r="AR52" s="178" t="n">
        <v>60</v>
      </c>
      <c r="AS52" s="130">
        <f>$E52*50</f>
        <v/>
      </c>
      <c r="AT52" s="179" t="n"/>
      <c r="AU52" s="130" t="n"/>
      <c r="AV52" s="178" t="n">
        <v>60</v>
      </c>
      <c r="AW52" s="130">
        <f>$E52*50</f>
        <v/>
      </c>
      <c r="AX52" s="179" t="n"/>
      <c r="AY52" s="130" t="n"/>
      <c r="AZ52" s="178" t="n">
        <v>60</v>
      </c>
      <c r="BA52" s="130">
        <f>$E52*60</f>
        <v/>
      </c>
      <c r="BB52" s="228" t="n"/>
      <c r="BC52" s="130" t="n"/>
      <c r="BD52" s="178" t="n">
        <v>60</v>
      </c>
      <c r="BE52" s="130">
        <f>$E52*50</f>
        <v/>
      </c>
      <c r="BF52" s="109" t="n"/>
      <c r="BG52" s="130" t="n"/>
      <c r="BH52" s="180">
        <f>SUMPRODUCT(--(MOD(COLUMN($L52:$BG52),4)=MOD(COLUMN($L52),4)),$L52:$BG52)</f>
        <v/>
      </c>
      <c r="BI52" s="181">
        <f>Автовик_разбивка[[#This Row],[Цена, 
юань, без НДС 1]]*BH52</f>
        <v/>
      </c>
      <c r="BJ52" s="130">
        <f>SUMPRODUCT(--(MOD(COLUMN($L52:$BG52),4)=MOD(COLUMN($L52)+1,4)),$L52:$BG52)</f>
        <v/>
      </c>
      <c r="BK52" s="187">
        <f>Автовик_разбивка[[#This Row],[Цена, 
юань, без НДС 1]]*BJ52</f>
        <v/>
      </c>
      <c r="BL52" s="109">
        <f>SUMPRODUCT(--(MOD(COLUMN($L52:$BG52),4)=MOD(COLUMN($L52)+2,4)),$L52:$BG52)</f>
        <v/>
      </c>
      <c r="BM52" s="224">
        <f>Автовик_разбивка[[#This Row],[Цена, 
юань, без НДС 1]]*BL52</f>
        <v/>
      </c>
      <c r="BN52" s="178" t="n"/>
      <c r="BO52" s="184" t="n"/>
      <c r="BP52" s="130">
        <f>$E52*40</f>
        <v/>
      </c>
      <c r="BQ52" s="179" t="n"/>
      <c r="BR52" s="130" t="n"/>
      <c r="BS52" s="178" t="n"/>
      <c r="BT52" s="184" t="n"/>
      <c r="BU52" s="130">
        <f>$E52*40</f>
        <v/>
      </c>
      <c r="BV52" s="179" t="n"/>
      <c r="BW52" s="130" t="n"/>
      <c r="BX52" s="178" t="n"/>
      <c r="BY52" s="184" t="n"/>
      <c r="BZ52" s="130">
        <f>$E52*50</f>
        <v/>
      </c>
      <c r="CA52" s="179" t="n"/>
      <c r="CB52" s="130" t="n"/>
      <c r="CC52" s="178" t="n"/>
      <c r="CD52" s="184" t="n"/>
      <c r="CE52" s="130">
        <f>$E52*60</f>
        <v/>
      </c>
      <c r="CF52" s="179" t="n"/>
      <c r="CG52" s="130" t="n"/>
      <c r="CH52" s="178" t="n"/>
      <c r="CI52" s="184" t="n"/>
      <c r="CJ52" s="130">
        <f>$E52*60</f>
        <v/>
      </c>
      <c r="CK52" s="179" t="n"/>
      <c r="CL52" s="130" t="n"/>
      <c r="CM52" s="178" t="n"/>
      <c r="CN52" s="184" t="n"/>
      <c r="CO52" s="130">
        <f>$E52*60</f>
        <v/>
      </c>
      <c r="CP52" s="179" t="n"/>
      <c r="CQ52" s="130" t="n"/>
      <c r="CR52" s="178" t="n"/>
      <c r="CS52" s="184" t="n"/>
      <c r="CT52" s="130">
        <f>$E52*60</f>
        <v/>
      </c>
      <c r="CU52" s="179" t="n"/>
      <c r="CV52" s="130" t="n"/>
      <c r="CW52" s="178" t="n"/>
      <c r="CX52" s="184" t="n"/>
      <c r="CY52" s="130">
        <f>$E52*60</f>
        <v/>
      </c>
      <c r="CZ52" s="179" t="n"/>
      <c r="DA52" s="130" t="n"/>
      <c r="DB52" s="178" t="n"/>
      <c r="DC52" s="184" t="n"/>
      <c r="DD52" s="130">
        <f>$E52*60</f>
        <v/>
      </c>
      <c r="DE52" s="179" t="n"/>
      <c r="DF52" s="130" t="n"/>
      <c r="DG52" s="178" t="n"/>
      <c r="DH52" s="184" t="n"/>
      <c r="DI52" s="130">
        <f>$E52*60</f>
        <v/>
      </c>
      <c r="DJ52" s="179" t="n"/>
      <c r="DK52" s="130" t="n"/>
      <c r="DL52" s="178" t="n"/>
      <c r="DM52" s="184" t="n"/>
      <c r="DN52" s="130">
        <f>$E52*60</f>
        <v/>
      </c>
      <c r="DO52" s="228" t="n"/>
      <c r="DP52" s="130" t="n"/>
      <c r="DQ52" s="178" t="n"/>
      <c r="DR52" s="184" t="n"/>
      <c r="DS52" s="130">
        <f>$E52*60</f>
        <v/>
      </c>
      <c r="DT52" s="109" t="n"/>
      <c r="DU52" s="130" t="n"/>
      <c r="DV52" s="180">
        <f>SUMPRODUCT(--(MOD(COLUMN($BN52:$DU52),5)=MOD(COLUMN($BN52),5)),$BN52:$DU52)</f>
        <v/>
      </c>
      <c r="DW52" s="181">
        <f>Автовик_разбивка[[#This Row],[Цена, 
юань, без НДС 1]]*DV52</f>
        <v/>
      </c>
      <c r="DX52" s="186">
        <f>SUMPRODUCT(--(MOD(COLUMN($BN52:$DU52),5)=MOD(COLUMN($BN52)+1,5)),$BN52:$DU52)</f>
        <v/>
      </c>
      <c r="DY52" s="186">
        <f>Автовик_разбивка[[#This Row],[Цена, 
юань, без НДС 1]]*DX52</f>
        <v/>
      </c>
      <c r="DZ52" s="130">
        <f>SUMPRODUCT(--(MOD(COLUMN($BN52:$DU52),5)=MOD(COLUMN($BN52)+2,5)),$BN52:$DU52)</f>
        <v/>
      </c>
      <c r="EA52" s="187">
        <f>Автовик_разбивка[[#This Row],[Цена, 
юань, без НДС 1]]*DZ52</f>
        <v/>
      </c>
      <c r="EB52" s="109">
        <f>SUMPRODUCT(--(MOD(COLUMN($BN52:$DU52),5)=MOD(COLUMN($BN52)+3,5)),$BN52:$DU52)</f>
        <v/>
      </c>
      <c r="EC52" s="224">
        <f>Автовик_разбивка[[#This Row],[Цена, 
юань, без НДС 1]]*EB52</f>
        <v/>
      </c>
    </row>
    <row r="53">
      <c r="A53" s="221" t="n">
        <v>11</v>
      </c>
      <c r="B53" s="172" t="inlineStr">
        <is>
          <t>УСТ</t>
        </is>
      </c>
      <c r="C53" s="173" t="inlineStr">
        <is>
          <t>TEBS</t>
        </is>
      </c>
      <c r="D53" s="173" t="inlineStr">
        <is>
          <t>TEBS 4s/2m 
12м</t>
        </is>
      </c>
      <c r="E53" s="174" t="n">
        <v>1</v>
      </c>
      <c r="F53" s="174" t="n"/>
      <c r="G53" s="174" t="n"/>
      <c r="H53" s="175" t="n">
        <v>9710029000</v>
      </c>
      <c r="I53" s="176" t="inlineStr">
        <is>
          <t>Воздухораспределитель с клапаном растормаживания</t>
        </is>
      </c>
      <c r="J53" s="911" t="n"/>
      <c r="K53" s="913" t="n"/>
      <c r="L53" s="178" t="n">
        <v>60</v>
      </c>
      <c r="M53" s="130">
        <f>$E53*60</f>
        <v/>
      </c>
      <c r="N53" s="179" t="n">
        <v>60</v>
      </c>
      <c r="O53" s="130" t="n"/>
      <c r="P53" s="178" t="n">
        <v>60</v>
      </c>
      <c r="Q53" s="130">
        <f>$E53*60</f>
        <v/>
      </c>
      <c r="R53" s="179" t="n">
        <v>50</v>
      </c>
      <c r="S53" s="130" t="n"/>
      <c r="T53" s="178" t="n">
        <v>60</v>
      </c>
      <c r="U53" s="130">
        <f>$E53*60</f>
        <v/>
      </c>
      <c r="V53" s="179" t="n">
        <v>60</v>
      </c>
      <c r="W53" s="130" t="n"/>
      <c r="X53" s="178" t="n">
        <v>60</v>
      </c>
      <c r="Y53" s="130">
        <f>$E53*60</f>
        <v/>
      </c>
      <c r="Z53" s="179" t="n">
        <v>50</v>
      </c>
      <c r="AA53" s="130" t="n"/>
      <c r="AB53" s="178" t="n">
        <v>60</v>
      </c>
      <c r="AC53" s="130">
        <f>$E53*60</f>
        <v/>
      </c>
      <c r="AD53" s="109" t="n"/>
      <c r="AE53" s="252" t="n"/>
      <c r="AF53" s="178" t="n">
        <v>60</v>
      </c>
      <c r="AG53" s="130">
        <f>$E53*60</f>
        <v/>
      </c>
      <c r="AH53" s="109" t="n"/>
      <c r="AI53" s="252" t="n"/>
      <c r="AJ53" s="178" t="n">
        <v>60</v>
      </c>
      <c r="AK53" s="130">
        <f>$E53*60</f>
        <v/>
      </c>
      <c r="AL53" s="109" t="n"/>
      <c r="AM53" s="252" t="n"/>
      <c r="AN53" s="178" t="n">
        <v>60</v>
      </c>
      <c r="AO53" s="130">
        <f>$E53*50</f>
        <v/>
      </c>
      <c r="AP53" s="109" t="n"/>
      <c r="AQ53" s="252" t="n"/>
      <c r="AR53" s="178" t="n">
        <v>60</v>
      </c>
      <c r="AS53" s="130">
        <f>$E53*50</f>
        <v/>
      </c>
      <c r="AT53" s="109" t="n"/>
      <c r="AU53" s="252" t="n"/>
      <c r="AV53" s="178" t="n">
        <v>60</v>
      </c>
      <c r="AW53" s="130">
        <f>$E53*50</f>
        <v/>
      </c>
      <c r="AX53" s="109" t="n"/>
      <c r="AY53" s="252" t="n"/>
      <c r="AZ53" s="178" t="n">
        <v>60</v>
      </c>
      <c r="BA53" s="130">
        <f>$E53*60</f>
        <v/>
      </c>
      <c r="BB53" s="194" t="n"/>
      <c r="BC53" s="252" t="n"/>
      <c r="BD53" s="178" t="n">
        <v>60</v>
      </c>
      <c r="BE53" s="130">
        <f>$E53*50</f>
        <v/>
      </c>
      <c r="BF53" s="109" t="n"/>
      <c r="BG53" s="252" t="n"/>
      <c r="BH53" s="180">
        <f>SUMPRODUCT(--(MOD(COLUMN($L53:$BG53),4)=MOD(COLUMN($L53),4)),$L53:$BG53)</f>
        <v/>
      </c>
      <c r="BI53" s="181">
        <f>Автовик_разбивка[[#This Row],[Цена, 
юань, без НДС 1]]*BH53</f>
        <v/>
      </c>
      <c r="BJ53" s="130">
        <f>SUMPRODUCT(--(MOD(COLUMN($L53:$BG53),4)=MOD(COLUMN($L53)+1,4)),$L53:$BG53)</f>
        <v/>
      </c>
      <c r="BK53" s="187">
        <f>Автовик_разбивка[[#This Row],[Цена, 
юань, без НДС 1]]*BJ53</f>
        <v/>
      </c>
      <c r="BL53" s="109">
        <f>SUMPRODUCT(--(MOD(COLUMN($L53:$BG53),4)=MOD(COLUMN($L53)+2,4)),$L53:$BG53)</f>
        <v/>
      </c>
      <c r="BM53" s="224">
        <f>Автовик_разбивка[[#This Row],[Цена, 
юань, без НДС 1]]*BL53</f>
        <v/>
      </c>
      <c r="BN53" s="178" t="n"/>
      <c r="BO53" s="184" t="n"/>
      <c r="BP53" s="130">
        <f>$E53*40</f>
        <v/>
      </c>
      <c r="BQ53" s="179" t="n"/>
      <c r="BR53" s="130" t="n"/>
      <c r="BS53" s="178" t="n"/>
      <c r="BT53" s="184" t="n"/>
      <c r="BU53" s="130">
        <f>$E53*40</f>
        <v/>
      </c>
      <c r="BV53" s="179" t="n"/>
      <c r="BW53" s="130" t="n"/>
      <c r="BX53" s="178" t="n"/>
      <c r="BY53" s="184" t="n"/>
      <c r="BZ53" s="130">
        <f>$E53*50</f>
        <v/>
      </c>
      <c r="CA53" s="179" t="n"/>
      <c r="CB53" s="130" t="n"/>
      <c r="CC53" s="178" t="n"/>
      <c r="CD53" s="184" t="n"/>
      <c r="CE53" s="130">
        <f>$E53*60</f>
        <v/>
      </c>
      <c r="CF53" s="179" t="n"/>
      <c r="CG53" s="130" t="n"/>
      <c r="CH53" s="178" t="n"/>
      <c r="CI53" s="184" t="n"/>
      <c r="CJ53" s="130">
        <f>$E53*60</f>
        <v/>
      </c>
      <c r="CK53" s="109" t="n"/>
      <c r="CL53" s="252" t="n"/>
      <c r="CM53" s="178" t="n"/>
      <c r="CN53" s="184" t="n"/>
      <c r="CO53" s="130">
        <f>$E53*60</f>
        <v/>
      </c>
      <c r="CP53" s="109" t="n"/>
      <c r="CQ53" s="252" t="n"/>
      <c r="CR53" s="178" t="n"/>
      <c r="CS53" s="184" t="n"/>
      <c r="CT53" s="130">
        <f>$E53*60</f>
        <v/>
      </c>
      <c r="CU53" s="109" t="n"/>
      <c r="CV53" s="252" t="n"/>
      <c r="CW53" s="178" t="n"/>
      <c r="CX53" s="184" t="n"/>
      <c r="CY53" s="130">
        <f>$E53*60</f>
        <v/>
      </c>
      <c r="CZ53" s="109" t="n"/>
      <c r="DA53" s="252" t="n"/>
      <c r="DB53" s="178" t="n"/>
      <c r="DC53" s="184" t="n"/>
      <c r="DD53" s="130">
        <f>$E53*60</f>
        <v/>
      </c>
      <c r="DE53" s="109" t="n"/>
      <c r="DF53" s="252" t="n"/>
      <c r="DG53" s="178" t="n"/>
      <c r="DH53" s="184" t="n"/>
      <c r="DI53" s="130">
        <f>$E53*60</f>
        <v/>
      </c>
      <c r="DJ53" s="109" t="n"/>
      <c r="DK53" s="252" t="n"/>
      <c r="DL53" s="178" t="n"/>
      <c r="DM53" s="184" t="n"/>
      <c r="DN53" s="130">
        <f>$E53*60</f>
        <v/>
      </c>
      <c r="DO53" s="194" t="n"/>
      <c r="DP53" s="252" t="n"/>
      <c r="DQ53" s="178" t="n"/>
      <c r="DR53" s="184" t="n"/>
      <c r="DS53" s="130">
        <f>$E53*60</f>
        <v/>
      </c>
      <c r="DT53" s="109" t="n"/>
      <c r="DU53" s="252" t="n"/>
      <c r="DV53" s="180">
        <f>SUMPRODUCT(--(MOD(COLUMN($BN53:$DU53),5)=MOD(COLUMN($BN53),5)),$BN53:$DU53)</f>
        <v/>
      </c>
      <c r="DW53" s="181">
        <f>Автовик_разбивка[[#This Row],[Цена, 
юань, без НДС 1]]*DV53</f>
        <v/>
      </c>
      <c r="DX53" s="186">
        <f>SUMPRODUCT(--(MOD(COLUMN($BN53:$DU53),5)=MOD(COLUMN($BN53)+1,5)),$BN53:$DU53)</f>
        <v/>
      </c>
      <c r="DY53" s="186">
        <f>Автовик_разбивка[[#This Row],[Цена, 
юань, без НДС 1]]*DX53</f>
        <v/>
      </c>
      <c r="DZ53" s="130">
        <f>SUMPRODUCT(--(MOD(COLUMN($BN53:$DU53),5)=MOD(COLUMN($BN53)+2,5)),$BN53:$DU53)</f>
        <v/>
      </c>
      <c r="EA53" s="187">
        <f>Автовик_разбивка[[#This Row],[Цена, 
юань, без НДС 1]]*DZ53</f>
        <v/>
      </c>
      <c r="EB53" s="109">
        <f>SUMPRODUCT(--(MOD(COLUMN($BN53:$DU53),5)=MOD(COLUMN($BN53)+3,5)),$BN53:$DU53)</f>
        <v/>
      </c>
      <c r="EC53" s="224">
        <f>Автовик_разбивка[[#This Row],[Цена, 
юань, без НДС 1]]*EB53</f>
        <v/>
      </c>
    </row>
    <row r="54">
      <c r="A54" s="221" t="n">
        <v>11</v>
      </c>
      <c r="B54" s="172" t="inlineStr">
        <is>
          <t>УСТ</t>
        </is>
      </c>
      <c r="C54" s="173" t="n"/>
      <c r="D54" s="173" t="n"/>
      <c r="E54" s="174" t="n"/>
      <c r="F54" s="174" t="n"/>
      <c r="G54" s="174" t="n">
        <v>2</v>
      </c>
      <c r="H54" s="175" t="n">
        <v>4495351500</v>
      </c>
      <c r="I54" s="176" t="inlineStr">
        <is>
          <t>Кабель универсальный, 15 м</t>
        </is>
      </c>
      <c r="J54" s="911" t="n"/>
      <c r="K54" s="912" t="n"/>
      <c r="L54" s="178" t="n"/>
      <c r="M54" s="130" t="n"/>
      <c r="N54" s="179" t="n"/>
      <c r="O54" s="130" t="n"/>
      <c r="P54" s="178" t="n"/>
      <c r="Q54" s="130" t="n"/>
      <c r="R54" s="179" t="n"/>
      <c r="S54" s="130" t="n"/>
      <c r="T54" s="178" t="n"/>
      <c r="U54" s="130" t="n"/>
      <c r="V54" s="179" t="n"/>
      <c r="W54" s="130" t="n"/>
      <c r="X54" s="178" t="n"/>
      <c r="Y54" s="130" t="n"/>
      <c r="Z54" s="179" t="n"/>
      <c r="AA54" s="130" t="n"/>
      <c r="AB54" s="178" t="n"/>
      <c r="AC54" s="130" t="n"/>
      <c r="AD54" s="179" t="n"/>
      <c r="AE54" s="130" t="n"/>
      <c r="AF54" s="178" t="n"/>
      <c r="AG54" s="130" t="n"/>
      <c r="AH54" s="179" t="n"/>
      <c r="AI54" s="130" t="n"/>
      <c r="AJ54" s="178" t="n"/>
      <c r="AK54" s="130" t="n"/>
      <c r="AL54" s="179" t="n"/>
      <c r="AM54" s="130" t="n"/>
      <c r="AN54" s="178" t="n"/>
      <c r="AO54" s="130" t="n"/>
      <c r="AP54" s="179" t="n"/>
      <c r="AQ54" s="130" t="n"/>
      <c r="AR54" s="178" t="n"/>
      <c r="AS54" s="130" t="n"/>
      <c r="AT54" s="179" t="n"/>
      <c r="AU54" s="130" t="n"/>
      <c r="AV54" s="178" t="n"/>
      <c r="AW54" s="130" t="n"/>
      <c r="AX54" s="179" t="n"/>
      <c r="AY54" s="130" t="n"/>
      <c r="AZ54" s="178" t="n"/>
      <c r="BA54" s="130" t="n"/>
      <c r="BB54" s="194" t="n"/>
      <c r="BC54" s="130" t="n"/>
      <c r="BD54" s="178" t="n"/>
      <c r="BE54" s="130" t="n"/>
      <c r="BF54" s="109" t="n"/>
      <c r="BG54" s="130" t="n"/>
      <c r="BH54" s="180">
        <f>SUMPRODUCT(--(MOD(COLUMN($L54:$BG54),4)=MOD(COLUMN($L54),4)),$L54:$BG54)</f>
        <v/>
      </c>
      <c r="BI54" s="181">
        <f>Автовик_разбивка[[#This Row],[Цена, 
юань, без НДС 1]]*BH54</f>
        <v/>
      </c>
      <c r="BJ54" s="130">
        <f>SUMPRODUCT(--(MOD(COLUMN($L54:$BG54),4)=MOD(COLUMN($L54)+1,4)),$L54:$BG54)</f>
        <v/>
      </c>
      <c r="BK54" s="187">
        <f>Автовик_разбивка[[#This Row],[Цена, 
юань, без НДС 1]]*BJ54</f>
        <v/>
      </c>
      <c r="BL54" s="109">
        <f>SUMPRODUCT(--(MOD(COLUMN($L54:$BG54),4)=MOD(COLUMN($L54)+2,4)),$L54:$BG54)</f>
        <v/>
      </c>
      <c r="BM54" s="224">
        <f>Автовик_разбивка[[#This Row],[Цена, 
юань, без НДС 1]]*BL54</f>
        <v/>
      </c>
      <c r="BN54" s="178" t="n"/>
      <c r="BO54" s="184" t="n"/>
      <c r="BP54" s="130" t="n"/>
      <c r="BQ54" s="179" t="n"/>
      <c r="BR54" s="130" t="n"/>
      <c r="BS54" s="178" t="n"/>
      <c r="BT54" s="184" t="n"/>
      <c r="BU54" s="130" t="n"/>
      <c r="BV54" s="179" t="n"/>
      <c r="BW54" s="130" t="n"/>
      <c r="BX54" s="178" t="n"/>
      <c r="BY54" s="184" t="n"/>
      <c r="BZ54" s="130" t="n"/>
      <c r="CA54" s="179" t="n"/>
      <c r="CB54" s="130" t="n"/>
      <c r="CC54" s="178" t="n"/>
      <c r="CD54" s="184" t="n"/>
      <c r="CE54" s="130" t="n"/>
      <c r="CF54" s="179" t="n"/>
      <c r="CG54" s="130" t="n"/>
      <c r="CH54" s="178" t="n"/>
      <c r="CI54" s="184" t="n"/>
      <c r="CJ54" s="130" t="n"/>
      <c r="CK54" s="179" t="n"/>
      <c r="CL54" s="130" t="n"/>
      <c r="CM54" s="178" t="n"/>
      <c r="CN54" s="184" t="n"/>
      <c r="CO54" s="130" t="n"/>
      <c r="CP54" s="179" t="n"/>
      <c r="CQ54" s="130" t="n"/>
      <c r="CR54" s="178" t="n"/>
      <c r="CS54" s="184" t="n"/>
      <c r="CT54" s="130" t="n"/>
      <c r="CU54" s="179" t="n"/>
      <c r="CV54" s="130" t="n"/>
      <c r="CW54" s="178" t="n"/>
      <c r="CX54" s="184" t="n"/>
      <c r="CY54" s="130" t="n"/>
      <c r="CZ54" s="179" t="n"/>
      <c r="DA54" s="130" t="n"/>
      <c r="DB54" s="178" t="n"/>
      <c r="DC54" s="184" t="n"/>
      <c r="DD54" s="130" t="n"/>
      <c r="DE54" s="179" t="n"/>
      <c r="DF54" s="130" t="n"/>
      <c r="DG54" s="178" t="n"/>
      <c r="DH54" s="184" t="n"/>
      <c r="DI54" s="130" t="n"/>
      <c r="DJ54" s="179" t="n"/>
      <c r="DK54" s="130" t="n"/>
      <c r="DL54" s="178" t="n"/>
      <c r="DM54" s="184" t="n"/>
      <c r="DN54" s="130" t="n"/>
      <c r="DO54" s="194" t="n"/>
      <c r="DP54" s="130" t="n"/>
      <c r="DQ54" s="178" t="n"/>
      <c r="DR54" s="184" t="n"/>
      <c r="DS54" s="130" t="n"/>
      <c r="DT54" s="109" t="n"/>
      <c r="DU54" s="130" t="n"/>
      <c r="DV54" s="180">
        <f>SUMPRODUCT(--(MOD(COLUMN($BN54:$DU54),5)=MOD(COLUMN($BN54),5)),$BN54:$DU54)</f>
        <v/>
      </c>
      <c r="DW54" s="181">
        <f>Автовик_разбивка[[#This Row],[Цена, 
юань, без НДС 1]]*DV54</f>
        <v/>
      </c>
      <c r="DX54" s="186">
        <f>SUMPRODUCT(--(MOD(COLUMN($BN54:$DU54),5)=MOD(COLUMN($BN54)+1,5)),$BN54:$DU54)</f>
        <v/>
      </c>
      <c r="DY54" s="186">
        <f>Автовик_разбивка[[#This Row],[Цена, 
юань, без НДС 1]]*DX54</f>
        <v/>
      </c>
      <c r="DZ54" s="130">
        <f>SUMPRODUCT(--(MOD(COLUMN($BN54:$DU54),5)=MOD(COLUMN($BN54)+2,5)),$BN54:$DU54)</f>
        <v/>
      </c>
      <c r="EA54" s="187">
        <f>Автовик_разбивка[[#This Row],[Цена, 
юань, без НДС 1]]*DZ54</f>
        <v/>
      </c>
      <c r="EB54" s="109">
        <f>SUMPRODUCT(--(MOD(COLUMN($BN54:$DU54),5)=MOD(COLUMN($BN54)+3,5)),$BN54:$DU54)</f>
        <v/>
      </c>
      <c r="EC54" s="224">
        <f>Автовик_разбивка[[#This Row],[Цена, 
юань, без НДС 1]]*EB54</f>
        <v/>
      </c>
    </row>
    <row r="55">
      <c r="A55" s="221" t="n">
        <v>11</v>
      </c>
      <c r="B55" s="172" t="inlineStr">
        <is>
          <t>УСТ</t>
        </is>
      </c>
      <c r="C55" s="132" t="n"/>
      <c r="D55" s="132" t="n"/>
      <c r="E55" s="229" t="n"/>
      <c r="F55" s="229" t="n"/>
      <c r="G55" s="229" t="n"/>
      <c r="H55" s="230" t="n"/>
      <c r="I55" s="231" t="inlineStr">
        <is>
          <t>Итого</t>
        </is>
      </c>
      <c r="J55" s="914" t="n"/>
      <c r="K55" s="914" t="n"/>
      <c r="L55" s="233" t="n"/>
      <c r="M55" s="234" t="n"/>
      <c r="N55" s="235" t="n"/>
      <c r="O55" s="234" t="n"/>
      <c r="P55" s="233" t="n"/>
      <c r="Q55" s="234" t="n"/>
      <c r="R55" s="235" t="n"/>
      <c r="S55" s="234" t="n"/>
      <c r="T55" s="233" t="n"/>
      <c r="U55" s="234" t="n"/>
      <c r="V55" s="235" t="n"/>
      <c r="W55" s="234" t="n"/>
      <c r="X55" s="233" t="n"/>
      <c r="Y55" s="234" t="n"/>
      <c r="Z55" s="235" t="n"/>
      <c r="AA55" s="234" t="n"/>
      <c r="AB55" s="233" t="n"/>
      <c r="AC55" s="234" t="n"/>
      <c r="AD55" s="235" t="n"/>
      <c r="AE55" s="234" t="n"/>
      <c r="AF55" s="233" t="n"/>
      <c r="AG55" s="234" t="n"/>
      <c r="AH55" s="235" t="n"/>
      <c r="AI55" s="234" t="n"/>
      <c r="AJ55" s="233" t="n"/>
      <c r="AK55" s="234" t="n"/>
      <c r="AL55" s="235" t="n"/>
      <c r="AM55" s="234" t="n"/>
      <c r="AN55" s="233" t="n"/>
      <c r="AO55" s="234" t="n"/>
      <c r="AP55" s="235" t="n"/>
      <c r="AQ55" s="234" t="n"/>
      <c r="AR55" s="233" t="n"/>
      <c r="AS55" s="234" t="n"/>
      <c r="AT55" s="235" t="n"/>
      <c r="AU55" s="234" t="n"/>
      <c r="AV55" s="233" t="n"/>
      <c r="AW55" s="234" t="n"/>
      <c r="AX55" s="235" t="n"/>
      <c r="AY55" s="234" t="n"/>
      <c r="AZ55" s="233" t="n"/>
      <c r="BA55" s="234" t="n"/>
      <c r="BB55" s="235" t="n"/>
      <c r="BC55" s="234" t="n"/>
      <c r="BD55" s="233" t="n"/>
      <c r="BE55" s="234" t="n"/>
      <c r="BF55" s="235" t="n"/>
      <c r="BG55" s="234" t="n"/>
      <c r="BH55" s="233">
        <f>SUMPRODUCT(--(MOD(COLUMN($L55:$BG55),4)=MOD(COLUMN($L55),4)),$L55:$BG55)</f>
        <v/>
      </c>
      <c r="BI55" s="238">
        <f>Автовик_разбивка[[#This Row],[Цена, 
юань, без НДС 1]]*BH55</f>
        <v/>
      </c>
      <c r="BJ55" s="234">
        <f>SUMPRODUCT(--(MOD(COLUMN($L55:$BG55),4)=MOD(COLUMN($L55)+1,4)),$L55:$BG55)</f>
        <v/>
      </c>
      <c r="BK55" s="253">
        <f>Автовик_разбивка[[#This Row],[Цена, 
юань, без НДС 1]]*BJ55</f>
        <v/>
      </c>
      <c r="BL55" s="235">
        <f>SUMPRODUCT(--(MOD(COLUMN($L55:$BG55),4)=MOD(COLUMN($L55)+2,4)),$L55:$BG55)</f>
        <v/>
      </c>
      <c r="BM55" s="254">
        <f>Автовик_разбивка[[#This Row],[Цена, 
юань, без НДС 1]]*BL55</f>
        <v/>
      </c>
      <c r="BN55" s="233" t="n"/>
      <c r="BO55" s="241" t="n"/>
      <c r="BP55" s="234" t="n"/>
      <c r="BQ55" s="235" t="n"/>
      <c r="BR55" s="234" t="n"/>
      <c r="BS55" s="233" t="n"/>
      <c r="BT55" s="241" t="n"/>
      <c r="BU55" s="234" t="n"/>
      <c r="BV55" s="235" t="n"/>
      <c r="BW55" s="234" t="n"/>
      <c r="BX55" s="233" t="n"/>
      <c r="BY55" s="241" t="n"/>
      <c r="BZ55" s="234" t="n"/>
      <c r="CA55" s="235" t="n"/>
      <c r="CB55" s="234" t="n"/>
      <c r="CC55" s="233" t="n"/>
      <c r="CD55" s="241" t="n"/>
      <c r="CE55" s="234" t="n"/>
      <c r="CF55" s="235" t="n"/>
      <c r="CG55" s="234" t="n"/>
      <c r="CH55" s="233" t="n"/>
      <c r="CI55" s="241" t="n"/>
      <c r="CJ55" s="234" t="n"/>
      <c r="CK55" s="235" t="n"/>
      <c r="CL55" s="234" t="n"/>
      <c r="CM55" s="233" t="n"/>
      <c r="CN55" s="241" t="n"/>
      <c r="CO55" s="234" t="n"/>
      <c r="CP55" s="235" t="n"/>
      <c r="CQ55" s="234" t="n"/>
      <c r="CR55" s="233" t="n"/>
      <c r="CS55" s="241" t="n"/>
      <c r="CT55" s="234" t="n"/>
      <c r="CU55" s="235" t="n"/>
      <c r="CV55" s="234" t="n"/>
      <c r="CW55" s="233" t="n"/>
      <c r="CX55" s="241" t="n"/>
      <c r="CY55" s="234" t="n"/>
      <c r="CZ55" s="235" t="n"/>
      <c r="DA55" s="234" t="n"/>
      <c r="DB55" s="233" t="n"/>
      <c r="DC55" s="241" t="n"/>
      <c r="DD55" s="234" t="n"/>
      <c r="DE55" s="235" t="n"/>
      <c r="DF55" s="234" t="n"/>
      <c r="DG55" s="233" t="n"/>
      <c r="DH55" s="241" t="n"/>
      <c r="DI55" s="234" t="n"/>
      <c r="DJ55" s="235" t="n"/>
      <c r="DK55" s="234" t="n"/>
      <c r="DL55" s="233" t="n"/>
      <c r="DM55" s="241" t="n"/>
      <c r="DN55" s="234" t="n"/>
      <c r="DO55" s="235" t="n"/>
      <c r="DP55" s="234" t="n"/>
      <c r="DQ55" s="233" t="n"/>
      <c r="DR55" s="241" t="n"/>
      <c r="DS55" s="234" t="n"/>
      <c r="DT55" s="235" t="n"/>
      <c r="DU55" s="234" t="n"/>
      <c r="DV55" s="233">
        <f>SUMPRODUCT(--(MOD(COLUMN($BN55:$DU55),5)=MOD(COLUMN($BN55),5)),$BN55:$DU55)</f>
        <v/>
      </c>
      <c r="DW55" s="238">
        <f>Автовик_разбивка[[#This Row],[Цена, 
юань, без НДС 1]]*DV55</f>
        <v/>
      </c>
      <c r="DX55" s="242">
        <f>SUMPRODUCT(--(MOD(COLUMN($BN55:$DU55),5)=MOD(COLUMN($BN55)+1,5)),$BN55:$DU55)</f>
        <v/>
      </c>
      <c r="DY55" s="242">
        <f>Автовик_разбивка[[#This Row],[Цена, 
юань, без НДС 1]]*DX55</f>
        <v/>
      </c>
      <c r="DZ55" s="234">
        <f>SUMPRODUCT(--(MOD(COLUMN($BN55:$DU55),5)=MOD(COLUMN($BN55)+2,5)),$BN55:$DU55)</f>
        <v/>
      </c>
      <c r="EA55" s="253">
        <f>Автовик_разбивка[[#This Row],[Цена, 
юань, без НДС 1]]*DZ55</f>
        <v/>
      </c>
      <c r="EB55" s="235">
        <f>SUMPRODUCT(--(MOD(COLUMN($BN55:$DU55),5)=MOD(COLUMN($BN55)+3,5)),$BN55:$DU55)</f>
        <v/>
      </c>
      <c r="EC55" s="254">
        <f>Автовик_разбивка[[#This Row],[Цена, 
юань, без НДС 1]]*EB55</f>
        <v/>
      </c>
    </row>
    <row r="56">
      <c r="A56" s="221" t="n">
        <v>11</v>
      </c>
      <c r="B56" s="243" t="inlineStr">
        <is>
          <t>УСТ</t>
        </is>
      </c>
      <c r="C56" s="244" t="n"/>
      <c r="D56" s="244" t="n"/>
      <c r="E56" s="245" t="n"/>
      <c r="F56" s="245" t="n"/>
      <c r="G56" s="245" t="n"/>
      <c r="H56" s="246" t="n"/>
      <c r="I56" s="247" t="n"/>
      <c r="J56" s="915" t="n"/>
      <c r="K56" s="915" t="n"/>
      <c r="L56" s="249" t="n"/>
      <c r="M56" s="249" t="n"/>
      <c r="N56" s="249" t="n"/>
      <c r="O56" s="249" t="n"/>
      <c r="P56" s="249" t="n"/>
      <c r="Q56" s="249" t="n"/>
      <c r="R56" s="249" t="n"/>
      <c r="S56" s="249" t="n"/>
      <c r="T56" s="249" t="n"/>
      <c r="U56" s="249" t="n"/>
      <c r="V56" s="249" t="n"/>
      <c r="W56" s="249" t="n"/>
      <c r="X56" s="249" t="n"/>
      <c r="Y56" s="249" t="n"/>
      <c r="Z56" s="249" t="n"/>
      <c r="AA56" s="249" t="n"/>
      <c r="AB56" s="249" t="n"/>
      <c r="AC56" s="249" t="n"/>
      <c r="AD56" s="249" t="n"/>
      <c r="AE56" s="249" t="n"/>
      <c r="AF56" s="249" t="n"/>
      <c r="AG56" s="249" t="n"/>
      <c r="AH56" s="249" t="n"/>
      <c r="AI56" s="249" t="n"/>
      <c r="AJ56" s="249" t="n"/>
      <c r="AK56" s="249" t="n"/>
      <c r="AL56" s="249" t="n"/>
      <c r="AM56" s="249" t="n"/>
      <c r="AN56" s="249" t="n"/>
      <c r="AO56" s="249" t="n"/>
      <c r="AP56" s="249" t="n"/>
      <c r="AQ56" s="249" t="n"/>
      <c r="AR56" s="249" t="n"/>
      <c r="AS56" s="249" t="n"/>
      <c r="AT56" s="249" t="n"/>
      <c r="AU56" s="249" t="n"/>
      <c r="AV56" s="249" t="n"/>
      <c r="AW56" s="249" t="n"/>
      <c r="AX56" s="250" t="n"/>
      <c r="AY56" s="249" t="n"/>
      <c r="AZ56" s="250" t="n"/>
      <c r="BA56" s="250" t="n"/>
      <c r="BB56" s="250" t="n"/>
      <c r="BC56" s="249" t="n"/>
      <c r="BD56" s="250" t="n"/>
      <c r="BE56" s="250" t="n"/>
      <c r="BF56" s="250" t="n"/>
      <c r="BG56" s="249" t="n"/>
      <c r="BH56" s="250">
        <f>SUMPRODUCT(--(MOD(COLUMN($L56:$BG56),4)=MOD(COLUMN($L56),4)),$L56:$BG56)</f>
        <v/>
      </c>
      <c r="BI56" s="251">
        <f>Автовик_разбивка[[#This Row],[Цена, 
юань, без НДС 1]]*BH56</f>
        <v/>
      </c>
      <c r="BJ56" s="250">
        <f>SUMPRODUCT(--(MOD(COLUMN($L56:$BG56),4)=MOD(COLUMN($L56)+1,4)),$L56:$BG56)</f>
        <v/>
      </c>
      <c r="BK56" s="251">
        <f>Автовик_разбивка[[#This Row],[Цена, 
юань, без НДС 1]]*BJ56</f>
        <v/>
      </c>
      <c r="BL56" s="250">
        <f>SUMPRODUCT(--(MOD(COLUMN($L56:$BG56),4)=MOD(COLUMN($L56)+2,4)),$L56:$BG56)</f>
        <v/>
      </c>
      <c r="BM56" s="251">
        <f>Автовик_разбивка[[#This Row],[Цена, 
юань, без НДС 1]]*BL56</f>
        <v/>
      </c>
      <c r="BN56" s="249" t="n"/>
      <c r="BO56" s="249" t="n"/>
      <c r="BP56" s="249" t="n"/>
      <c r="BQ56" s="249" t="n"/>
      <c r="BR56" s="249" t="n"/>
      <c r="BS56" s="249" t="n"/>
      <c r="BT56" s="249" t="n"/>
      <c r="BU56" s="249" t="n"/>
      <c r="BV56" s="249" t="n"/>
      <c r="BW56" s="249" t="n"/>
      <c r="BX56" s="249" t="n"/>
      <c r="BY56" s="249" t="n"/>
      <c r="BZ56" s="249" t="n"/>
      <c r="CA56" s="249" t="n"/>
      <c r="CB56" s="249" t="n"/>
      <c r="CC56" s="249" t="n"/>
      <c r="CD56" s="249" t="n"/>
      <c r="CE56" s="249" t="n"/>
      <c r="CF56" s="249" t="n"/>
      <c r="CG56" s="249" t="n"/>
      <c r="CH56" s="249" t="n"/>
      <c r="CI56" s="249" t="n"/>
      <c r="CJ56" s="249" t="n"/>
      <c r="CK56" s="249" t="n"/>
      <c r="CL56" s="249" t="n"/>
      <c r="CM56" s="249" t="n"/>
      <c r="CN56" s="249" t="n"/>
      <c r="CO56" s="249" t="n"/>
      <c r="CP56" s="249" t="n"/>
      <c r="CQ56" s="249" t="n"/>
      <c r="CR56" s="249" t="n"/>
      <c r="CS56" s="249" t="n"/>
      <c r="CT56" s="249" t="n"/>
      <c r="CU56" s="249" t="n"/>
      <c r="CV56" s="249" t="n"/>
      <c r="CW56" s="249" t="n"/>
      <c r="CX56" s="249" t="n"/>
      <c r="CY56" s="249" t="n"/>
      <c r="CZ56" s="249" t="n"/>
      <c r="DA56" s="249" t="n"/>
      <c r="DB56" s="249" t="n"/>
      <c r="DC56" s="249" t="n"/>
      <c r="DD56" s="249" t="n"/>
      <c r="DE56" s="249" t="n"/>
      <c r="DF56" s="249" t="n"/>
      <c r="DG56" s="249" t="n"/>
      <c r="DH56" s="249" t="n"/>
      <c r="DI56" s="249" t="n"/>
      <c r="DJ56" s="250" t="n"/>
      <c r="DK56" s="249" t="n"/>
      <c r="DL56" s="250" t="n"/>
      <c r="DM56" s="250" t="n"/>
      <c r="DN56" s="250" t="n"/>
      <c r="DO56" s="250" t="n"/>
      <c r="DP56" s="249" t="n"/>
      <c r="DQ56" s="250" t="n"/>
      <c r="DR56" s="250" t="n"/>
      <c r="DS56" s="250" t="n"/>
      <c r="DT56" s="250" t="n"/>
      <c r="DU56" s="249" t="n"/>
      <c r="DV56" s="250">
        <f>SUMPRODUCT(--(MOD(COLUMN($BN56:$DU56),5)=MOD(COLUMN($BN56),5)),$BN56:$DU56)</f>
        <v/>
      </c>
      <c r="DW56" s="251">
        <f>Автовик_разбивка[[#This Row],[Цена, 
юань, без НДС 1]]*DV56</f>
        <v/>
      </c>
      <c r="DX56" s="251">
        <f>SUMPRODUCT(--(MOD(COLUMN($BN56:$DU56),5)=MOD(COLUMN($BN56)+1,5)),$BN56:$DU56)</f>
        <v/>
      </c>
      <c r="DY56" s="251">
        <f>Автовик_разбивка[[#This Row],[Цена, 
юань, без НДС 1]]*DX56</f>
        <v/>
      </c>
      <c r="DZ56" s="250">
        <f>SUMPRODUCT(--(MOD(COLUMN($BN56:$DU56),5)=MOD(COLUMN($BN56)+2,5)),$BN56:$DU56)</f>
        <v/>
      </c>
      <c r="EA56" s="251">
        <f>Автовик_разбивка[[#This Row],[Цена, 
юань, без НДС 1]]*DZ56</f>
        <v/>
      </c>
      <c r="EB56" s="250">
        <f>SUMPRODUCT(--(MOD(COLUMN($BN56:$DU56),5)=MOD(COLUMN($BN56)+3,5)),$BN56:$DU56)</f>
        <v/>
      </c>
      <c r="EC56" s="251">
        <f>Автовик_разбивка[[#This Row],[Цена, 
юань, без НДС 1]]*EB56</f>
        <v/>
      </c>
    </row>
    <row r="57">
      <c r="A57" s="221" t="n">
        <v>11</v>
      </c>
      <c r="B57" s="172" t="inlineStr">
        <is>
          <t>ЧМЗАП</t>
        </is>
      </c>
      <c r="C57" s="173" t="inlineStr">
        <is>
          <t>TEBS</t>
        </is>
      </c>
      <c r="D57" s="173" t="inlineStr">
        <is>
          <t>LACV</t>
        </is>
      </c>
      <c r="E57" s="174" t="n">
        <v>1</v>
      </c>
      <c r="F57" s="174" t="n"/>
      <c r="G57" s="174" t="n"/>
      <c r="H57" s="175" t="n">
        <v>4494430600</v>
      </c>
      <c r="I57" s="176" t="inlineStr">
        <is>
          <t>Кабель клапана управления подъемом оси, 6 м</t>
        </is>
      </c>
      <c r="J57" s="911" t="n"/>
      <c r="K57" s="912" t="n"/>
      <c r="L57" s="178" t="n">
        <v>2</v>
      </c>
      <c r="M57" s="130">
        <f>$E57*2</f>
        <v/>
      </c>
      <c r="N57" s="179" t="n">
        <v>0</v>
      </c>
      <c r="O57" s="130" t="n"/>
      <c r="P57" s="178" t="n">
        <v>5</v>
      </c>
      <c r="Q57" s="130">
        <f>$E57*0</f>
        <v/>
      </c>
      <c r="R57" s="179" t="n">
        <v>0</v>
      </c>
      <c r="S57" s="130" t="n"/>
      <c r="T57" s="178" t="n">
        <v>10</v>
      </c>
      <c r="U57" s="130">
        <f>$E57*20</f>
        <v/>
      </c>
      <c r="V57" s="179" t="n">
        <v>18</v>
      </c>
      <c r="W57" s="130" t="n"/>
      <c r="X57" s="178" t="n">
        <v>10</v>
      </c>
      <c r="Y57" s="130">
        <f>$E57*10</f>
        <v/>
      </c>
      <c r="Z57" s="179" t="n">
        <v>2</v>
      </c>
      <c r="AA57" s="130" t="n"/>
      <c r="AB57" s="178" t="n">
        <v>10</v>
      </c>
      <c r="AC57" s="130">
        <f>$E57*10</f>
        <v/>
      </c>
      <c r="AD57" s="179" t="n"/>
      <c r="AE57" s="130" t="n"/>
      <c r="AF57" s="178" t="n">
        <v>10</v>
      </c>
      <c r="AG57" s="130">
        <f>$E57*10</f>
        <v/>
      </c>
      <c r="AH57" s="179" t="n"/>
      <c r="AI57" s="130" t="n"/>
      <c r="AJ57" s="178" t="n">
        <v>10</v>
      </c>
      <c r="AK57" s="130">
        <f>$E57*10</f>
        <v/>
      </c>
      <c r="AL57" s="179" t="n"/>
      <c r="AM57" s="130" t="n"/>
      <c r="AN57" s="178" t="n">
        <v>10</v>
      </c>
      <c r="AO57" s="130">
        <f>$E57*10</f>
        <v/>
      </c>
      <c r="AP57" s="179" t="n"/>
      <c r="AQ57" s="130" t="n"/>
      <c r="AR57" s="178" t="n">
        <v>10</v>
      </c>
      <c r="AS57" s="130">
        <f>$E57*5</f>
        <v/>
      </c>
      <c r="AT57" s="179" t="n"/>
      <c r="AU57" s="130" t="n"/>
      <c r="AV57" s="178" t="n">
        <v>10</v>
      </c>
      <c r="AW57" s="130">
        <f>$E57*5</f>
        <v/>
      </c>
      <c r="AX57" s="179" t="n"/>
      <c r="AY57" s="130" t="n"/>
      <c r="AZ57" s="178" t="n">
        <v>10</v>
      </c>
      <c r="BA57" s="130" t="n"/>
      <c r="BB57" s="194" t="n"/>
      <c r="BC57" s="130" t="n"/>
      <c r="BD57" s="178" t="n">
        <v>10</v>
      </c>
      <c r="BE57" s="130" t="n"/>
      <c r="BF57" s="109" t="n"/>
      <c r="BG57" s="130" t="n"/>
      <c r="BH57" s="180">
        <f>SUMPRODUCT(--(MOD(COLUMN($L57:$BG57),4)=MOD(COLUMN($L57),4)),$L57:$BG57)</f>
        <v/>
      </c>
      <c r="BI57" s="181">
        <f>Автовик_разбивка[[#This Row],[Цена, 
юань, без НДС 1]]*BH57</f>
        <v/>
      </c>
      <c r="BJ57" s="130">
        <f>SUMPRODUCT(--(MOD(COLUMN($L57:$BG57),4)=MOD(COLUMN($L57)+1,4)),$L57:$BG57)</f>
        <v/>
      </c>
      <c r="BK57" s="187">
        <f>Автовик_разбивка[[#This Row],[Цена, 
юань, без НДС 1]]*BJ57</f>
        <v/>
      </c>
      <c r="BL57" s="109">
        <f>SUMPRODUCT(--(MOD(COLUMN($L57:$BG57),4)=MOD(COLUMN($L57)+2,4)),$L57:$BG57)</f>
        <v/>
      </c>
      <c r="BM57" s="224">
        <f>Автовик_разбивка[[#This Row],[Цена, 
юань, без НДС 1]]*BL57</f>
        <v/>
      </c>
      <c r="BN57" s="178" t="n"/>
      <c r="BO57" s="184" t="n"/>
      <c r="BP57" s="130">
        <f>$E57*0</f>
        <v/>
      </c>
      <c r="BQ57" s="179" t="n"/>
      <c r="BR57" s="130" t="n"/>
      <c r="BS57" s="178" t="n"/>
      <c r="BT57" s="184" t="n"/>
      <c r="BU57" s="130">
        <f>$E57*0</f>
        <v/>
      </c>
      <c r="BV57" s="179" t="n"/>
      <c r="BW57" s="130" t="n"/>
      <c r="BX57" s="178" t="n"/>
      <c r="BY57" s="184" t="n"/>
      <c r="BZ57" s="130">
        <f>$E57*0</f>
        <v/>
      </c>
      <c r="CA57" s="179" t="n"/>
      <c r="CB57" s="130" t="n"/>
      <c r="CC57" s="178" t="n"/>
      <c r="CD57" s="184" t="n"/>
      <c r="CE57" s="130">
        <f>$E57*0</f>
        <v/>
      </c>
      <c r="CF57" s="179" t="n"/>
      <c r="CG57" s="130" t="n"/>
      <c r="CH57" s="178" t="n"/>
      <c r="CI57" s="184" t="n"/>
      <c r="CJ57" s="130">
        <f>$E57*0</f>
        <v/>
      </c>
      <c r="CK57" s="179" t="n"/>
      <c r="CL57" s="130" t="n"/>
      <c r="CM57" s="178" t="n"/>
      <c r="CN57" s="184" t="n"/>
      <c r="CO57" s="130">
        <f>$E57*0</f>
        <v/>
      </c>
      <c r="CP57" s="179" t="n"/>
      <c r="CQ57" s="130" t="n"/>
      <c r="CR57" s="178" t="n"/>
      <c r="CS57" s="184" t="n"/>
      <c r="CT57" s="130">
        <f>$E57*0</f>
        <v/>
      </c>
      <c r="CU57" s="179" t="n"/>
      <c r="CV57" s="130" t="n"/>
      <c r="CW57" s="178" t="n"/>
      <c r="CX57" s="184" t="n"/>
      <c r="CY57" s="130">
        <f>$E57*0</f>
        <v/>
      </c>
      <c r="CZ57" s="179" t="n"/>
      <c r="DA57" s="130" t="n"/>
      <c r="DB57" s="178" t="n"/>
      <c r="DC57" s="184" t="n"/>
      <c r="DD57" s="130">
        <f>$E57*0</f>
        <v/>
      </c>
      <c r="DE57" s="179" t="n"/>
      <c r="DF57" s="130" t="n"/>
      <c r="DG57" s="178" t="n"/>
      <c r="DH57" s="184" t="n"/>
      <c r="DI57" s="130">
        <f>$E57*0</f>
        <v/>
      </c>
      <c r="DJ57" s="179" t="n"/>
      <c r="DK57" s="130" t="n"/>
      <c r="DL57" s="178" t="n"/>
      <c r="DM57" s="184" t="n"/>
      <c r="DN57" s="130">
        <f>$E57*0</f>
        <v/>
      </c>
      <c r="DO57" s="194" t="n"/>
      <c r="DP57" s="130" t="n"/>
      <c r="DQ57" s="178" t="n"/>
      <c r="DR57" s="184" t="n"/>
      <c r="DS57" s="130">
        <f>$E57*0</f>
        <v/>
      </c>
      <c r="DT57" s="109" t="n"/>
      <c r="DU57" s="130" t="n"/>
      <c r="DV57" s="180">
        <f>SUMPRODUCT(--(MOD(COLUMN($BN57:$DU57),5)=MOD(COLUMN($BN57),5)),$BN57:$DU57)</f>
        <v/>
      </c>
      <c r="DW57" s="181">
        <f>Автовик_разбивка[[#This Row],[Цена, 
юань, без НДС 1]]*DV57</f>
        <v/>
      </c>
      <c r="DX57" s="186">
        <f>SUMPRODUCT(--(MOD(COLUMN($BN57:$DU57),5)=MOD(COLUMN($BN57)+1,5)),$BN57:$DU57)</f>
        <v/>
      </c>
      <c r="DY57" s="186">
        <f>Автовик_разбивка[[#This Row],[Цена, 
юань, без НДС 1]]*DX57</f>
        <v/>
      </c>
      <c r="DZ57" s="130">
        <f>SUMPRODUCT(--(MOD(COLUMN($BN57:$DU57),5)=MOD(COLUMN($BN57)+2,5)),$BN57:$DU57)</f>
        <v/>
      </c>
      <c r="EA57" s="187">
        <f>Автовик_разбивка[[#This Row],[Цена, 
юань, без НДС 1]]*DZ57</f>
        <v/>
      </c>
      <c r="EB57" s="109">
        <f>SUMPRODUCT(--(MOD(COLUMN($BN57:$DU57),5)=MOD(COLUMN($BN57)+3,5)),$BN57:$DU57)</f>
        <v/>
      </c>
      <c r="EC57" s="224">
        <f>Автовик_разбивка[[#This Row],[Цена, 
юань, без НДС 1]]*EB57</f>
        <v/>
      </c>
    </row>
    <row r="58">
      <c r="A58" s="221" t="n">
        <v>11</v>
      </c>
      <c r="B58" s="172" t="inlineStr">
        <is>
          <t>ЧМЗАП</t>
        </is>
      </c>
      <c r="C58" s="173" t="inlineStr">
        <is>
          <t>TEBS</t>
        </is>
      </c>
      <c r="D58" s="173" t="inlineStr">
        <is>
          <t>LACV</t>
        </is>
      </c>
      <c r="E58" s="174" t="n">
        <v>1</v>
      </c>
      <c r="F58" s="174" t="n"/>
      <c r="G58" s="174" t="n"/>
      <c r="H58" s="175" t="n">
        <v>4630840310</v>
      </c>
      <c r="I58" s="176" t="inlineStr">
        <is>
          <t>Клапан управления подъемом оси (LACV)</t>
        </is>
      </c>
      <c r="J58" s="911" t="n"/>
      <c r="K58" s="912" t="n"/>
      <c r="L58" s="178" t="n">
        <v>2</v>
      </c>
      <c r="M58" s="130">
        <f>$E58*2</f>
        <v/>
      </c>
      <c r="N58" s="179" t="n">
        <v>0</v>
      </c>
      <c r="O58" s="130" t="n"/>
      <c r="P58" s="178" t="n">
        <v>5</v>
      </c>
      <c r="Q58" s="130">
        <f>$E58*0</f>
        <v/>
      </c>
      <c r="R58" s="179" t="n">
        <v>0</v>
      </c>
      <c r="S58" s="130" t="n"/>
      <c r="T58" s="178" t="n">
        <v>10</v>
      </c>
      <c r="U58" s="130">
        <f>$E58*20</f>
        <v/>
      </c>
      <c r="V58" s="179" t="n">
        <v>18</v>
      </c>
      <c r="W58" s="130" t="n"/>
      <c r="X58" s="178" t="n">
        <v>10</v>
      </c>
      <c r="Y58" s="130">
        <f>$E58*10</f>
        <v/>
      </c>
      <c r="Z58" s="179" t="n">
        <v>2</v>
      </c>
      <c r="AA58" s="130" t="n"/>
      <c r="AB58" s="178" t="n">
        <v>10</v>
      </c>
      <c r="AC58" s="130">
        <f>$E58*10</f>
        <v/>
      </c>
      <c r="AD58" s="179" t="n"/>
      <c r="AE58" s="130" t="n"/>
      <c r="AF58" s="178" t="n">
        <v>10</v>
      </c>
      <c r="AG58" s="130">
        <f>$E58*10</f>
        <v/>
      </c>
      <c r="AH58" s="179" t="n"/>
      <c r="AI58" s="130" t="n"/>
      <c r="AJ58" s="178" t="n">
        <v>10</v>
      </c>
      <c r="AK58" s="130">
        <f>$E58*10</f>
        <v/>
      </c>
      <c r="AL58" s="179" t="n"/>
      <c r="AM58" s="130" t="n"/>
      <c r="AN58" s="178" t="n">
        <v>10</v>
      </c>
      <c r="AO58" s="130">
        <f>$E58*10</f>
        <v/>
      </c>
      <c r="AP58" s="179" t="n"/>
      <c r="AQ58" s="130" t="n"/>
      <c r="AR58" s="178" t="n">
        <v>10</v>
      </c>
      <c r="AS58" s="130">
        <f>$E58*5</f>
        <v/>
      </c>
      <c r="AT58" s="179" t="n"/>
      <c r="AU58" s="130" t="n"/>
      <c r="AV58" s="178" t="n">
        <v>10</v>
      </c>
      <c r="AW58" s="130">
        <f>$E58*5</f>
        <v/>
      </c>
      <c r="AX58" s="179" t="n"/>
      <c r="AY58" s="130" t="n"/>
      <c r="AZ58" s="178" t="n">
        <v>10</v>
      </c>
      <c r="BA58" s="130" t="n"/>
      <c r="BB58" s="194" t="n"/>
      <c r="BC58" s="130" t="n"/>
      <c r="BD58" s="178" t="n">
        <v>10</v>
      </c>
      <c r="BE58" s="130" t="n"/>
      <c r="BF58" s="109" t="n"/>
      <c r="BG58" s="130" t="n"/>
      <c r="BH58" s="180">
        <f>SUMPRODUCT(--(MOD(COLUMN($L58:$BG58),4)=MOD(COLUMN($L58),4)),$L58:$BG58)</f>
        <v/>
      </c>
      <c r="BI58" s="181">
        <f>Автовик_разбивка[[#This Row],[Цена, 
юань, без НДС 1]]*BH58</f>
        <v/>
      </c>
      <c r="BJ58" s="130">
        <f>SUMPRODUCT(--(MOD(COLUMN($L58:$BG58),4)=MOD(COLUMN($L58)+1,4)),$L58:$BG58)</f>
        <v/>
      </c>
      <c r="BK58" s="187">
        <f>Автовик_разбивка[[#This Row],[Цена, 
юань, без НДС 1]]*BJ58</f>
        <v/>
      </c>
      <c r="BL58" s="109">
        <f>SUMPRODUCT(--(MOD(COLUMN($L58:$BG58),4)=MOD(COLUMN($L58)+2,4)),$L58:$BG58)</f>
        <v/>
      </c>
      <c r="BM58" s="224">
        <f>Автовик_разбивка[[#This Row],[Цена, 
юань, без НДС 1]]*BL58</f>
        <v/>
      </c>
      <c r="BN58" s="178" t="n"/>
      <c r="BO58" s="184" t="n"/>
      <c r="BP58" s="130">
        <f>$E58*0</f>
        <v/>
      </c>
      <c r="BQ58" s="179" t="n"/>
      <c r="BR58" s="130" t="n"/>
      <c r="BS58" s="178" t="n"/>
      <c r="BT58" s="184" t="n"/>
      <c r="BU58" s="130">
        <f>$E58*0</f>
        <v/>
      </c>
      <c r="BV58" s="179" t="n"/>
      <c r="BW58" s="130" t="n"/>
      <c r="BX58" s="178" t="n"/>
      <c r="BY58" s="184" t="n"/>
      <c r="BZ58" s="130">
        <f>$E58*0</f>
        <v/>
      </c>
      <c r="CA58" s="179" t="n"/>
      <c r="CB58" s="130" t="n"/>
      <c r="CC58" s="178" t="n"/>
      <c r="CD58" s="184" t="n"/>
      <c r="CE58" s="130">
        <f>$E58*0</f>
        <v/>
      </c>
      <c r="CF58" s="179" t="n"/>
      <c r="CG58" s="130" t="n"/>
      <c r="CH58" s="178" t="n"/>
      <c r="CI58" s="184" t="n"/>
      <c r="CJ58" s="130">
        <f>$E58*0</f>
        <v/>
      </c>
      <c r="CK58" s="179" t="n"/>
      <c r="CL58" s="130" t="n"/>
      <c r="CM58" s="178" t="n"/>
      <c r="CN58" s="184" t="n"/>
      <c r="CO58" s="130">
        <f>$E58*0</f>
        <v/>
      </c>
      <c r="CP58" s="179" t="n"/>
      <c r="CQ58" s="130" t="n"/>
      <c r="CR58" s="178" t="n"/>
      <c r="CS58" s="184" t="n"/>
      <c r="CT58" s="130">
        <f>$E58*0</f>
        <v/>
      </c>
      <c r="CU58" s="179" t="n"/>
      <c r="CV58" s="130" t="n"/>
      <c r="CW58" s="178" t="n"/>
      <c r="CX58" s="184" t="n"/>
      <c r="CY58" s="130">
        <f>$E58*0</f>
        <v/>
      </c>
      <c r="CZ58" s="179" t="n"/>
      <c r="DA58" s="130" t="n"/>
      <c r="DB58" s="178" t="n"/>
      <c r="DC58" s="184" t="n"/>
      <c r="DD58" s="130">
        <f>$E58*0</f>
        <v/>
      </c>
      <c r="DE58" s="179" t="n"/>
      <c r="DF58" s="130" t="n"/>
      <c r="DG58" s="178" t="n"/>
      <c r="DH58" s="184" t="n"/>
      <c r="DI58" s="130">
        <f>$E58*0</f>
        <v/>
      </c>
      <c r="DJ58" s="179" t="n"/>
      <c r="DK58" s="130" t="n"/>
      <c r="DL58" s="178" t="n"/>
      <c r="DM58" s="184" t="n"/>
      <c r="DN58" s="130">
        <f>$E58*0</f>
        <v/>
      </c>
      <c r="DO58" s="194" t="n"/>
      <c r="DP58" s="130" t="n"/>
      <c r="DQ58" s="178" t="n"/>
      <c r="DR58" s="184" t="n"/>
      <c r="DS58" s="130">
        <f>$E58*0</f>
        <v/>
      </c>
      <c r="DT58" s="109" t="n"/>
      <c r="DU58" s="130" t="n"/>
      <c r="DV58" s="180">
        <f>SUMPRODUCT(--(MOD(COLUMN($BN58:$DU58),5)=MOD(COLUMN($BN58),5)),$BN58:$DU58)</f>
        <v/>
      </c>
      <c r="DW58" s="181">
        <f>Автовик_разбивка[[#This Row],[Цена, 
юань, без НДС 1]]*DV58</f>
        <v/>
      </c>
      <c r="DX58" s="186">
        <f>SUMPRODUCT(--(MOD(COLUMN($BN58:$DU58),5)=MOD(COLUMN($BN58)+1,5)),$BN58:$DU58)</f>
        <v/>
      </c>
      <c r="DY58" s="186">
        <f>Автовик_разбивка[[#This Row],[Цена, 
юань, без НДС 1]]*DX58</f>
        <v/>
      </c>
      <c r="DZ58" s="130">
        <f>SUMPRODUCT(--(MOD(COLUMN($BN58:$DU58),5)=MOD(COLUMN($BN58)+2,5)),$BN58:$DU58)</f>
        <v/>
      </c>
      <c r="EA58" s="187">
        <f>Автовик_разбивка[[#This Row],[Цена, 
юань, без НДС 1]]*DZ58</f>
        <v/>
      </c>
      <c r="EB58" s="109">
        <f>SUMPRODUCT(--(MOD(COLUMN($BN58:$DU58),5)=MOD(COLUMN($BN58)+3,5)),$BN58:$DU58)</f>
        <v/>
      </c>
      <c r="EC58" s="224">
        <f>Автовик_разбивка[[#This Row],[Цена, 
юань, без НДС 1]]*EB58</f>
        <v/>
      </c>
    </row>
    <row r="59">
      <c r="A59" s="221" t="n">
        <v>11</v>
      </c>
      <c r="B59" s="172" t="inlineStr">
        <is>
          <t>ЧМЗАП</t>
        </is>
      </c>
      <c r="C59" s="173" t="inlineStr">
        <is>
          <t>TEBS</t>
        </is>
      </c>
      <c r="D59" s="173" t="inlineStr">
        <is>
          <t xml:space="preserve">TEBS 2s/2m 
15м </t>
        </is>
      </c>
      <c r="E59" s="174" t="n">
        <v>1</v>
      </c>
      <c r="F59" s="174" t="n"/>
      <c r="G59" s="174" t="n"/>
      <c r="H59" s="175" t="n">
        <v>4334010030</v>
      </c>
      <c r="I59" s="176" t="inlineStr">
        <is>
          <t>Упругий элемент</t>
        </is>
      </c>
      <c r="J59" s="911" t="n"/>
      <c r="K59" s="912" t="n"/>
      <c r="L59" s="178" t="n">
        <v>2</v>
      </c>
      <c r="M59" s="130">
        <f>$E59*2</f>
        <v/>
      </c>
      <c r="N59" s="179" t="n">
        <v>0</v>
      </c>
      <c r="O59" s="130" t="n"/>
      <c r="P59" s="178" t="n">
        <v>5</v>
      </c>
      <c r="Q59" s="130">
        <f>$E59*0</f>
        <v/>
      </c>
      <c r="R59" s="179" t="n">
        <v>0</v>
      </c>
      <c r="S59" s="130" t="n"/>
      <c r="T59" s="178" t="n">
        <v>10</v>
      </c>
      <c r="U59" s="130">
        <f>$E59*10</f>
        <v/>
      </c>
      <c r="V59" s="179" t="n">
        <v>9</v>
      </c>
      <c r="W59" s="130" t="n"/>
      <c r="X59" s="178" t="n">
        <v>10</v>
      </c>
      <c r="Y59" s="130">
        <f>$E59*10</f>
        <v/>
      </c>
      <c r="Z59" s="179" t="n">
        <v>1</v>
      </c>
      <c r="AA59" s="130" t="n"/>
      <c r="AB59" s="178" t="n">
        <v>10</v>
      </c>
      <c r="AC59" s="130">
        <f>$E59*10</f>
        <v/>
      </c>
      <c r="AD59" s="109" t="n"/>
      <c r="AE59" s="130" t="n"/>
      <c r="AF59" s="178" t="n">
        <v>10</v>
      </c>
      <c r="AG59" s="130">
        <f>$E59*10</f>
        <v/>
      </c>
      <c r="AH59" s="109" t="n"/>
      <c r="AI59" s="130" t="n"/>
      <c r="AJ59" s="178" t="n">
        <v>10</v>
      </c>
      <c r="AK59" s="130">
        <f>$E59*10</f>
        <v/>
      </c>
      <c r="AL59" s="109" t="n"/>
      <c r="AM59" s="130" t="n"/>
      <c r="AN59" s="178" t="n">
        <v>10</v>
      </c>
      <c r="AO59" s="130">
        <f>$E59*6</f>
        <v/>
      </c>
      <c r="AP59" s="109" t="n"/>
      <c r="AQ59" s="130" t="n"/>
      <c r="AR59" s="178" t="n">
        <v>10</v>
      </c>
      <c r="AS59" s="130">
        <f>$E59*5</f>
        <v/>
      </c>
      <c r="AT59" s="109" t="n"/>
      <c r="AU59" s="130" t="n"/>
      <c r="AV59" s="178" t="n">
        <v>10</v>
      </c>
      <c r="AW59" s="130">
        <f>$E59*5</f>
        <v/>
      </c>
      <c r="AX59" s="109" t="n"/>
      <c r="AY59" s="130" t="n"/>
      <c r="AZ59" s="178" t="n">
        <v>10</v>
      </c>
      <c r="BA59" s="130" t="n"/>
      <c r="BB59" s="194" t="n"/>
      <c r="BC59" s="130" t="n"/>
      <c r="BD59" s="178" t="n">
        <v>10</v>
      </c>
      <c r="BE59" s="130" t="n"/>
      <c r="BF59" s="109" t="n"/>
      <c r="BG59" s="130" t="n"/>
      <c r="BH59" s="180">
        <f>SUMPRODUCT(--(MOD(COLUMN($L59:$BG59),4)=MOD(COLUMN($L59),4)),$L59:$BG59)</f>
        <v/>
      </c>
      <c r="BI59" s="181">
        <f>Автовик_разбивка[[#This Row],[Цена, 
юань, без НДС 1]]*BH59</f>
        <v/>
      </c>
      <c r="BJ59" s="130">
        <f>SUMPRODUCT(--(MOD(COLUMN($L59:$BG59),4)=MOD(COLUMN($L59)+1,4)),$L59:$BG59)</f>
        <v/>
      </c>
      <c r="BK59" s="187">
        <f>Автовик_разбивка[[#This Row],[Цена, 
юань, без НДС 1]]*BJ59</f>
        <v/>
      </c>
      <c r="BL59" s="109">
        <f>SUMPRODUCT(--(MOD(COLUMN($L59:$BG59),4)=MOD(COLUMN($L59)+2,4)),$L59:$BG59)</f>
        <v/>
      </c>
      <c r="BM59" s="224">
        <f>Автовик_разбивка[[#This Row],[Цена, 
юань, без НДС 1]]*BL59</f>
        <v/>
      </c>
      <c r="BN59" s="178" t="n"/>
      <c r="BO59" s="184" t="n"/>
      <c r="BP59" s="130">
        <f>$E59*0</f>
        <v/>
      </c>
      <c r="BQ59" s="179" t="n"/>
      <c r="BR59" s="130" t="n"/>
      <c r="BS59" s="178" t="n"/>
      <c r="BT59" s="184" t="n"/>
      <c r="BU59" s="130">
        <f>$E59*0</f>
        <v/>
      </c>
      <c r="BV59" s="179" t="n"/>
      <c r="BW59" s="130" t="n"/>
      <c r="BX59" s="178" t="n"/>
      <c r="BY59" s="184" t="n"/>
      <c r="BZ59" s="130">
        <f>$E59*0</f>
        <v/>
      </c>
      <c r="CA59" s="179" t="n"/>
      <c r="CB59" s="130" t="n"/>
      <c r="CC59" s="178" t="n"/>
      <c r="CD59" s="184" t="n"/>
      <c r="CE59" s="130">
        <f>$E59*0</f>
        <v/>
      </c>
      <c r="CF59" s="179" t="n"/>
      <c r="CG59" s="130" t="n"/>
      <c r="CH59" s="178" t="n"/>
      <c r="CI59" s="184" t="n"/>
      <c r="CJ59" s="130">
        <f>$E59*0</f>
        <v/>
      </c>
      <c r="CK59" s="109" t="n"/>
      <c r="CL59" s="130" t="n"/>
      <c r="CM59" s="178" t="n"/>
      <c r="CN59" s="184" t="n"/>
      <c r="CO59" s="130">
        <f>$E59*0</f>
        <v/>
      </c>
      <c r="CP59" s="109" t="n"/>
      <c r="CQ59" s="130" t="n"/>
      <c r="CR59" s="178" t="n"/>
      <c r="CS59" s="184" t="n"/>
      <c r="CT59" s="130">
        <f>$E59*0</f>
        <v/>
      </c>
      <c r="CU59" s="109" t="n"/>
      <c r="CV59" s="130" t="n"/>
      <c r="CW59" s="178" t="n"/>
      <c r="CX59" s="184" t="n"/>
      <c r="CY59" s="130">
        <f>$E59*0</f>
        <v/>
      </c>
      <c r="CZ59" s="109" t="n"/>
      <c r="DA59" s="130" t="n"/>
      <c r="DB59" s="178" t="n"/>
      <c r="DC59" s="184" t="n"/>
      <c r="DD59" s="130">
        <f>$E59*0</f>
        <v/>
      </c>
      <c r="DE59" s="109" t="n"/>
      <c r="DF59" s="130" t="n"/>
      <c r="DG59" s="178" t="n"/>
      <c r="DH59" s="184" t="n"/>
      <c r="DI59" s="130">
        <f>$E59*0</f>
        <v/>
      </c>
      <c r="DJ59" s="109" t="n"/>
      <c r="DK59" s="130" t="n"/>
      <c r="DL59" s="178" t="n"/>
      <c r="DM59" s="184" t="n"/>
      <c r="DN59" s="130">
        <f>$E59*0</f>
        <v/>
      </c>
      <c r="DO59" s="194" t="n"/>
      <c r="DP59" s="130" t="n"/>
      <c r="DQ59" s="178" t="n"/>
      <c r="DR59" s="184" t="n"/>
      <c r="DS59" s="130">
        <f>$E59*0</f>
        <v/>
      </c>
      <c r="DT59" s="109" t="n"/>
      <c r="DU59" s="130" t="n"/>
      <c r="DV59" s="180">
        <f>SUMPRODUCT(--(MOD(COLUMN($BN59:$DU59),5)=MOD(COLUMN($BN59),5)),$BN59:$DU59)</f>
        <v/>
      </c>
      <c r="DW59" s="181">
        <f>Автовик_разбивка[[#This Row],[Цена, 
юань, без НДС 1]]*DV59</f>
        <v/>
      </c>
      <c r="DX59" s="186">
        <f>SUMPRODUCT(--(MOD(COLUMN($BN59:$DU59),5)=MOD(COLUMN($BN59)+1,5)),$BN59:$DU59)</f>
        <v/>
      </c>
      <c r="DY59" s="186">
        <f>Автовик_разбивка[[#This Row],[Цена, 
юань, без НДС 1]]*DX59</f>
        <v/>
      </c>
      <c r="DZ59" s="130">
        <f>SUMPRODUCT(--(MOD(COLUMN($BN59:$DU59),5)=MOD(COLUMN($BN59)+2,5)),$BN59:$DU59)</f>
        <v/>
      </c>
      <c r="EA59" s="187">
        <f>Автовик_разбивка[[#This Row],[Цена, 
юань, без НДС 1]]*DZ59</f>
        <v/>
      </c>
      <c r="EB59" s="109">
        <f>SUMPRODUCT(--(MOD(COLUMN($BN59:$DU59),5)=MOD(COLUMN($BN59)+3,5)),$BN59:$DU59)</f>
        <v/>
      </c>
      <c r="EC59" s="224">
        <f>Автовик_разбивка[[#This Row],[Цена, 
юань, без НДС 1]]*EB59</f>
        <v/>
      </c>
    </row>
    <row r="60">
      <c r="A60" s="221" t="n">
        <v>11</v>
      </c>
      <c r="B60" s="172" t="inlineStr">
        <is>
          <t>ЧМЗАП</t>
        </is>
      </c>
      <c r="C60" s="173" t="inlineStr">
        <is>
          <t>TEBS</t>
        </is>
      </c>
      <c r="D60" s="173" t="inlineStr">
        <is>
          <t xml:space="preserve">TEBS 2s/2m 
15м </t>
        </is>
      </c>
      <c r="E60" s="174" t="n">
        <v>1</v>
      </c>
      <c r="F60" s="174" t="n"/>
      <c r="G60" s="174" t="n"/>
      <c r="H60" s="175" t="n">
        <v>4491731500</v>
      </c>
      <c r="I60" s="176" t="inlineStr">
        <is>
          <t>Кабель питания, 15 м</t>
        </is>
      </c>
      <c r="J60" s="911" t="n"/>
      <c r="K60" s="912" t="n"/>
      <c r="L60" s="178" t="n">
        <v>2</v>
      </c>
      <c r="M60" s="130">
        <f>$E60*2</f>
        <v/>
      </c>
      <c r="N60" s="179" t="n">
        <v>0</v>
      </c>
      <c r="O60" s="130" t="n"/>
      <c r="P60" s="178" t="n">
        <v>5</v>
      </c>
      <c r="Q60" s="130">
        <f>$E60*0</f>
        <v/>
      </c>
      <c r="R60" s="179" t="n">
        <v>0</v>
      </c>
      <c r="S60" s="130" t="n"/>
      <c r="T60" s="178" t="n">
        <v>10</v>
      </c>
      <c r="U60" s="130">
        <f>$E60*10</f>
        <v/>
      </c>
      <c r="V60" s="179" t="n">
        <v>9</v>
      </c>
      <c r="W60" s="130" t="n"/>
      <c r="X60" s="178" t="n">
        <v>10</v>
      </c>
      <c r="Y60" s="130">
        <f>$E60*10</f>
        <v/>
      </c>
      <c r="Z60" s="179" t="n">
        <v>1</v>
      </c>
      <c r="AA60" s="130" t="n"/>
      <c r="AB60" s="178" t="n">
        <v>10</v>
      </c>
      <c r="AC60" s="130">
        <f>$E60*10</f>
        <v/>
      </c>
      <c r="AD60" s="109" t="n"/>
      <c r="AE60" s="130" t="n"/>
      <c r="AF60" s="178" t="n">
        <v>10</v>
      </c>
      <c r="AG60" s="130">
        <f>$E60*10</f>
        <v/>
      </c>
      <c r="AH60" s="109" t="n"/>
      <c r="AI60" s="130" t="n"/>
      <c r="AJ60" s="178" t="n">
        <v>10</v>
      </c>
      <c r="AK60" s="130">
        <f>$E60*10</f>
        <v/>
      </c>
      <c r="AL60" s="109" t="n"/>
      <c r="AM60" s="130" t="n"/>
      <c r="AN60" s="178" t="n">
        <v>10</v>
      </c>
      <c r="AO60" s="130">
        <f>$E60*6</f>
        <v/>
      </c>
      <c r="AP60" s="109" t="n"/>
      <c r="AQ60" s="130" t="n"/>
      <c r="AR60" s="178" t="n">
        <v>10</v>
      </c>
      <c r="AS60" s="130">
        <f>$E60*5</f>
        <v/>
      </c>
      <c r="AT60" s="109" t="n"/>
      <c r="AU60" s="130" t="n"/>
      <c r="AV60" s="178" t="n">
        <v>10</v>
      </c>
      <c r="AW60" s="130">
        <f>$E60*5</f>
        <v/>
      </c>
      <c r="AX60" s="109" t="n"/>
      <c r="AY60" s="130" t="n"/>
      <c r="AZ60" s="178" t="n">
        <v>10</v>
      </c>
      <c r="BA60" s="130" t="n"/>
      <c r="BB60" s="193" t="n"/>
      <c r="BC60" s="130" t="n"/>
      <c r="BD60" s="178" t="n">
        <v>10</v>
      </c>
      <c r="BE60" s="130" t="n"/>
      <c r="BF60" s="109" t="n"/>
      <c r="BG60" s="130" t="n"/>
      <c r="BH60" s="180">
        <f>SUMPRODUCT(--(MOD(COLUMN($L60:$BG60),4)=MOD(COLUMN($L60),4)),$L60:$BG60)</f>
        <v/>
      </c>
      <c r="BI60" s="181">
        <f>Автовик_разбивка[[#This Row],[Цена, 
юань, без НДС 1]]*BH60</f>
        <v/>
      </c>
      <c r="BJ60" s="130">
        <f>SUMPRODUCT(--(MOD(COLUMN($L60:$BG60),4)=MOD(COLUMN($L60)+1,4)),$L60:$BG60)</f>
        <v/>
      </c>
      <c r="BK60" s="187">
        <f>Автовик_разбивка[[#This Row],[Цена, 
юань, без НДС 1]]*BJ60</f>
        <v/>
      </c>
      <c r="BL60" s="109">
        <f>SUMPRODUCT(--(MOD(COLUMN($L60:$BG60),4)=MOD(COLUMN($L60)+2,4)),$L60:$BG60)</f>
        <v/>
      </c>
      <c r="BM60" s="224">
        <f>Автовик_разбивка[[#This Row],[Цена, 
юань, без НДС 1]]*BL60</f>
        <v/>
      </c>
      <c r="BN60" s="178" t="n"/>
      <c r="BO60" s="184" t="n"/>
      <c r="BP60" s="130">
        <f>$E60*0</f>
        <v/>
      </c>
      <c r="BQ60" s="179" t="n"/>
      <c r="BR60" s="130" t="n"/>
      <c r="BS60" s="178" t="n"/>
      <c r="BT60" s="184" t="n"/>
      <c r="BU60" s="130">
        <f>$E60*0</f>
        <v/>
      </c>
      <c r="BV60" s="179" t="n"/>
      <c r="BW60" s="130" t="n"/>
      <c r="BX60" s="178" t="n"/>
      <c r="BY60" s="184" t="n"/>
      <c r="BZ60" s="130">
        <f>$E60*0</f>
        <v/>
      </c>
      <c r="CA60" s="179" t="n"/>
      <c r="CB60" s="130" t="n"/>
      <c r="CC60" s="178" t="n"/>
      <c r="CD60" s="184" t="n"/>
      <c r="CE60" s="130">
        <f>$E60*0</f>
        <v/>
      </c>
      <c r="CF60" s="179" t="n"/>
      <c r="CG60" s="130" t="n"/>
      <c r="CH60" s="178" t="n"/>
      <c r="CI60" s="184" t="n"/>
      <c r="CJ60" s="130">
        <f>$E60*0</f>
        <v/>
      </c>
      <c r="CK60" s="109" t="n"/>
      <c r="CL60" s="130" t="n"/>
      <c r="CM60" s="178" t="n"/>
      <c r="CN60" s="184" t="n"/>
      <c r="CO60" s="130">
        <f>$E60*0</f>
        <v/>
      </c>
      <c r="CP60" s="109" t="n"/>
      <c r="CQ60" s="130" t="n"/>
      <c r="CR60" s="178" t="n"/>
      <c r="CS60" s="184" t="n"/>
      <c r="CT60" s="130">
        <f>$E60*0</f>
        <v/>
      </c>
      <c r="CU60" s="109" t="n"/>
      <c r="CV60" s="130" t="n"/>
      <c r="CW60" s="178" t="n"/>
      <c r="CX60" s="184" t="n"/>
      <c r="CY60" s="130">
        <f>$E60*0</f>
        <v/>
      </c>
      <c r="CZ60" s="109" t="n"/>
      <c r="DA60" s="130" t="n"/>
      <c r="DB60" s="178" t="n"/>
      <c r="DC60" s="184" t="n"/>
      <c r="DD60" s="130">
        <f>$E60*0</f>
        <v/>
      </c>
      <c r="DE60" s="109" t="n"/>
      <c r="DF60" s="130" t="n"/>
      <c r="DG60" s="178" t="n"/>
      <c r="DH60" s="184" t="n"/>
      <c r="DI60" s="130">
        <f>$E60*0</f>
        <v/>
      </c>
      <c r="DJ60" s="109" t="n"/>
      <c r="DK60" s="130" t="n"/>
      <c r="DL60" s="178" t="n"/>
      <c r="DM60" s="184" t="n"/>
      <c r="DN60" s="130">
        <f>$E60*0</f>
        <v/>
      </c>
      <c r="DO60" s="193" t="n"/>
      <c r="DP60" s="130" t="n"/>
      <c r="DQ60" s="178" t="n"/>
      <c r="DR60" s="184" t="n"/>
      <c r="DS60" s="130">
        <f>$E60*0</f>
        <v/>
      </c>
      <c r="DT60" s="109" t="n"/>
      <c r="DU60" s="130" t="n"/>
      <c r="DV60" s="180">
        <f>SUMPRODUCT(--(MOD(COLUMN($BN60:$DU60),5)=MOD(COLUMN($BN60),5)),$BN60:$DU60)</f>
        <v/>
      </c>
      <c r="DW60" s="181">
        <f>Автовик_разбивка[[#This Row],[Цена, 
юань, без НДС 1]]*DV60</f>
        <v/>
      </c>
      <c r="DX60" s="186">
        <f>SUMPRODUCT(--(MOD(COLUMN($BN60:$DU60),5)=MOD(COLUMN($BN60)+1,5)),$BN60:$DU60)</f>
        <v/>
      </c>
      <c r="DY60" s="186">
        <f>Автовик_разбивка[[#This Row],[Цена, 
юань, без НДС 1]]*DX60</f>
        <v/>
      </c>
      <c r="DZ60" s="130">
        <f>SUMPRODUCT(--(MOD(COLUMN($BN60:$DU60),5)=MOD(COLUMN($BN60)+2,5)),$BN60:$DU60)</f>
        <v/>
      </c>
      <c r="EA60" s="187">
        <f>Автовик_разбивка[[#This Row],[Цена, 
юань, без НДС 1]]*DZ60</f>
        <v/>
      </c>
      <c r="EB60" s="109">
        <f>SUMPRODUCT(--(MOD(COLUMN($BN60:$DU60),5)=MOD(COLUMN($BN60)+3,5)),$BN60:$DU60)</f>
        <v/>
      </c>
      <c r="EC60" s="224">
        <f>Автовик_разбивка[[#This Row],[Цена, 
юань, без НДС 1]]*EB60</f>
        <v/>
      </c>
    </row>
    <row r="61">
      <c r="A61" s="221" t="n">
        <v>11</v>
      </c>
      <c r="B61" s="172" t="inlineStr">
        <is>
          <t>ЧМЗАП</t>
        </is>
      </c>
      <c r="C61" s="173" t="inlineStr">
        <is>
          <t>TEBS</t>
        </is>
      </c>
      <c r="D61" s="173" t="inlineStr">
        <is>
          <t xml:space="preserve">TEBS 2s/2m 
15м </t>
        </is>
      </c>
      <c r="E61" s="174" t="n">
        <v>2</v>
      </c>
      <c r="F61" s="174" t="n"/>
      <c r="G61" s="174" t="n"/>
      <c r="H61" s="175" t="n">
        <v>4497230500</v>
      </c>
      <c r="I61" s="176" t="inlineStr">
        <is>
          <t>Кабель датчика, 5 м</t>
        </is>
      </c>
      <c r="J61" s="911" t="n"/>
      <c r="K61" s="912" t="n"/>
      <c r="L61" s="178" t="n">
        <v>4</v>
      </c>
      <c r="M61" s="130">
        <f>$E61*2</f>
        <v/>
      </c>
      <c r="N61" s="179" t="n">
        <v>0</v>
      </c>
      <c r="O61" s="130" t="n"/>
      <c r="P61" s="178" t="n">
        <v>10</v>
      </c>
      <c r="Q61" s="130">
        <f>$E61*0</f>
        <v/>
      </c>
      <c r="R61" s="179" t="n">
        <v>0</v>
      </c>
      <c r="S61" s="130" t="n"/>
      <c r="T61" s="178" t="n">
        <v>20</v>
      </c>
      <c r="U61" s="130">
        <f>($E61+2)*10</f>
        <v/>
      </c>
      <c r="V61" s="179" t="n">
        <v>18</v>
      </c>
      <c r="W61" s="130" t="n"/>
      <c r="X61" s="178" t="n">
        <v>20</v>
      </c>
      <c r="Y61" s="130">
        <f>$E61*10</f>
        <v/>
      </c>
      <c r="Z61" s="179" t="n">
        <v>2</v>
      </c>
      <c r="AA61" s="130" t="n"/>
      <c r="AB61" s="178" t="n">
        <v>20</v>
      </c>
      <c r="AC61" s="130">
        <f>$E61*10</f>
        <v/>
      </c>
      <c r="AD61" s="109" t="n"/>
      <c r="AE61" s="130" t="n"/>
      <c r="AF61" s="178" t="n">
        <v>20</v>
      </c>
      <c r="AG61" s="130">
        <f>$E61*10</f>
        <v/>
      </c>
      <c r="AH61" s="109" t="n"/>
      <c r="AI61" s="130" t="n"/>
      <c r="AJ61" s="178" t="n">
        <v>20</v>
      </c>
      <c r="AK61" s="130">
        <f>$E61*10</f>
        <v/>
      </c>
      <c r="AL61" s="109" t="n"/>
      <c r="AM61" s="130" t="n"/>
      <c r="AN61" s="178" t="n">
        <v>20</v>
      </c>
      <c r="AO61" s="130">
        <f>$E61*6</f>
        <v/>
      </c>
      <c r="AP61" s="109" t="n"/>
      <c r="AQ61" s="130" t="n"/>
      <c r="AR61" s="178" t="n">
        <v>20</v>
      </c>
      <c r="AS61" s="130">
        <f>$E61*5</f>
        <v/>
      </c>
      <c r="AT61" s="109" t="n"/>
      <c r="AU61" s="130" t="n"/>
      <c r="AV61" s="178" t="n">
        <v>20</v>
      </c>
      <c r="AW61" s="130">
        <f>$E61*5</f>
        <v/>
      </c>
      <c r="AX61" s="109" t="n"/>
      <c r="AY61" s="130" t="n"/>
      <c r="AZ61" s="178" t="n">
        <v>20</v>
      </c>
      <c r="BA61" s="130" t="n"/>
      <c r="BB61" s="193" t="n"/>
      <c r="BC61" s="130" t="n"/>
      <c r="BD61" s="178" t="n">
        <v>20</v>
      </c>
      <c r="BE61" s="130" t="n"/>
      <c r="BF61" s="109" t="n"/>
      <c r="BG61" s="130" t="n"/>
      <c r="BH61" s="180">
        <f>SUMPRODUCT(--(MOD(COLUMN($L61:$BG61),4)=MOD(COLUMN($L61),4)),$L61:$BG61)</f>
        <v/>
      </c>
      <c r="BI61" s="181">
        <f>Автовик_разбивка[[#This Row],[Цена, 
юань, без НДС 1]]*BH61</f>
        <v/>
      </c>
      <c r="BJ61" s="130">
        <f>SUMPRODUCT(--(MOD(COLUMN($L61:$BG61),4)=MOD(COLUMN($L61)+1,4)),$L61:$BG61)</f>
        <v/>
      </c>
      <c r="BK61" s="187">
        <f>Автовик_разбивка[[#This Row],[Цена, 
юань, без НДС 1]]*BJ61</f>
        <v/>
      </c>
      <c r="BL61" s="109">
        <f>SUMPRODUCT(--(MOD(COLUMN($L61:$BG61),4)=MOD(COLUMN($L61)+2,4)),$L61:$BG61)</f>
        <v/>
      </c>
      <c r="BM61" s="224">
        <f>Автовик_разбивка[[#This Row],[Цена, 
юань, без НДС 1]]*BL61</f>
        <v/>
      </c>
      <c r="BN61" s="178" t="n"/>
      <c r="BO61" s="184" t="n"/>
      <c r="BP61" s="130">
        <f>$E61*0</f>
        <v/>
      </c>
      <c r="BQ61" s="179" t="n"/>
      <c r="BR61" s="130" t="n"/>
      <c r="BS61" s="178" t="n"/>
      <c r="BT61" s="184" t="n"/>
      <c r="BU61" s="130">
        <f>$E61*0</f>
        <v/>
      </c>
      <c r="BV61" s="179" t="n"/>
      <c r="BW61" s="130" t="n"/>
      <c r="BX61" s="178" t="n"/>
      <c r="BY61" s="184" t="n"/>
      <c r="BZ61" s="130">
        <f>$E61*0</f>
        <v/>
      </c>
      <c r="CA61" s="179" t="n"/>
      <c r="CB61" s="130" t="n"/>
      <c r="CC61" s="178" t="n"/>
      <c r="CD61" s="184" t="n"/>
      <c r="CE61" s="130">
        <f>$E61*0</f>
        <v/>
      </c>
      <c r="CF61" s="179" t="n"/>
      <c r="CG61" s="130" t="n"/>
      <c r="CH61" s="178" t="n"/>
      <c r="CI61" s="184" t="n"/>
      <c r="CJ61" s="130">
        <f>$E61*0</f>
        <v/>
      </c>
      <c r="CK61" s="109" t="n"/>
      <c r="CL61" s="130" t="n"/>
      <c r="CM61" s="178" t="n"/>
      <c r="CN61" s="184" t="n"/>
      <c r="CO61" s="130">
        <f>$E61*0</f>
        <v/>
      </c>
      <c r="CP61" s="109" t="n"/>
      <c r="CQ61" s="130" t="n"/>
      <c r="CR61" s="178" t="n"/>
      <c r="CS61" s="184" t="n"/>
      <c r="CT61" s="130">
        <f>$E61*0</f>
        <v/>
      </c>
      <c r="CU61" s="109" t="n"/>
      <c r="CV61" s="130" t="n"/>
      <c r="CW61" s="178" t="n"/>
      <c r="CX61" s="184" t="n"/>
      <c r="CY61" s="130">
        <f>$E61*0</f>
        <v/>
      </c>
      <c r="CZ61" s="109" t="n"/>
      <c r="DA61" s="130" t="n"/>
      <c r="DB61" s="178" t="n"/>
      <c r="DC61" s="184" t="n"/>
      <c r="DD61" s="130">
        <f>$E61*0</f>
        <v/>
      </c>
      <c r="DE61" s="109" t="n"/>
      <c r="DF61" s="130" t="n"/>
      <c r="DG61" s="178" t="n"/>
      <c r="DH61" s="184" t="n"/>
      <c r="DI61" s="130">
        <f>$E61*0</f>
        <v/>
      </c>
      <c r="DJ61" s="109" t="n"/>
      <c r="DK61" s="130" t="n"/>
      <c r="DL61" s="178" t="n"/>
      <c r="DM61" s="184" t="n"/>
      <c r="DN61" s="130">
        <f>$E61*0</f>
        <v/>
      </c>
      <c r="DO61" s="193" t="n"/>
      <c r="DP61" s="130" t="n"/>
      <c r="DQ61" s="178" t="n"/>
      <c r="DR61" s="184" t="n"/>
      <c r="DS61" s="130">
        <f>$E61*0</f>
        <v/>
      </c>
      <c r="DT61" s="109" t="n"/>
      <c r="DU61" s="130" t="n"/>
      <c r="DV61" s="180">
        <f>SUMPRODUCT(--(MOD(COLUMN($BN61:$DU61),5)=MOD(COLUMN($BN61),5)),$BN61:$DU61)</f>
        <v/>
      </c>
      <c r="DW61" s="181">
        <f>Автовик_разбивка[[#This Row],[Цена, 
юань, без НДС 1]]*DV61</f>
        <v/>
      </c>
      <c r="DX61" s="186">
        <f>SUMPRODUCT(--(MOD(COLUMN($BN61:$DU61),5)=MOD(COLUMN($BN61)+1,5)),$BN61:$DU61)</f>
        <v/>
      </c>
      <c r="DY61" s="186">
        <f>Автовик_разбивка[[#This Row],[Цена, 
юань, без НДС 1]]*DX61</f>
        <v/>
      </c>
      <c r="DZ61" s="130">
        <f>SUMPRODUCT(--(MOD(COLUMN($BN61:$DU61),5)=MOD(COLUMN($BN61)+2,5)),$BN61:$DU61)</f>
        <v/>
      </c>
      <c r="EA61" s="187">
        <f>Автовик_разбивка[[#This Row],[Цена, 
юань, без НДС 1]]*DZ61</f>
        <v/>
      </c>
      <c r="EB61" s="109">
        <f>SUMPRODUCT(--(MOD(COLUMN($BN61:$DU61),5)=MOD(COLUMN($BN61)+3,5)),$BN61:$DU61)</f>
        <v/>
      </c>
      <c r="EC61" s="224">
        <f>Автовик_разбивка[[#This Row],[Цена, 
юань, без НДС 1]]*EB61</f>
        <v/>
      </c>
    </row>
    <row r="62">
      <c r="A62" s="221" t="n">
        <v>11</v>
      </c>
      <c r="B62" s="172" t="inlineStr">
        <is>
          <t>ЧМЗАП</t>
        </is>
      </c>
      <c r="C62" s="173" t="inlineStr">
        <is>
          <t>TEBS</t>
        </is>
      </c>
      <c r="D62" s="173" t="inlineStr">
        <is>
          <t xml:space="preserve">TEBS 2s/2m 
15м </t>
        </is>
      </c>
      <c r="E62" s="174" t="n">
        <v>1</v>
      </c>
      <c r="F62" s="174" t="n"/>
      <c r="G62" s="174" t="n"/>
      <c r="H62" s="175" t="n">
        <v>4630320200</v>
      </c>
      <c r="I62" s="176" t="inlineStr">
        <is>
          <t>Кран ручного управления</t>
        </is>
      </c>
      <c r="J62" s="911" t="n"/>
      <c r="K62" s="912" t="n"/>
      <c r="L62" s="178" t="n">
        <v>2</v>
      </c>
      <c r="M62" s="130">
        <f>$E62*2</f>
        <v/>
      </c>
      <c r="N62" s="179" t="n">
        <v>0</v>
      </c>
      <c r="O62" s="130" t="n"/>
      <c r="P62" s="178" t="n">
        <v>5</v>
      </c>
      <c r="Q62" s="130">
        <f>$E62*0</f>
        <v/>
      </c>
      <c r="R62" s="179" t="n">
        <v>0</v>
      </c>
      <c r="S62" s="130" t="n"/>
      <c r="T62" s="178" t="n">
        <v>10</v>
      </c>
      <c r="U62" s="130">
        <f>$E62*10</f>
        <v/>
      </c>
      <c r="V62" s="179" t="n">
        <v>9</v>
      </c>
      <c r="W62" s="130" t="n"/>
      <c r="X62" s="178" t="n">
        <v>10</v>
      </c>
      <c r="Y62" s="130">
        <f>$E62*10</f>
        <v/>
      </c>
      <c r="Z62" s="179" t="n">
        <v>1</v>
      </c>
      <c r="AA62" s="130" t="n"/>
      <c r="AB62" s="178" t="n">
        <v>10</v>
      </c>
      <c r="AC62" s="130">
        <f>$E62*10</f>
        <v/>
      </c>
      <c r="AD62" s="109" t="n"/>
      <c r="AE62" s="130" t="n"/>
      <c r="AF62" s="178" t="n">
        <v>10</v>
      </c>
      <c r="AG62" s="130">
        <f>$E62*10</f>
        <v/>
      </c>
      <c r="AH62" s="109" t="n"/>
      <c r="AI62" s="130" t="n"/>
      <c r="AJ62" s="178" t="n">
        <v>10</v>
      </c>
      <c r="AK62" s="130">
        <f>$E62*10</f>
        <v/>
      </c>
      <c r="AL62" s="109" t="n"/>
      <c r="AM62" s="130" t="n"/>
      <c r="AN62" s="178" t="n">
        <v>10</v>
      </c>
      <c r="AO62" s="130">
        <f>$E62*6</f>
        <v/>
      </c>
      <c r="AP62" s="109" t="n"/>
      <c r="AQ62" s="130" t="n"/>
      <c r="AR62" s="178" t="n">
        <v>10</v>
      </c>
      <c r="AS62" s="130">
        <f>$E62*5</f>
        <v/>
      </c>
      <c r="AT62" s="109" t="n"/>
      <c r="AU62" s="130" t="n"/>
      <c r="AV62" s="178" t="n">
        <v>10</v>
      </c>
      <c r="AW62" s="130">
        <f>$E62*5</f>
        <v/>
      </c>
      <c r="AX62" s="109" t="n"/>
      <c r="AY62" s="130" t="n"/>
      <c r="AZ62" s="178" t="n">
        <v>10</v>
      </c>
      <c r="BA62" s="130" t="n"/>
      <c r="BB62" s="194" t="n"/>
      <c r="BC62" s="130" t="n"/>
      <c r="BD62" s="178" t="n">
        <v>10</v>
      </c>
      <c r="BE62" s="130" t="n"/>
      <c r="BF62" s="109" t="n"/>
      <c r="BG62" s="130" t="n"/>
      <c r="BH62" s="180">
        <f>SUMPRODUCT(--(MOD(COLUMN($L62:$BG62),4)=MOD(COLUMN($L62),4)),$L62:$BG62)</f>
        <v/>
      </c>
      <c r="BI62" s="181">
        <f>Автовик_разбивка[[#This Row],[Цена, 
юань, без НДС 1]]*BH62</f>
        <v/>
      </c>
      <c r="BJ62" s="130">
        <f>SUMPRODUCT(--(MOD(COLUMN($L62:$BG62),4)=MOD(COLUMN($L62)+1,4)),$L62:$BG62)</f>
        <v/>
      </c>
      <c r="BK62" s="187">
        <f>Автовик_разбивка[[#This Row],[Цена, 
юань, без НДС 1]]*BJ62</f>
        <v/>
      </c>
      <c r="BL62" s="109">
        <f>SUMPRODUCT(--(MOD(COLUMN($L62:$BG62),4)=MOD(COLUMN($L62)+2,4)),$L62:$BG62)</f>
        <v/>
      </c>
      <c r="BM62" s="224">
        <f>Автовик_разбивка[[#This Row],[Цена, 
юань, без НДС 1]]*BL62</f>
        <v/>
      </c>
      <c r="BN62" s="178" t="n"/>
      <c r="BO62" s="184" t="n"/>
      <c r="BP62" s="130">
        <f>$E62*0</f>
        <v/>
      </c>
      <c r="BQ62" s="179" t="n"/>
      <c r="BR62" s="130" t="n"/>
      <c r="BS62" s="178" t="n"/>
      <c r="BT62" s="184" t="n"/>
      <c r="BU62" s="130">
        <f>$E62*0</f>
        <v/>
      </c>
      <c r="BV62" s="179" t="n"/>
      <c r="BW62" s="130" t="n"/>
      <c r="BX62" s="178" t="n"/>
      <c r="BY62" s="184" t="n"/>
      <c r="BZ62" s="130">
        <f>$E62*0</f>
        <v/>
      </c>
      <c r="CA62" s="179" t="n"/>
      <c r="CB62" s="130" t="n"/>
      <c r="CC62" s="178" t="n"/>
      <c r="CD62" s="184" t="n"/>
      <c r="CE62" s="130">
        <f>$E62*0</f>
        <v/>
      </c>
      <c r="CF62" s="179" t="n"/>
      <c r="CG62" s="130" t="n"/>
      <c r="CH62" s="178" t="n"/>
      <c r="CI62" s="184" t="n"/>
      <c r="CJ62" s="130">
        <f>$E62*0</f>
        <v/>
      </c>
      <c r="CK62" s="109" t="n"/>
      <c r="CL62" s="130" t="n"/>
      <c r="CM62" s="178" t="n"/>
      <c r="CN62" s="184" t="n"/>
      <c r="CO62" s="130">
        <f>$E62*0</f>
        <v/>
      </c>
      <c r="CP62" s="109" t="n"/>
      <c r="CQ62" s="130" t="n"/>
      <c r="CR62" s="178" t="n"/>
      <c r="CS62" s="184" t="n"/>
      <c r="CT62" s="130">
        <f>$E62*0</f>
        <v/>
      </c>
      <c r="CU62" s="109" t="n"/>
      <c r="CV62" s="130" t="n"/>
      <c r="CW62" s="178" t="n"/>
      <c r="CX62" s="184" t="n"/>
      <c r="CY62" s="130">
        <f>$E62*0</f>
        <v/>
      </c>
      <c r="CZ62" s="109" t="n"/>
      <c r="DA62" s="130" t="n"/>
      <c r="DB62" s="178" t="n"/>
      <c r="DC62" s="184" t="n"/>
      <c r="DD62" s="130">
        <f>$E62*0</f>
        <v/>
      </c>
      <c r="DE62" s="109" t="n"/>
      <c r="DF62" s="130" t="n"/>
      <c r="DG62" s="178" t="n"/>
      <c r="DH62" s="184" t="n"/>
      <c r="DI62" s="130">
        <f>$E62*0</f>
        <v/>
      </c>
      <c r="DJ62" s="109" t="n"/>
      <c r="DK62" s="130" t="n"/>
      <c r="DL62" s="178" t="n"/>
      <c r="DM62" s="184" t="n"/>
      <c r="DN62" s="130">
        <f>$E62*0</f>
        <v/>
      </c>
      <c r="DO62" s="194" t="n"/>
      <c r="DP62" s="130" t="n"/>
      <c r="DQ62" s="178" t="n"/>
      <c r="DR62" s="184" t="n"/>
      <c r="DS62" s="130">
        <f>$E62*0</f>
        <v/>
      </c>
      <c r="DT62" s="109" t="n"/>
      <c r="DU62" s="130" t="n"/>
      <c r="DV62" s="180">
        <f>SUMPRODUCT(--(MOD(COLUMN($BN62:$DU62),5)=MOD(COLUMN($BN62),5)),$BN62:$DU62)</f>
        <v/>
      </c>
      <c r="DW62" s="181">
        <f>Автовик_разбивка[[#This Row],[Цена, 
юань, без НДС 1]]*DV62</f>
        <v/>
      </c>
      <c r="DX62" s="186">
        <f>SUMPRODUCT(--(MOD(COLUMN($BN62:$DU62),5)=MOD(COLUMN($BN62)+1,5)),$BN62:$DU62)</f>
        <v/>
      </c>
      <c r="DY62" s="186">
        <f>Автовик_разбивка[[#This Row],[Цена, 
юань, без НДС 1]]*DX62</f>
        <v/>
      </c>
      <c r="DZ62" s="130">
        <f>SUMPRODUCT(--(MOD(COLUMN($BN62:$DU62),5)=MOD(COLUMN($BN62)+2,5)),$BN62:$DU62)</f>
        <v/>
      </c>
      <c r="EA62" s="187">
        <f>Автовик_разбивка[[#This Row],[Цена, 
юань, без НДС 1]]*DZ62</f>
        <v/>
      </c>
      <c r="EB62" s="109">
        <f>SUMPRODUCT(--(MOD(COLUMN($BN62:$DU62),5)=MOD(COLUMN($BN62)+3,5)),$BN62:$DU62)</f>
        <v/>
      </c>
      <c r="EC62" s="224">
        <f>Автовик_разбивка[[#This Row],[Цена, 
юань, без НДС 1]]*EB62</f>
        <v/>
      </c>
    </row>
    <row r="63">
      <c r="A63" s="221" t="n">
        <v>11</v>
      </c>
      <c r="B63" s="172" t="inlineStr">
        <is>
          <t>ЧМЗАП</t>
        </is>
      </c>
      <c r="C63" s="173" t="inlineStr">
        <is>
          <t>TEBS</t>
        </is>
      </c>
      <c r="D63" s="173" t="inlineStr">
        <is>
          <t xml:space="preserve">TEBS 2s/2m 
15м </t>
        </is>
      </c>
      <c r="E63" s="174" t="n">
        <v>1</v>
      </c>
      <c r="F63" s="174" t="n"/>
      <c r="G63" s="174" t="n"/>
      <c r="H63" s="175" t="n">
        <v>4640061000</v>
      </c>
      <c r="I63" s="176" t="inlineStr">
        <is>
          <t>Кран уровня пола, 5-ти портовый</t>
        </is>
      </c>
      <c r="J63" s="911" t="n"/>
      <c r="K63" s="912" t="n"/>
      <c r="L63" s="178" t="n">
        <v>2</v>
      </c>
      <c r="M63" s="130">
        <f>$E63*2</f>
        <v/>
      </c>
      <c r="N63" s="179" t="n">
        <v>0</v>
      </c>
      <c r="O63" s="130" t="n"/>
      <c r="P63" s="178" t="n">
        <v>5</v>
      </c>
      <c r="Q63" s="130">
        <f>$E63*0</f>
        <v/>
      </c>
      <c r="R63" s="179" t="n">
        <v>0</v>
      </c>
      <c r="S63" s="130" t="n"/>
      <c r="T63" s="178" t="n">
        <v>10</v>
      </c>
      <c r="U63" s="130">
        <f>$E63*10</f>
        <v/>
      </c>
      <c r="V63" s="179" t="n">
        <v>9</v>
      </c>
      <c r="W63" s="130" t="n"/>
      <c r="X63" s="178" t="n">
        <v>10</v>
      </c>
      <c r="Y63" s="130">
        <f>$E63*10</f>
        <v/>
      </c>
      <c r="Z63" s="179" t="n">
        <v>1</v>
      </c>
      <c r="AA63" s="130" t="n"/>
      <c r="AB63" s="178" t="n">
        <v>10</v>
      </c>
      <c r="AC63" s="130">
        <f>$E63*10</f>
        <v/>
      </c>
      <c r="AD63" s="109" t="n"/>
      <c r="AE63" s="130" t="n"/>
      <c r="AF63" s="178" t="n">
        <v>10</v>
      </c>
      <c r="AG63" s="130">
        <f>$E63*10</f>
        <v/>
      </c>
      <c r="AH63" s="109" t="n"/>
      <c r="AI63" s="130" t="n"/>
      <c r="AJ63" s="178" t="n">
        <v>10</v>
      </c>
      <c r="AK63" s="130">
        <f>$E63*10</f>
        <v/>
      </c>
      <c r="AL63" s="109" t="n"/>
      <c r="AM63" s="130" t="n"/>
      <c r="AN63" s="178" t="n">
        <v>10</v>
      </c>
      <c r="AO63" s="130">
        <f>$E63*6</f>
        <v/>
      </c>
      <c r="AP63" s="109" t="n"/>
      <c r="AQ63" s="130" t="n"/>
      <c r="AR63" s="178" t="n">
        <v>10</v>
      </c>
      <c r="AS63" s="130">
        <f>$E63*5</f>
        <v/>
      </c>
      <c r="AT63" s="109" t="n"/>
      <c r="AU63" s="130" t="n"/>
      <c r="AV63" s="178" t="n">
        <v>10</v>
      </c>
      <c r="AW63" s="130">
        <f>$E63*5</f>
        <v/>
      </c>
      <c r="AX63" s="109" t="n"/>
      <c r="AY63" s="130" t="n"/>
      <c r="AZ63" s="178" t="n">
        <v>10</v>
      </c>
      <c r="BA63" s="130" t="n"/>
      <c r="BB63" s="179" t="n"/>
      <c r="BC63" s="130" t="n"/>
      <c r="BD63" s="178" t="n">
        <v>10</v>
      </c>
      <c r="BE63" s="130" t="n"/>
      <c r="BF63" s="109" t="n"/>
      <c r="BG63" s="130" t="n"/>
      <c r="BH63" s="180">
        <f>SUMPRODUCT(--(MOD(COLUMN($L63:$BG63),4)=MOD(COLUMN($L63),4)),$L63:$BG63)</f>
        <v/>
      </c>
      <c r="BI63" s="181">
        <f>Автовик_разбивка[[#This Row],[Цена, 
юань, без НДС 1]]*BH63</f>
        <v/>
      </c>
      <c r="BJ63" s="130">
        <f>SUMPRODUCT(--(MOD(COLUMN($L63:$BG63),4)=MOD(COLUMN($L63)+1,4)),$L63:$BG63)</f>
        <v/>
      </c>
      <c r="BK63" s="187">
        <f>Автовик_разбивка[[#This Row],[Цена, 
юань, без НДС 1]]*BJ63</f>
        <v/>
      </c>
      <c r="BL63" s="109">
        <f>SUMPRODUCT(--(MOD(COLUMN($L63:$BG63),4)=MOD(COLUMN($L63)+2,4)),$L63:$BG63)</f>
        <v/>
      </c>
      <c r="BM63" s="224">
        <f>Автовик_разбивка[[#This Row],[Цена, 
юань, без НДС 1]]*BL63</f>
        <v/>
      </c>
      <c r="BN63" s="178" t="n"/>
      <c r="BO63" s="184" t="n"/>
      <c r="BP63" s="130">
        <f>$E63*0</f>
        <v/>
      </c>
      <c r="BQ63" s="179" t="n"/>
      <c r="BR63" s="130" t="n"/>
      <c r="BS63" s="178" t="n"/>
      <c r="BT63" s="184" t="n"/>
      <c r="BU63" s="130">
        <f>$E63*0</f>
        <v/>
      </c>
      <c r="BV63" s="179" t="n"/>
      <c r="BW63" s="130" t="n"/>
      <c r="BX63" s="178" t="n"/>
      <c r="BY63" s="184" t="n"/>
      <c r="BZ63" s="130">
        <f>$E63*0</f>
        <v/>
      </c>
      <c r="CA63" s="179" t="n"/>
      <c r="CB63" s="130" t="n"/>
      <c r="CC63" s="178" t="n"/>
      <c r="CD63" s="184" t="n"/>
      <c r="CE63" s="130">
        <f>$E63*0</f>
        <v/>
      </c>
      <c r="CF63" s="179" t="n"/>
      <c r="CG63" s="130" t="n"/>
      <c r="CH63" s="178" t="n"/>
      <c r="CI63" s="184" t="n"/>
      <c r="CJ63" s="130">
        <f>$E63*0</f>
        <v/>
      </c>
      <c r="CK63" s="109" t="n"/>
      <c r="CL63" s="130" t="n"/>
      <c r="CM63" s="178" t="n"/>
      <c r="CN63" s="184" t="n"/>
      <c r="CO63" s="130">
        <f>$E63*0</f>
        <v/>
      </c>
      <c r="CP63" s="109" t="n"/>
      <c r="CQ63" s="130" t="n"/>
      <c r="CR63" s="178" t="n"/>
      <c r="CS63" s="184" t="n"/>
      <c r="CT63" s="130">
        <f>$E63*0</f>
        <v/>
      </c>
      <c r="CU63" s="109" t="n"/>
      <c r="CV63" s="130" t="n"/>
      <c r="CW63" s="178" t="n"/>
      <c r="CX63" s="184" t="n"/>
      <c r="CY63" s="130">
        <f>$E63*0</f>
        <v/>
      </c>
      <c r="CZ63" s="109" t="n"/>
      <c r="DA63" s="130" t="n"/>
      <c r="DB63" s="178" t="n"/>
      <c r="DC63" s="184" t="n"/>
      <c r="DD63" s="130">
        <f>$E63*0</f>
        <v/>
      </c>
      <c r="DE63" s="109" t="n"/>
      <c r="DF63" s="130" t="n"/>
      <c r="DG63" s="178" t="n"/>
      <c r="DH63" s="184" t="n"/>
      <c r="DI63" s="130">
        <f>$E63*0</f>
        <v/>
      </c>
      <c r="DJ63" s="109" t="n"/>
      <c r="DK63" s="130" t="n"/>
      <c r="DL63" s="178" t="n"/>
      <c r="DM63" s="184" t="n"/>
      <c r="DN63" s="130">
        <f>$E63*0</f>
        <v/>
      </c>
      <c r="DO63" s="179" t="n"/>
      <c r="DP63" s="130" t="n"/>
      <c r="DQ63" s="178" t="n"/>
      <c r="DR63" s="184" t="n"/>
      <c r="DS63" s="130">
        <f>$E63*0</f>
        <v/>
      </c>
      <c r="DT63" s="109" t="n"/>
      <c r="DU63" s="130" t="n"/>
      <c r="DV63" s="180">
        <f>SUMPRODUCT(--(MOD(COLUMN($BN63:$DU63),5)=MOD(COLUMN($BN63),5)),$BN63:$DU63)</f>
        <v/>
      </c>
      <c r="DW63" s="181">
        <f>Автовик_разбивка[[#This Row],[Цена, 
юань, без НДС 1]]*DV63</f>
        <v/>
      </c>
      <c r="DX63" s="186">
        <f>SUMPRODUCT(--(MOD(COLUMN($BN63:$DU63),5)=MOD(COLUMN($BN63)+1,5)),$BN63:$DU63)</f>
        <v/>
      </c>
      <c r="DY63" s="186">
        <f>Автовик_разбивка[[#This Row],[Цена, 
юань, без НДС 1]]*DX63</f>
        <v/>
      </c>
      <c r="DZ63" s="130">
        <f>SUMPRODUCT(--(MOD(COLUMN($BN63:$DU63),5)=MOD(COLUMN($BN63)+2,5)),$BN63:$DU63)</f>
        <v/>
      </c>
      <c r="EA63" s="187">
        <f>Автовик_разбивка[[#This Row],[Цена, 
юань, без НДС 1]]*DZ63</f>
        <v/>
      </c>
      <c r="EB63" s="109">
        <f>SUMPRODUCT(--(MOD(COLUMN($BN63:$DU63),5)=MOD(COLUMN($BN63)+3,5)),$BN63:$DU63)</f>
        <v/>
      </c>
      <c r="EC63" s="224">
        <f>Автовик_разбивка[[#This Row],[Цена, 
юань, без НДС 1]]*EB63</f>
        <v/>
      </c>
    </row>
    <row r="64">
      <c r="A64" s="221" t="n">
        <v>11</v>
      </c>
      <c r="B64" s="172" t="inlineStr">
        <is>
          <t>ЧМЗАП</t>
        </is>
      </c>
      <c r="C64" s="173" t="inlineStr">
        <is>
          <t>TEBS</t>
        </is>
      </c>
      <c r="D64" s="173" t="inlineStr">
        <is>
          <t xml:space="preserve">TEBS 2s/2m 
15м </t>
        </is>
      </c>
      <c r="E64" s="174" t="n">
        <v>1</v>
      </c>
      <c r="F64" s="174" t="n"/>
      <c r="G64" s="174" t="n"/>
      <c r="H64" s="175" t="n">
        <v>4801020640</v>
      </c>
      <c r="I64" s="176" t="inlineStr">
        <is>
          <t>Модулятор EBS, с PEM, без фит.</t>
        </is>
      </c>
      <c r="J64" s="911" t="n"/>
      <c r="K64" s="912" t="n"/>
      <c r="L64" s="178" t="n">
        <v>2</v>
      </c>
      <c r="M64" s="130">
        <f>$E64*2</f>
        <v/>
      </c>
      <c r="N64" s="179" t="n">
        <v>0</v>
      </c>
      <c r="O64" s="130" t="n"/>
      <c r="P64" s="178" t="n">
        <v>5</v>
      </c>
      <c r="Q64" s="130">
        <f>$E64*0</f>
        <v/>
      </c>
      <c r="R64" s="179" t="n">
        <v>0</v>
      </c>
      <c r="S64" s="130" t="n"/>
      <c r="T64" s="178" t="n">
        <v>10</v>
      </c>
      <c r="U64" s="130">
        <f>$E64*10</f>
        <v/>
      </c>
      <c r="V64" s="179" t="n">
        <v>9</v>
      </c>
      <c r="W64" s="130" t="n"/>
      <c r="X64" s="178" t="n">
        <v>10</v>
      </c>
      <c r="Y64" s="130">
        <f>$E64*10</f>
        <v/>
      </c>
      <c r="Z64" s="179" t="n">
        <v>1</v>
      </c>
      <c r="AA64" s="130" t="n"/>
      <c r="AB64" s="178" t="n">
        <v>10</v>
      </c>
      <c r="AC64" s="130">
        <f>$E64*10</f>
        <v/>
      </c>
      <c r="AD64" s="109" t="n"/>
      <c r="AE64" s="130" t="n"/>
      <c r="AF64" s="178" t="n">
        <v>10</v>
      </c>
      <c r="AG64" s="130">
        <f>$E64*10</f>
        <v/>
      </c>
      <c r="AH64" s="109" t="n"/>
      <c r="AI64" s="130" t="n"/>
      <c r="AJ64" s="178" t="n">
        <v>10</v>
      </c>
      <c r="AK64" s="130">
        <f>$E64*10</f>
        <v/>
      </c>
      <c r="AL64" s="109" t="n"/>
      <c r="AM64" s="130" t="n"/>
      <c r="AN64" s="178" t="n">
        <v>10</v>
      </c>
      <c r="AO64" s="130">
        <f>$E64*6</f>
        <v/>
      </c>
      <c r="AP64" s="109" t="n"/>
      <c r="AQ64" s="130" t="n"/>
      <c r="AR64" s="178" t="n">
        <v>10</v>
      </c>
      <c r="AS64" s="130">
        <f>$E64*5</f>
        <v/>
      </c>
      <c r="AT64" s="109" t="n"/>
      <c r="AU64" s="130" t="n"/>
      <c r="AV64" s="178" t="n">
        <v>10</v>
      </c>
      <c r="AW64" s="130">
        <f>$E64*5</f>
        <v/>
      </c>
      <c r="AX64" s="109" t="n"/>
      <c r="AY64" s="130" t="n"/>
      <c r="AZ64" s="178" t="n">
        <v>10</v>
      </c>
      <c r="BA64" s="130" t="n"/>
      <c r="BB64" s="193" t="n"/>
      <c r="BC64" s="130" t="n"/>
      <c r="BD64" s="178" t="n">
        <v>10</v>
      </c>
      <c r="BE64" s="130" t="n"/>
      <c r="BF64" s="109" t="n"/>
      <c r="BG64" s="130" t="n"/>
      <c r="BH64" s="180">
        <f>SUMPRODUCT(--(MOD(COLUMN($L64:$BG64),4)=MOD(COLUMN($L64),4)),$L64:$BG64)</f>
        <v/>
      </c>
      <c r="BI64" s="181">
        <f>Автовик_разбивка[[#This Row],[Цена, 
юань, без НДС 1]]*BH64</f>
        <v/>
      </c>
      <c r="BJ64" s="130">
        <f>SUMPRODUCT(--(MOD(COLUMN($L64:$BG64),4)=MOD(COLUMN($L64)+1,4)),$L64:$BG64)</f>
        <v/>
      </c>
      <c r="BK64" s="187">
        <f>Автовик_разбивка[[#This Row],[Цена, 
юань, без НДС 1]]*BJ64</f>
        <v/>
      </c>
      <c r="BL64" s="109">
        <f>SUMPRODUCT(--(MOD(COLUMN($L64:$BG64),4)=MOD(COLUMN($L64)+2,4)),$L64:$BG64)</f>
        <v/>
      </c>
      <c r="BM64" s="224">
        <f>Автовик_разбивка[[#This Row],[Цена, 
юань, без НДС 1]]*BL64</f>
        <v/>
      </c>
      <c r="BN64" s="178" t="n"/>
      <c r="BO64" s="184" t="n"/>
      <c r="BP64" s="130">
        <f>$E64*0</f>
        <v/>
      </c>
      <c r="BQ64" s="179" t="n"/>
      <c r="BR64" s="130" t="n"/>
      <c r="BS64" s="178" t="n"/>
      <c r="BT64" s="184" t="n"/>
      <c r="BU64" s="130">
        <f>$E64*0</f>
        <v/>
      </c>
      <c r="BV64" s="179" t="n"/>
      <c r="BW64" s="130" t="n"/>
      <c r="BX64" s="178" t="n"/>
      <c r="BY64" s="184" t="n"/>
      <c r="BZ64" s="130">
        <f>$E64*0</f>
        <v/>
      </c>
      <c r="CA64" s="179" t="n"/>
      <c r="CB64" s="130" t="n"/>
      <c r="CC64" s="178" t="n"/>
      <c r="CD64" s="184" t="n"/>
      <c r="CE64" s="130">
        <f>$E64*0</f>
        <v/>
      </c>
      <c r="CF64" s="179" t="n"/>
      <c r="CG64" s="130" t="n"/>
      <c r="CH64" s="178" t="n"/>
      <c r="CI64" s="184" t="n"/>
      <c r="CJ64" s="130">
        <f>$E64*0</f>
        <v/>
      </c>
      <c r="CK64" s="109" t="n"/>
      <c r="CL64" s="130" t="n"/>
      <c r="CM64" s="178" t="n"/>
      <c r="CN64" s="184" t="n"/>
      <c r="CO64" s="130">
        <f>$E64*0</f>
        <v/>
      </c>
      <c r="CP64" s="109" t="n"/>
      <c r="CQ64" s="130" t="n"/>
      <c r="CR64" s="178" t="n"/>
      <c r="CS64" s="184" t="n"/>
      <c r="CT64" s="130">
        <f>$E64*0</f>
        <v/>
      </c>
      <c r="CU64" s="109" t="n"/>
      <c r="CV64" s="130" t="n"/>
      <c r="CW64" s="178" t="n"/>
      <c r="CX64" s="184" t="n"/>
      <c r="CY64" s="130">
        <f>$E64*0</f>
        <v/>
      </c>
      <c r="CZ64" s="109" t="n"/>
      <c r="DA64" s="130" t="n"/>
      <c r="DB64" s="178" t="n"/>
      <c r="DC64" s="184" t="n"/>
      <c r="DD64" s="130">
        <f>$E64*0</f>
        <v/>
      </c>
      <c r="DE64" s="109" t="n"/>
      <c r="DF64" s="130" t="n"/>
      <c r="DG64" s="178" t="n"/>
      <c r="DH64" s="184" t="n"/>
      <c r="DI64" s="130">
        <f>$E64*0</f>
        <v/>
      </c>
      <c r="DJ64" s="109" t="n"/>
      <c r="DK64" s="130" t="n"/>
      <c r="DL64" s="178" t="n"/>
      <c r="DM64" s="184" t="n"/>
      <c r="DN64" s="130">
        <f>$E64*0</f>
        <v/>
      </c>
      <c r="DO64" s="193" t="n"/>
      <c r="DP64" s="130" t="n"/>
      <c r="DQ64" s="178" t="n"/>
      <c r="DR64" s="184" t="n"/>
      <c r="DS64" s="130">
        <f>$E64*0</f>
        <v/>
      </c>
      <c r="DT64" s="109" t="n"/>
      <c r="DU64" s="130" t="n"/>
      <c r="DV64" s="180">
        <f>SUMPRODUCT(--(MOD(COLUMN($BN64:$DU64),5)=MOD(COLUMN($BN64),5)),$BN64:$DU64)</f>
        <v/>
      </c>
      <c r="DW64" s="181">
        <f>Автовик_разбивка[[#This Row],[Цена, 
юань, без НДС 1]]*DV64</f>
        <v/>
      </c>
      <c r="DX64" s="186">
        <f>SUMPRODUCT(--(MOD(COLUMN($BN64:$DU64),5)=MOD(COLUMN($BN64)+1,5)),$BN64:$DU64)</f>
        <v/>
      </c>
      <c r="DY64" s="186">
        <f>Автовик_разбивка[[#This Row],[Цена, 
юань, без НДС 1]]*DX64</f>
        <v/>
      </c>
      <c r="DZ64" s="130">
        <f>SUMPRODUCT(--(MOD(COLUMN($BN64:$DU64),5)=MOD(COLUMN($BN64)+2,5)),$BN64:$DU64)</f>
        <v/>
      </c>
      <c r="EA64" s="187">
        <f>Автовик_разбивка[[#This Row],[Цена, 
юань, без НДС 1]]*DZ64</f>
        <v/>
      </c>
      <c r="EB64" s="109">
        <f>SUMPRODUCT(--(MOD(COLUMN($BN64:$DU64),5)=MOD(COLUMN($BN64)+3,5)),$BN64:$DU64)</f>
        <v/>
      </c>
      <c r="EC64" s="224">
        <f>Автовик_разбивка[[#This Row],[Цена, 
юань, без НДС 1]]*EB64</f>
        <v/>
      </c>
    </row>
    <row r="65">
      <c r="A65" s="221" t="n">
        <v>11</v>
      </c>
      <c r="B65" s="172" t="inlineStr">
        <is>
          <t>ЧМЗАП</t>
        </is>
      </c>
      <c r="C65" s="173" t="inlineStr">
        <is>
          <t>TEBS</t>
        </is>
      </c>
      <c r="D65" s="173" t="inlineStr">
        <is>
          <t xml:space="preserve">TEBS 2s/2m 
15м </t>
        </is>
      </c>
      <c r="E65" s="174" t="n">
        <v>1</v>
      </c>
      <c r="F65" s="174" t="n"/>
      <c r="G65" s="174" t="n"/>
      <c r="H65" s="175" t="n">
        <v>9522010010</v>
      </c>
      <c r="I65" s="176" t="inlineStr">
        <is>
          <t>Головка соединительная (управляющая)</t>
        </is>
      </c>
      <c r="J65" s="911" t="n"/>
      <c r="K65" s="913" t="n"/>
      <c r="L65" s="178" t="n">
        <v>2</v>
      </c>
      <c r="M65" s="130">
        <f>$E65*2</f>
        <v/>
      </c>
      <c r="N65" s="179" t="n">
        <v>0</v>
      </c>
      <c r="O65" s="130" t="n"/>
      <c r="P65" s="178" t="n">
        <v>5</v>
      </c>
      <c r="Q65" s="130">
        <f>$E65*0</f>
        <v/>
      </c>
      <c r="R65" s="179" t="n">
        <v>0</v>
      </c>
      <c r="S65" s="130" t="n"/>
      <c r="T65" s="178" t="n">
        <v>10</v>
      </c>
      <c r="U65" s="130">
        <f>$E65*10</f>
        <v/>
      </c>
      <c r="V65" s="179" t="n">
        <v>9</v>
      </c>
      <c r="W65" s="130" t="n"/>
      <c r="X65" s="178" t="n">
        <v>10</v>
      </c>
      <c r="Y65" s="130">
        <f>$E65*10</f>
        <v/>
      </c>
      <c r="Z65" s="179" t="n">
        <v>1</v>
      </c>
      <c r="AA65" s="130" t="n"/>
      <c r="AB65" s="178" t="n">
        <v>10</v>
      </c>
      <c r="AC65" s="130">
        <f>$E65*10</f>
        <v/>
      </c>
      <c r="AD65" s="179" t="n"/>
      <c r="AE65" s="130" t="n"/>
      <c r="AF65" s="178" t="n">
        <v>10</v>
      </c>
      <c r="AG65" s="130">
        <f>$E65*10</f>
        <v/>
      </c>
      <c r="AH65" s="179" t="n"/>
      <c r="AI65" s="130" t="n"/>
      <c r="AJ65" s="178" t="n">
        <v>10</v>
      </c>
      <c r="AK65" s="130">
        <f>$E65*10</f>
        <v/>
      </c>
      <c r="AL65" s="179" t="n"/>
      <c r="AM65" s="130" t="n"/>
      <c r="AN65" s="178" t="n">
        <v>10</v>
      </c>
      <c r="AO65" s="130">
        <f>$E65*6</f>
        <v/>
      </c>
      <c r="AP65" s="179" t="n"/>
      <c r="AQ65" s="130" t="n"/>
      <c r="AR65" s="178" t="n">
        <v>10</v>
      </c>
      <c r="AS65" s="130">
        <f>$E65*5</f>
        <v/>
      </c>
      <c r="AT65" s="179" t="n"/>
      <c r="AU65" s="130" t="n"/>
      <c r="AV65" s="178" t="n">
        <v>10</v>
      </c>
      <c r="AW65" s="130">
        <f>$E65*5</f>
        <v/>
      </c>
      <c r="AX65" s="179" t="n"/>
      <c r="AY65" s="130" t="n"/>
      <c r="AZ65" s="178" t="n">
        <v>10</v>
      </c>
      <c r="BA65" s="130" t="n"/>
      <c r="BB65" s="228" t="n"/>
      <c r="BC65" s="130" t="n"/>
      <c r="BD65" s="178" t="n">
        <v>10</v>
      </c>
      <c r="BE65" s="130" t="n"/>
      <c r="BF65" s="109" t="n"/>
      <c r="BG65" s="130" t="n"/>
      <c r="BH65" s="180">
        <f>SUMPRODUCT(--(MOD(COLUMN($L65:$BG65),4)=MOD(COLUMN($L65),4)),$L65:$BG65)</f>
        <v/>
      </c>
      <c r="BI65" s="181">
        <f>Автовик_разбивка[[#This Row],[Цена, 
юань, без НДС 1]]*BH65</f>
        <v/>
      </c>
      <c r="BJ65" s="130">
        <f>SUMPRODUCT(--(MOD(COLUMN($L65:$BG65),4)=MOD(COLUMN($L65)+1,4)),$L65:$BG65)</f>
        <v/>
      </c>
      <c r="BK65" s="187">
        <f>Автовик_разбивка[[#This Row],[Цена, 
юань, без НДС 1]]*BJ65</f>
        <v/>
      </c>
      <c r="BL65" s="109">
        <f>SUMPRODUCT(--(MOD(COLUMN($L65:$BG65),4)=MOD(COLUMN($L65)+2,4)),$L65:$BG65)</f>
        <v/>
      </c>
      <c r="BM65" s="224">
        <f>Автовик_разбивка[[#This Row],[Цена, 
юань, без НДС 1]]*BL65</f>
        <v/>
      </c>
      <c r="BN65" s="178" t="n"/>
      <c r="BO65" s="184" t="n"/>
      <c r="BP65" s="130">
        <f>$E65*0</f>
        <v/>
      </c>
      <c r="BQ65" s="179" t="n"/>
      <c r="BR65" s="130" t="n"/>
      <c r="BS65" s="178" t="n"/>
      <c r="BT65" s="184" t="n"/>
      <c r="BU65" s="130">
        <f>$E65*0</f>
        <v/>
      </c>
      <c r="BV65" s="179" t="n"/>
      <c r="BW65" s="130" t="n"/>
      <c r="BX65" s="178" t="n"/>
      <c r="BY65" s="184" t="n"/>
      <c r="BZ65" s="130">
        <f>$E65*0</f>
        <v/>
      </c>
      <c r="CA65" s="179" t="n"/>
      <c r="CB65" s="130" t="n"/>
      <c r="CC65" s="178" t="n"/>
      <c r="CD65" s="184" t="n"/>
      <c r="CE65" s="130">
        <f>$E65*0</f>
        <v/>
      </c>
      <c r="CF65" s="179" t="n"/>
      <c r="CG65" s="130" t="n"/>
      <c r="CH65" s="178" t="n"/>
      <c r="CI65" s="184" t="n"/>
      <c r="CJ65" s="130">
        <f>$E65*0</f>
        <v/>
      </c>
      <c r="CK65" s="179" t="n"/>
      <c r="CL65" s="130" t="n"/>
      <c r="CM65" s="178" t="n"/>
      <c r="CN65" s="184" t="n"/>
      <c r="CO65" s="130">
        <f>$E65*0</f>
        <v/>
      </c>
      <c r="CP65" s="179" t="n"/>
      <c r="CQ65" s="130" t="n"/>
      <c r="CR65" s="178" t="n"/>
      <c r="CS65" s="184" t="n"/>
      <c r="CT65" s="130">
        <f>$E65*0</f>
        <v/>
      </c>
      <c r="CU65" s="179" t="n"/>
      <c r="CV65" s="130" t="n"/>
      <c r="CW65" s="178" t="n"/>
      <c r="CX65" s="184" t="n"/>
      <c r="CY65" s="130">
        <f>$E65*0</f>
        <v/>
      </c>
      <c r="CZ65" s="179" t="n"/>
      <c r="DA65" s="130" t="n"/>
      <c r="DB65" s="178" t="n"/>
      <c r="DC65" s="184" t="n"/>
      <c r="DD65" s="130">
        <f>$E65*0</f>
        <v/>
      </c>
      <c r="DE65" s="179" t="n"/>
      <c r="DF65" s="130" t="n"/>
      <c r="DG65" s="178" t="n"/>
      <c r="DH65" s="184" t="n"/>
      <c r="DI65" s="130">
        <f>$E65*0</f>
        <v/>
      </c>
      <c r="DJ65" s="179" t="n"/>
      <c r="DK65" s="130" t="n"/>
      <c r="DL65" s="178" t="n"/>
      <c r="DM65" s="184" t="n"/>
      <c r="DN65" s="130">
        <f>$E65*0</f>
        <v/>
      </c>
      <c r="DO65" s="228" t="n"/>
      <c r="DP65" s="130" t="n"/>
      <c r="DQ65" s="178" t="n"/>
      <c r="DR65" s="184" t="n"/>
      <c r="DS65" s="130">
        <f>$E65*0</f>
        <v/>
      </c>
      <c r="DT65" s="109" t="n"/>
      <c r="DU65" s="130" t="n"/>
      <c r="DV65" s="180">
        <f>SUMPRODUCT(--(MOD(COLUMN($BN65:$DU65),5)=MOD(COLUMN($BN65),5)),$BN65:$DU65)</f>
        <v/>
      </c>
      <c r="DW65" s="181">
        <f>Автовик_разбивка[[#This Row],[Цена, 
юань, без НДС 1]]*DV65</f>
        <v/>
      </c>
      <c r="DX65" s="186">
        <f>SUMPRODUCT(--(MOD(COLUMN($BN65:$DU65),5)=MOD(COLUMN($BN65)+1,5)),$BN65:$DU65)</f>
        <v/>
      </c>
      <c r="DY65" s="186">
        <f>Автовик_разбивка[[#This Row],[Цена, 
юань, без НДС 1]]*DX65</f>
        <v/>
      </c>
      <c r="DZ65" s="130">
        <f>SUMPRODUCT(--(MOD(COLUMN($BN65:$DU65),5)=MOD(COLUMN($BN65)+2,5)),$BN65:$DU65)</f>
        <v/>
      </c>
      <c r="EA65" s="187">
        <f>Автовик_разбивка[[#This Row],[Цена, 
юань, без НДС 1]]*DZ65</f>
        <v/>
      </c>
      <c r="EB65" s="109">
        <f>SUMPRODUCT(--(MOD(COLUMN($BN65:$DU65),5)=MOD(COLUMN($BN65)+3,5)),$BN65:$DU65)</f>
        <v/>
      </c>
      <c r="EC65" s="224">
        <f>Автовик_разбивка[[#This Row],[Цена, 
юань, без НДС 1]]*EB65</f>
        <v/>
      </c>
    </row>
    <row r="66">
      <c r="A66" s="221" t="n">
        <v>11</v>
      </c>
      <c r="B66" s="172" t="inlineStr">
        <is>
          <t>ЧМЗАП</t>
        </is>
      </c>
      <c r="C66" s="173" t="inlineStr">
        <is>
          <t>TEBS</t>
        </is>
      </c>
      <c r="D66" s="173" t="inlineStr">
        <is>
          <t xml:space="preserve">TEBS 2s/2m 
15м </t>
        </is>
      </c>
      <c r="E66" s="174" t="n">
        <v>1</v>
      </c>
      <c r="F66" s="174" t="n"/>
      <c r="G66" s="174" t="n"/>
      <c r="H66" s="175" t="n">
        <v>9522010020</v>
      </c>
      <c r="I66" s="176" t="inlineStr">
        <is>
          <t>Головка соединительная (питающая)</t>
        </is>
      </c>
      <c r="J66" s="911" t="n"/>
      <c r="K66" s="913" t="n"/>
      <c r="L66" s="178" t="n">
        <v>2</v>
      </c>
      <c r="M66" s="130">
        <f>$E66*2</f>
        <v/>
      </c>
      <c r="N66" s="179" t="n">
        <v>0</v>
      </c>
      <c r="O66" s="130" t="n"/>
      <c r="P66" s="178" t="n">
        <v>5</v>
      </c>
      <c r="Q66" s="130">
        <f>$E66*0</f>
        <v/>
      </c>
      <c r="R66" s="179" t="n">
        <v>0</v>
      </c>
      <c r="S66" s="130" t="n"/>
      <c r="T66" s="178" t="n">
        <v>10</v>
      </c>
      <c r="U66" s="130">
        <f>$E66*10</f>
        <v/>
      </c>
      <c r="V66" s="179" t="n">
        <v>9</v>
      </c>
      <c r="W66" s="130" t="n"/>
      <c r="X66" s="178" t="n">
        <v>10</v>
      </c>
      <c r="Y66" s="130">
        <f>$E66*10</f>
        <v/>
      </c>
      <c r="Z66" s="179" t="n">
        <v>1</v>
      </c>
      <c r="AA66" s="130" t="n"/>
      <c r="AB66" s="178" t="n">
        <v>10</v>
      </c>
      <c r="AC66" s="130">
        <f>$E66*10</f>
        <v/>
      </c>
      <c r="AD66" s="179" t="n"/>
      <c r="AE66" s="130" t="n"/>
      <c r="AF66" s="178" t="n">
        <v>10</v>
      </c>
      <c r="AG66" s="130">
        <f>$E66*10</f>
        <v/>
      </c>
      <c r="AH66" s="179" t="n"/>
      <c r="AI66" s="130" t="n"/>
      <c r="AJ66" s="178" t="n">
        <v>10</v>
      </c>
      <c r="AK66" s="130">
        <f>$E66*10</f>
        <v/>
      </c>
      <c r="AL66" s="179" t="n"/>
      <c r="AM66" s="130" t="n"/>
      <c r="AN66" s="178" t="n">
        <v>10</v>
      </c>
      <c r="AO66" s="130">
        <f>$E66*6</f>
        <v/>
      </c>
      <c r="AP66" s="179" t="n"/>
      <c r="AQ66" s="130" t="n"/>
      <c r="AR66" s="178" t="n">
        <v>10</v>
      </c>
      <c r="AS66" s="130">
        <f>$E66*5</f>
        <v/>
      </c>
      <c r="AT66" s="179" t="n"/>
      <c r="AU66" s="130" t="n"/>
      <c r="AV66" s="178" t="n">
        <v>10</v>
      </c>
      <c r="AW66" s="130">
        <f>$E66*5</f>
        <v/>
      </c>
      <c r="AX66" s="179" t="n"/>
      <c r="AY66" s="130" t="n"/>
      <c r="AZ66" s="178" t="n">
        <v>10</v>
      </c>
      <c r="BA66" s="130" t="n"/>
      <c r="BB66" s="228" t="n"/>
      <c r="BC66" s="130" t="n"/>
      <c r="BD66" s="178" t="n">
        <v>10</v>
      </c>
      <c r="BE66" s="130" t="n"/>
      <c r="BF66" s="109" t="n"/>
      <c r="BG66" s="130" t="n"/>
      <c r="BH66" s="180">
        <f>SUMPRODUCT(--(MOD(COLUMN($L66:$BG66),4)=MOD(COLUMN($L66),4)),$L66:$BG66)</f>
        <v/>
      </c>
      <c r="BI66" s="181">
        <f>Автовик_разбивка[[#This Row],[Цена, 
юань, без НДС 1]]*BH66</f>
        <v/>
      </c>
      <c r="BJ66" s="130">
        <f>SUMPRODUCT(--(MOD(COLUMN($L66:$BG66),4)=MOD(COLUMN($L66)+1,4)),$L66:$BG66)</f>
        <v/>
      </c>
      <c r="BK66" s="187">
        <f>Автовик_разбивка[[#This Row],[Цена, 
юань, без НДС 1]]*BJ66</f>
        <v/>
      </c>
      <c r="BL66" s="109">
        <f>SUMPRODUCT(--(MOD(COLUMN($L66:$BG66),4)=MOD(COLUMN($L66)+2,4)),$L66:$BG66)</f>
        <v/>
      </c>
      <c r="BM66" s="224">
        <f>Автовик_разбивка[[#This Row],[Цена, 
юань, без НДС 1]]*BL66</f>
        <v/>
      </c>
      <c r="BN66" s="178" t="n"/>
      <c r="BO66" s="184" t="n"/>
      <c r="BP66" s="130">
        <f>$E66*0</f>
        <v/>
      </c>
      <c r="BQ66" s="179" t="n"/>
      <c r="BR66" s="130" t="n"/>
      <c r="BS66" s="178" t="n"/>
      <c r="BT66" s="184" t="n"/>
      <c r="BU66" s="130">
        <f>$E66*0</f>
        <v/>
      </c>
      <c r="BV66" s="179" t="n"/>
      <c r="BW66" s="130" t="n"/>
      <c r="BX66" s="178" t="n"/>
      <c r="BY66" s="184" t="n"/>
      <c r="BZ66" s="130">
        <f>$E66*0</f>
        <v/>
      </c>
      <c r="CA66" s="179" t="n"/>
      <c r="CB66" s="130" t="n"/>
      <c r="CC66" s="178" t="n"/>
      <c r="CD66" s="184" t="n"/>
      <c r="CE66" s="130">
        <f>$E66*0</f>
        <v/>
      </c>
      <c r="CF66" s="179" t="n"/>
      <c r="CG66" s="130" t="n"/>
      <c r="CH66" s="178" t="n"/>
      <c r="CI66" s="184" t="n"/>
      <c r="CJ66" s="130">
        <f>$E66*0</f>
        <v/>
      </c>
      <c r="CK66" s="179" t="n"/>
      <c r="CL66" s="130" t="n"/>
      <c r="CM66" s="178" t="n"/>
      <c r="CN66" s="184" t="n"/>
      <c r="CO66" s="130">
        <f>$E66*0</f>
        <v/>
      </c>
      <c r="CP66" s="179" t="n"/>
      <c r="CQ66" s="130" t="n"/>
      <c r="CR66" s="178" t="n"/>
      <c r="CS66" s="184" t="n"/>
      <c r="CT66" s="130">
        <f>$E66*0</f>
        <v/>
      </c>
      <c r="CU66" s="179" t="n"/>
      <c r="CV66" s="130" t="n"/>
      <c r="CW66" s="178" t="n"/>
      <c r="CX66" s="184" t="n"/>
      <c r="CY66" s="130">
        <f>$E66*0</f>
        <v/>
      </c>
      <c r="CZ66" s="179" t="n"/>
      <c r="DA66" s="130" t="n"/>
      <c r="DB66" s="178" t="n"/>
      <c r="DC66" s="184" t="n"/>
      <c r="DD66" s="130">
        <f>$E66*0</f>
        <v/>
      </c>
      <c r="DE66" s="179" t="n"/>
      <c r="DF66" s="130" t="n"/>
      <c r="DG66" s="178" t="n"/>
      <c r="DH66" s="184" t="n"/>
      <c r="DI66" s="130">
        <f>$E66*0</f>
        <v/>
      </c>
      <c r="DJ66" s="179" t="n"/>
      <c r="DK66" s="130" t="n"/>
      <c r="DL66" s="178" t="n"/>
      <c r="DM66" s="184" t="n"/>
      <c r="DN66" s="130">
        <f>$E66*0</f>
        <v/>
      </c>
      <c r="DO66" s="228" t="n"/>
      <c r="DP66" s="130" t="n"/>
      <c r="DQ66" s="178" t="n"/>
      <c r="DR66" s="184" t="n"/>
      <c r="DS66" s="130">
        <f>$E66*0</f>
        <v/>
      </c>
      <c r="DT66" s="109" t="n"/>
      <c r="DU66" s="130" t="n"/>
      <c r="DV66" s="180">
        <f>SUMPRODUCT(--(MOD(COLUMN($BN66:$DU66),5)=MOD(COLUMN($BN66),5)),$BN66:$DU66)</f>
        <v/>
      </c>
      <c r="DW66" s="181">
        <f>Автовик_разбивка[[#This Row],[Цена, 
юань, без НДС 1]]*DV66</f>
        <v/>
      </c>
      <c r="DX66" s="186">
        <f>SUMPRODUCT(--(MOD(COLUMN($BN66:$DU66),5)=MOD(COLUMN($BN66)+1,5)),$BN66:$DU66)</f>
        <v/>
      </c>
      <c r="DY66" s="186">
        <f>Автовик_разбивка[[#This Row],[Цена, 
юань, без НДС 1]]*DX66</f>
        <v/>
      </c>
      <c r="DZ66" s="130">
        <f>SUMPRODUCT(--(MOD(COLUMN($BN66:$DU66),5)=MOD(COLUMN($BN66)+2,5)),$BN66:$DU66)</f>
        <v/>
      </c>
      <c r="EA66" s="187">
        <f>Автовик_разбивка[[#This Row],[Цена, 
юань, без НДС 1]]*DZ66</f>
        <v/>
      </c>
      <c r="EB66" s="109">
        <f>SUMPRODUCT(--(MOD(COLUMN($BN66:$DU66),5)=MOD(COLUMN($BN66)+3,5)),$BN66:$DU66)</f>
        <v/>
      </c>
      <c r="EC66" s="224">
        <f>Автовик_разбивка[[#This Row],[Цена, 
юань, без НДС 1]]*EB66</f>
        <v/>
      </c>
    </row>
    <row r="67">
      <c r="A67" s="221" t="n">
        <v>11</v>
      </c>
      <c r="B67" s="172" t="inlineStr">
        <is>
          <t>ЧМЗАП</t>
        </is>
      </c>
      <c r="C67" s="173" t="inlineStr">
        <is>
          <t>TEBS</t>
        </is>
      </c>
      <c r="D67" s="173" t="inlineStr">
        <is>
          <t xml:space="preserve">TEBS 2s/2m 
15м </t>
        </is>
      </c>
      <c r="E67" s="174" t="n">
        <v>1</v>
      </c>
      <c r="F67" s="174" t="n"/>
      <c r="G67" s="174" t="n"/>
      <c r="H67" s="175" t="n">
        <v>9710029000</v>
      </c>
      <c r="I67" s="176" t="inlineStr">
        <is>
          <t>Воздухораспределитель с клапаном растормаживания</t>
        </is>
      </c>
      <c r="J67" s="911" t="n"/>
      <c r="K67" s="912" t="n"/>
      <c r="L67" s="178" t="n">
        <v>2</v>
      </c>
      <c r="M67" s="130">
        <f>$E67*2</f>
        <v/>
      </c>
      <c r="N67" s="179" t="n">
        <v>0</v>
      </c>
      <c r="O67" s="130" t="n"/>
      <c r="P67" s="178" t="n">
        <v>5</v>
      </c>
      <c r="Q67" s="130">
        <f>$E67*0</f>
        <v/>
      </c>
      <c r="R67" s="179" t="n">
        <v>0</v>
      </c>
      <c r="S67" s="130" t="n"/>
      <c r="T67" s="178" t="n">
        <v>10</v>
      </c>
      <c r="U67" s="130">
        <f>$E67*10</f>
        <v/>
      </c>
      <c r="V67" s="179" t="n">
        <v>9</v>
      </c>
      <c r="W67" s="130" t="n"/>
      <c r="X67" s="178" t="n">
        <v>10</v>
      </c>
      <c r="Y67" s="130">
        <f>$E67*10</f>
        <v/>
      </c>
      <c r="Z67" s="179" t="n">
        <v>1</v>
      </c>
      <c r="AA67" s="130" t="n"/>
      <c r="AB67" s="178" t="n">
        <v>10</v>
      </c>
      <c r="AC67" s="130">
        <f>$E67*10</f>
        <v/>
      </c>
      <c r="AD67" s="109" t="n"/>
      <c r="AE67" s="130" t="n"/>
      <c r="AF67" s="178" t="n">
        <v>10</v>
      </c>
      <c r="AG67" s="130">
        <f>$E67*10</f>
        <v/>
      </c>
      <c r="AH67" s="109" t="n"/>
      <c r="AI67" s="130" t="n"/>
      <c r="AJ67" s="178" t="n">
        <v>10</v>
      </c>
      <c r="AK67" s="130">
        <f>$E67*10</f>
        <v/>
      </c>
      <c r="AL67" s="109" t="n"/>
      <c r="AM67" s="130" t="n"/>
      <c r="AN67" s="178" t="n">
        <v>10</v>
      </c>
      <c r="AO67" s="130">
        <f>$E67*6</f>
        <v/>
      </c>
      <c r="AP67" s="109" t="n"/>
      <c r="AQ67" s="130" t="n"/>
      <c r="AR67" s="178" t="n">
        <v>10</v>
      </c>
      <c r="AS67" s="130">
        <f>$E67*5</f>
        <v/>
      </c>
      <c r="AT67" s="109" t="n"/>
      <c r="AU67" s="130" t="n"/>
      <c r="AV67" s="178" t="n">
        <v>10</v>
      </c>
      <c r="AW67" s="130">
        <f>$E67*5</f>
        <v/>
      </c>
      <c r="AX67" s="109" t="n"/>
      <c r="AY67" s="130" t="n"/>
      <c r="AZ67" s="178" t="n">
        <v>10</v>
      </c>
      <c r="BA67" s="130" t="n"/>
      <c r="BB67" s="194" t="n"/>
      <c r="BC67" s="130" t="n"/>
      <c r="BD67" s="178" t="n">
        <v>10</v>
      </c>
      <c r="BE67" s="130" t="n"/>
      <c r="BF67" s="109" t="n"/>
      <c r="BG67" s="130" t="n"/>
      <c r="BH67" s="180">
        <f>SUMPRODUCT(--(MOD(COLUMN($L67:$BG67),4)=MOD(COLUMN($L67),4)),$L67:$BG67)</f>
        <v/>
      </c>
      <c r="BI67" s="181">
        <f>Автовик_разбивка[[#This Row],[Цена, 
юань, без НДС 1]]*BH67</f>
        <v/>
      </c>
      <c r="BJ67" s="130">
        <f>SUMPRODUCT(--(MOD(COLUMN($L67:$BG67),4)=MOD(COLUMN($L67)+1,4)),$L67:$BG67)</f>
        <v/>
      </c>
      <c r="BK67" s="187">
        <f>Автовик_разбивка[[#This Row],[Цена, 
юань, без НДС 1]]*BJ67</f>
        <v/>
      </c>
      <c r="BL67" s="109">
        <f>SUMPRODUCT(--(MOD(COLUMN($L67:$BG67),4)=MOD(COLUMN($L67)+2,4)),$L67:$BG67)</f>
        <v/>
      </c>
      <c r="BM67" s="224">
        <f>Автовик_разбивка[[#This Row],[Цена, 
юань, без НДС 1]]*BL67</f>
        <v/>
      </c>
      <c r="BN67" s="178" t="n"/>
      <c r="BO67" s="184" t="n"/>
      <c r="BP67" s="130">
        <f>$E67*0</f>
        <v/>
      </c>
      <c r="BQ67" s="179" t="n"/>
      <c r="BR67" s="130" t="n"/>
      <c r="BS67" s="178" t="n"/>
      <c r="BT67" s="184" t="n"/>
      <c r="BU67" s="130">
        <f>$E67*0</f>
        <v/>
      </c>
      <c r="BV67" s="179" t="n"/>
      <c r="BW67" s="130" t="n"/>
      <c r="BX67" s="178" t="n"/>
      <c r="BY67" s="184" t="n"/>
      <c r="BZ67" s="130">
        <f>$E67*0</f>
        <v/>
      </c>
      <c r="CA67" s="179" t="n"/>
      <c r="CB67" s="130" t="n"/>
      <c r="CC67" s="178" t="n"/>
      <c r="CD67" s="184" t="n"/>
      <c r="CE67" s="130">
        <f>$E67*0</f>
        <v/>
      </c>
      <c r="CF67" s="179" t="n"/>
      <c r="CG67" s="130" t="n"/>
      <c r="CH67" s="178" t="n"/>
      <c r="CI67" s="184" t="n"/>
      <c r="CJ67" s="130">
        <f>$E67*0</f>
        <v/>
      </c>
      <c r="CK67" s="109" t="n"/>
      <c r="CL67" s="130" t="n"/>
      <c r="CM67" s="178" t="n"/>
      <c r="CN67" s="184" t="n"/>
      <c r="CO67" s="130">
        <f>$E67*0</f>
        <v/>
      </c>
      <c r="CP67" s="109" t="n"/>
      <c r="CQ67" s="130" t="n"/>
      <c r="CR67" s="178" t="n"/>
      <c r="CS67" s="184" t="n"/>
      <c r="CT67" s="130">
        <f>$E67*0</f>
        <v/>
      </c>
      <c r="CU67" s="109" t="n"/>
      <c r="CV67" s="130" t="n"/>
      <c r="CW67" s="178" t="n"/>
      <c r="CX67" s="184" t="n"/>
      <c r="CY67" s="130">
        <f>$E67*0</f>
        <v/>
      </c>
      <c r="CZ67" s="109" t="n"/>
      <c r="DA67" s="130" t="n"/>
      <c r="DB67" s="178" t="n"/>
      <c r="DC67" s="184" t="n"/>
      <c r="DD67" s="130">
        <f>$E67*0</f>
        <v/>
      </c>
      <c r="DE67" s="109" t="n"/>
      <c r="DF67" s="130" t="n"/>
      <c r="DG67" s="178" t="n"/>
      <c r="DH67" s="184" t="n"/>
      <c r="DI67" s="130">
        <f>$E67*0</f>
        <v/>
      </c>
      <c r="DJ67" s="109" t="n"/>
      <c r="DK67" s="130" t="n"/>
      <c r="DL67" s="178" t="n"/>
      <c r="DM67" s="184" t="n"/>
      <c r="DN67" s="130">
        <f>$E67*0</f>
        <v/>
      </c>
      <c r="DO67" s="194" t="n"/>
      <c r="DP67" s="130" t="n"/>
      <c r="DQ67" s="178" t="n"/>
      <c r="DR67" s="184" t="n"/>
      <c r="DS67" s="130">
        <f>$E67*0</f>
        <v/>
      </c>
      <c r="DT67" s="109" t="n"/>
      <c r="DU67" s="130" t="n"/>
      <c r="DV67" s="180">
        <f>SUMPRODUCT(--(MOD(COLUMN($BN67:$DU67),5)=MOD(COLUMN($BN67),5)),$BN67:$DU67)</f>
        <v/>
      </c>
      <c r="DW67" s="181">
        <f>Автовик_разбивка[[#This Row],[Цена, 
юань, без НДС 1]]*DV67</f>
        <v/>
      </c>
      <c r="DX67" s="186">
        <f>SUMPRODUCT(--(MOD(COLUMN($BN67:$DU67),5)=MOD(COLUMN($BN67)+1,5)),$BN67:$DU67)</f>
        <v/>
      </c>
      <c r="DY67" s="186">
        <f>Автовик_разбивка[[#This Row],[Цена, 
юань, без НДС 1]]*DX67</f>
        <v/>
      </c>
      <c r="DZ67" s="130">
        <f>SUMPRODUCT(--(MOD(COLUMN($BN67:$DU67),5)=MOD(COLUMN($BN67)+2,5)),$BN67:$DU67)</f>
        <v/>
      </c>
      <c r="EA67" s="187">
        <f>Автовик_разбивка[[#This Row],[Цена, 
юань, без НДС 1]]*DZ67</f>
        <v/>
      </c>
      <c r="EB67" s="109">
        <f>SUMPRODUCT(--(MOD(COLUMN($BN67:$DU67),5)=MOD(COLUMN($BN67)+3,5)),$BN67:$DU67)</f>
        <v/>
      </c>
      <c r="EC67" s="224">
        <f>Автовик_разбивка[[#This Row],[Цена, 
юань, без НДС 1]]*EB67</f>
        <v/>
      </c>
    </row>
    <row r="68">
      <c r="A68" s="221" t="n">
        <v>11</v>
      </c>
      <c r="B68" s="172" t="inlineStr">
        <is>
          <t>ЧМЗАП</t>
        </is>
      </c>
      <c r="C68" s="132" t="n"/>
      <c r="D68" s="132" t="n"/>
      <c r="E68" s="229" t="n"/>
      <c r="F68" s="229" t="n"/>
      <c r="G68" s="229" t="n"/>
      <c r="H68" s="230" t="n"/>
      <c r="I68" s="231" t="inlineStr">
        <is>
          <t>Итого</t>
        </is>
      </c>
      <c r="J68" s="914" t="n"/>
      <c r="K68" s="914" t="n"/>
      <c r="L68" s="233" t="n"/>
      <c r="M68" s="234" t="n"/>
      <c r="N68" s="235" t="n"/>
      <c r="O68" s="234" t="n"/>
      <c r="P68" s="233" t="n"/>
      <c r="Q68" s="234" t="n"/>
      <c r="R68" s="235" t="n"/>
      <c r="S68" s="234" t="n"/>
      <c r="T68" s="233" t="n"/>
      <c r="U68" s="234" t="n"/>
      <c r="V68" s="235" t="n"/>
      <c r="W68" s="234" t="n"/>
      <c r="X68" s="233" t="n"/>
      <c r="Y68" s="234" t="n"/>
      <c r="Z68" s="179" t="n"/>
      <c r="AA68" s="234" t="n"/>
      <c r="AB68" s="233" t="n"/>
      <c r="AC68" s="234" t="n"/>
      <c r="AD68" s="235" t="n"/>
      <c r="AE68" s="234" t="n"/>
      <c r="AF68" s="233" t="n"/>
      <c r="AG68" s="234" t="n"/>
      <c r="AH68" s="179" t="n"/>
      <c r="AI68" s="234" t="n"/>
      <c r="AJ68" s="233" t="n"/>
      <c r="AK68" s="234" t="n"/>
      <c r="AL68" s="179" t="n"/>
      <c r="AM68" s="234" t="n"/>
      <c r="AN68" s="233" t="n"/>
      <c r="AO68" s="234" t="n"/>
      <c r="AP68" s="179" t="n"/>
      <c r="AQ68" s="234" t="n"/>
      <c r="AR68" s="233" t="n"/>
      <c r="AS68" s="234" t="n"/>
      <c r="AT68" s="179" t="n"/>
      <c r="AU68" s="234" t="n"/>
      <c r="AV68" s="233" t="n"/>
      <c r="AW68" s="234" t="n"/>
      <c r="AX68" s="235" t="n"/>
      <c r="AY68" s="234" t="n"/>
      <c r="AZ68" s="233" t="n"/>
      <c r="BA68" s="236" t="n"/>
      <c r="BB68" s="114" t="n"/>
      <c r="BC68" s="234" t="n"/>
      <c r="BD68" s="233" t="n"/>
      <c r="BE68" s="237" t="n"/>
      <c r="BF68" s="115" t="n"/>
      <c r="BG68" s="234" t="n"/>
      <c r="BH68" s="233">
        <f>SUMPRODUCT(--(MOD(COLUMN($L68:$BG68),4)=MOD(COLUMN($L68),4)),$L68:$BG68)</f>
        <v/>
      </c>
      <c r="BI68" s="238">
        <f>Автовик_разбивка[[#This Row],[Цена, 
юань, без НДС 1]]*BH68</f>
        <v/>
      </c>
      <c r="BJ68" s="237">
        <f>SUMPRODUCT(--(MOD(COLUMN($L68:$BG68),4)=MOD(COLUMN($L68)+1,4)),$L68:$BG68)</f>
        <v/>
      </c>
      <c r="BK68" s="239">
        <f>Автовик_разбивка[[#This Row],[Цена, 
юань, без НДС 1]]*BJ68</f>
        <v/>
      </c>
      <c r="BL68" s="115">
        <f>SUMPRODUCT(--(MOD(COLUMN($L68:$BG68),4)=MOD(COLUMN($L68)+2,4)),$L68:$BG68)</f>
        <v/>
      </c>
      <c r="BM68" s="240">
        <f>Автовик_разбивка[[#This Row],[Цена, 
юань, без НДС 1]]*BL68</f>
        <v/>
      </c>
      <c r="BN68" s="233" t="n"/>
      <c r="BO68" s="241" t="n"/>
      <c r="BP68" s="234" t="n"/>
      <c r="BQ68" s="235" t="n"/>
      <c r="BR68" s="234" t="n"/>
      <c r="BS68" s="233" t="n"/>
      <c r="BT68" s="241" t="n"/>
      <c r="BU68" s="234" t="n"/>
      <c r="BV68" s="235" t="n"/>
      <c r="BW68" s="234" t="n"/>
      <c r="BX68" s="233" t="n"/>
      <c r="BY68" s="241" t="n"/>
      <c r="BZ68" s="234" t="n"/>
      <c r="CA68" s="235" t="n"/>
      <c r="CB68" s="234" t="n"/>
      <c r="CC68" s="233" t="n"/>
      <c r="CD68" s="241" t="n"/>
      <c r="CE68" s="234" t="n"/>
      <c r="CF68" s="179" t="n"/>
      <c r="CG68" s="234" t="n"/>
      <c r="CH68" s="233" t="n"/>
      <c r="CI68" s="241" t="n"/>
      <c r="CJ68" s="234" t="n"/>
      <c r="CK68" s="235" t="n"/>
      <c r="CL68" s="234" t="n"/>
      <c r="CM68" s="233" t="n"/>
      <c r="CN68" s="241" t="n"/>
      <c r="CO68" s="234" t="n"/>
      <c r="CP68" s="179" t="n"/>
      <c r="CQ68" s="234" t="n"/>
      <c r="CR68" s="233" t="n"/>
      <c r="CS68" s="241" t="n"/>
      <c r="CT68" s="234" t="n"/>
      <c r="CU68" s="179" t="n"/>
      <c r="CV68" s="234" t="n"/>
      <c r="CW68" s="233" t="n"/>
      <c r="CX68" s="241" t="n"/>
      <c r="CY68" s="234" t="n"/>
      <c r="CZ68" s="179" t="n"/>
      <c r="DA68" s="234" t="n"/>
      <c r="DB68" s="233" t="n"/>
      <c r="DC68" s="241" t="n"/>
      <c r="DD68" s="234" t="n"/>
      <c r="DE68" s="179" t="n"/>
      <c r="DF68" s="234" t="n"/>
      <c r="DG68" s="233" t="n"/>
      <c r="DH68" s="241" t="n"/>
      <c r="DI68" s="234" t="n"/>
      <c r="DJ68" s="235" t="n"/>
      <c r="DK68" s="234" t="n"/>
      <c r="DL68" s="233" t="n"/>
      <c r="DM68" s="241" t="n"/>
      <c r="DN68" s="236" t="n"/>
      <c r="DO68" s="114" t="n"/>
      <c r="DP68" s="234" t="n"/>
      <c r="DQ68" s="233" t="n"/>
      <c r="DR68" s="241" t="n"/>
      <c r="DS68" s="237" t="n"/>
      <c r="DT68" s="115" t="n"/>
      <c r="DU68" s="234" t="n"/>
      <c r="DV68" s="233">
        <f>SUMPRODUCT(--(MOD(COLUMN($BN68:$DU68),5)=MOD(COLUMN($BN68),5)),$BN68:$DU68)</f>
        <v/>
      </c>
      <c r="DW68" s="238">
        <f>Автовик_разбивка[[#This Row],[Цена, 
юань, без НДС 1]]*DV68</f>
        <v/>
      </c>
      <c r="DX68" s="242">
        <f>SUMPRODUCT(--(MOD(COLUMN($BN68:$DU68),5)=MOD(COLUMN($BN68)+1,5)),$BN68:$DU68)</f>
        <v/>
      </c>
      <c r="DY68" s="242">
        <f>Автовик_разбивка[[#This Row],[Цена, 
юань, без НДС 1]]*DX68</f>
        <v/>
      </c>
      <c r="DZ68" s="237">
        <f>SUMPRODUCT(--(MOD(COLUMN($BN68:$DU68),5)=MOD(COLUMN($BN68)+2,5)),$BN68:$DU68)</f>
        <v/>
      </c>
      <c r="EA68" s="239">
        <f>Автовик_разбивка[[#This Row],[Цена, 
юань, без НДС 1]]*DZ68</f>
        <v/>
      </c>
      <c r="EB68" s="115">
        <f>SUMPRODUCT(--(MOD(COLUMN($BN68:$DU68),5)=MOD(COLUMN($BN68)+3,5)),$BN68:$DU68)</f>
        <v/>
      </c>
      <c r="EC68" s="240">
        <f>Автовик_разбивка[[#This Row],[Цена, 
юань, без НДС 1]]*EB68</f>
        <v/>
      </c>
    </row>
    <row r="69">
      <c r="A69" s="221" t="n">
        <v>11</v>
      </c>
      <c r="B69" s="243" t="inlineStr">
        <is>
          <t>ЧМЗАП</t>
        </is>
      </c>
      <c r="C69" s="244" t="n"/>
      <c r="D69" s="244" t="n"/>
      <c r="E69" s="245" t="n"/>
      <c r="F69" s="245" t="n"/>
      <c r="G69" s="245" t="n"/>
      <c r="H69" s="246" t="n"/>
      <c r="I69" s="247" t="n"/>
      <c r="J69" s="915" t="n"/>
      <c r="K69" s="915" t="n"/>
      <c r="L69" s="249" t="n"/>
      <c r="M69" s="249" t="n"/>
      <c r="N69" s="249" t="n"/>
      <c r="O69" s="249" t="n"/>
      <c r="P69" s="249" t="n"/>
      <c r="Q69" s="249" t="n"/>
      <c r="R69" s="249" t="n"/>
      <c r="S69" s="249" t="n"/>
      <c r="T69" s="249" t="n"/>
      <c r="U69" s="249" t="n"/>
      <c r="V69" s="249" t="n"/>
      <c r="W69" s="249" t="n"/>
      <c r="X69" s="249" t="n"/>
      <c r="Y69" s="249" t="n"/>
      <c r="Z69" s="249" t="n"/>
      <c r="AA69" s="249" t="n"/>
      <c r="AB69" s="249" t="n"/>
      <c r="AC69" s="249" t="n"/>
      <c r="AD69" s="249" t="n"/>
      <c r="AE69" s="249" t="n"/>
      <c r="AF69" s="249" t="n"/>
      <c r="AG69" s="249" t="n"/>
      <c r="AH69" s="249" t="n"/>
      <c r="AI69" s="249" t="n"/>
      <c r="AJ69" s="249" t="n"/>
      <c r="AK69" s="249" t="n"/>
      <c r="AL69" s="249" t="n"/>
      <c r="AM69" s="249" t="n"/>
      <c r="AN69" s="249" t="n"/>
      <c r="AO69" s="249" t="n"/>
      <c r="AP69" s="249" t="n"/>
      <c r="AQ69" s="249" t="n"/>
      <c r="AR69" s="249" t="n"/>
      <c r="AS69" s="249" t="n"/>
      <c r="AT69" s="249" t="n"/>
      <c r="AU69" s="249" t="n"/>
      <c r="AV69" s="249" t="n"/>
      <c r="AW69" s="249" t="n"/>
      <c r="AX69" s="250" t="n"/>
      <c r="AY69" s="249" t="n"/>
      <c r="AZ69" s="250" t="n"/>
      <c r="BA69" s="250" t="n"/>
      <c r="BB69" s="250" t="n"/>
      <c r="BC69" s="249" t="n"/>
      <c r="BD69" s="250" t="n"/>
      <c r="BE69" s="250" t="n"/>
      <c r="BF69" s="250" t="n"/>
      <c r="BG69" s="249" t="n"/>
      <c r="BH69" s="250">
        <f>SUMPRODUCT(--(MOD(COLUMN($L69:$BG69),4)=MOD(COLUMN($L69),4)),$L69:$BG69)</f>
        <v/>
      </c>
      <c r="BI69" s="251">
        <f>Автовик_разбивка[[#This Row],[Цена, 
юань, без НДС 1]]*BH69</f>
        <v/>
      </c>
      <c r="BJ69" s="250">
        <f>SUMPRODUCT(--(MOD(COLUMN($L69:$BG69),4)=MOD(COLUMN($L69)+1,4)),$L69:$BG69)</f>
        <v/>
      </c>
      <c r="BK69" s="251">
        <f>Автовик_разбивка[[#This Row],[Цена, 
юань, без НДС 1]]*BJ69</f>
        <v/>
      </c>
      <c r="BL69" s="250">
        <f>SUMPRODUCT(--(MOD(COLUMN($L69:$BG69),4)=MOD(COLUMN($L69)+2,4)),$L69:$BG69)</f>
        <v/>
      </c>
      <c r="BM69" s="251">
        <f>Автовик_разбивка[[#This Row],[Цена, 
юань, без НДС 1]]*BL69</f>
        <v/>
      </c>
      <c r="BN69" s="249" t="n"/>
      <c r="BO69" s="249" t="n"/>
      <c r="BP69" s="249" t="n"/>
      <c r="BQ69" s="249" t="n"/>
      <c r="BR69" s="249" t="n"/>
      <c r="BS69" s="249" t="n"/>
      <c r="BT69" s="249" t="n"/>
      <c r="BU69" s="249" t="n"/>
      <c r="BV69" s="249" t="n"/>
      <c r="BW69" s="249" t="n"/>
      <c r="BX69" s="249" t="n"/>
      <c r="BY69" s="249" t="n"/>
      <c r="BZ69" s="249" t="n"/>
      <c r="CA69" s="249" t="n"/>
      <c r="CB69" s="249" t="n"/>
      <c r="CC69" s="249" t="n"/>
      <c r="CD69" s="249" t="n"/>
      <c r="CE69" s="249" t="n"/>
      <c r="CF69" s="249" t="n"/>
      <c r="CG69" s="249" t="n"/>
      <c r="CH69" s="249" t="n"/>
      <c r="CI69" s="249" t="n"/>
      <c r="CJ69" s="249" t="n"/>
      <c r="CK69" s="249" t="n"/>
      <c r="CL69" s="249" t="n"/>
      <c r="CM69" s="249" t="n"/>
      <c r="CN69" s="249" t="n"/>
      <c r="CO69" s="249" t="n"/>
      <c r="CP69" s="249" t="n"/>
      <c r="CQ69" s="249" t="n"/>
      <c r="CR69" s="249" t="n"/>
      <c r="CS69" s="249" t="n"/>
      <c r="CT69" s="249" t="n"/>
      <c r="CU69" s="249" t="n"/>
      <c r="CV69" s="249" t="n"/>
      <c r="CW69" s="249" t="n"/>
      <c r="CX69" s="249" t="n"/>
      <c r="CY69" s="249" t="n"/>
      <c r="CZ69" s="249" t="n"/>
      <c r="DA69" s="249" t="n"/>
      <c r="DB69" s="249" t="n"/>
      <c r="DC69" s="249" t="n"/>
      <c r="DD69" s="249" t="n"/>
      <c r="DE69" s="249" t="n"/>
      <c r="DF69" s="249" t="n"/>
      <c r="DG69" s="249" t="n"/>
      <c r="DH69" s="249" t="n"/>
      <c r="DI69" s="249" t="n"/>
      <c r="DJ69" s="250" t="n"/>
      <c r="DK69" s="249" t="n"/>
      <c r="DL69" s="250" t="n"/>
      <c r="DM69" s="250" t="n"/>
      <c r="DN69" s="250" t="n"/>
      <c r="DO69" s="250" t="n"/>
      <c r="DP69" s="249" t="n"/>
      <c r="DQ69" s="250" t="n"/>
      <c r="DR69" s="250" t="n"/>
      <c r="DS69" s="250" t="n"/>
      <c r="DT69" s="250" t="n"/>
      <c r="DU69" s="249" t="n"/>
      <c r="DV69" s="250">
        <f>SUMPRODUCT(--(MOD(COLUMN($BN69:$DU69),5)=MOD(COLUMN($BN69),5)),$BN69:$DU69)</f>
        <v/>
      </c>
      <c r="DW69" s="251">
        <f>Автовик_разбивка[[#This Row],[Цена, 
юань, без НДС 1]]*DV69</f>
        <v/>
      </c>
      <c r="DX69" s="251">
        <f>SUMPRODUCT(--(MOD(COLUMN($BN69:$DU69),5)=MOD(COLUMN($BN69)+1,5)),$BN69:$DU69)</f>
        <v/>
      </c>
      <c r="DY69" s="251">
        <f>Автовик_разбивка[[#This Row],[Цена, 
юань, без НДС 1]]*DX69</f>
        <v/>
      </c>
      <c r="DZ69" s="250">
        <f>SUMPRODUCT(--(MOD(COLUMN($BN69:$DU69),5)=MOD(COLUMN($BN69)+2,5)),$BN69:$DU69)</f>
        <v/>
      </c>
      <c r="EA69" s="251">
        <f>Автовик_разбивка[[#This Row],[Цена, 
юань, без НДС 1]]*DZ69</f>
        <v/>
      </c>
      <c r="EB69" s="250">
        <f>SUMPRODUCT(--(MOD(COLUMN($BN69:$DU69),5)=MOD(COLUMN($BN69)+3,5)),$BN69:$DU69)</f>
        <v/>
      </c>
      <c r="EC69" s="251">
        <f>Автовик_разбивка[[#This Row],[Цена, 
юань, без НДС 1]]*EB69</f>
        <v/>
      </c>
    </row>
    <row r="70" customFormat="1" s="255">
      <c r="A70" s="256" t="n">
        <v>22</v>
      </c>
      <c r="B70" s="172" t="inlineStr">
        <is>
          <t>БЗАП</t>
        </is>
      </c>
      <c r="C70" s="173" t="inlineStr">
        <is>
          <t>TEBS</t>
        </is>
      </c>
      <c r="D70" s="173" t="inlineStr">
        <is>
          <t>LACV</t>
        </is>
      </c>
      <c r="E70" s="174" t="n">
        <v>1</v>
      </c>
      <c r="F70" s="174" t="n"/>
      <c r="G70" s="174" t="n"/>
      <c r="H70" s="175" t="n">
        <v>4494430600</v>
      </c>
      <c r="I70" s="176" t="inlineStr">
        <is>
          <t>Кабель клапана управления подъемом оси, 6 м</t>
        </is>
      </c>
      <c r="J70" s="911" t="n"/>
      <c r="K70" s="912" t="n"/>
      <c r="L70" s="178" t="n">
        <v>5</v>
      </c>
      <c r="M70" s="130">
        <f>$E70*5</f>
        <v/>
      </c>
      <c r="N70" s="179" t="n">
        <v>0</v>
      </c>
      <c r="O70" s="130" t="n"/>
      <c r="P70" s="178" t="n">
        <v>5</v>
      </c>
      <c r="Q70" s="130">
        <f>$E70*5</f>
        <v/>
      </c>
      <c r="R70" s="179" t="n">
        <v>10</v>
      </c>
      <c r="S70" s="130" t="n"/>
      <c r="T70" s="178" t="n">
        <v>5</v>
      </c>
      <c r="U70" s="130">
        <f>$E70*5</f>
        <v/>
      </c>
      <c r="V70" s="179" t="n">
        <v>0</v>
      </c>
      <c r="W70" s="130" t="n"/>
      <c r="X70" s="178" t="n">
        <v>5</v>
      </c>
      <c r="Y70" s="130">
        <f>$E70*5</f>
        <v/>
      </c>
      <c r="Z70" s="179" t="n">
        <v>10</v>
      </c>
      <c r="AA70" s="130" t="n"/>
      <c r="AB70" s="178" t="n">
        <v>5</v>
      </c>
      <c r="AC70" s="130">
        <f>$E70*5</f>
        <v/>
      </c>
      <c r="AD70" s="179" t="n"/>
      <c r="AE70" s="130" t="n"/>
      <c r="AF70" s="178" t="n">
        <v>5</v>
      </c>
      <c r="AG70" s="130">
        <f>$E70*5</f>
        <v/>
      </c>
      <c r="AH70" s="179" t="n"/>
      <c r="AI70" s="130" t="n"/>
      <c r="AJ70" s="178" t="n">
        <v>5</v>
      </c>
      <c r="AK70" s="130">
        <f>$E70*5</f>
        <v/>
      </c>
      <c r="AL70" s="179" t="n"/>
      <c r="AM70" s="130" t="n"/>
      <c r="AN70" s="178" t="n">
        <v>5</v>
      </c>
      <c r="AO70" s="130">
        <f>$E70*6</f>
        <v/>
      </c>
      <c r="AP70" s="179" t="n"/>
      <c r="AQ70" s="130" t="n"/>
      <c r="AR70" s="178" t="n">
        <v>5</v>
      </c>
      <c r="AS70" s="130">
        <f>$E70*5</f>
        <v/>
      </c>
      <c r="AT70" s="179" t="n"/>
      <c r="AU70" s="130" t="n"/>
      <c r="AV70" s="178" t="n">
        <v>5</v>
      </c>
      <c r="AW70" s="130">
        <f>$E70*5</f>
        <v/>
      </c>
      <c r="AX70" s="179" t="n"/>
      <c r="AY70" s="130" t="n"/>
      <c r="AZ70" s="178" t="n">
        <v>5</v>
      </c>
      <c r="BA70" s="130">
        <f>$E70*5</f>
        <v/>
      </c>
      <c r="BB70" s="194" t="n"/>
      <c r="BC70" s="130" t="n"/>
      <c r="BD70" s="178" t="n">
        <v>5</v>
      </c>
      <c r="BE70" s="130">
        <f>$E70*5</f>
        <v/>
      </c>
      <c r="BF70" s="109" t="n"/>
      <c r="BG70" s="130" t="n"/>
      <c r="BH70" s="180">
        <f>SUMPRODUCT(--(MOD(COLUMN($L70:$BG70),4)=MOD(COLUMN($L70),4)),$L70:$BG70)</f>
        <v/>
      </c>
      <c r="BI70" s="181">
        <f>Автовик_разбивка[[#This Row],[Цена, 
юань, без НДС 1]]*BH70</f>
        <v/>
      </c>
      <c r="BJ70" s="130">
        <f>SUMPRODUCT(--(MOD(COLUMN($L70:$BG70),4)=MOD(COLUMN($L70)+1,4)),$L70:$BG70)</f>
        <v/>
      </c>
      <c r="BK70" s="187">
        <f>Автовик_разбивка[[#This Row],[Цена, 
юань, без НДС 1]]*BJ70</f>
        <v/>
      </c>
      <c r="BL70" s="109">
        <f>SUMPRODUCT(--(MOD(COLUMN($L70:$BG70),4)=MOD(COLUMN($L70)+2,4)),$L70:$BG70)</f>
        <v/>
      </c>
      <c r="BM70" s="224">
        <f>Автовик_разбивка[[#This Row],[Цена, 
юань, без НДС 1]]*BL70</f>
        <v/>
      </c>
      <c r="BN70" s="178" t="n"/>
      <c r="BO70" s="184" t="n"/>
      <c r="BP70" s="130">
        <f>$E70*0</f>
        <v/>
      </c>
      <c r="BQ70" s="179" t="n"/>
      <c r="BR70" s="130" t="n"/>
      <c r="BS70" s="178" t="n"/>
      <c r="BT70" s="184" t="n"/>
      <c r="BU70" s="130">
        <f>$E70*10</f>
        <v/>
      </c>
      <c r="BV70" s="179" t="n"/>
      <c r="BW70" s="130" t="n"/>
      <c r="BX70" s="178" t="n"/>
      <c r="BY70" s="184" t="n"/>
      <c r="BZ70" s="130">
        <f>$E70*0</f>
        <v/>
      </c>
      <c r="CA70" s="179" t="n"/>
      <c r="CB70" s="130" t="n"/>
      <c r="CC70" s="178" t="n"/>
      <c r="CD70" s="184" t="n"/>
      <c r="CE70" s="130">
        <f>$E70*10</f>
        <v/>
      </c>
      <c r="CF70" s="179" t="n"/>
      <c r="CG70" s="130" t="n"/>
      <c r="CH70" s="178" t="n"/>
      <c r="CI70" s="184" t="n"/>
      <c r="CJ70" s="130">
        <f>$E70*0</f>
        <v/>
      </c>
      <c r="CK70" s="179" t="n"/>
      <c r="CL70" s="130" t="n"/>
      <c r="CM70" s="178" t="n"/>
      <c r="CN70" s="184" t="n"/>
      <c r="CO70" s="130">
        <f>$E70*10</f>
        <v/>
      </c>
      <c r="CP70" s="179" t="n"/>
      <c r="CQ70" s="130" t="n"/>
      <c r="CR70" s="178" t="n"/>
      <c r="CS70" s="184" t="n"/>
      <c r="CT70" s="130">
        <f>$E70*0</f>
        <v/>
      </c>
      <c r="CU70" s="179" t="n"/>
      <c r="CV70" s="130" t="n"/>
      <c r="CW70" s="178" t="n"/>
      <c r="CX70" s="184" t="n"/>
      <c r="CY70" s="130">
        <f>$E70*10</f>
        <v/>
      </c>
      <c r="CZ70" s="179" t="n"/>
      <c r="DA70" s="130" t="n"/>
      <c r="DB70" s="178" t="n"/>
      <c r="DC70" s="184" t="n"/>
      <c r="DD70" s="130">
        <f>$E70*0</f>
        <v/>
      </c>
      <c r="DE70" s="179" t="n"/>
      <c r="DF70" s="130" t="n"/>
      <c r="DG70" s="178" t="n"/>
      <c r="DH70" s="184" t="n"/>
      <c r="DI70" s="130">
        <f>$E70*10</f>
        <v/>
      </c>
      <c r="DJ70" s="179" t="n"/>
      <c r="DK70" s="130" t="n"/>
      <c r="DL70" s="178" t="n"/>
      <c r="DM70" s="184" t="n"/>
      <c r="DN70" s="130">
        <f>$E70*0</f>
        <v/>
      </c>
      <c r="DO70" s="194" t="n"/>
      <c r="DP70" s="130" t="n"/>
      <c r="DQ70" s="178" t="n"/>
      <c r="DR70" s="184" t="n"/>
      <c r="DS70" s="130">
        <f>$E70*10</f>
        <v/>
      </c>
      <c r="DT70" s="109" t="n"/>
      <c r="DU70" s="130" t="n"/>
      <c r="DV70" s="180">
        <f>SUMPRODUCT(--(MOD(COLUMN($BN70:$DU70),5)=MOD(COLUMN($BN70),5)),$BN70:$DU70)</f>
        <v/>
      </c>
      <c r="DW70" s="181">
        <f>Автовик_разбивка[[#This Row],[Цена, 
юань, без НДС 1]]*DV70</f>
        <v/>
      </c>
      <c r="DX70" s="186">
        <f>SUMPRODUCT(--(MOD(COLUMN($BN70:$DU70),5)=MOD(COLUMN($BN70)+1,5)),$BN70:$DU70)</f>
        <v/>
      </c>
      <c r="DY70" s="186">
        <f>Автовик_разбивка[[#This Row],[Цена, 
юань, без НДС 1]]*DX70</f>
        <v/>
      </c>
      <c r="DZ70" s="130">
        <f>SUMPRODUCT(--(MOD(COLUMN($BN70:$DU70),5)=MOD(COLUMN($BN70)+2,5)),$BN70:$DU70)</f>
        <v/>
      </c>
      <c r="EA70" s="187">
        <f>Автовик_разбивка[[#This Row],[Цена, 
юань, без НДС 1]]*DZ70</f>
        <v/>
      </c>
      <c r="EB70" s="109">
        <f>SUMPRODUCT(--(MOD(COLUMN($BN70:$DU70),5)=MOD(COLUMN($BN70)+3,5)),$BN70:$DU70)</f>
        <v/>
      </c>
      <c r="EC70" s="224">
        <f>Автовик_разбивка[[#This Row],[Цена, 
юань, без НДС 1]]*EB70</f>
        <v/>
      </c>
    </row>
    <row r="71" customFormat="1" s="255">
      <c r="A71" s="256" t="n">
        <v>22</v>
      </c>
      <c r="B71" s="172" t="inlineStr">
        <is>
          <t>БЗАП</t>
        </is>
      </c>
      <c r="C71" s="173" t="inlineStr">
        <is>
          <t>TEBS</t>
        </is>
      </c>
      <c r="D71" s="173" t="inlineStr">
        <is>
          <t>LACV</t>
        </is>
      </c>
      <c r="E71" s="174" t="n">
        <v>1</v>
      </c>
      <c r="F71" s="174" t="n"/>
      <c r="G71" s="174" t="n"/>
      <c r="H71" s="175" t="n">
        <v>4630840310</v>
      </c>
      <c r="I71" s="176" t="inlineStr">
        <is>
          <t>Клапан управления подъемом оси (LACV)</t>
        </is>
      </c>
      <c r="J71" s="911" t="n"/>
      <c r="K71" s="912" t="n"/>
      <c r="L71" s="178" t="n">
        <v>5</v>
      </c>
      <c r="M71" s="130">
        <f>$E71*5</f>
        <v/>
      </c>
      <c r="N71" s="179" t="n">
        <v>0</v>
      </c>
      <c r="O71" s="130" t="n"/>
      <c r="P71" s="178" t="n">
        <v>5</v>
      </c>
      <c r="Q71" s="130">
        <f>$E71*5</f>
        <v/>
      </c>
      <c r="R71" s="179" t="n">
        <v>10</v>
      </c>
      <c r="S71" s="130" t="n"/>
      <c r="T71" s="178" t="n">
        <v>5</v>
      </c>
      <c r="U71" s="130">
        <f>$E71*5</f>
        <v/>
      </c>
      <c r="V71" s="179" t="n">
        <v>0</v>
      </c>
      <c r="W71" s="130" t="n"/>
      <c r="X71" s="178" t="n">
        <v>5</v>
      </c>
      <c r="Y71" s="130">
        <f>$E71*5</f>
        <v/>
      </c>
      <c r="Z71" s="179" t="n">
        <v>10</v>
      </c>
      <c r="AA71" s="130" t="n"/>
      <c r="AB71" s="178" t="n">
        <v>5</v>
      </c>
      <c r="AC71" s="130">
        <f>$E71*5</f>
        <v/>
      </c>
      <c r="AD71" s="179" t="n"/>
      <c r="AE71" s="130" t="n"/>
      <c r="AF71" s="178" t="n">
        <v>5</v>
      </c>
      <c r="AG71" s="130">
        <f>$E71*5</f>
        <v/>
      </c>
      <c r="AH71" s="179" t="n"/>
      <c r="AI71" s="130" t="n"/>
      <c r="AJ71" s="178" t="n">
        <v>5</v>
      </c>
      <c r="AK71" s="130">
        <f>$E71*5</f>
        <v/>
      </c>
      <c r="AL71" s="179" t="n"/>
      <c r="AM71" s="130" t="n"/>
      <c r="AN71" s="178" t="n">
        <v>5</v>
      </c>
      <c r="AO71" s="130">
        <f>$E71*6</f>
        <v/>
      </c>
      <c r="AP71" s="179" t="n"/>
      <c r="AQ71" s="130" t="n"/>
      <c r="AR71" s="178" t="n">
        <v>5</v>
      </c>
      <c r="AS71" s="130">
        <f>$E71*5</f>
        <v/>
      </c>
      <c r="AT71" s="179" t="n"/>
      <c r="AU71" s="130" t="n"/>
      <c r="AV71" s="178" t="n">
        <v>5</v>
      </c>
      <c r="AW71" s="130">
        <f>$E71*5</f>
        <v/>
      </c>
      <c r="AX71" s="179" t="n"/>
      <c r="AY71" s="130" t="n"/>
      <c r="AZ71" s="178" t="n">
        <v>5</v>
      </c>
      <c r="BA71" s="130">
        <f>$E71*5</f>
        <v/>
      </c>
      <c r="BB71" s="194" t="n"/>
      <c r="BC71" s="130" t="n"/>
      <c r="BD71" s="178" t="n">
        <v>5</v>
      </c>
      <c r="BE71" s="130">
        <f>$E71*5</f>
        <v/>
      </c>
      <c r="BF71" s="109" t="n"/>
      <c r="BG71" s="130" t="n"/>
      <c r="BH71" s="180">
        <f>SUMPRODUCT(--(MOD(COLUMN($L71:$BG71),4)=MOD(COLUMN($L71),4)),$L71:$BG71)</f>
        <v/>
      </c>
      <c r="BI71" s="181">
        <f>Автовик_разбивка[[#This Row],[Цена, 
юань, без НДС 1]]*BH71</f>
        <v/>
      </c>
      <c r="BJ71" s="130">
        <f>SUMPRODUCT(--(MOD(COLUMN($L71:$BG71),4)=MOD(COLUMN($L71)+1,4)),$L71:$BG71)</f>
        <v/>
      </c>
      <c r="BK71" s="187">
        <f>Автовик_разбивка[[#This Row],[Цена, 
юань, без НДС 1]]*BJ71</f>
        <v/>
      </c>
      <c r="BL71" s="109">
        <f>SUMPRODUCT(--(MOD(COLUMN($L71:$BG71),4)=MOD(COLUMN($L71)+2,4)),$L71:$BG71)</f>
        <v/>
      </c>
      <c r="BM71" s="224">
        <f>Автовик_разбивка[[#This Row],[Цена, 
юань, без НДС 1]]*BL71</f>
        <v/>
      </c>
      <c r="BN71" s="178" t="n"/>
      <c r="BO71" s="184" t="n"/>
      <c r="BP71" s="130">
        <f>$E71*0</f>
        <v/>
      </c>
      <c r="BQ71" s="179" t="n"/>
      <c r="BR71" s="130" t="n"/>
      <c r="BS71" s="178" t="n"/>
      <c r="BT71" s="184" t="n"/>
      <c r="BU71" s="130">
        <f>$E71*10</f>
        <v/>
      </c>
      <c r="BV71" s="179" t="n"/>
      <c r="BW71" s="130" t="n"/>
      <c r="BX71" s="178" t="n"/>
      <c r="BY71" s="184" t="n"/>
      <c r="BZ71" s="130">
        <f>$E71*0</f>
        <v/>
      </c>
      <c r="CA71" s="179" t="n"/>
      <c r="CB71" s="130" t="n"/>
      <c r="CC71" s="178" t="n"/>
      <c r="CD71" s="184" t="n"/>
      <c r="CE71" s="130">
        <f>$E71*10</f>
        <v/>
      </c>
      <c r="CF71" s="179" t="n"/>
      <c r="CG71" s="130" t="n"/>
      <c r="CH71" s="178" t="n"/>
      <c r="CI71" s="184" t="n"/>
      <c r="CJ71" s="130">
        <f>$E71*0</f>
        <v/>
      </c>
      <c r="CK71" s="179" t="n"/>
      <c r="CL71" s="130" t="n"/>
      <c r="CM71" s="178" t="n"/>
      <c r="CN71" s="184" t="n"/>
      <c r="CO71" s="130">
        <f>$E71*10</f>
        <v/>
      </c>
      <c r="CP71" s="179" t="n"/>
      <c r="CQ71" s="130" t="n"/>
      <c r="CR71" s="178" t="n"/>
      <c r="CS71" s="184" t="n"/>
      <c r="CT71" s="130">
        <f>$E71*0</f>
        <v/>
      </c>
      <c r="CU71" s="179" t="n"/>
      <c r="CV71" s="130" t="n"/>
      <c r="CW71" s="178" t="n"/>
      <c r="CX71" s="184" t="n"/>
      <c r="CY71" s="130">
        <f>$E71*10</f>
        <v/>
      </c>
      <c r="CZ71" s="179" t="n"/>
      <c r="DA71" s="130" t="n"/>
      <c r="DB71" s="178" t="n"/>
      <c r="DC71" s="184" t="n"/>
      <c r="DD71" s="130">
        <f>$E71*0</f>
        <v/>
      </c>
      <c r="DE71" s="179" t="n"/>
      <c r="DF71" s="130" t="n"/>
      <c r="DG71" s="178" t="n"/>
      <c r="DH71" s="184" t="n"/>
      <c r="DI71" s="130">
        <f>$E71*10</f>
        <v/>
      </c>
      <c r="DJ71" s="179" t="n"/>
      <c r="DK71" s="130" t="n"/>
      <c r="DL71" s="178" t="n"/>
      <c r="DM71" s="184" t="n"/>
      <c r="DN71" s="130">
        <f>$E71*0</f>
        <v/>
      </c>
      <c r="DO71" s="194" t="n"/>
      <c r="DP71" s="130" t="n"/>
      <c r="DQ71" s="178" t="n"/>
      <c r="DR71" s="184" t="n"/>
      <c r="DS71" s="130">
        <f>$E71*10</f>
        <v/>
      </c>
      <c r="DT71" s="109" t="n"/>
      <c r="DU71" s="130" t="n"/>
      <c r="DV71" s="180">
        <f>SUMPRODUCT(--(MOD(COLUMN($BN71:$DU71),5)=MOD(COLUMN($BN71),5)),$BN71:$DU71)</f>
        <v/>
      </c>
      <c r="DW71" s="181">
        <f>Автовик_разбивка[[#This Row],[Цена, 
юань, без НДС 1]]*DV71</f>
        <v/>
      </c>
      <c r="DX71" s="186">
        <f>SUMPRODUCT(--(MOD(COLUMN($BN71:$DU71),5)=MOD(COLUMN($BN71)+1,5)),$BN71:$DU71)</f>
        <v/>
      </c>
      <c r="DY71" s="186">
        <f>Автовик_разбивка[[#This Row],[Цена, 
юань, без НДС 1]]*DX71</f>
        <v/>
      </c>
      <c r="DZ71" s="130">
        <f>SUMPRODUCT(--(MOD(COLUMN($BN71:$DU71),5)=MOD(COLUMN($BN71)+2,5)),$BN71:$DU71)</f>
        <v/>
      </c>
      <c r="EA71" s="187">
        <f>Автовик_разбивка[[#This Row],[Цена, 
юань, без НДС 1]]*DZ71</f>
        <v/>
      </c>
      <c r="EB71" s="109">
        <f>SUMPRODUCT(--(MOD(COLUMN($BN71:$DU71),5)=MOD(COLUMN($BN71)+3,5)),$BN71:$DU71)</f>
        <v/>
      </c>
      <c r="EC71" s="224">
        <f>Автовик_разбивка[[#This Row],[Цена, 
юань, без НДС 1]]*EB71</f>
        <v/>
      </c>
    </row>
    <row r="72" customFormat="1" s="255">
      <c r="A72" s="256" t="n">
        <v>22</v>
      </c>
      <c r="B72" s="172" t="inlineStr">
        <is>
          <t>БЗАП</t>
        </is>
      </c>
      <c r="C72" s="173" t="inlineStr">
        <is>
          <t>TEBS</t>
        </is>
      </c>
      <c r="D72" s="173" t="inlineStr">
        <is>
          <t>TEBS 2s/2m 
15м</t>
        </is>
      </c>
      <c r="E72" s="174" t="n">
        <v>1</v>
      </c>
      <c r="F72" s="174" t="n"/>
      <c r="G72" s="174" t="n"/>
      <c r="H72" s="175" t="n">
        <v>4334010030</v>
      </c>
      <c r="I72" s="176" t="inlineStr">
        <is>
          <t>Упругий элемент</t>
        </is>
      </c>
      <c r="J72" s="911" t="n"/>
      <c r="K72" s="913" t="n"/>
      <c r="L72" s="178" t="n">
        <v>5</v>
      </c>
      <c r="M72" s="130">
        <f>$E72*5</f>
        <v/>
      </c>
      <c r="N72" s="179" t="n">
        <v>0</v>
      </c>
      <c r="O72" s="130" t="n"/>
      <c r="P72" s="178" t="n">
        <v>5</v>
      </c>
      <c r="Q72" s="130">
        <f>$E72*5</f>
        <v/>
      </c>
      <c r="R72" s="179" t="n">
        <v>5</v>
      </c>
      <c r="S72" s="130" t="n"/>
      <c r="T72" s="178" t="n">
        <v>5</v>
      </c>
      <c r="U72" s="130">
        <f>$E72*5</f>
        <v/>
      </c>
      <c r="V72" s="179" t="n">
        <v>0</v>
      </c>
      <c r="W72" s="130" t="n"/>
      <c r="X72" s="178" t="n">
        <v>5</v>
      </c>
      <c r="Y72" s="130">
        <f>$E72*5</f>
        <v/>
      </c>
      <c r="Z72" s="179" t="n">
        <v>5</v>
      </c>
      <c r="AA72" s="130" t="n"/>
      <c r="AB72" s="178" t="n">
        <v>5</v>
      </c>
      <c r="AC72" s="130">
        <f>$E72*5</f>
        <v/>
      </c>
      <c r="AD72" s="109" t="n"/>
      <c r="AE72" s="252" t="n"/>
      <c r="AF72" s="178" t="n">
        <v>5</v>
      </c>
      <c r="AG72" s="130">
        <f>$E72*5</f>
        <v/>
      </c>
      <c r="AH72" s="109" t="n"/>
      <c r="AI72" s="252" t="n"/>
      <c r="AJ72" s="178" t="n">
        <v>5</v>
      </c>
      <c r="AK72" s="130">
        <f>$E72*5</f>
        <v/>
      </c>
      <c r="AL72" s="109" t="n"/>
      <c r="AM72" s="252" t="n"/>
      <c r="AN72" s="178" t="n">
        <v>5</v>
      </c>
      <c r="AO72" s="130">
        <f>$E72*3</f>
        <v/>
      </c>
      <c r="AP72" s="109" t="n"/>
      <c r="AQ72" s="252" t="n"/>
      <c r="AR72" s="178" t="n">
        <v>5</v>
      </c>
      <c r="AS72" s="130">
        <f>$E72*5</f>
        <v/>
      </c>
      <c r="AT72" s="109" t="n"/>
      <c r="AU72" s="252" t="n"/>
      <c r="AV72" s="178" t="n">
        <v>5</v>
      </c>
      <c r="AW72" s="130">
        <f>$E72*5</f>
        <v/>
      </c>
      <c r="AX72" s="109" t="n"/>
      <c r="AY72" s="252" t="n"/>
      <c r="AZ72" s="178" t="n">
        <v>5</v>
      </c>
      <c r="BA72" s="130">
        <f>$E72*5</f>
        <v/>
      </c>
      <c r="BB72" s="194" t="n"/>
      <c r="BC72" s="252" t="n"/>
      <c r="BD72" s="178" t="n">
        <v>5</v>
      </c>
      <c r="BE72" s="130">
        <f>$E72*5</f>
        <v/>
      </c>
      <c r="BF72" s="109" t="n"/>
      <c r="BG72" s="252" t="n"/>
      <c r="BH72" s="180">
        <f>SUMPRODUCT(--(MOD(COLUMN($L72:$BG72),4)=MOD(COLUMN($L72),4)),$L72:$BG72)</f>
        <v/>
      </c>
      <c r="BI72" s="181">
        <f>Автовик_разбивка[[#This Row],[Цена, 
юань, без НДС 1]]*BH72</f>
        <v/>
      </c>
      <c r="BJ72" s="130">
        <f>SUMPRODUCT(--(MOD(COLUMN($L72:$BG72),4)=MOD(COLUMN($L72)+1,4)),$L72:$BG72)</f>
        <v/>
      </c>
      <c r="BK72" s="187">
        <f>Автовик_разбивка[[#This Row],[Цена, 
юань, без НДС 1]]*BJ72</f>
        <v/>
      </c>
      <c r="BL72" s="109">
        <f>SUMPRODUCT(--(MOD(COLUMN($L72:$BG72),4)=MOD(COLUMN($L72)+2,4)),$L72:$BG72)</f>
        <v/>
      </c>
      <c r="BM72" s="224">
        <f>Автовик_разбивка[[#This Row],[Цена, 
юань, без НДС 1]]*BL72</f>
        <v/>
      </c>
      <c r="BN72" s="178" t="n"/>
      <c r="BO72" s="184" t="n"/>
      <c r="BP72" s="130">
        <f>$E72*0</f>
        <v/>
      </c>
      <c r="BQ72" s="179" t="n"/>
      <c r="BR72" s="130" t="n"/>
      <c r="BS72" s="178" t="n"/>
      <c r="BT72" s="184" t="n"/>
      <c r="BU72" s="130">
        <f>$E72*10</f>
        <v/>
      </c>
      <c r="BV72" s="179" t="n"/>
      <c r="BW72" s="130" t="n"/>
      <c r="BX72" s="178" t="n"/>
      <c r="BY72" s="184" t="n"/>
      <c r="BZ72" s="130">
        <f>$E72*0</f>
        <v/>
      </c>
      <c r="CA72" s="179" t="n"/>
      <c r="CB72" s="130" t="n"/>
      <c r="CC72" s="178" t="n"/>
      <c r="CD72" s="184" t="n"/>
      <c r="CE72" s="130">
        <f>$E72*10</f>
        <v/>
      </c>
      <c r="CF72" s="179" t="n"/>
      <c r="CG72" s="130" t="n"/>
      <c r="CH72" s="178" t="n"/>
      <c r="CI72" s="184" t="n"/>
      <c r="CJ72" s="130">
        <f>$E72*0</f>
        <v/>
      </c>
      <c r="CK72" s="109" t="n"/>
      <c r="CL72" s="252" t="n"/>
      <c r="CM72" s="178" t="n"/>
      <c r="CN72" s="184" t="n"/>
      <c r="CO72" s="130">
        <f>$E72*10</f>
        <v/>
      </c>
      <c r="CP72" s="109" t="n"/>
      <c r="CQ72" s="252" t="n"/>
      <c r="CR72" s="178" t="n"/>
      <c r="CS72" s="184" t="n"/>
      <c r="CT72" s="130">
        <f>$E72*0</f>
        <v/>
      </c>
      <c r="CU72" s="109" t="n"/>
      <c r="CV72" s="252" t="n"/>
      <c r="CW72" s="178" t="n"/>
      <c r="CX72" s="184" t="n"/>
      <c r="CY72" s="130">
        <f>$E72*10</f>
        <v/>
      </c>
      <c r="CZ72" s="109" t="n"/>
      <c r="DA72" s="252" t="n"/>
      <c r="DB72" s="178" t="n"/>
      <c r="DC72" s="184" t="n"/>
      <c r="DD72" s="130">
        <f>$E72*0</f>
        <v/>
      </c>
      <c r="DE72" s="109" t="n"/>
      <c r="DF72" s="252" t="n"/>
      <c r="DG72" s="178" t="n"/>
      <c r="DH72" s="184" t="n"/>
      <c r="DI72" s="130">
        <f>$E72*10</f>
        <v/>
      </c>
      <c r="DJ72" s="109" t="n"/>
      <c r="DK72" s="252" t="n"/>
      <c r="DL72" s="178" t="n"/>
      <c r="DM72" s="184" t="n"/>
      <c r="DN72" s="130">
        <f>$E72*0</f>
        <v/>
      </c>
      <c r="DO72" s="194" t="n"/>
      <c r="DP72" s="252" t="n"/>
      <c r="DQ72" s="178" t="n"/>
      <c r="DR72" s="184" t="n"/>
      <c r="DS72" s="130">
        <f>$E72*10</f>
        <v/>
      </c>
      <c r="DT72" s="109" t="n"/>
      <c r="DU72" s="252" t="n"/>
      <c r="DV72" s="180">
        <f>SUMPRODUCT(--(MOD(COLUMN($BN72:$DU72),5)=MOD(COLUMN($BN72),5)),$BN72:$DU72)</f>
        <v/>
      </c>
      <c r="DW72" s="181">
        <f>Автовик_разбивка[[#This Row],[Цена, 
юань, без НДС 1]]*DV72</f>
        <v/>
      </c>
      <c r="DX72" s="186">
        <f>SUMPRODUCT(--(MOD(COLUMN($BN72:$DU72),5)=MOD(COLUMN($BN72)+1,5)),$BN72:$DU72)</f>
        <v/>
      </c>
      <c r="DY72" s="186">
        <f>Автовик_разбивка[[#This Row],[Цена, 
юань, без НДС 1]]*DX72</f>
        <v/>
      </c>
      <c r="DZ72" s="130">
        <f>SUMPRODUCT(--(MOD(COLUMN($BN72:$DU72),5)=MOD(COLUMN($BN72)+2,5)),$BN72:$DU72)</f>
        <v/>
      </c>
      <c r="EA72" s="187">
        <f>Автовик_разбивка[[#This Row],[Цена, 
юань, без НДС 1]]*DZ72</f>
        <v/>
      </c>
      <c r="EB72" s="109">
        <f>SUMPRODUCT(--(MOD(COLUMN($BN72:$DU72),5)=MOD(COLUMN($BN72)+3,5)),$BN72:$DU72)</f>
        <v/>
      </c>
      <c r="EC72" s="224">
        <f>Автовик_разбивка[[#This Row],[Цена, 
юань, без НДС 1]]*EB72</f>
        <v/>
      </c>
    </row>
    <row r="73" customFormat="1" s="255">
      <c r="A73" s="256" t="n">
        <v>22</v>
      </c>
      <c r="B73" s="172" t="inlineStr">
        <is>
          <t>БЗАП</t>
        </is>
      </c>
      <c r="C73" s="173" t="inlineStr">
        <is>
          <t>TEBS</t>
        </is>
      </c>
      <c r="D73" s="173" t="inlineStr">
        <is>
          <t>TEBS 2s/2m 
15м</t>
        </is>
      </c>
      <c r="E73" s="174" t="n">
        <v>1</v>
      </c>
      <c r="F73" s="174" t="n"/>
      <c r="G73" s="174" t="n"/>
      <c r="H73" s="175" t="n">
        <v>4491731500</v>
      </c>
      <c r="I73" s="176" t="inlineStr">
        <is>
          <t>Кабель питания, 15 м</t>
        </is>
      </c>
      <c r="J73" s="911" t="n"/>
      <c r="K73" s="912" t="n"/>
      <c r="L73" s="178" t="n">
        <v>5</v>
      </c>
      <c r="M73" s="130">
        <f>$E73*5</f>
        <v/>
      </c>
      <c r="N73" s="179" t="n">
        <v>0</v>
      </c>
      <c r="O73" s="130" t="n"/>
      <c r="P73" s="178" t="n">
        <v>5</v>
      </c>
      <c r="Q73" s="130">
        <f>$E73*5</f>
        <v/>
      </c>
      <c r="R73" s="179" t="n">
        <v>5</v>
      </c>
      <c r="S73" s="130" t="n"/>
      <c r="T73" s="178" t="n">
        <v>5</v>
      </c>
      <c r="U73" s="130">
        <f>$E73*5</f>
        <v/>
      </c>
      <c r="V73" s="179" t="n">
        <v>0</v>
      </c>
      <c r="W73" s="130" t="n"/>
      <c r="X73" s="178" t="n">
        <v>5</v>
      </c>
      <c r="Y73" s="130">
        <f>$E73*5</f>
        <v/>
      </c>
      <c r="Z73" s="179" t="n">
        <v>5</v>
      </c>
      <c r="AA73" s="130" t="n"/>
      <c r="AB73" s="178" t="n">
        <v>5</v>
      </c>
      <c r="AC73" s="130">
        <f>$E73*5</f>
        <v/>
      </c>
      <c r="AD73" s="109" t="n"/>
      <c r="AE73" s="252" t="n"/>
      <c r="AF73" s="178" t="n">
        <v>5</v>
      </c>
      <c r="AG73" s="130">
        <f>$E73*5</f>
        <v/>
      </c>
      <c r="AH73" s="109" t="n"/>
      <c r="AI73" s="252" t="n"/>
      <c r="AJ73" s="178" t="n">
        <v>5</v>
      </c>
      <c r="AK73" s="130">
        <f>$E73*5</f>
        <v/>
      </c>
      <c r="AL73" s="109" t="n"/>
      <c r="AM73" s="252" t="n"/>
      <c r="AN73" s="178" t="n">
        <v>5</v>
      </c>
      <c r="AO73" s="130">
        <f>$E73*3</f>
        <v/>
      </c>
      <c r="AP73" s="109" t="n"/>
      <c r="AQ73" s="252" t="n"/>
      <c r="AR73" s="178" t="n">
        <v>5</v>
      </c>
      <c r="AS73" s="130">
        <f>$E73*5</f>
        <v/>
      </c>
      <c r="AT73" s="109" t="n"/>
      <c r="AU73" s="252" t="n"/>
      <c r="AV73" s="178" t="n">
        <v>5</v>
      </c>
      <c r="AW73" s="130">
        <f>$E73*5</f>
        <v/>
      </c>
      <c r="AX73" s="109" t="n"/>
      <c r="AY73" s="252" t="n"/>
      <c r="AZ73" s="178" t="n">
        <v>5</v>
      </c>
      <c r="BA73" s="130">
        <f>$E73*5</f>
        <v/>
      </c>
      <c r="BB73" s="193" t="n"/>
      <c r="BC73" s="252" t="n"/>
      <c r="BD73" s="178" t="n">
        <v>5</v>
      </c>
      <c r="BE73" s="130">
        <f>$E73*5</f>
        <v/>
      </c>
      <c r="BF73" s="109" t="n"/>
      <c r="BG73" s="252" t="n"/>
      <c r="BH73" s="180">
        <f>SUMPRODUCT(--(MOD(COLUMN($L73:$BG73),4)=MOD(COLUMN($L73),4)),$L73:$BG73)</f>
        <v/>
      </c>
      <c r="BI73" s="181">
        <f>Автовик_разбивка[[#This Row],[Цена, 
юань, без НДС 1]]*BH73</f>
        <v/>
      </c>
      <c r="BJ73" s="130">
        <f>SUMPRODUCT(--(MOD(COLUMN($L73:$BG73),4)=MOD(COLUMN($L73)+1,4)),$L73:$BG73)</f>
        <v/>
      </c>
      <c r="BK73" s="187">
        <f>Автовик_разбивка[[#This Row],[Цена, 
юань, без НДС 1]]*BJ73</f>
        <v/>
      </c>
      <c r="BL73" s="109">
        <f>SUMPRODUCT(--(MOD(COLUMN($L73:$BG73),4)=MOD(COLUMN($L73)+2,4)),$L73:$BG73)</f>
        <v/>
      </c>
      <c r="BM73" s="224">
        <f>Автовик_разбивка[[#This Row],[Цена, 
юань, без НДС 1]]*BL73</f>
        <v/>
      </c>
      <c r="BN73" s="178" t="n"/>
      <c r="BO73" s="184" t="n"/>
      <c r="BP73" s="130">
        <f>$E73*0</f>
        <v/>
      </c>
      <c r="BQ73" s="179" t="n"/>
      <c r="BR73" s="130" t="n"/>
      <c r="BS73" s="178" t="n"/>
      <c r="BT73" s="184" t="n"/>
      <c r="BU73" s="130">
        <f>$E73*10</f>
        <v/>
      </c>
      <c r="BV73" s="179" t="n"/>
      <c r="BW73" s="130" t="n"/>
      <c r="BX73" s="178" t="n"/>
      <c r="BY73" s="184" t="n"/>
      <c r="BZ73" s="130">
        <f>$E73*0</f>
        <v/>
      </c>
      <c r="CA73" s="179" t="n"/>
      <c r="CB73" s="130" t="n"/>
      <c r="CC73" s="178" t="n"/>
      <c r="CD73" s="184" t="n"/>
      <c r="CE73" s="130">
        <f>$E73*10</f>
        <v/>
      </c>
      <c r="CF73" s="179" t="n"/>
      <c r="CG73" s="130" t="n"/>
      <c r="CH73" s="178" t="n"/>
      <c r="CI73" s="184" t="n"/>
      <c r="CJ73" s="130">
        <f>$E73*0</f>
        <v/>
      </c>
      <c r="CK73" s="109" t="n"/>
      <c r="CL73" s="252" t="n"/>
      <c r="CM73" s="178" t="n"/>
      <c r="CN73" s="184" t="n"/>
      <c r="CO73" s="130">
        <f>$E73*10</f>
        <v/>
      </c>
      <c r="CP73" s="109" t="n"/>
      <c r="CQ73" s="252" t="n"/>
      <c r="CR73" s="178" t="n"/>
      <c r="CS73" s="184" t="n"/>
      <c r="CT73" s="130">
        <f>$E73*0</f>
        <v/>
      </c>
      <c r="CU73" s="109" t="n"/>
      <c r="CV73" s="252" t="n"/>
      <c r="CW73" s="178" t="n"/>
      <c r="CX73" s="184" t="n"/>
      <c r="CY73" s="130">
        <f>$E73*10</f>
        <v/>
      </c>
      <c r="CZ73" s="109" t="n"/>
      <c r="DA73" s="252" t="n"/>
      <c r="DB73" s="178" t="n"/>
      <c r="DC73" s="184" t="n"/>
      <c r="DD73" s="130">
        <f>$E73*0</f>
        <v/>
      </c>
      <c r="DE73" s="109" t="n"/>
      <c r="DF73" s="252" t="n"/>
      <c r="DG73" s="178" t="n"/>
      <c r="DH73" s="184" t="n"/>
      <c r="DI73" s="130">
        <f>$E73*10</f>
        <v/>
      </c>
      <c r="DJ73" s="109" t="n"/>
      <c r="DK73" s="252" t="n"/>
      <c r="DL73" s="178" t="n"/>
      <c r="DM73" s="184" t="n"/>
      <c r="DN73" s="130">
        <f>$E73*0</f>
        <v/>
      </c>
      <c r="DO73" s="193" t="n"/>
      <c r="DP73" s="252" t="n"/>
      <c r="DQ73" s="178" t="n"/>
      <c r="DR73" s="184" t="n"/>
      <c r="DS73" s="130">
        <f>$E73*10</f>
        <v/>
      </c>
      <c r="DT73" s="109" t="n"/>
      <c r="DU73" s="252" t="n"/>
      <c r="DV73" s="180">
        <f>SUMPRODUCT(--(MOD(COLUMN($BN73:$DU73),5)=MOD(COLUMN($BN73),5)),$BN73:$DU73)</f>
        <v/>
      </c>
      <c r="DW73" s="181">
        <f>Автовик_разбивка[[#This Row],[Цена, 
юань, без НДС 1]]*DV73</f>
        <v/>
      </c>
      <c r="DX73" s="186">
        <f>SUMPRODUCT(--(MOD(COLUMN($BN73:$DU73),5)=MOD(COLUMN($BN73)+1,5)),$BN73:$DU73)</f>
        <v/>
      </c>
      <c r="DY73" s="186">
        <f>Автовик_разбивка[[#This Row],[Цена, 
юань, без НДС 1]]*DX73</f>
        <v/>
      </c>
      <c r="DZ73" s="130">
        <f>SUMPRODUCT(--(MOD(COLUMN($BN73:$DU73),5)=MOD(COLUMN($BN73)+2,5)),$BN73:$DU73)</f>
        <v/>
      </c>
      <c r="EA73" s="187">
        <f>Автовик_разбивка[[#This Row],[Цена, 
юань, без НДС 1]]*DZ73</f>
        <v/>
      </c>
      <c r="EB73" s="109">
        <f>SUMPRODUCT(--(MOD(COLUMN($BN73:$DU73),5)=MOD(COLUMN($BN73)+3,5)),$BN73:$DU73)</f>
        <v/>
      </c>
      <c r="EC73" s="224">
        <f>Автовик_разбивка[[#This Row],[Цена, 
юань, без НДС 1]]*EB73</f>
        <v/>
      </c>
    </row>
    <row r="74" customFormat="1" s="255">
      <c r="A74" s="256" t="n">
        <v>22</v>
      </c>
      <c r="B74" s="172" t="inlineStr">
        <is>
          <t>БЗАП</t>
        </is>
      </c>
      <c r="C74" s="173" t="inlineStr">
        <is>
          <t>TEBS</t>
        </is>
      </c>
      <c r="D74" s="173" t="inlineStr">
        <is>
          <t>TEBS 2s/2m 
15м</t>
        </is>
      </c>
      <c r="E74" s="174" t="n"/>
      <c r="F74" s="174" t="n"/>
      <c r="G74" s="174" t="n"/>
      <c r="H74" s="175" t="n">
        <v>4497230400</v>
      </c>
      <c r="I74" s="176" t="inlineStr">
        <is>
          <t>Кабель датчика, 4 м</t>
        </is>
      </c>
      <c r="J74" s="911" t="n"/>
      <c r="K74" s="912" t="n"/>
      <c r="L74" s="178" t="n"/>
      <c r="M74" s="130" t="n"/>
      <c r="N74" s="179" t="n"/>
      <c r="O74" s="130" t="n"/>
      <c r="P74" s="178" t="n"/>
      <c r="Q74" s="130" t="n">
        <v>0</v>
      </c>
      <c r="R74" s="179" t="n">
        <v>10</v>
      </c>
      <c r="S74" s="130" t="n"/>
      <c r="T74" s="178" t="n"/>
      <c r="U74" s="130" t="n"/>
      <c r="V74" s="179" t="n"/>
      <c r="W74" s="130" t="n"/>
      <c r="X74" s="178" t="n"/>
      <c r="Y74" s="130" t="n"/>
      <c r="Z74" s="179" t="n"/>
      <c r="AA74" s="130" t="n"/>
      <c r="AB74" s="178" t="n"/>
      <c r="AC74" s="130" t="n"/>
      <c r="AD74" s="109" t="n"/>
      <c r="AE74" s="252" t="n"/>
      <c r="AF74" s="178" t="n"/>
      <c r="AG74" s="130" t="n"/>
      <c r="AH74" s="109" t="n"/>
      <c r="AI74" s="252" t="n"/>
      <c r="AJ74" s="178" t="n"/>
      <c r="AK74" s="130" t="n"/>
      <c r="AL74" s="109" t="n"/>
      <c r="AM74" s="252" t="n"/>
      <c r="AN74" s="178" t="n"/>
      <c r="AO74" s="130" t="n"/>
      <c r="AP74" s="109" t="n"/>
      <c r="AQ74" s="252" t="n"/>
      <c r="AR74" s="178" t="n"/>
      <c r="AS74" s="130" t="n"/>
      <c r="AT74" s="109" t="n"/>
      <c r="AU74" s="252" t="n"/>
      <c r="AV74" s="178" t="n"/>
      <c r="AW74" s="130" t="n"/>
      <c r="AX74" s="109" t="n"/>
      <c r="AY74" s="252" t="n"/>
      <c r="AZ74" s="178" t="n"/>
      <c r="BA74" s="130" t="n"/>
      <c r="BB74" s="193" t="n"/>
      <c r="BC74" s="252" t="n"/>
      <c r="BD74" s="178" t="n"/>
      <c r="BE74" s="130" t="n"/>
      <c r="BF74" s="109" t="n"/>
      <c r="BG74" s="252" t="n"/>
      <c r="BH74" s="180">
        <f>SUMPRODUCT(--(MOD(COLUMN($L74:$BG74),4)=MOD(COLUMN($L74),4)),$L74:$BG74)</f>
        <v/>
      </c>
      <c r="BI74" s="181">
        <f>Автовик_разбивка[[#This Row],[Цена, 
юань, без НДС 1]]*BH74</f>
        <v/>
      </c>
      <c r="BJ74" s="130">
        <f>SUMPRODUCT(--(MOD(COLUMN($L74:$BG74),4)=MOD(COLUMN($L74)+1,4)),$L74:$BG74)</f>
        <v/>
      </c>
      <c r="BK74" s="187">
        <f>Автовик_разбивка[[#This Row],[Цена, 
юань, без НДС 1]]*BJ74</f>
        <v/>
      </c>
      <c r="BL74" s="109">
        <f>SUMPRODUCT(--(MOD(COLUMN($L74:$BG74),4)=MOD(COLUMN($L74)+2,4)),$L74:$BG74)</f>
        <v/>
      </c>
      <c r="BM74" s="224">
        <f>Автовик_разбивка[[#This Row],[Цена, 
юань, без НДС 1]]*BL74</f>
        <v/>
      </c>
      <c r="BN74" s="178" t="n"/>
      <c r="BO74" s="184" t="n"/>
      <c r="BP74" s="130">
        <f>$E74*0</f>
        <v/>
      </c>
      <c r="BQ74" s="179" t="n"/>
      <c r="BR74" s="130" t="n"/>
      <c r="BS74" s="178" t="n"/>
      <c r="BT74" s="184" t="n"/>
      <c r="BU74" s="130">
        <f>$E74*10</f>
        <v/>
      </c>
      <c r="BV74" s="179" t="n"/>
      <c r="BW74" s="130" t="n"/>
      <c r="BX74" s="178" t="n"/>
      <c r="BY74" s="184" t="n"/>
      <c r="BZ74" s="130">
        <f>$E74*0</f>
        <v/>
      </c>
      <c r="CA74" s="179" t="n"/>
      <c r="CB74" s="130" t="n"/>
      <c r="CC74" s="178" t="n"/>
      <c r="CD74" s="184" t="n"/>
      <c r="CE74" s="130">
        <f>$E74*10</f>
        <v/>
      </c>
      <c r="CF74" s="179" t="n"/>
      <c r="CG74" s="130" t="n"/>
      <c r="CH74" s="178" t="n"/>
      <c r="CI74" s="184" t="n"/>
      <c r="CJ74" s="130">
        <f>$E74*0</f>
        <v/>
      </c>
      <c r="CK74" s="109" t="n"/>
      <c r="CL74" s="252" t="n"/>
      <c r="CM74" s="178" t="n"/>
      <c r="CN74" s="184" t="n"/>
      <c r="CO74" s="130">
        <f>$E74*10</f>
        <v/>
      </c>
      <c r="CP74" s="109" t="n"/>
      <c r="CQ74" s="252" t="n"/>
      <c r="CR74" s="178" t="n"/>
      <c r="CS74" s="184" t="n"/>
      <c r="CT74" s="130">
        <f>$E74*0</f>
        <v/>
      </c>
      <c r="CU74" s="109" t="n"/>
      <c r="CV74" s="252" t="n"/>
      <c r="CW74" s="178" t="n"/>
      <c r="CX74" s="184" t="n"/>
      <c r="CY74" s="130">
        <f>$E74*10</f>
        <v/>
      </c>
      <c r="CZ74" s="109" t="n"/>
      <c r="DA74" s="252" t="n"/>
      <c r="DB74" s="178" t="n"/>
      <c r="DC74" s="184" t="n"/>
      <c r="DD74" s="130">
        <f>$E74*0</f>
        <v/>
      </c>
      <c r="DE74" s="109" t="n"/>
      <c r="DF74" s="252" t="n"/>
      <c r="DG74" s="178" t="n"/>
      <c r="DH74" s="184" t="n"/>
      <c r="DI74" s="130">
        <f>$E74*10</f>
        <v/>
      </c>
      <c r="DJ74" s="109" t="n"/>
      <c r="DK74" s="252" t="n"/>
      <c r="DL74" s="178" t="n"/>
      <c r="DM74" s="184" t="n"/>
      <c r="DN74" s="130">
        <f>$E74*0</f>
        <v/>
      </c>
      <c r="DO74" s="193" t="n"/>
      <c r="DP74" s="252" t="n"/>
      <c r="DQ74" s="178" t="n"/>
      <c r="DR74" s="184" t="n"/>
      <c r="DS74" s="130">
        <f>$E74*10</f>
        <v/>
      </c>
      <c r="DT74" s="109" t="n"/>
      <c r="DU74" s="252" t="n"/>
      <c r="DV74" s="180">
        <f>SUMPRODUCT(--(MOD(COLUMN($BN74:$DU74),5)=MOD(COLUMN($BN74),5)),$BN74:$DU74)</f>
        <v/>
      </c>
      <c r="DW74" s="181">
        <f>Автовик_разбивка[[#This Row],[Цена, 
юань, без НДС 1]]*DV74</f>
        <v/>
      </c>
      <c r="DX74" s="186">
        <f>SUMPRODUCT(--(MOD(COLUMN($BN74:$DU74),5)=MOD(COLUMN($BN74)+1,5)),$BN74:$DU74)</f>
        <v/>
      </c>
      <c r="DY74" s="186">
        <f>Автовик_разбивка[[#This Row],[Цена, 
юань, без НДС 1]]*DX74</f>
        <v/>
      </c>
      <c r="DZ74" s="130">
        <f>SUMPRODUCT(--(MOD(COLUMN($BN74:$DU74),5)=MOD(COLUMN($BN74)+2,5)),$BN74:$DU74)</f>
        <v/>
      </c>
      <c r="EA74" s="187">
        <f>Автовик_разбивка[[#This Row],[Цена, 
юань, без НДС 1]]*DZ74</f>
        <v/>
      </c>
      <c r="EB74" s="109">
        <f>SUMPRODUCT(--(MOD(COLUMN($BN74:$DU74),5)=MOD(COLUMN($BN74)+3,5)),$BN74:$DU74)</f>
        <v/>
      </c>
      <c r="EC74" s="224">
        <f>Автовик_разбивка[[#This Row],[Цена, 
юань, без НДС 1]]*EB74</f>
        <v/>
      </c>
    </row>
    <row r="75" customFormat="1" s="255">
      <c r="A75" s="256" t="n">
        <v>22</v>
      </c>
      <c r="B75" s="172" t="inlineStr">
        <is>
          <t>БЗАП</t>
        </is>
      </c>
      <c r="C75" s="173" t="inlineStr">
        <is>
          <t>TEBS</t>
        </is>
      </c>
      <c r="D75" s="173" t="inlineStr">
        <is>
          <t>TEBS 2s/2m 
15м</t>
        </is>
      </c>
      <c r="E75" s="174" t="n">
        <v>2</v>
      </c>
      <c r="F75" s="174" t="n"/>
      <c r="G75" s="174" t="n"/>
      <c r="H75" s="175" t="n">
        <v>4497230500</v>
      </c>
      <c r="I75" s="176" t="inlineStr">
        <is>
          <t>Кабель датчика, 5 м</t>
        </is>
      </c>
      <c r="J75" s="911" t="n"/>
      <c r="K75" s="912" t="n"/>
      <c r="L75" s="178" t="n">
        <v>10</v>
      </c>
      <c r="M75" s="130">
        <f>$E75*5</f>
        <v/>
      </c>
      <c r="N75" s="179" t="n">
        <v>0</v>
      </c>
      <c r="O75" s="130" t="n"/>
      <c r="P75" s="178" t="n">
        <v>10</v>
      </c>
      <c r="Q75" s="130">
        <f>$E75*5</f>
        <v/>
      </c>
      <c r="R75" s="179" t="n">
        <v>0</v>
      </c>
      <c r="S75" s="130" t="n"/>
      <c r="T75" s="178" t="n">
        <v>10</v>
      </c>
      <c r="U75" s="130">
        <f>$E75*5</f>
        <v/>
      </c>
      <c r="V75" s="179" t="n">
        <v>0</v>
      </c>
      <c r="W75" s="130" t="n"/>
      <c r="X75" s="178" t="n">
        <v>10</v>
      </c>
      <c r="Y75" s="130">
        <f>$E75*5</f>
        <v/>
      </c>
      <c r="Z75" s="179" t="n">
        <v>10</v>
      </c>
      <c r="AA75" s="130" t="n"/>
      <c r="AB75" s="178" t="n">
        <v>10</v>
      </c>
      <c r="AC75" s="130">
        <f>$E75*5</f>
        <v/>
      </c>
      <c r="AD75" s="109" t="n"/>
      <c r="AE75" s="252" t="n"/>
      <c r="AF75" s="178" t="n">
        <v>10</v>
      </c>
      <c r="AG75" s="130">
        <f>$E75*5</f>
        <v/>
      </c>
      <c r="AH75" s="109" t="n"/>
      <c r="AI75" s="252" t="n"/>
      <c r="AJ75" s="178" t="n">
        <v>10</v>
      </c>
      <c r="AK75" s="130">
        <f>$E75*5</f>
        <v/>
      </c>
      <c r="AL75" s="109" t="n"/>
      <c r="AM75" s="252" t="n"/>
      <c r="AN75" s="178" t="n">
        <v>10</v>
      </c>
      <c r="AO75" s="130">
        <f>$E75*3</f>
        <v/>
      </c>
      <c r="AP75" s="109" t="n"/>
      <c r="AQ75" s="252" t="n"/>
      <c r="AR75" s="178" t="n">
        <v>10</v>
      </c>
      <c r="AS75" s="130">
        <f>$E75*5</f>
        <v/>
      </c>
      <c r="AT75" s="109" t="n"/>
      <c r="AU75" s="252" t="n"/>
      <c r="AV75" s="178" t="n">
        <v>10</v>
      </c>
      <c r="AW75" s="130">
        <f>$E75*5</f>
        <v/>
      </c>
      <c r="AX75" s="109" t="n"/>
      <c r="AY75" s="252" t="n"/>
      <c r="AZ75" s="178" t="n">
        <v>10</v>
      </c>
      <c r="BA75" s="130">
        <f>$E75*5</f>
        <v/>
      </c>
      <c r="BB75" s="193" t="n"/>
      <c r="BC75" s="252" t="n"/>
      <c r="BD75" s="178" t="n">
        <v>10</v>
      </c>
      <c r="BE75" s="130">
        <f>$E75*5</f>
        <v/>
      </c>
      <c r="BF75" s="109" t="n"/>
      <c r="BG75" s="252" t="n"/>
      <c r="BH75" s="180">
        <f>SUMPRODUCT(--(MOD(COLUMN($L75:$BG75),4)=MOD(COLUMN($L75),4)),$L75:$BG75)</f>
        <v/>
      </c>
      <c r="BI75" s="181">
        <f>Автовик_разбивка[[#This Row],[Цена, 
юань, без НДС 1]]*BH75</f>
        <v/>
      </c>
      <c r="BJ75" s="130">
        <f>SUMPRODUCT(--(MOD(COLUMN($L75:$BG75),4)=MOD(COLUMN($L75)+1,4)),$L75:$BG75)</f>
        <v/>
      </c>
      <c r="BK75" s="187">
        <f>Автовик_разбивка[[#This Row],[Цена, 
юань, без НДС 1]]*BJ75</f>
        <v/>
      </c>
      <c r="BL75" s="109">
        <f>SUMPRODUCT(--(MOD(COLUMN($L75:$BG75),4)=MOD(COLUMN($L75)+2,4)),$L75:$BG75)</f>
        <v/>
      </c>
      <c r="BM75" s="224">
        <f>Автовик_разбивка[[#This Row],[Цена, 
юань, без НДС 1]]*BL75</f>
        <v/>
      </c>
      <c r="BN75" s="178" t="n"/>
      <c r="BO75" s="184" t="n"/>
      <c r="BP75" s="130">
        <f>$E75*0</f>
        <v/>
      </c>
      <c r="BQ75" s="179" t="n"/>
      <c r="BR75" s="130" t="n"/>
      <c r="BS75" s="178" t="n"/>
      <c r="BT75" s="184" t="n"/>
      <c r="BU75" s="130">
        <f>$E75*10</f>
        <v/>
      </c>
      <c r="BV75" s="179" t="n"/>
      <c r="BW75" s="130" t="n"/>
      <c r="BX75" s="178" t="n"/>
      <c r="BY75" s="184" t="n"/>
      <c r="BZ75" s="130">
        <f>$E75*0</f>
        <v/>
      </c>
      <c r="CA75" s="179" t="n"/>
      <c r="CB75" s="130" t="n"/>
      <c r="CC75" s="178" t="n"/>
      <c r="CD75" s="184" t="n"/>
      <c r="CE75" s="130">
        <f>$E75*10</f>
        <v/>
      </c>
      <c r="CF75" s="179" t="n"/>
      <c r="CG75" s="130" t="n"/>
      <c r="CH75" s="178" t="n"/>
      <c r="CI75" s="184" t="n"/>
      <c r="CJ75" s="130">
        <f>$E75*0</f>
        <v/>
      </c>
      <c r="CK75" s="109" t="n"/>
      <c r="CL75" s="252" t="n"/>
      <c r="CM75" s="178" t="n"/>
      <c r="CN75" s="184" t="n"/>
      <c r="CO75" s="130">
        <f>$E75*10</f>
        <v/>
      </c>
      <c r="CP75" s="109" t="n"/>
      <c r="CQ75" s="252" t="n"/>
      <c r="CR75" s="178" t="n"/>
      <c r="CS75" s="184" t="n"/>
      <c r="CT75" s="130">
        <f>$E75*0</f>
        <v/>
      </c>
      <c r="CU75" s="109" t="n"/>
      <c r="CV75" s="252" t="n"/>
      <c r="CW75" s="178" t="n"/>
      <c r="CX75" s="184" t="n"/>
      <c r="CY75" s="130">
        <f>$E75*10</f>
        <v/>
      </c>
      <c r="CZ75" s="109" t="n"/>
      <c r="DA75" s="252" t="n"/>
      <c r="DB75" s="178" t="n"/>
      <c r="DC75" s="184" t="n"/>
      <c r="DD75" s="130">
        <f>$E75*0</f>
        <v/>
      </c>
      <c r="DE75" s="109" t="n"/>
      <c r="DF75" s="252" t="n"/>
      <c r="DG75" s="178" t="n"/>
      <c r="DH75" s="184" t="n"/>
      <c r="DI75" s="130">
        <f>$E75*10</f>
        <v/>
      </c>
      <c r="DJ75" s="109" t="n"/>
      <c r="DK75" s="252" t="n"/>
      <c r="DL75" s="178" t="n"/>
      <c r="DM75" s="184" t="n"/>
      <c r="DN75" s="130">
        <f>$E75*0</f>
        <v/>
      </c>
      <c r="DO75" s="193" t="n"/>
      <c r="DP75" s="252" t="n"/>
      <c r="DQ75" s="178" t="n"/>
      <c r="DR75" s="184" t="n"/>
      <c r="DS75" s="130">
        <f>$E75*10</f>
        <v/>
      </c>
      <c r="DT75" s="109" t="n"/>
      <c r="DU75" s="252" t="n"/>
      <c r="DV75" s="180">
        <f>SUMPRODUCT(--(MOD(COLUMN($BN75:$DU75),5)=MOD(COLUMN($BN75),5)),$BN75:$DU75)</f>
        <v/>
      </c>
      <c r="DW75" s="181">
        <f>Автовик_разбивка[[#This Row],[Цена, 
юань, без НДС 1]]*DV75</f>
        <v/>
      </c>
      <c r="DX75" s="186">
        <f>SUMPRODUCT(--(MOD(COLUMN($BN75:$DU75),5)=MOD(COLUMN($BN75)+1,5)),$BN75:$DU75)</f>
        <v/>
      </c>
      <c r="DY75" s="186">
        <f>Автовик_разбивка[[#This Row],[Цена, 
юань, без НДС 1]]*DX75</f>
        <v/>
      </c>
      <c r="DZ75" s="130">
        <f>SUMPRODUCT(--(MOD(COLUMN($BN75:$DU75),5)=MOD(COLUMN($BN75)+2,5)),$BN75:$DU75)</f>
        <v/>
      </c>
      <c r="EA75" s="187">
        <f>Автовик_разбивка[[#This Row],[Цена, 
юань, без НДС 1]]*DZ75</f>
        <v/>
      </c>
      <c r="EB75" s="109">
        <f>SUMPRODUCT(--(MOD(COLUMN($BN75:$DU75),5)=MOD(COLUMN($BN75)+3,5)),$BN75:$DU75)</f>
        <v/>
      </c>
      <c r="EC75" s="224">
        <f>Автовик_разбивка[[#This Row],[Цена, 
юань, без НДС 1]]*EB75</f>
        <v/>
      </c>
    </row>
    <row r="76" customFormat="1" s="255">
      <c r="A76" s="256" t="n">
        <v>22</v>
      </c>
      <c r="B76" s="172" t="inlineStr">
        <is>
          <t>БЗАП</t>
        </is>
      </c>
      <c r="C76" s="173" t="inlineStr">
        <is>
          <t>TEBS</t>
        </is>
      </c>
      <c r="D76" s="173" t="inlineStr">
        <is>
          <t>TEBS 2s/2m 
15м</t>
        </is>
      </c>
      <c r="E76" s="174" t="n">
        <v>1</v>
      </c>
      <c r="F76" s="174" t="n"/>
      <c r="G76" s="174" t="n"/>
      <c r="H76" s="175" t="n">
        <v>4630320200</v>
      </c>
      <c r="I76" s="176" t="inlineStr">
        <is>
          <t>Кран ручного управления</t>
        </is>
      </c>
      <c r="J76" s="911" t="n"/>
      <c r="K76" s="913" t="n"/>
      <c r="L76" s="178" t="n">
        <v>5</v>
      </c>
      <c r="M76" s="130">
        <f>$E76*5</f>
        <v/>
      </c>
      <c r="N76" s="179" t="n">
        <v>0</v>
      </c>
      <c r="O76" s="130" t="n"/>
      <c r="P76" s="178" t="n">
        <v>5</v>
      </c>
      <c r="Q76" s="130">
        <f>$E76*5</f>
        <v/>
      </c>
      <c r="R76" s="179" t="n">
        <v>5</v>
      </c>
      <c r="S76" s="130" t="n"/>
      <c r="T76" s="178" t="n">
        <v>5</v>
      </c>
      <c r="U76" s="130">
        <f>$E76*5</f>
        <v/>
      </c>
      <c r="V76" s="179" t="n">
        <v>0</v>
      </c>
      <c r="W76" s="130" t="n"/>
      <c r="X76" s="178" t="n">
        <v>5</v>
      </c>
      <c r="Y76" s="130">
        <f>$E76*5</f>
        <v/>
      </c>
      <c r="Z76" s="179" t="n">
        <v>5</v>
      </c>
      <c r="AA76" s="130" t="n"/>
      <c r="AB76" s="178" t="n">
        <v>5</v>
      </c>
      <c r="AC76" s="130">
        <f>$E76*5</f>
        <v/>
      </c>
      <c r="AD76" s="109" t="n"/>
      <c r="AE76" s="252" t="n"/>
      <c r="AF76" s="178" t="n">
        <v>5</v>
      </c>
      <c r="AG76" s="130">
        <f>$E76*5</f>
        <v/>
      </c>
      <c r="AH76" s="109" t="n"/>
      <c r="AI76" s="252" t="n"/>
      <c r="AJ76" s="178" t="n">
        <v>5</v>
      </c>
      <c r="AK76" s="130">
        <f>$E76*5</f>
        <v/>
      </c>
      <c r="AL76" s="109" t="n"/>
      <c r="AM76" s="252" t="n"/>
      <c r="AN76" s="178" t="n">
        <v>5</v>
      </c>
      <c r="AO76" s="130">
        <f>$E76*3</f>
        <v/>
      </c>
      <c r="AP76" s="109" t="n"/>
      <c r="AQ76" s="252" t="n"/>
      <c r="AR76" s="178" t="n">
        <v>5</v>
      </c>
      <c r="AS76" s="130">
        <f>$E76*5</f>
        <v/>
      </c>
      <c r="AT76" s="109" t="n"/>
      <c r="AU76" s="252" t="n"/>
      <c r="AV76" s="178" t="n">
        <v>5</v>
      </c>
      <c r="AW76" s="130">
        <f>$E76*5</f>
        <v/>
      </c>
      <c r="AX76" s="109" t="n"/>
      <c r="AY76" s="252" t="n"/>
      <c r="AZ76" s="178" t="n">
        <v>5</v>
      </c>
      <c r="BA76" s="130">
        <f>$E76*5</f>
        <v/>
      </c>
      <c r="BB76" s="194" t="n"/>
      <c r="BC76" s="252" t="n"/>
      <c r="BD76" s="178" t="n">
        <v>5</v>
      </c>
      <c r="BE76" s="130">
        <f>$E76*5</f>
        <v/>
      </c>
      <c r="BF76" s="109" t="n"/>
      <c r="BG76" s="252" t="n"/>
      <c r="BH76" s="180">
        <f>SUMPRODUCT(--(MOD(COLUMN($L76:$BG76),4)=MOD(COLUMN($L76),4)),$L76:$BG76)</f>
        <v/>
      </c>
      <c r="BI76" s="181">
        <f>Автовик_разбивка[[#This Row],[Цена, 
юань, без НДС 1]]*BH76</f>
        <v/>
      </c>
      <c r="BJ76" s="130">
        <f>SUMPRODUCT(--(MOD(COLUMN($L76:$BG76),4)=MOD(COLUMN($L76)+1,4)),$L76:$BG76)</f>
        <v/>
      </c>
      <c r="BK76" s="187">
        <f>Автовик_разбивка[[#This Row],[Цена, 
юань, без НДС 1]]*BJ76</f>
        <v/>
      </c>
      <c r="BL76" s="109">
        <f>SUMPRODUCT(--(MOD(COLUMN($L76:$BG76),4)=MOD(COLUMN($L76)+2,4)),$L76:$BG76)</f>
        <v/>
      </c>
      <c r="BM76" s="224">
        <f>Автовик_разбивка[[#This Row],[Цена, 
юань, без НДС 1]]*BL76</f>
        <v/>
      </c>
      <c r="BN76" s="178" t="n"/>
      <c r="BO76" s="184" t="n"/>
      <c r="BP76" s="130">
        <f>$E76*0</f>
        <v/>
      </c>
      <c r="BQ76" s="179" t="n"/>
      <c r="BR76" s="130" t="n"/>
      <c r="BS76" s="178" t="n"/>
      <c r="BT76" s="184" t="n"/>
      <c r="BU76" s="130">
        <f>$E76*10</f>
        <v/>
      </c>
      <c r="BV76" s="179" t="n"/>
      <c r="BW76" s="130" t="n"/>
      <c r="BX76" s="178" t="n"/>
      <c r="BY76" s="184" t="n"/>
      <c r="BZ76" s="130">
        <f>$E76*0</f>
        <v/>
      </c>
      <c r="CA76" s="179" t="n"/>
      <c r="CB76" s="130" t="n"/>
      <c r="CC76" s="178" t="n"/>
      <c r="CD76" s="184" t="n"/>
      <c r="CE76" s="130">
        <f>$E76*10</f>
        <v/>
      </c>
      <c r="CF76" s="179" t="n"/>
      <c r="CG76" s="130" t="n"/>
      <c r="CH76" s="178" t="n"/>
      <c r="CI76" s="184" t="n"/>
      <c r="CJ76" s="130">
        <f>$E76*0</f>
        <v/>
      </c>
      <c r="CK76" s="109" t="n"/>
      <c r="CL76" s="252" t="n"/>
      <c r="CM76" s="178" t="n"/>
      <c r="CN76" s="184" t="n"/>
      <c r="CO76" s="130">
        <f>$E76*10</f>
        <v/>
      </c>
      <c r="CP76" s="109" t="n"/>
      <c r="CQ76" s="252" t="n"/>
      <c r="CR76" s="178" t="n"/>
      <c r="CS76" s="184" t="n"/>
      <c r="CT76" s="130">
        <f>$E76*0</f>
        <v/>
      </c>
      <c r="CU76" s="109" t="n"/>
      <c r="CV76" s="252" t="n"/>
      <c r="CW76" s="178" t="n"/>
      <c r="CX76" s="184" t="n"/>
      <c r="CY76" s="130">
        <f>$E76*10</f>
        <v/>
      </c>
      <c r="CZ76" s="109" t="n"/>
      <c r="DA76" s="252" t="n"/>
      <c r="DB76" s="178" t="n"/>
      <c r="DC76" s="184" t="n"/>
      <c r="DD76" s="130">
        <f>$E76*0</f>
        <v/>
      </c>
      <c r="DE76" s="109" t="n"/>
      <c r="DF76" s="252" t="n"/>
      <c r="DG76" s="178" t="n"/>
      <c r="DH76" s="184" t="n"/>
      <c r="DI76" s="130">
        <f>$E76*10</f>
        <v/>
      </c>
      <c r="DJ76" s="109" t="n"/>
      <c r="DK76" s="252" t="n"/>
      <c r="DL76" s="178" t="n"/>
      <c r="DM76" s="184" t="n"/>
      <c r="DN76" s="130">
        <f>$E76*0</f>
        <v/>
      </c>
      <c r="DO76" s="194" t="n"/>
      <c r="DP76" s="252" t="n"/>
      <c r="DQ76" s="178" t="n"/>
      <c r="DR76" s="184" t="n"/>
      <c r="DS76" s="130">
        <f>$E76*10</f>
        <v/>
      </c>
      <c r="DT76" s="109" t="n"/>
      <c r="DU76" s="252" t="n"/>
      <c r="DV76" s="180">
        <f>SUMPRODUCT(--(MOD(COLUMN($BN76:$DU76),5)=MOD(COLUMN($BN76),5)),$BN76:$DU76)</f>
        <v/>
      </c>
      <c r="DW76" s="181">
        <f>Автовик_разбивка[[#This Row],[Цена, 
юань, без НДС 1]]*DV76</f>
        <v/>
      </c>
      <c r="DX76" s="186">
        <f>SUMPRODUCT(--(MOD(COLUMN($BN76:$DU76),5)=MOD(COLUMN($BN76)+1,5)),$BN76:$DU76)</f>
        <v/>
      </c>
      <c r="DY76" s="186">
        <f>Автовик_разбивка[[#This Row],[Цена, 
юань, без НДС 1]]*DX76</f>
        <v/>
      </c>
      <c r="DZ76" s="130">
        <f>SUMPRODUCT(--(MOD(COLUMN($BN76:$DU76),5)=MOD(COLUMN($BN76)+2,5)),$BN76:$DU76)</f>
        <v/>
      </c>
      <c r="EA76" s="187">
        <f>Автовик_разбивка[[#This Row],[Цена, 
юань, без НДС 1]]*DZ76</f>
        <v/>
      </c>
      <c r="EB76" s="109">
        <f>SUMPRODUCT(--(MOD(COLUMN($BN76:$DU76),5)=MOD(COLUMN($BN76)+3,5)),$BN76:$DU76)</f>
        <v/>
      </c>
      <c r="EC76" s="224">
        <f>Автовик_разбивка[[#This Row],[Цена, 
юань, без НДС 1]]*EB76</f>
        <v/>
      </c>
    </row>
    <row r="77" customFormat="1" s="255">
      <c r="A77" s="256" t="n">
        <v>22</v>
      </c>
      <c r="B77" s="172" t="inlineStr">
        <is>
          <t>БЗАП</t>
        </is>
      </c>
      <c r="C77" s="173" t="inlineStr">
        <is>
          <t>TEBS</t>
        </is>
      </c>
      <c r="D77" s="173" t="inlineStr">
        <is>
          <t>TEBS 2s/2m 
15м</t>
        </is>
      </c>
      <c r="E77" s="174" t="n">
        <v>1</v>
      </c>
      <c r="F77" s="174" t="n"/>
      <c r="G77" s="174" t="n"/>
      <c r="H77" s="175" t="n">
        <v>4640061000</v>
      </c>
      <c r="I77" s="176" t="inlineStr">
        <is>
          <t>Кран уровня пола, 5-ти портовый</t>
        </is>
      </c>
      <c r="J77" s="911" t="n"/>
      <c r="K77" s="912" t="n"/>
      <c r="L77" s="178" t="n">
        <v>5</v>
      </c>
      <c r="M77" s="130">
        <f>$E77*5</f>
        <v/>
      </c>
      <c r="N77" s="179" t="n">
        <v>0</v>
      </c>
      <c r="O77" s="130" t="n"/>
      <c r="P77" s="178" t="n">
        <v>5</v>
      </c>
      <c r="Q77" s="130">
        <f>$E77*5</f>
        <v/>
      </c>
      <c r="R77" s="179" t="n">
        <v>5</v>
      </c>
      <c r="S77" s="130" t="n"/>
      <c r="T77" s="178" t="n">
        <v>5</v>
      </c>
      <c r="U77" s="130">
        <f>$E77*5</f>
        <v/>
      </c>
      <c r="V77" s="179" t="n">
        <v>0</v>
      </c>
      <c r="W77" s="130" t="n"/>
      <c r="X77" s="178" t="n">
        <v>5</v>
      </c>
      <c r="Y77" s="130">
        <f>$E77*5</f>
        <v/>
      </c>
      <c r="Z77" s="179" t="n">
        <v>5</v>
      </c>
      <c r="AA77" s="130" t="n"/>
      <c r="AB77" s="178" t="n">
        <v>5</v>
      </c>
      <c r="AC77" s="130">
        <f>$E77*5</f>
        <v/>
      </c>
      <c r="AD77" s="109" t="n"/>
      <c r="AE77" s="252" t="n"/>
      <c r="AF77" s="178" t="n">
        <v>5</v>
      </c>
      <c r="AG77" s="130">
        <f>$E77*5</f>
        <v/>
      </c>
      <c r="AH77" s="109" t="n"/>
      <c r="AI77" s="252" t="n"/>
      <c r="AJ77" s="178" t="n">
        <v>5</v>
      </c>
      <c r="AK77" s="130">
        <f>$E77*5</f>
        <v/>
      </c>
      <c r="AL77" s="109" t="n"/>
      <c r="AM77" s="252" t="n"/>
      <c r="AN77" s="178" t="n">
        <v>5</v>
      </c>
      <c r="AO77" s="130">
        <f>$E77*3</f>
        <v/>
      </c>
      <c r="AP77" s="109" t="n"/>
      <c r="AQ77" s="252" t="n"/>
      <c r="AR77" s="178" t="n">
        <v>5</v>
      </c>
      <c r="AS77" s="130">
        <f>$E77*5</f>
        <v/>
      </c>
      <c r="AT77" s="109" t="n"/>
      <c r="AU77" s="252" t="n"/>
      <c r="AV77" s="178" t="n">
        <v>5</v>
      </c>
      <c r="AW77" s="130">
        <f>$E77*5</f>
        <v/>
      </c>
      <c r="AX77" s="109" t="n"/>
      <c r="AY77" s="252" t="n"/>
      <c r="AZ77" s="178" t="n">
        <v>5</v>
      </c>
      <c r="BA77" s="130">
        <f>$E77*5</f>
        <v/>
      </c>
      <c r="BB77" s="179" t="n"/>
      <c r="BC77" s="252" t="n"/>
      <c r="BD77" s="178" t="n">
        <v>5</v>
      </c>
      <c r="BE77" s="130">
        <f>$E77*5</f>
        <v/>
      </c>
      <c r="BF77" s="109" t="n"/>
      <c r="BG77" s="252" t="n"/>
      <c r="BH77" s="180">
        <f>SUMPRODUCT(--(MOD(COLUMN($L77:$BG77),4)=MOD(COLUMN($L77),4)),$L77:$BG77)</f>
        <v/>
      </c>
      <c r="BI77" s="181">
        <f>Автовик_разбивка[[#This Row],[Цена, 
юань, без НДС 1]]*BH77</f>
        <v/>
      </c>
      <c r="BJ77" s="130">
        <f>SUMPRODUCT(--(MOD(COLUMN($L77:$BG77),4)=MOD(COLUMN($L77)+1,4)),$L77:$BG77)</f>
        <v/>
      </c>
      <c r="BK77" s="187">
        <f>Автовик_разбивка[[#This Row],[Цена, 
юань, без НДС 1]]*BJ77</f>
        <v/>
      </c>
      <c r="BL77" s="109">
        <f>SUMPRODUCT(--(MOD(COLUMN($L77:$BG77),4)=MOD(COLUMN($L77)+2,4)),$L77:$BG77)</f>
        <v/>
      </c>
      <c r="BM77" s="224">
        <f>Автовик_разбивка[[#This Row],[Цена, 
юань, без НДС 1]]*BL77</f>
        <v/>
      </c>
      <c r="BN77" s="178" t="n"/>
      <c r="BO77" s="184" t="n"/>
      <c r="BP77" s="130">
        <f>$E77*0</f>
        <v/>
      </c>
      <c r="BQ77" s="179" t="n"/>
      <c r="BR77" s="130" t="n"/>
      <c r="BS77" s="178" t="n"/>
      <c r="BT77" s="184" t="n"/>
      <c r="BU77" s="130">
        <f>$E77*10</f>
        <v/>
      </c>
      <c r="BV77" s="179" t="n"/>
      <c r="BW77" s="130" t="n"/>
      <c r="BX77" s="178" t="n"/>
      <c r="BY77" s="184" t="n"/>
      <c r="BZ77" s="130">
        <f>$E77*0</f>
        <v/>
      </c>
      <c r="CA77" s="179" t="n"/>
      <c r="CB77" s="130" t="n"/>
      <c r="CC77" s="178" t="n"/>
      <c r="CD77" s="184" t="n"/>
      <c r="CE77" s="130">
        <f>$E77*10</f>
        <v/>
      </c>
      <c r="CF77" s="179" t="n"/>
      <c r="CG77" s="130" t="n"/>
      <c r="CH77" s="178" t="n"/>
      <c r="CI77" s="184" t="n"/>
      <c r="CJ77" s="130">
        <f>$E77*0</f>
        <v/>
      </c>
      <c r="CK77" s="109" t="n"/>
      <c r="CL77" s="252" t="n"/>
      <c r="CM77" s="178" t="n"/>
      <c r="CN77" s="184" t="n"/>
      <c r="CO77" s="130">
        <f>$E77*10</f>
        <v/>
      </c>
      <c r="CP77" s="109" t="n"/>
      <c r="CQ77" s="252" t="n"/>
      <c r="CR77" s="178" t="n"/>
      <c r="CS77" s="184" t="n"/>
      <c r="CT77" s="130">
        <f>$E77*0</f>
        <v/>
      </c>
      <c r="CU77" s="109" t="n"/>
      <c r="CV77" s="252" t="n"/>
      <c r="CW77" s="178" t="n"/>
      <c r="CX77" s="184" t="n"/>
      <c r="CY77" s="130">
        <f>$E77*10</f>
        <v/>
      </c>
      <c r="CZ77" s="109" t="n"/>
      <c r="DA77" s="252" t="n"/>
      <c r="DB77" s="178" t="n"/>
      <c r="DC77" s="184" t="n"/>
      <c r="DD77" s="130">
        <f>$E77*0</f>
        <v/>
      </c>
      <c r="DE77" s="109" t="n"/>
      <c r="DF77" s="252" t="n"/>
      <c r="DG77" s="178" t="n"/>
      <c r="DH77" s="184" t="n"/>
      <c r="DI77" s="130">
        <f>$E77*10</f>
        <v/>
      </c>
      <c r="DJ77" s="109" t="n"/>
      <c r="DK77" s="252" t="n"/>
      <c r="DL77" s="178" t="n"/>
      <c r="DM77" s="184" t="n"/>
      <c r="DN77" s="130">
        <f>$E77*0</f>
        <v/>
      </c>
      <c r="DO77" s="179" t="n"/>
      <c r="DP77" s="252" t="n"/>
      <c r="DQ77" s="178" t="n"/>
      <c r="DR77" s="184" t="n"/>
      <c r="DS77" s="130">
        <f>$E77*10</f>
        <v/>
      </c>
      <c r="DT77" s="109" t="n"/>
      <c r="DU77" s="252" t="n"/>
      <c r="DV77" s="180">
        <f>SUMPRODUCT(--(MOD(COLUMN($BN77:$DU77),5)=MOD(COLUMN($BN77),5)),$BN77:$DU77)</f>
        <v/>
      </c>
      <c r="DW77" s="181">
        <f>Автовик_разбивка[[#This Row],[Цена, 
юань, без НДС 1]]*DV77</f>
        <v/>
      </c>
      <c r="DX77" s="186">
        <f>SUMPRODUCT(--(MOD(COLUMN($BN77:$DU77),5)=MOD(COLUMN($BN77)+1,5)),$BN77:$DU77)</f>
        <v/>
      </c>
      <c r="DY77" s="186">
        <f>Автовик_разбивка[[#This Row],[Цена, 
юань, без НДС 1]]*DX77</f>
        <v/>
      </c>
      <c r="DZ77" s="130">
        <f>SUMPRODUCT(--(MOD(COLUMN($BN77:$DU77),5)=MOD(COLUMN($BN77)+2,5)),$BN77:$DU77)</f>
        <v/>
      </c>
      <c r="EA77" s="187">
        <f>Автовик_разбивка[[#This Row],[Цена, 
юань, без НДС 1]]*DZ77</f>
        <v/>
      </c>
      <c r="EB77" s="109">
        <f>SUMPRODUCT(--(MOD(COLUMN($BN77:$DU77),5)=MOD(COLUMN($BN77)+3,5)),$BN77:$DU77)</f>
        <v/>
      </c>
      <c r="EC77" s="224">
        <f>Автовик_разбивка[[#This Row],[Цена, 
юань, без НДС 1]]*EB77</f>
        <v/>
      </c>
    </row>
    <row r="78" customFormat="1" s="255">
      <c r="A78" s="256" t="n">
        <v>22</v>
      </c>
      <c r="B78" s="172" t="inlineStr">
        <is>
          <t>БЗАП</t>
        </is>
      </c>
      <c r="C78" s="173" t="inlineStr">
        <is>
          <t>TEBS</t>
        </is>
      </c>
      <c r="D78" s="173" t="inlineStr">
        <is>
          <t>TEBS 2s/2m 
15м</t>
        </is>
      </c>
      <c r="E78" s="174" t="n">
        <v>1</v>
      </c>
      <c r="F78" s="174" t="n"/>
      <c r="G78" s="174" t="n"/>
      <c r="H78" s="175" t="n">
        <v>4801020640</v>
      </c>
      <c r="I78" s="176" t="inlineStr">
        <is>
          <t>Модулятор EBS, с PEM, без фит.</t>
        </is>
      </c>
      <c r="J78" s="911" t="n"/>
      <c r="K78" s="913" t="n"/>
      <c r="L78" s="178" t="n">
        <v>5</v>
      </c>
      <c r="M78" s="130">
        <f>$E78*5</f>
        <v/>
      </c>
      <c r="N78" s="179" t="n">
        <v>0</v>
      </c>
      <c r="O78" s="130" t="n"/>
      <c r="P78" s="178" t="n">
        <v>5</v>
      </c>
      <c r="Q78" s="130">
        <f>$E78*5</f>
        <v/>
      </c>
      <c r="R78" s="179" t="n">
        <v>5</v>
      </c>
      <c r="S78" s="130" t="n"/>
      <c r="T78" s="178" t="n">
        <v>5</v>
      </c>
      <c r="U78" s="130">
        <f>$E78*5</f>
        <v/>
      </c>
      <c r="V78" s="179" t="n">
        <v>0</v>
      </c>
      <c r="W78" s="130" t="n"/>
      <c r="X78" s="178" t="n">
        <v>5</v>
      </c>
      <c r="Y78" s="130">
        <f>$E78*5</f>
        <v/>
      </c>
      <c r="Z78" s="179" t="n">
        <v>5</v>
      </c>
      <c r="AA78" s="130" t="n"/>
      <c r="AB78" s="178" t="n">
        <v>5</v>
      </c>
      <c r="AC78" s="130">
        <f>$E78*5</f>
        <v/>
      </c>
      <c r="AD78" s="109" t="n"/>
      <c r="AE78" s="252" t="n"/>
      <c r="AF78" s="178" t="n">
        <v>5</v>
      </c>
      <c r="AG78" s="130">
        <f>$E78*5</f>
        <v/>
      </c>
      <c r="AH78" s="109" t="n"/>
      <c r="AI78" s="252" t="n"/>
      <c r="AJ78" s="178" t="n">
        <v>5</v>
      </c>
      <c r="AK78" s="130">
        <f>$E78*5</f>
        <v/>
      </c>
      <c r="AL78" s="109" t="n"/>
      <c r="AM78" s="252" t="n"/>
      <c r="AN78" s="178" t="n">
        <v>5</v>
      </c>
      <c r="AO78" s="130">
        <f>$E78*3</f>
        <v/>
      </c>
      <c r="AP78" s="109" t="n"/>
      <c r="AQ78" s="252" t="n"/>
      <c r="AR78" s="178" t="n">
        <v>5</v>
      </c>
      <c r="AS78" s="130">
        <f>$E78*5</f>
        <v/>
      </c>
      <c r="AT78" s="109" t="n"/>
      <c r="AU78" s="252" t="n"/>
      <c r="AV78" s="178" t="n">
        <v>5</v>
      </c>
      <c r="AW78" s="130">
        <f>$E78*5</f>
        <v/>
      </c>
      <c r="AX78" s="109" t="n"/>
      <c r="AY78" s="252" t="n"/>
      <c r="AZ78" s="178" t="n">
        <v>5</v>
      </c>
      <c r="BA78" s="130">
        <f>$E78*5</f>
        <v/>
      </c>
      <c r="BB78" s="193" t="n"/>
      <c r="BC78" s="252" t="n"/>
      <c r="BD78" s="178" t="n">
        <v>5</v>
      </c>
      <c r="BE78" s="130">
        <f>$E78*5</f>
        <v/>
      </c>
      <c r="BF78" s="109" t="n"/>
      <c r="BG78" s="252" t="n"/>
      <c r="BH78" s="180">
        <f>SUMPRODUCT(--(MOD(COLUMN($L78:$BG78),4)=MOD(COLUMN($L78),4)),$L78:$BG78)</f>
        <v/>
      </c>
      <c r="BI78" s="181">
        <f>Автовик_разбивка[[#This Row],[Цена, 
юань, без НДС 1]]*BH78</f>
        <v/>
      </c>
      <c r="BJ78" s="130">
        <f>SUMPRODUCT(--(MOD(COLUMN($L78:$BG78),4)=MOD(COLUMN($L78)+1,4)),$L78:$BG78)</f>
        <v/>
      </c>
      <c r="BK78" s="187">
        <f>Автовик_разбивка[[#This Row],[Цена, 
юань, без НДС 1]]*BJ78</f>
        <v/>
      </c>
      <c r="BL78" s="109">
        <f>SUMPRODUCT(--(MOD(COLUMN($L78:$BG78),4)=MOD(COLUMN($L78)+2,4)),$L78:$BG78)</f>
        <v/>
      </c>
      <c r="BM78" s="224">
        <f>Автовик_разбивка[[#This Row],[Цена, 
юань, без НДС 1]]*BL78</f>
        <v/>
      </c>
      <c r="BN78" s="178" t="n"/>
      <c r="BO78" s="184" t="n"/>
      <c r="BP78" s="130">
        <f>$E78*0</f>
        <v/>
      </c>
      <c r="BQ78" s="179" t="n"/>
      <c r="BR78" s="130" t="n"/>
      <c r="BS78" s="178" t="n"/>
      <c r="BT78" s="184" t="n"/>
      <c r="BU78" s="130">
        <f>$E78*10</f>
        <v/>
      </c>
      <c r="BV78" s="179" t="n"/>
      <c r="BW78" s="130" t="n"/>
      <c r="BX78" s="178" t="n"/>
      <c r="BY78" s="184" t="n"/>
      <c r="BZ78" s="130">
        <f>$E78*0</f>
        <v/>
      </c>
      <c r="CA78" s="179" t="n"/>
      <c r="CB78" s="130" t="n"/>
      <c r="CC78" s="178" t="n"/>
      <c r="CD78" s="184" t="n"/>
      <c r="CE78" s="130">
        <f>$E78*10</f>
        <v/>
      </c>
      <c r="CF78" s="179" t="n"/>
      <c r="CG78" s="130" t="n"/>
      <c r="CH78" s="178" t="n"/>
      <c r="CI78" s="184" t="n"/>
      <c r="CJ78" s="130">
        <f>$E78*0</f>
        <v/>
      </c>
      <c r="CK78" s="109" t="n"/>
      <c r="CL78" s="252" t="n"/>
      <c r="CM78" s="178" t="n"/>
      <c r="CN78" s="184" t="n"/>
      <c r="CO78" s="130">
        <f>$E78*10</f>
        <v/>
      </c>
      <c r="CP78" s="109" t="n"/>
      <c r="CQ78" s="252" t="n"/>
      <c r="CR78" s="178" t="n"/>
      <c r="CS78" s="184" t="n"/>
      <c r="CT78" s="130">
        <f>$E78*0</f>
        <v/>
      </c>
      <c r="CU78" s="109" t="n"/>
      <c r="CV78" s="252" t="n"/>
      <c r="CW78" s="178" t="n"/>
      <c r="CX78" s="184" t="n"/>
      <c r="CY78" s="130">
        <f>$E78*10</f>
        <v/>
      </c>
      <c r="CZ78" s="109" t="n"/>
      <c r="DA78" s="252" t="n"/>
      <c r="DB78" s="178" t="n"/>
      <c r="DC78" s="184" t="n"/>
      <c r="DD78" s="130">
        <f>$E78*0</f>
        <v/>
      </c>
      <c r="DE78" s="109" t="n"/>
      <c r="DF78" s="252" t="n"/>
      <c r="DG78" s="178" t="n"/>
      <c r="DH78" s="184" t="n"/>
      <c r="DI78" s="130">
        <f>$E78*10</f>
        <v/>
      </c>
      <c r="DJ78" s="109" t="n"/>
      <c r="DK78" s="252" t="n"/>
      <c r="DL78" s="178" t="n"/>
      <c r="DM78" s="184" t="n"/>
      <c r="DN78" s="130">
        <f>$E78*0</f>
        <v/>
      </c>
      <c r="DO78" s="193" t="n"/>
      <c r="DP78" s="252" t="n"/>
      <c r="DQ78" s="178" t="n"/>
      <c r="DR78" s="184" t="n"/>
      <c r="DS78" s="130">
        <f>$E78*10</f>
        <v/>
      </c>
      <c r="DT78" s="109" t="n"/>
      <c r="DU78" s="252" t="n"/>
      <c r="DV78" s="180">
        <f>SUMPRODUCT(--(MOD(COLUMN($BN78:$DU78),5)=MOD(COLUMN($BN78),5)),$BN78:$DU78)</f>
        <v/>
      </c>
      <c r="DW78" s="181">
        <f>Автовик_разбивка[[#This Row],[Цена, 
юань, без НДС 1]]*DV78</f>
        <v/>
      </c>
      <c r="DX78" s="186">
        <f>SUMPRODUCT(--(MOD(COLUMN($BN78:$DU78),5)=MOD(COLUMN($BN78)+1,5)),$BN78:$DU78)</f>
        <v/>
      </c>
      <c r="DY78" s="186">
        <f>Автовик_разбивка[[#This Row],[Цена, 
юань, без НДС 1]]*DX78</f>
        <v/>
      </c>
      <c r="DZ78" s="130">
        <f>SUMPRODUCT(--(MOD(COLUMN($BN78:$DU78),5)=MOD(COLUMN($BN78)+2,5)),$BN78:$DU78)</f>
        <v/>
      </c>
      <c r="EA78" s="187">
        <f>Автовик_разбивка[[#This Row],[Цена, 
юань, без НДС 1]]*DZ78</f>
        <v/>
      </c>
      <c r="EB78" s="109">
        <f>SUMPRODUCT(--(MOD(COLUMN($BN78:$DU78),5)=MOD(COLUMN($BN78)+3,5)),$BN78:$DU78)</f>
        <v/>
      </c>
      <c r="EC78" s="224">
        <f>Автовик_разбивка[[#This Row],[Цена, 
юань, без НДС 1]]*EB78</f>
        <v/>
      </c>
    </row>
    <row r="79">
      <c r="A79" s="256" t="n">
        <v>22</v>
      </c>
      <c r="B79" s="172" t="inlineStr">
        <is>
          <t>БЗАП</t>
        </is>
      </c>
      <c r="C79" s="173" t="inlineStr">
        <is>
          <t>TEBS</t>
        </is>
      </c>
      <c r="D79" s="173" t="inlineStr">
        <is>
          <t>TEBS 2s/2m 
15м</t>
        </is>
      </c>
      <c r="E79" s="174" t="n">
        <v>1</v>
      </c>
      <c r="F79" s="174" t="n"/>
      <c r="G79" s="174" t="n"/>
      <c r="H79" s="175" t="n">
        <v>9522010010</v>
      </c>
      <c r="I79" s="176" t="inlineStr">
        <is>
          <t>Головка соединительная (управляющая)</t>
        </is>
      </c>
      <c r="J79" s="911" t="n"/>
      <c r="K79" s="913" t="n"/>
      <c r="L79" s="178" t="n">
        <v>5</v>
      </c>
      <c r="M79" s="130">
        <f>$E79*5</f>
        <v/>
      </c>
      <c r="N79" s="179" t="n">
        <v>0</v>
      </c>
      <c r="O79" s="130" t="n"/>
      <c r="P79" s="178" t="n">
        <v>5</v>
      </c>
      <c r="Q79" s="130">
        <f>$E79*5</f>
        <v/>
      </c>
      <c r="R79" s="179" t="n">
        <v>5</v>
      </c>
      <c r="S79" s="130" t="n"/>
      <c r="T79" s="178" t="n">
        <v>5</v>
      </c>
      <c r="U79" s="130">
        <f>$E79*5</f>
        <v/>
      </c>
      <c r="V79" s="179" t="n">
        <v>0</v>
      </c>
      <c r="W79" s="130" t="n"/>
      <c r="X79" s="178" t="n">
        <v>5</v>
      </c>
      <c r="Y79" s="130">
        <f>$E79*5</f>
        <v/>
      </c>
      <c r="Z79" s="179" t="n">
        <v>5</v>
      </c>
      <c r="AA79" s="130" t="n"/>
      <c r="AB79" s="178" t="n">
        <v>5</v>
      </c>
      <c r="AC79" s="130">
        <f>$E79*5</f>
        <v/>
      </c>
      <c r="AD79" s="179" t="n"/>
      <c r="AE79" s="130" t="n"/>
      <c r="AF79" s="178" t="n">
        <v>5</v>
      </c>
      <c r="AG79" s="130">
        <f>$E79*5</f>
        <v/>
      </c>
      <c r="AH79" s="179" t="n"/>
      <c r="AI79" s="130" t="n"/>
      <c r="AJ79" s="178" t="n">
        <v>5</v>
      </c>
      <c r="AK79" s="130">
        <f>$E79*5</f>
        <v/>
      </c>
      <c r="AL79" s="179" t="n"/>
      <c r="AM79" s="130" t="n"/>
      <c r="AN79" s="178" t="n">
        <v>5</v>
      </c>
      <c r="AO79" s="130">
        <f>$E79*3</f>
        <v/>
      </c>
      <c r="AP79" s="179" t="n"/>
      <c r="AQ79" s="130" t="n"/>
      <c r="AR79" s="178" t="n">
        <v>5</v>
      </c>
      <c r="AS79" s="130">
        <f>$E79*5</f>
        <v/>
      </c>
      <c r="AT79" s="179" t="n"/>
      <c r="AU79" s="130" t="n"/>
      <c r="AV79" s="178" t="n">
        <v>5</v>
      </c>
      <c r="AW79" s="130">
        <f>$E79*5</f>
        <v/>
      </c>
      <c r="AX79" s="179" t="n"/>
      <c r="AY79" s="130" t="n"/>
      <c r="AZ79" s="178" t="n">
        <v>5</v>
      </c>
      <c r="BA79" s="130">
        <f>$E79*5</f>
        <v/>
      </c>
      <c r="BB79" s="228" t="n"/>
      <c r="BC79" s="130" t="n"/>
      <c r="BD79" s="178" t="n">
        <v>5</v>
      </c>
      <c r="BE79" s="130">
        <f>$E79*5</f>
        <v/>
      </c>
      <c r="BF79" s="109" t="n"/>
      <c r="BG79" s="130" t="n"/>
      <c r="BH79" s="180">
        <f>SUMPRODUCT(--(MOD(COLUMN($L79:$BG79),4)=MOD(COLUMN($L79),4)),$L79:$BG79)</f>
        <v/>
      </c>
      <c r="BI79" s="181">
        <f>Автовик_разбивка[[#This Row],[Цена, 
юань, без НДС 1]]*BH79</f>
        <v/>
      </c>
      <c r="BJ79" s="130">
        <f>SUMPRODUCT(--(MOD(COLUMN($L79:$BG79),4)=MOD(COLUMN($L79)+1,4)),$L79:$BG79)</f>
        <v/>
      </c>
      <c r="BK79" s="187">
        <f>Автовик_разбивка[[#This Row],[Цена, 
юань, без НДС 1]]*BJ79</f>
        <v/>
      </c>
      <c r="BL79" s="109">
        <f>SUMPRODUCT(--(MOD(COLUMN($L79:$BG79),4)=MOD(COLUMN($L79)+2,4)),$L79:$BG79)</f>
        <v/>
      </c>
      <c r="BM79" s="224">
        <f>Автовик_разбивка[[#This Row],[Цена, 
юань, без НДС 1]]*BL79</f>
        <v/>
      </c>
      <c r="BN79" s="178" t="n"/>
      <c r="BO79" s="184" t="n"/>
      <c r="BP79" s="130">
        <f>$E79*0</f>
        <v/>
      </c>
      <c r="BQ79" s="179" t="n"/>
      <c r="BR79" s="130" t="n"/>
      <c r="BS79" s="178" t="n"/>
      <c r="BT79" s="184" t="n"/>
      <c r="BU79" s="130">
        <f>$E79*10</f>
        <v/>
      </c>
      <c r="BV79" s="179" t="n"/>
      <c r="BW79" s="130" t="n"/>
      <c r="BX79" s="178" t="n"/>
      <c r="BY79" s="184" t="n"/>
      <c r="BZ79" s="130">
        <f>$E79*0</f>
        <v/>
      </c>
      <c r="CA79" s="179" t="n"/>
      <c r="CB79" s="130" t="n"/>
      <c r="CC79" s="178" t="n"/>
      <c r="CD79" s="184" t="n"/>
      <c r="CE79" s="130">
        <f>$E79*10</f>
        <v/>
      </c>
      <c r="CF79" s="179" t="n"/>
      <c r="CG79" s="130" t="n"/>
      <c r="CH79" s="178" t="n"/>
      <c r="CI79" s="184" t="n"/>
      <c r="CJ79" s="130">
        <f>$E79*0</f>
        <v/>
      </c>
      <c r="CK79" s="179" t="n"/>
      <c r="CL79" s="130" t="n"/>
      <c r="CM79" s="178" t="n"/>
      <c r="CN79" s="184" t="n"/>
      <c r="CO79" s="130">
        <f>$E79*10</f>
        <v/>
      </c>
      <c r="CP79" s="179" t="n"/>
      <c r="CQ79" s="130" t="n"/>
      <c r="CR79" s="178" t="n"/>
      <c r="CS79" s="184" t="n"/>
      <c r="CT79" s="130">
        <f>$E79*0</f>
        <v/>
      </c>
      <c r="CU79" s="179" t="n"/>
      <c r="CV79" s="130" t="n"/>
      <c r="CW79" s="178" t="n"/>
      <c r="CX79" s="184" t="n"/>
      <c r="CY79" s="130">
        <f>$E79*10</f>
        <v/>
      </c>
      <c r="CZ79" s="179" t="n"/>
      <c r="DA79" s="130" t="n"/>
      <c r="DB79" s="178" t="n"/>
      <c r="DC79" s="184" t="n"/>
      <c r="DD79" s="130">
        <f>$E79*0</f>
        <v/>
      </c>
      <c r="DE79" s="179" t="n"/>
      <c r="DF79" s="130" t="n"/>
      <c r="DG79" s="178" t="n"/>
      <c r="DH79" s="184" t="n"/>
      <c r="DI79" s="130">
        <f>$E79*10</f>
        <v/>
      </c>
      <c r="DJ79" s="179" t="n"/>
      <c r="DK79" s="130" t="n"/>
      <c r="DL79" s="178" t="n"/>
      <c r="DM79" s="184" t="n"/>
      <c r="DN79" s="130">
        <f>$E79*0</f>
        <v/>
      </c>
      <c r="DO79" s="228" t="n"/>
      <c r="DP79" s="130" t="n"/>
      <c r="DQ79" s="178" t="n"/>
      <c r="DR79" s="184" t="n"/>
      <c r="DS79" s="130">
        <f>$E79*10</f>
        <v/>
      </c>
      <c r="DT79" s="109" t="n"/>
      <c r="DU79" s="130" t="n"/>
      <c r="DV79" s="180">
        <f>SUMPRODUCT(--(MOD(COLUMN($BN79:$DU79),5)=MOD(COLUMN($BN79),5)),$BN79:$DU79)</f>
        <v/>
      </c>
      <c r="DW79" s="181">
        <f>Автовик_разбивка[[#This Row],[Цена, 
юань, без НДС 1]]*DV79</f>
        <v/>
      </c>
      <c r="DX79" s="186">
        <f>SUMPRODUCT(--(MOD(COLUMN($BN79:$DU79),5)=MOD(COLUMN($BN79)+1,5)),$BN79:$DU79)</f>
        <v/>
      </c>
      <c r="DY79" s="186">
        <f>Автовик_разбивка[[#This Row],[Цена, 
юань, без НДС 1]]*DX79</f>
        <v/>
      </c>
      <c r="DZ79" s="130">
        <f>SUMPRODUCT(--(MOD(COLUMN($BN79:$DU79),5)=MOD(COLUMN($BN79)+2,5)),$BN79:$DU79)</f>
        <v/>
      </c>
      <c r="EA79" s="187">
        <f>Автовик_разбивка[[#This Row],[Цена, 
юань, без НДС 1]]*DZ79</f>
        <v/>
      </c>
      <c r="EB79" s="109">
        <f>SUMPRODUCT(--(MOD(COLUMN($BN79:$DU79),5)=MOD(COLUMN($BN79)+3,5)),$BN79:$DU79)</f>
        <v/>
      </c>
      <c r="EC79" s="224">
        <f>Автовик_разбивка[[#This Row],[Цена, 
юань, без НДС 1]]*EB79</f>
        <v/>
      </c>
    </row>
    <row r="80">
      <c r="A80" s="256" t="n">
        <v>22</v>
      </c>
      <c r="B80" s="172" t="inlineStr">
        <is>
          <t>БЗАП</t>
        </is>
      </c>
      <c r="C80" s="173" t="inlineStr">
        <is>
          <t>TEBS</t>
        </is>
      </c>
      <c r="D80" s="173" t="inlineStr">
        <is>
          <t>TEBS 2s/2m 
15м</t>
        </is>
      </c>
      <c r="E80" s="174" t="n">
        <v>1</v>
      </c>
      <c r="F80" s="174" t="n"/>
      <c r="G80" s="174" t="n"/>
      <c r="H80" s="175" t="n">
        <v>9522010020</v>
      </c>
      <c r="I80" s="176" t="inlineStr">
        <is>
          <t>Головка соединительная (питающая)</t>
        </is>
      </c>
      <c r="J80" s="911" t="n"/>
      <c r="K80" s="913" t="n"/>
      <c r="L80" s="178" t="n">
        <v>5</v>
      </c>
      <c r="M80" s="130">
        <f>$E80*5</f>
        <v/>
      </c>
      <c r="N80" s="179" t="n">
        <v>0</v>
      </c>
      <c r="O80" s="130" t="n"/>
      <c r="P80" s="178" t="n">
        <v>5</v>
      </c>
      <c r="Q80" s="130">
        <f>$E80*5</f>
        <v/>
      </c>
      <c r="R80" s="179" t="n">
        <v>5</v>
      </c>
      <c r="S80" s="130" t="n"/>
      <c r="T80" s="178" t="n">
        <v>5</v>
      </c>
      <c r="U80" s="130">
        <f>$E80*5</f>
        <v/>
      </c>
      <c r="V80" s="179" t="n">
        <v>0</v>
      </c>
      <c r="W80" s="130" t="n"/>
      <c r="X80" s="178" t="n">
        <v>5</v>
      </c>
      <c r="Y80" s="130">
        <f>$E80*5</f>
        <v/>
      </c>
      <c r="Z80" s="179" t="n">
        <v>5</v>
      </c>
      <c r="AA80" s="130" t="n"/>
      <c r="AB80" s="178" t="n">
        <v>5</v>
      </c>
      <c r="AC80" s="130">
        <f>$E80*5</f>
        <v/>
      </c>
      <c r="AD80" s="179" t="n"/>
      <c r="AE80" s="130" t="n"/>
      <c r="AF80" s="178" t="n">
        <v>5</v>
      </c>
      <c r="AG80" s="130">
        <f>$E80*5</f>
        <v/>
      </c>
      <c r="AH80" s="179" t="n"/>
      <c r="AI80" s="130" t="n"/>
      <c r="AJ80" s="178" t="n">
        <v>5</v>
      </c>
      <c r="AK80" s="130">
        <f>$E80*5</f>
        <v/>
      </c>
      <c r="AL80" s="179" t="n"/>
      <c r="AM80" s="130" t="n"/>
      <c r="AN80" s="178" t="n">
        <v>5</v>
      </c>
      <c r="AO80" s="130">
        <f>$E80*3</f>
        <v/>
      </c>
      <c r="AP80" s="179" t="n"/>
      <c r="AQ80" s="130" t="n"/>
      <c r="AR80" s="178" t="n">
        <v>5</v>
      </c>
      <c r="AS80" s="130">
        <f>$E80*5</f>
        <v/>
      </c>
      <c r="AT80" s="179" t="n"/>
      <c r="AU80" s="130" t="n"/>
      <c r="AV80" s="178" t="n">
        <v>5</v>
      </c>
      <c r="AW80" s="130">
        <f>$E80*5</f>
        <v/>
      </c>
      <c r="AX80" s="179" t="n"/>
      <c r="AY80" s="130" t="n"/>
      <c r="AZ80" s="178" t="n">
        <v>5</v>
      </c>
      <c r="BA80" s="130">
        <f>$E80*5</f>
        <v/>
      </c>
      <c r="BB80" s="228" t="n"/>
      <c r="BC80" s="130" t="n"/>
      <c r="BD80" s="178" t="n">
        <v>5</v>
      </c>
      <c r="BE80" s="130">
        <f>$E80*5</f>
        <v/>
      </c>
      <c r="BF80" s="109" t="n"/>
      <c r="BG80" s="130" t="n"/>
      <c r="BH80" s="180">
        <f>SUMPRODUCT(--(MOD(COLUMN($L80:$BG80),4)=MOD(COLUMN($L80),4)),$L80:$BG80)</f>
        <v/>
      </c>
      <c r="BI80" s="181">
        <f>Автовик_разбивка[[#This Row],[Цена, 
юань, без НДС 1]]*BH80</f>
        <v/>
      </c>
      <c r="BJ80" s="130">
        <f>SUMPRODUCT(--(MOD(COLUMN($L80:$BG80),4)=MOD(COLUMN($L80)+1,4)),$L80:$BG80)</f>
        <v/>
      </c>
      <c r="BK80" s="187">
        <f>Автовик_разбивка[[#This Row],[Цена, 
юань, без НДС 1]]*BJ80</f>
        <v/>
      </c>
      <c r="BL80" s="109">
        <f>SUMPRODUCT(--(MOD(COLUMN($L80:$BG80),4)=MOD(COLUMN($L80)+2,4)),$L80:$BG80)</f>
        <v/>
      </c>
      <c r="BM80" s="224">
        <f>Автовик_разбивка[[#This Row],[Цена, 
юань, без НДС 1]]*BL80</f>
        <v/>
      </c>
      <c r="BN80" s="178" t="n"/>
      <c r="BO80" s="184" t="n"/>
      <c r="BP80" s="130">
        <f>$E80*0</f>
        <v/>
      </c>
      <c r="BQ80" s="179" t="n"/>
      <c r="BR80" s="130" t="n"/>
      <c r="BS80" s="178" t="n"/>
      <c r="BT80" s="184" t="n"/>
      <c r="BU80" s="130">
        <f>$E80*10</f>
        <v/>
      </c>
      <c r="BV80" s="179" t="n"/>
      <c r="BW80" s="130" t="n"/>
      <c r="BX80" s="178" t="n"/>
      <c r="BY80" s="184" t="n"/>
      <c r="BZ80" s="130">
        <f>$E80*0</f>
        <v/>
      </c>
      <c r="CA80" s="179" t="n"/>
      <c r="CB80" s="130" t="n"/>
      <c r="CC80" s="178" t="n"/>
      <c r="CD80" s="184" t="n"/>
      <c r="CE80" s="130">
        <f>$E80*10</f>
        <v/>
      </c>
      <c r="CF80" s="179" t="n"/>
      <c r="CG80" s="130" t="n"/>
      <c r="CH80" s="178" t="n"/>
      <c r="CI80" s="184" t="n"/>
      <c r="CJ80" s="130">
        <f>$E80*0</f>
        <v/>
      </c>
      <c r="CK80" s="179" t="n"/>
      <c r="CL80" s="130" t="n"/>
      <c r="CM80" s="178" t="n"/>
      <c r="CN80" s="184" t="n"/>
      <c r="CO80" s="130">
        <f>$E80*10</f>
        <v/>
      </c>
      <c r="CP80" s="179" t="n"/>
      <c r="CQ80" s="130" t="n"/>
      <c r="CR80" s="178" t="n"/>
      <c r="CS80" s="184" t="n"/>
      <c r="CT80" s="130">
        <f>$E80*0</f>
        <v/>
      </c>
      <c r="CU80" s="179" t="n"/>
      <c r="CV80" s="130" t="n"/>
      <c r="CW80" s="178" t="n"/>
      <c r="CX80" s="184" t="n"/>
      <c r="CY80" s="130">
        <f>$E80*10</f>
        <v/>
      </c>
      <c r="CZ80" s="179" t="n"/>
      <c r="DA80" s="130" t="n"/>
      <c r="DB80" s="178" t="n"/>
      <c r="DC80" s="184" t="n"/>
      <c r="DD80" s="130">
        <f>$E80*0</f>
        <v/>
      </c>
      <c r="DE80" s="179" t="n"/>
      <c r="DF80" s="130" t="n"/>
      <c r="DG80" s="178" t="n"/>
      <c r="DH80" s="184" t="n"/>
      <c r="DI80" s="130">
        <f>$E80*10</f>
        <v/>
      </c>
      <c r="DJ80" s="179" t="n"/>
      <c r="DK80" s="130" t="n"/>
      <c r="DL80" s="178" t="n"/>
      <c r="DM80" s="184" t="n"/>
      <c r="DN80" s="130">
        <f>$E80*0</f>
        <v/>
      </c>
      <c r="DO80" s="228" t="n"/>
      <c r="DP80" s="130" t="n"/>
      <c r="DQ80" s="178" t="n"/>
      <c r="DR80" s="184" t="n"/>
      <c r="DS80" s="130">
        <f>$E80*10</f>
        <v/>
      </c>
      <c r="DT80" s="109" t="n"/>
      <c r="DU80" s="130" t="n"/>
      <c r="DV80" s="180">
        <f>SUMPRODUCT(--(MOD(COLUMN($BN80:$DU80),5)=MOD(COLUMN($BN80),5)),$BN80:$DU80)</f>
        <v/>
      </c>
      <c r="DW80" s="181">
        <f>Автовик_разбивка[[#This Row],[Цена, 
юань, без НДС 1]]*DV80</f>
        <v/>
      </c>
      <c r="DX80" s="186">
        <f>SUMPRODUCT(--(MOD(COLUMN($BN80:$DU80),5)=MOD(COLUMN($BN80)+1,5)),$BN80:$DU80)</f>
        <v/>
      </c>
      <c r="DY80" s="186">
        <f>Автовик_разбивка[[#This Row],[Цена, 
юань, без НДС 1]]*DX80</f>
        <v/>
      </c>
      <c r="DZ80" s="130">
        <f>SUMPRODUCT(--(MOD(COLUMN($BN80:$DU80),5)=MOD(COLUMN($BN80)+2,5)),$BN80:$DU80)</f>
        <v/>
      </c>
      <c r="EA80" s="187">
        <f>Автовик_разбивка[[#This Row],[Цена, 
юань, без НДС 1]]*DZ80</f>
        <v/>
      </c>
      <c r="EB80" s="109">
        <f>SUMPRODUCT(--(MOD(COLUMN($BN80:$DU80),5)=MOD(COLUMN($BN80)+3,5)),$BN80:$DU80)</f>
        <v/>
      </c>
      <c r="EC80" s="224">
        <f>Автовик_разбивка[[#This Row],[Цена, 
юань, без НДС 1]]*EB80</f>
        <v/>
      </c>
    </row>
    <row r="81">
      <c r="A81" s="256" t="n">
        <v>22</v>
      </c>
      <c r="B81" s="172" t="inlineStr">
        <is>
          <t>БЗАП</t>
        </is>
      </c>
      <c r="C81" s="173" t="inlineStr">
        <is>
          <t>TEBS</t>
        </is>
      </c>
      <c r="D81" s="173" t="inlineStr">
        <is>
          <t>TEBS 2s/2m 
15м</t>
        </is>
      </c>
      <c r="E81" s="174" t="n">
        <v>1</v>
      </c>
      <c r="F81" s="174" t="n"/>
      <c r="G81" s="174" t="n"/>
      <c r="H81" s="175" t="n">
        <v>9710029000</v>
      </c>
      <c r="I81" s="176" t="inlineStr">
        <is>
          <t>Воздухораспределитель с клапаном растормаживания</t>
        </is>
      </c>
      <c r="J81" s="911" t="n"/>
      <c r="K81" s="913" t="n"/>
      <c r="L81" s="178" t="n">
        <v>5</v>
      </c>
      <c r="M81" s="130">
        <f>$E81*5</f>
        <v/>
      </c>
      <c r="N81" s="179" t="n">
        <v>0</v>
      </c>
      <c r="O81" s="130" t="n"/>
      <c r="P81" s="178" t="n">
        <v>5</v>
      </c>
      <c r="Q81" s="130">
        <f>$E81*5</f>
        <v/>
      </c>
      <c r="R81" s="179" t="n">
        <v>5</v>
      </c>
      <c r="S81" s="130" t="n"/>
      <c r="T81" s="178" t="n">
        <v>5</v>
      </c>
      <c r="U81" s="130">
        <f>$E81*5</f>
        <v/>
      </c>
      <c r="V81" s="179" t="n">
        <v>0</v>
      </c>
      <c r="W81" s="130" t="n"/>
      <c r="X81" s="178" t="n">
        <v>5</v>
      </c>
      <c r="Y81" s="130">
        <f>$E81*5</f>
        <v/>
      </c>
      <c r="Z81" s="179" t="n">
        <v>5</v>
      </c>
      <c r="AA81" s="130" t="n"/>
      <c r="AB81" s="178" t="n">
        <v>5</v>
      </c>
      <c r="AC81" s="130">
        <f>$E81*5</f>
        <v/>
      </c>
      <c r="AD81" s="109" t="n"/>
      <c r="AE81" s="252" t="n"/>
      <c r="AF81" s="178" t="n">
        <v>5</v>
      </c>
      <c r="AG81" s="130">
        <f>$E81*5</f>
        <v/>
      </c>
      <c r="AH81" s="109" t="n"/>
      <c r="AI81" s="252" t="n"/>
      <c r="AJ81" s="178" t="n">
        <v>5</v>
      </c>
      <c r="AK81" s="130">
        <f>$E81*5</f>
        <v/>
      </c>
      <c r="AL81" s="109" t="n"/>
      <c r="AM81" s="252" t="n"/>
      <c r="AN81" s="178" t="n">
        <v>5</v>
      </c>
      <c r="AO81" s="130">
        <f>$E81*3</f>
        <v/>
      </c>
      <c r="AP81" s="109" t="n"/>
      <c r="AQ81" s="252" t="n"/>
      <c r="AR81" s="178" t="n">
        <v>5</v>
      </c>
      <c r="AS81" s="130">
        <f>$E81*5</f>
        <v/>
      </c>
      <c r="AT81" s="109" t="n"/>
      <c r="AU81" s="252" t="n"/>
      <c r="AV81" s="178" t="n">
        <v>5</v>
      </c>
      <c r="AW81" s="130">
        <f>$E81*5</f>
        <v/>
      </c>
      <c r="AX81" s="109" t="n"/>
      <c r="AY81" s="252" t="n"/>
      <c r="AZ81" s="178" t="n">
        <v>5</v>
      </c>
      <c r="BA81" s="130">
        <f>$E81*5</f>
        <v/>
      </c>
      <c r="BB81" s="194" t="n"/>
      <c r="BC81" s="252" t="n"/>
      <c r="BD81" s="178" t="n">
        <v>5</v>
      </c>
      <c r="BE81" s="130">
        <f>$E81*5</f>
        <v/>
      </c>
      <c r="BF81" s="109" t="n"/>
      <c r="BG81" s="252" t="n"/>
      <c r="BH81" s="180">
        <f>SUMPRODUCT(--(MOD(COLUMN($L81:$BG81),4)=MOD(COLUMN($L81),4)),$L81:$BG81)</f>
        <v/>
      </c>
      <c r="BI81" s="181">
        <f>Автовик_разбивка[[#This Row],[Цена, 
юань, без НДС 1]]*BH81</f>
        <v/>
      </c>
      <c r="BJ81" s="130">
        <f>SUMPRODUCT(--(MOD(COLUMN($L81:$BG81),4)=MOD(COLUMN($L81)+1,4)),$L81:$BG81)</f>
        <v/>
      </c>
      <c r="BK81" s="187">
        <f>Автовик_разбивка[[#This Row],[Цена, 
юань, без НДС 1]]*BJ81</f>
        <v/>
      </c>
      <c r="BL81" s="109">
        <f>SUMPRODUCT(--(MOD(COLUMN($L81:$BG81),4)=MOD(COLUMN($L81)+2,4)),$L81:$BG81)</f>
        <v/>
      </c>
      <c r="BM81" s="224">
        <f>Автовик_разбивка[[#This Row],[Цена, 
юань, без НДС 1]]*BL81</f>
        <v/>
      </c>
      <c r="BN81" s="178" t="n"/>
      <c r="BO81" s="184" t="n"/>
      <c r="BP81" s="130">
        <f>$E81*0</f>
        <v/>
      </c>
      <c r="BQ81" s="179" t="n"/>
      <c r="BR81" s="130" t="n"/>
      <c r="BS81" s="178" t="n"/>
      <c r="BT81" s="184" t="n"/>
      <c r="BU81" s="130">
        <f>$E81*10</f>
        <v/>
      </c>
      <c r="BV81" s="179" t="n"/>
      <c r="BW81" s="130" t="n"/>
      <c r="BX81" s="178" t="n"/>
      <c r="BY81" s="184" t="n"/>
      <c r="BZ81" s="130">
        <f>$E81*0</f>
        <v/>
      </c>
      <c r="CA81" s="179" t="n"/>
      <c r="CB81" s="130" t="n"/>
      <c r="CC81" s="178" t="n"/>
      <c r="CD81" s="184" t="n"/>
      <c r="CE81" s="130">
        <f>$E81*10</f>
        <v/>
      </c>
      <c r="CF81" s="179" t="n"/>
      <c r="CG81" s="130" t="n"/>
      <c r="CH81" s="178" t="n"/>
      <c r="CI81" s="184" t="n"/>
      <c r="CJ81" s="130">
        <f>$E81*0</f>
        <v/>
      </c>
      <c r="CK81" s="109" t="n"/>
      <c r="CL81" s="252" t="n"/>
      <c r="CM81" s="178" t="n"/>
      <c r="CN81" s="184" t="n"/>
      <c r="CO81" s="130">
        <f>$E81*10</f>
        <v/>
      </c>
      <c r="CP81" s="109" t="n"/>
      <c r="CQ81" s="252" t="n"/>
      <c r="CR81" s="178" t="n"/>
      <c r="CS81" s="184" t="n"/>
      <c r="CT81" s="130">
        <f>$E81*0</f>
        <v/>
      </c>
      <c r="CU81" s="109" t="n"/>
      <c r="CV81" s="252" t="n"/>
      <c r="CW81" s="178" t="n"/>
      <c r="CX81" s="184" t="n"/>
      <c r="CY81" s="130">
        <f>$E81*10</f>
        <v/>
      </c>
      <c r="CZ81" s="109" t="n"/>
      <c r="DA81" s="252" t="n"/>
      <c r="DB81" s="178" t="n"/>
      <c r="DC81" s="184" t="n"/>
      <c r="DD81" s="130">
        <f>$E81*0</f>
        <v/>
      </c>
      <c r="DE81" s="109" t="n"/>
      <c r="DF81" s="252" t="n"/>
      <c r="DG81" s="178" t="n"/>
      <c r="DH81" s="184" t="n"/>
      <c r="DI81" s="130">
        <f>$E81*10</f>
        <v/>
      </c>
      <c r="DJ81" s="109" t="n"/>
      <c r="DK81" s="252" t="n"/>
      <c r="DL81" s="178" t="n"/>
      <c r="DM81" s="184" t="n"/>
      <c r="DN81" s="130">
        <f>$E81*0</f>
        <v/>
      </c>
      <c r="DO81" s="194" t="n"/>
      <c r="DP81" s="252" t="n"/>
      <c r="DQ81" s="178" t="n"/>
      <c r="DR81" s="184" t="n"/>
      <c r="DS81" s="130">
        <f>$E81*10</f>
        <v/>
      </c>
      <c r="DT81" s="109" t="n"/>
      <c r="DU81" s="252" t="n"/>
      <c r="DV81" s="180">
        <f>SUMPRODUCT(--(MOD(COLUMN($BN81:$DU81),5)=MOD(COLUMN($BN81),5)),$BN81:$DU81)</f>
        <v/>
      </c>
      <c r="DW81" s="181">
        <f>Автовик_разбивка[[#This Row],[Цена, 
юань, без НДС 1]]*DV81</f>
        <v/>
      </c>
      <c r="DX81" s="186">
        <f>SUMPRODUCT(--(MOD(COLUMN($BN81:$DU81),5)=MOD(COLUMN($BN81)+1,5)),$BN81:$DU81)</f>
        <v/>
      </c>
      <c r="DY81" s="186">
        <f>Автовик_разбивка[[#This Row],[Цена, 
юань, без НДС 1]]*DX81</f>
        <v/>
      </c>
      <c r="DZ81" s="130">
        <f>SUMPRODUCT(--(MOD(COLUMN($BN81:$DU81),5)=MOD(COLUMN($BN81)+2,5)),$BN81:$DU81)</f>
        <v/>
      </c>
      <c r="EA81" s="187">
        <f>Автовик_разбивка[[#This Row],[Цена, 
юань, без НДС 1]]*DZ81</f>
        <v/>
      </c>
      <c r="EB81" s="109">
        <f>SUMPRODUCT(--(MOD(COLUMN($BN81:$DU81),5)=MOD(COLUMN($BN81)+3,5)),$BN81:$DU81)</f>
        <v/>
      </c>
      <c r="EC81" s="224">
        <f>Автовик_разбивка[[#This Row],[Цена, 
юань, без НДС 1]]*EB81</f>
        <v/>
      </c>
    </row>
    <row r="82">
      <c r="A82" s="256" t="n">
        <v>22</v>
      </c>
      <c r="B82" s="172" t="inlineStr">
        <is>
          <t>БЗАП</t>
        </is>
      </c>
      <c r="C82" s="132" t="n"/>
      <c r="D82" s="132" t="n"/>
      <c r="E82" s="229" t="n"/>
      <c r="F82" s="229" t="n"/>
      <c r="G82" s="229" t="n"/>
      <c r="H82" s="230" t="n"/>
      <c r="I82" s="231" t="inlineStr">
        <is>
          <t>Итого</t>
        </is>
      </c>
      <c r="J82" s="914" t="n"/>
      <c r="K82" s="914" t="n"/>
      <c r="L82" s="233" t="n"/>
      <c r="M82" s="234" t="n"/>
      <c r="N82" s="235" t="n"/>
      <c r="O82" s="234" t="n"/>
      <c r="P82" s="233" t="n"/>
      <c r="Q82" s="234" t="n"/>
      <c r="R82" s="235" t="n"/>
      <c r="S82" s="234" t="n"/>
      <c r="T82" s="233" t="n"/>
      <c r="U82" s="234" t="n"/>
      <c r="V82" s="235" t="n"/>
      <c r="W82" s="234" t="n"/>
      <c r="X82" s="233" t="n"/>
      <c r="Y82" s="234" t="n"/>
      <c r="Z82" s="235" t="n"/>
      <c r="AA82" s="234" t="n"/>
      <c r="AB82" s="233" t="n"/>
      <c r="AC82" s="234" t="n"/>
      <c r="AD82" s="235" t="n"/>
      <c r="AE82" s="234" t="n"/>
      <c r="AF82" s="233" t="n"/>
      <c r="AG82" s="234" t="n"/>
      <c r="AH82" s="235" t="n"/>
      <c r="AI82" s="234" t="n"/>
      <c r="AJ82" s="233" t="n"/>
      <c r="AK82" s="234" t="n"/>
      <c r="AL82" s="235" t="n"/>
      <c r="AM82" s="234" t="n"/>
      <c r="AN82" s="233" t="n"/>
      <c r="AO82" s="234" t="n"/>
      <c r="AP82" s="235" t="n"/>
      <c r="AQ82" s="234" t="n"/>
      <c r="AR82" s="233" t="n"/>
      <c r="AS82" s="234" t="n"/>
      <c r="AT82" s="235" t="n"/>
      <c r="AU82" s="234" t="n"/>
      <c r="AV82" s="233" t="n"/>
      <c r="AW82" s="234" t="n"/>
      <c r="AX82" s="235" t="n"/>
      <c r="AY82" s="234" t="n"/>
      <c r="AZ82" s="233" t="n"/>
      <c r="BA82" s="234" t="n"/>
      <c r="BB82" s="235" t="n"/>
      <c r="BC82" s="234" t="n"/>
      <c r="BD82" s="233" t="n"/>
      <c r="BE82" s="234" t="n"/>
      <c r="BF82" s="235" t="n"/>
      <c r="BG82" s="234" t="n"/>
      <c r="BH82" s="233">
        <f>SUMPRODUCT(--(MOD(COLUMN($L82:$BG82),4)=MOD(COLUMN($L82),4)),$L82:$BG82)</f>
        <v/>
      </c>
      <c r="BI82" s="238">
        <f>Автовик_разбивка[[#This Row],[Цена, 
юань, без НДС 1]]*BH82</f>
        <v/>
      </c>
      <c r="BJ82" s="234">
        <f>SUMPRODUCT(--(MOD(COLUMN($L82:$BG82),4)=MOD(COLUMN($L82)+1,4)),$L82:$BG82)</f>
        <v/>
      </c>
      <c r="BK82" s="253">
        <f>Автовик_разбивка[[#This Row],[Цена, 
юань, без НДС 1]]*BJ82</f>
        <v/>
      </c>
      <c r="BL82" s="235">
        <f>SUMPRODUCT(--(MOD(COLUMN($L82:$BG82),4)=MOD(COLUMN($L82)+2,4)),$L82:$BG82)</f>
        <v/>
      </c>
      <c r="BM82" s="254">
        <f>Автовик_разбивка[[#This Row],[Цена, 
юань, без НДС 1]]*BL82</f>
        <v/>
      </c>
      <c r="BN82" s="233" t="n"/>
      <c r="BO82" s="241" t="n"/>
      <c r="BP82" s="234" t="n"/>
      <c r="BQ82" s="235" t="n"/>
      <c r="BR82" s="234" t="n"/>
      <c r="BS82" s="233" t="n"/>
      <c r="BT82" s="241" t="n"/>
      <c r="BU82" s="234" t="n"/>
      <c r="BV82" s="235" t="n"/>
      <c r="BW82" s="234" t="n"/>
      <c r="BX82" s="233" t="n"/>
      <c r="BY82" s="241" t="n"/>
      <c r="BZ82" s="234" t="n"/>
      <c r="CA82" s="235" t="n"/>
      <c r="CB82" s="234" t="n"/>
      <c r="CC82" s="233" t="n"/>
      <c r="CD82" s="241" t="n"/>
      <c r="CE82" s="234" t="n"/>
      <c r="CF82" s="235" t="n"/>
      <c r="CG82" s="234" t="n"/>
      <c r="CH82" s="233" t="n"/>
      <c r="CI82" s="241" t="n"/>
      <c r="CJ82" s="234" t="n"/>
      <c r="CK82" s="235" t="n"/>
      <c r="CL82" s="234" t="n"/>
      <c r="CM82" s="233" t="n"/>
      <c r="CN82" s="241" t="n"/>
      <c r="CO82" s="234" t="n"/>
      <c r="CP82" s="235" t="n"/>
      <c r="CQ82" s="234" t="n"/>
      <c r="CR82" s="233" t="n"/>
      <c r="CS82" s="241" t="n"/>
      <c r="CT82" s="234" t="n"/>
      <c r="CU82" s="235" t="n"/>
      <c r="CV82" s="234" t="n"/>
      <c r="CW82" s="233" t="n"/>
      <c r="CX82" s="241" t="n"/>
      <c r="CY82" s="234" t="n"/>
      <c r="CZ82" s="235" t="n"/>
      <c r="DA82" s="234" t="n"/>
      <c r="DB82" s="233" t="n"/>
      <c r="DC82" s="241" t="n"/>
      <c r="DD82" s="234" t="n"/>
      <c r="DE82" s="235" t="n"/>
      <c r="DF82" s="234" t="n"/>
      <c r="DG82" s="233" t="n"/>
      <c r="DH82" s="241" t="n"/>
      <c r="DI82" s="234" t="n"/>
      <c r="DJ82" s="235" t="n"/>
      <c r="DK82" s="234" t="n"/>
      <c r="DL82" s="233" t="n"/>
      <c r="DM82" s="241" t="n"/>
      <c r="DN82" s="234" t="n"/>
      <c r="DO82" s="235" t="n"/>
      <c r="DP82" s="234" t="n"/>
      <c r="DQ82" s="233" t="n"/>
      <c r="DR82" s="241" t="n"/>
      <c r="DS82" s="234" t="n"/>
      <c r="DT82" s="235" t="n"/>
      <c r="DU82" s="234" t="n"/>
      <c r="DV82" s="233">
        <f>SUMPRODUCT(--(MOD(COLUMN($BN82:$DU82),5)=MOD(COLUMN($BN82),5)),$BN82:$DU82)</f>
        <v/>
      </c>
      <c r="DW82" s="238">
        <f>Автовик_разбивка[[#This Row],[Цена, 
юань, без НДС 1]]*DV82</f>
        <v/>
      </c>
      <c r="DX82" s="242">
        <f>SUMPRODUCT(--(MOD(COLUMN($BN82:$DU82),5)=MOD(COLUMN($BN82)+1,5)),$BN82:$DU82)</f>
        <v/>
      </c>
      <c r="DY82" s="242">
        <f>Автовик_разбивка[[#This Row],[Цена, 
юань, без НДС 1]]*DX82</f>
        <v/>
      </c>
      <c r="DZ82" s="234">
        <f>SUMPRODUCT(--(MOD(COLUMN($BN82:$DU82),5)=MOD(COLUMN($BN82)+2,5)),$BN82:$DU82)</f>
        <v/>
      </c>
      <c r="EA82" s="253">
        <f>Автовик_разбивка[[#This Row],[Цена, 
юань, без НДС 1]]*DZ82</f>
        <v/>
      </c>
      <c r="EB82" s="235">
        <f>SUMPRODUCT(--(MOD(COLUMN($BN82:$DU82),5)=MOD(COLUMN($BN82)+3,5)),$BN82:$DU82)</f>
        <v/>
      </c>
      <c r="EC82" s="254">
        <f>Автовик_разбивка[[#This Row],[Цена, 
юань, без НДС 1]]*EB82</f>
        <v/>
      </c>
    </row>
    <row r="83">
      <c r="A83" s="256" t="n">
        <v>22</v>
      </c>
      <c r="B83" s="243" t="inlineStr">
        <is>
          <t>БЗАП</t>
        </is>
      </c>
      <c r="C83" s="244" t="n"/>
      <c r="D83" s="244" t="n"/>
      <c r="E83" s="245" t="n"/>
      <c r="F83" s="245" t="n"/>
      <c r="G83" s="245" t="n"/>
      <c r="H83" s="246" t="n"/>
      <c r="I83" s="247" t="n"/>
      <c r="J83" s="915" t="n"/>
      <c r="K83" s="915" t="n"/>
      <c r="L83" s="249" t="n"/>
      <c r="M83" s="249" t="n"/>
      <c r="N83" s="249" t="n"/>
      <c r="O83" s="249" t="n"/>
      <c r="P83" s="249" t="n"/>
      <c r="Q83" s="249" t="n"/>
      <c r="R83" s="249" t="n"/>
      <c r="S83" s="249" t="n"/>
      <c r="T83" s="249" t="n"/>
      <c r="U83" s="249" t="n"/>
      <c r="V83" s="249" t="n"/>
      <c r="W83" s="249" t="n"/>
      <c r="X83" s="249" t="n"/>
      <c r="Y83" s="249" t="n"/>
      <c r="Z83" s="249" t="n"/>
      <c r="AA83" s="249" t="n"/>
      <c r="AB83" s="249" t="n"/>
      <c r="AC83" s="249" t="n"/>
      <c r="AD83" s="249" t="n"/>
      <c r="AE83" s="249" t="n"/>
      <c r="AF83" s="249" t="n"/>
      <c r="AG83" s="249" t="n"/>
      <c r="AH83" s="249" t="n"/>
      <c r="AI83" s="249" t="n"/>
      <c r="AJ83" s="249" t="n"/>
      <c r="AK83" s="249" t="n"/>
      <c r="AL83" s="249" t="n"/>
      <c r="AM83" s="249" t="n"/>
      <c r="AN83" s="249" t="n"/>
      <c r="AO83" s="249" t="n"/>
      <c r="AP83" s="249" t="n"/>
      <c r="AQ83" s="249" t="n"/>
      <c r="AR83" s="249" t="n"/>
      <c r="AS83" s="249" t="n"/>
      <c r="AT83" s="249" t="n"/>
      <c r="AU83" s="249" t="n"/>
      <c r="AV83" s="249" t="n"/>
      <c r="AW83" s="249" t="n"/>
      <c r="AX83" s="250" t="n"/>
      <c r="AY83" s="249" t="n"/>
      <c r="AZ83" s="250" t="n"/>
      <c r="BA83" s="250" t="n"/>
      <c r="BB83" s="250" t="n"/>
      <c r="BC83" s="249" t="n"/>
      <c r="BD83" s="250" t="n"/>
      <c r="BE83" s="250" t="n"/>
      <c r="BF83" s="250" t="n"/>
      <c r="BG83" s="249" t="n"/>
      <c r="BH83" s="250">
        <f>SUMPRODUCT(--(MOD(COLUMN($L83:$BG83),4)=MOD(COLUMN($L83),4)),$L83:$BG83)</f>
        <v/>
      </c>
      <c r="BI83" s="251">
        <f>Автовик_разбивка[[#This Row],[Цена, 
юань, без НДС 1]]*BH83</f>
        <v/>
      </c>
      <c r="BJ83" s="250">
        <f>SUMPRODUCT(--(MOD(COLUMN($L83:$BG83),4)=MOD(COLUMN($L83)+1,4)),$L83:$BG83)</f>
        <v/>
      </c>
      <c r="BK83" s="251">
        <f>Автовик_разбивка[[#This Row],[Цена, 
юань, без НДС 1]]*BJ83</f>
        <v/>
      </c>
      <c r="BL83" s="250">
        <f>SUMPRODUCT(--(MOD(COLUMN($L83:$BG83),4)=MOD(COLUMN($L83)+2,4)),$L83:$BG83)</f>
        <v/>
      </c>
      <c r="BM83" s="251">
        <f>Автовик_разбивка[[#This Row],[Цена, 
юань, без НДС 1]]*BL83</f>
        <v/>
      </c>
      <c r="BN83" s="249" t="n"/>
      <c r="BO83" s="249" t="n"/>
      <c r="BP83" s="249" t="n"/>
      <c r="BQ83" s="249" t="n"/>
      <c r="BR83" s="249" t="n"/>
      <c r="BS83" s="249" t="n"/>
      <c r="BT83" s="249" t="n"/>
      <c r="BU83" s="249" t="n"/>
      <c r="BV83" s="249" t="n"/>
      <c r="BW83" s="249" t="n"/>
      <c r="BX83" s="249" t="n"/>
      <c r="BY83" s="249" t="n"/>
      <c r="BZ83" s="249" t="n"/>
      <c r="CA83" s="249" t="n"/>
      <c r="CB83" s="249" t="n"/>
      <c r="CC83" s="249" t="n"/>
      <c r="CD83" s="249" t="n"/>
      <c r="CE83" s="249" t="n"/>
      <c r="CF83" s="249" t="n"/>
      <c r="CG83" s="249" t="n"/>
      <c r="CH83" s="249" t="n"/>
      <c r="CI83" s="249" t="n"/>
      <c r="CJ83" s="249" t="n"/>
      <c r="CK83" s="249" t="n"/>
      <c r="CL83" s="249" t="n"/>
      <c r="CM83" s="249" t="n"/>
      <c r="CN83" s="249" t="n"/>
      <c r="CO83" s="249" t="n"/>
      <c r="CP83" s="249" t="n"/>
      <c r="CQ83" s="249" t="n"/>
      <c r="CR83" s="249" t="n"/>
      <c r="CS83" s="249" t="n"/>
      <c r="CT83" s="249" t="n"/>
      <c r="CU83" s="249" t="n"/>
      <c r="CV83" s="249" t="n"/>
      <c r="CW83" s="249" t="n"/>
      <c r="CX83" s="249" t="n"/>
      <c r="CY83" s="249" t="n"/>
      <c r="CZ83" s="249" t="n"/>
      <c r="DA83" s="249" t="n"/>
      <c r="DB83" s="249" t="n"/>
      <c r="DC83" s="249" t="n"/>
      <c r="DD83" s="249" t="n"/>
      <c r="DE83" s="249" t="n"/>
      <c r="DF83" s="249" t="n"/>
      <c r="DG83" s="249" t="n"/>
      <c r="DH83" s="249" t="n"/>
      <c r="DI83" s="249" t="n"/>
      <c r="DJ83" s="250" t="n"/>
      <c r="DK83" s="249" t="n"/>
      <c r="DL83" s="250" t="n"/>
      <c r="DM83" s="250" t="n"/>
      <c r="DN83" s="250" t="n"/>
      <c r="DO83" s="250" t="n"/>
      <c r="DP83" s="249" t="n"/>
      <c r="DQ83" s="250" t="n"/>
      <c r="DR83" s="250" t="n"/>
      <c r="DS83" s="250" t="n"/>
      <c r="DT83" s="250" t="n"/>
      <c r="DU83" s="249" t="n"/>
      <c r="DV83" s="250">
        <f>SUMPRODUCT(--(MOD(COLUMN($BN83:$DU83),5)=MOD(COLUMN($BN83),5)),$BN83:$DU83)</f>
        <v/>
      </c>
      <c r="DW83" s="251">
        <f>Автовик_разбивка[[#This Row],[Цена, 
юань, без НДС 1]]*DV83</f>
        <v/>
      </c>
      <c r="DX83" s="251">
        <f>SUMPRODUCT(--(MOD(COLUMN($BN83:$DU83),5)=MOD(COLUMN($BN83)+1,5)),$BN83:$DU83)</f>
        <v/>
      </c>
      <c r="DY83" s="251">
        <f>Автовик_разбивка[[#This Row],[Цена, 
юань, без НДС 1]]*DX83</f>
        <v/>
      </c>
      <c r="DZ83" s="250">
        <f>SUMPRODUCT(--(MOD(COLUMN($BN83:$DU83),5)=MOD(COLUMN($BN83)+2,5)),$BN83:$DU83)</f>
        <v/>
      </c>
      <c r="EA83" s="251">
        <f>Автовик_разбивка[[#This Row],[Цена, 
юань, без НДС 1]]*DZ83</f>
        <v/>
      </c>
      <c r="EB83" s="250">
        <f>SUMPRODUCT(--(MOD(COLUMN($BN83:$DU83),5)=MOD(COLUMN($BN83)+3,5)),$BN83:$DU83)</f>
        <v/>
      </c>
      <c r="EC83" s="251">
        <f>Автовик_разбивка[[#This Row],[Цена, 
юань, без НДС 1]]*EB83</f>
        <v/>
      </c>
    </row>
    <row r="84">
      <c r="A84" s="256" t="n">
        <v>22</v>
      </c>
      <c r="B84" s="172" t="inlineStr">
        <is>
          <t>НовосибАРЗ</t>
        </is>
      </c>
      <c r="C84" s="173" t="inlineStr">
        <is>
          <t>TEBS</t>
        </is>
      </c>
      <c r="D84" s="173" t="inlineStr">
        <is>
          <t>LACV</t>
        </is>
      </c>
      <c r="E84" s="174" t="n">
        <v>1</v>
      </c>
      <c r="F84" s="174" t="n"/>
      <c r="G84" s="174" t="n"/>
      <c r="H84" s="175" t="n">
        <v>4494430600</v>
      </c>
      <c r="I84" s="176" t="inlineStr">
        <is>
          <t>Кабель клапана управления подъемом оси, 6 м</t>
        </is>
      </c>
      <c r="J84" s="911" t="n"/>
      <c r="K84" s="912" t="n"/>
      <c r="L84" s="178" t="n">
        <v>0</v>
      </c>
      <c r="M84" s="130">
        <f>$E84*0</f>
        <v/>
      </c>
      <c r="N84" s="179" t="n">
        <v>0</v>
      </c>
      <c r="O84" s="130" t="n"/>
      <c r="P84" s="178" t="n">
        <v>0</v>
      </c>
      <c r="Q84" s="130">
        <f>$E84*0</f>
        <v/>
      </c>
      <c r="R84" s="179">
        <f>$E84*0</f>
        <v/>
      </c>
      <c r="S84" s="130" t="n"/>
      <c r="T84" s="178" t="n">
        <v>0</v>
      </c>
      <c r="U84" s="130">
        <f>$E84*0</f>
        <v/>
      </c>
      <c r="V84" s="179">
        <f>$E84*0</f>
        <v/>
      </c>
      <c r="W84" s="130" t="n"/>
      <c r="X84" s="178" t="n">
        <v>0</v>
      </c>
      <c r="Y84" s="130">
        <f>$E84*0</f>
        <v/>
      </c>
      <c r="Z84" s="179">
        <f>$E84*0</f>
        <v/>
      </c>
      <c r="AA84" s="130" t="n"/>
      <c r="AB84" s="178" t="n">
        <v>0</v>
      </c>
      <c r="AC84" s="130">
        <f>$E84*0</f>
        <v/>
      </c>
      <c r="AD84" s="179" t="n"/>
      <c r="AE84" s="130" t="n"/>
      <c r="AF84" s="178" t="n">
        <v>0</v>
      </c>
      <c r="AG84" s="130">
        <f>$E84*0</f>
        <v/>
      </c>
      <c r="AH84" s="179" t="n"/>
      <c r="AI84" s="130" t="n"/>
      <c r="AJ84" s="178" t="n">
        <v>0</v>
      </c>
      <c r="AK84" s="130">
        <f>$E84*0</f>
        <v/>
      </c>
      <c r="AL84" s="179" t="n"/>
      <c r="AM84" s="130" t="n"/>
      <c r="AN84" s="178" t="n">
        <v>0</v>
      </c>
      <c r="AO84" s="130">
        <f>$E84*0</f>
        <v/>
      </c>
      <c r="AP84" s="179" t="n"/>
      <c r="AQ84" s="130" t="n"/>
      <c r="AR84" s="178" t="n">
        <v>0</v>
      </c>
      <c r="AS84" s="130">
        <f>$E84*0</f>
        <v/>
      </c>
      <c r="AT84" s="179" t="n"/>
      <c r="AU84" s="130" t="n"/>
      <c r="AV84" s="178" t="n">
        <v>0</v>
      </c>
      <c r="AW84" s="130">
        <f>$E84*0</f>
        <v/>
      </c>
      <c r="AX84" s="179" t="n"/>
      <c r="AY84" s="130" t="n"/>
      <c r="AZ84" s="178" t="n">
        <v>0</v>
      </c>
      <c r="BA84" s="130" t="n"/>
      <c r="BB84" s="194" t="n"/>
      <c r="BC84" s="130" t="n"/>
      <c r="BD84" s="178" t="n">
        <v>0</v>
      </c>
      <c r="BE84" s="130" t="n"/>
      <c r="BF84" s="109" t="n"/>
      <c r="BG84" s="130" t="n"/>
      <c r="BH84" s="180">
        <f>SUMPRODUCT(--(MOD(COLUMN($L84:$BG84),4)=MOD(COLUMN($L84),4)),$L84:$BG84)</f>
        <v/>
      </c>
      <c r="BI84" s="181">
        <f>Автовик_разбивка[[#This Row],[Цена, 
юань, без НДС 1]]*BH84</f>
        <v/>
      </c>
      <c r="BJ84" s="130">
        <f>SUMPRODUCT(--(MOD(COLUMN($L84:$BG84),4)=MOD(COLUMN($L84)+1,4)),$L84:$BG84)</f>
        <v/>
      </c>
      <c r="BK84" s="187">
        <f>Автовик_разбивка[[#This Row],[Цена, 
юань, без НДС 1]]*BJ84</f>
        <v/>
      </c>
      <c r="BL84" s="109">
        <f>SUMPRODUCT(--(MOD(COLUMN($L84:$BG84),4)=MOD(COLUMN($L84)+2,4)),$L84:$BG84)</f>
        <v/>
      </c>
      <c r="BM84" s="224">
        <f>Автовик_разбивка[[#This Row],[Цена, 
юань, без НДС 1]]*BL84</f>
        <v/>
      </c>
      <c r="BN84" s="178" t="n"/>
      <c r="BO84" s="184" t="n"/>
      <c r="BP84" s="130">
        <f>$E84*0</f>
        <v/>
      </c>
      <c r="BQ84" s="179" t="n"/>
      <c r="BR84" s="130" t="n"/>
      <c r="BS84" s="178" t="n"/>
      <c r="BT84" s="184" t="n"/>
      <c r="BU84" s="130">
        <f>$E84*0</f>
        <v/>
      </c>
      <c r="BV84" s="179" t="n"/>
      <c r="BW84" s="130" t="n"/>
      <c r="BX84" s="178" t="n"/>
      <c r="BY84" s="184" t="n"/>
      <c r="BZ84" s="130">
        <f>$E84*0</f>
        <v/>
      </c>
      <c r="CA84" s="179" t="n"/>
      <c r="CB84" s="130" t="n"/>
      <c r="CC84" s="178" t="n"/>
      <c r="CD84" s="184" t="n"/>
      <c r="CE84" s="130">
        <f>$E84*0</f>
        <v/>
      </c>
      <c r="CF84" s="179" t="n"/>
      <c r="CG84" s="130" t="n"/>
      <c r="CH84" s="178" t="n"/>
      <c r="CI84" s="184" t="n"/>
      <c r="CJ84" s="130">
        <f>$E84*0</f>
        <v/>
      </c>
      <c r="CK84" s="179" t="n"/>
      <c r="CL84" s="130" t="n"/>
      <c r="CM84" s="178" t="n"/>
      <c r="CN84" s="184" t="n"/>
      <c r="CO84" s="130">
        <f>$E84*0</f>
        <v/>
      </c>
      <c r="CP84" s="179" t="n"/>
      <c r="CQ84" s="130" t="n"/>
      <c r="CR84" s="178" t="n"/>
      <c r="CS84" s="184" t="n"/>
      <c r="CT84" s="130">
        <f>$E84*0</f>
        <v/>
      </c>
      <c r="CU84" s="179" t="n"/>
      <c r="CV84" s="130" t="n"/>
      <c r="CW84" s="178" t="n"/>
      <c r="CX84" s="184" t="n"/>
      <c r="CY84" s="130">
        <f>$E84*0</f>
        <v/>
      </c>
      <c r="CZ84" s="179" t="n"/>
      <c r="DA84" s="130" t="n"/>
      <c r="DB84" s="178" t="n"/>
      <c r="DC84" s="184" t="n"/>
      <c r="DD84" s="130">
        <f>$E84*0</f>
        <v/>
      </c>
      <c r="DE84" s="179" t="n"/>
      <c r="DF84" s="130" t="n"/>
      <c r="DG84" s="178" t="n"/>
      <c r="DH84" s="184" t="n"/>
      <c r="DI84" s="130">
        <f>$E84*0</f>
        <v/>
      </c>
      <c r="DJ84" s="179" t="n"/>
      <c r="DK84" s="130" t="n"/>
      <c r="DL84" s="178" t="n"/>
      <c r="DM84" s="184" t="n"/>
      <c r="DN84" s="130">
        <f>$E84*0</f>
        <v/>
      </c>
      <c r="DO84" s="194" t="n"/>
      <c r="DP84" s="130" t="n"/>
      <c r="DQ84" s="178" t="n"/>
      <c r="DR84" s="184" t="n"/>
      <c r="DS84" s="130">
        <f>$E84*0</f>
        <v/>
      </c>
      <c r="DT84" s="109" t="n"/>
      <c r="DU84" s="130" t="n"/>
      <c r="DV84" s="180">
        <f>SUMPRODUCT(--(MOD(COLUMN($BN84:$DU84),5)=MOD(COLUMN($BN84),5)),$BN84:$DU84)</f>
        <v/>
      </c>
      <c r="DW84" s="181">
        <f>Автовик_разбивка[[#This Row],[Цена, 
юань, без НДС 1]]*DV84</f>
        <v/>
      </c>
      <c r="DX84" s="186">
        <f>SUMPRODUCT(--(MOD(COLUMN($BN84:$DU84),5)=MOD(COLUMN($BN84)+1,5)),$BN84:$DU84)</f>
        <v/>
      </c>
      <c r="DY84" s="186">
        <f>Автовик_разбивка[[#This Row],[Цена, 
юань, без НДС 1]]*DX84</f>
        <v/>
      </c>
      <c r="DZ84" s="130">
        <f>SUMPRODUCT(--(MOD(COLUMN($BN84:$DU84),5)=MOD(COLUMN($BN84)+2,5)),$BN84:$DU84)</f>
        <v/>
      </c>
      <c r="EA84" s="187">
        <f>Автовик_разбивка[[#This Row],[Цена, 
юань, без НДС 1]]*DZ84</f>
        <v/>
      </c>
      <c r="EB84" s="109">
        <f>SUMPRODUCT(--(MOD(COLUMN($BN84:$DU84),5)=MOD(COLUMN($BN84)+3,5)),$BN84:$DU84)</f>
        <v/>
      </c>
      <c r="EC84" s="224">
        <f>Автовик_разбивка[[#This Row],[Цена, 
юань, без НДС 1]]*EB84</f>
        <v/>
      </c>
    </row>
    <row r="85">
      <c r="A85" s="256" t="n">
        <v>22</v>
      </c>
      <c r="B85" s="172" t="inlineStr">
        <is>
          <t>НовосибАРЗ</t>
        </is>
      </c>
      <c r="C85" s="173" t="inlineStr">
        <is>
          <t>TEBS</t>
        </is>
      </c>
      <c r="D85" s="173" t="inlineStr">
        <is>
          <t>LACV</t>
        </is>
      </c>
      <c r="E85" s="174" t="n">
        <v>1</v>
      </c>
      <c r="F85" s="174" t="n"/>
      <c r="G85" s="174" t="n"/>
      <c r="H85" s="175" t="n">
        <v>4630840310</v>
      </c>
      <c r="I85" s="176" t="inlineStr">
        <is>
          <t>Клапан управления подъемом оси (LACV)</t>
        </is>
      </c>
      <c r="J85" s="911" t="n"/>
      <c r="K85" s="912" t="n"/>
      <c r="L85" s="178" t="n">
        <v>0</v>
      </c>
      <c r="M85" s="130">
        <f>$E85*0</f>
        <v/>
      </c>
      <c r="N85" s="179" t="n">
        <v>0</v>
      </c>
      <c r="O85" s="130" t="n"/>
      <c r="P85" s="178" t="n">
        <v>0</v>
      </c>
      <c r="Q85" s="130">
        <f>$E85*0</f>
        <v/>
      </c>
      <c r="R85" s="179">
        <f>$E85*0</f>
        <v/>
      </c>
      <c r="S85" s="130" t="n"/>
      <c r="T85" s="178" t="n">
        <v>0</v>
      </c>
      <c r="U85" s="130">
        <f>$E85*0</f>
        <v/>
      </c>
      <c r="V85" s="179">
        <f>$E85*0</f>
        <v/>
      </c>
      <c r="W85" s="130" t="n"/>
      <c r="X85" s="178" t="n">
        <v>0</v>
      </c>
      <c r="Y85" s="130">
        <f>$E85*0</f>
        <v/>
      </c>
      <c r="Z85" s="179">
        <f>$E85*0</f>
        <v/>
      </c>
      <c r="AA85" s="130" t="n"/>
      <c r="AB85" s="178" t="n">
        <v>0</v>
      </c>
      <c r="AC85" s="130">
        <f>$E85*0</f>
        <v/>
      </c>
      <c r="AD85" s="179" t="n"/>
      <c r="AE85" s="130" t="n"/>
      <c r="AF85" s="178" t="n">
        <v>0</v>
      </c>
      <c r="AG85" s="130">
        <f>$E85*0</f>
        <v/>
      </c>
      <c r="AH85" s="179" t="n"/>
      <c r="AI85" s="130" t="n"/>
      <c r="AJ85" s="178" t="n">
        <v>0</v>
      </c>
      <c r="AK85" s="130">
        <f>$E85*0</f>
        <v/>
      </c>
      <c r="AL85" s="179" t="n"/>
      <c r="AM85" s="130" t="n"/>
      <c r="AN85" s="178" t="n">
        <v>0</v>
      </c>
      <c r="AO85" s="130">
        <f>$E85*0</f>
        <v/>
      </c>
      <c r="AP85" s="179" t="n"/>
      <c r="AQ85" s="130" t="n"/>
      <c r="AR85" s="178" t="n">
        <v>0</v>
      </c>
      <c r="AS85" s="130">
        <f>$E85*0</f>
        <v/>
      </c>
      <c r="AT85" s="179" t="n"/>
      <c r="AU85" s="130" t="n"/>
      <c r="AV85" s="178" t="n">
        <v>0</v>
      </c>
      <c r="AW85" s="130">
        <f>$E85*0</f>
        <v/>
      </c>
      <c r="AX85" s="179" t="n"/>
      <c r="AY85" s="130" t="n"/>
      <c r="AZ85" s="178" t="n">
        <v>0</v>
      </c>
      <c r="BA85" s="130" t="n"/>
      <c r="BB85" s="194" t="n"/>
      <c r="BC85" s="130" t="n"/>
      <c r="BD85" s="178" t="n">
        <v>0</v>
      </c>
      <c r="BE85" s="130" t="n"/>
      <c r="BF85" s="109" t="n"/>
      <c r="BG85" s="130" t="n"/>
      <c r="BH85" s="180">
        <f>SUMPRODUCT(--(MOD(COLUMN($L85:$BG85),4)=MOD(COLUMN($L85),4)),$L85:$BG85)</f>
        <v/>
      </c>
      <c r="BI85" s="181">
        <f>Автовик_разбивка[[#This Row],[Цена, 
юань, без НДС 1]]*BH85</f>
        <v/>
      </c>
      <c r="BJ85" s="130">
        <f>SUMPRODUCT(--(MOD(COLUMN($L85:$BG85),4)=MOD(COLUMN($L85)+1,4)),$L85:$BG85)</f>
        <v/>
      </c>
      <c r="BK85" s="187">
        <f>Автовик_разбивка[[#This Row],[Цена, 
юань, без НДС 1]]*BJ85</f>
        <v/>
      </c>
      <c r="BL85" s="109">
        <f>SUMPRODUCT(--(MOD(COLUMN($L85:$BG85),4)=MOD(COLUMN($L85)+2,4)),$L85:$BG85)</f>
        <v/>
      </c>
      <c r="BM85" s="224">
        <f>Автовик_разбивка[[#This Row],[Цена, 
юань, без НДС 1]]*BL85</f>
        <v/>
      </c>
      <c r="BN85" s="178" t="n"/>
      <c r="BO85" s="184" t="n"/>
      <c r="BP85" s="130">
        <f>$E85*0</f>
        <v/>
      </c>
      <c r="BQ85" s="179" t="n"/>
      <c r="BR85" s="130" t="n"/>
      <c r="BS85" s="178" t="n"/>
      <c r="BT85" s="184" t="n"/>
      <c r="BU85" s="130">
        <f>$E85*0</f>
        <v/>
      </c>
      <c r="BV85" s="179" t="n"/>
      <c r="BW85" s="130" t="n"/>
      <c r="BX85" s="178" t="n"/>
      <c r="BY85" s="184" t="n"/>
      <c r="BZ85" s="130">
        <f>$E85*0</f>
        <v/>
      </c>
      <c r="CA85" s="179" t="n"/>
      <c r="CB85" s="130" t="n"/>
      <c r="CC85" s="178" t="n"/>
      <c r="CD85" s="184" t="n"/>
      <c r="CE85" s="130">
        <f>$E85*0</f>
        <v/>
      </c>
      <c r="CF85" s="179" t="n"/>
      <c r="CG85" s="130" t="n"/>
      <c r="CH85" s="178" t="n"/>
      <c r="CI85" s="184" t="n"/>
      <c r="CJ85" s="130">
        <f>$E85*0</f>
        <v/>
      </c>
      <c r="CK85" s="179" t="n"/>
      <c r="CL85" s="130" t="n"/>
      <c r="CM85" s="178" t="n"/>
      <c r="CN85" s="184" t="n"/>
      <c r="CO85" s="130">
        <f>$E85*0</f>
        <v/>
      </c>
      <c r="CP85" s="179" t="n"/>
      <c r="CQ85" s="130" t="n"/>
      <c r="CR85" s="178" t="n"/>
      <c r="CS85" s="184" t="n"/>
      <c r="CT85" s="130">
        <f>$E85*0</f>
        <v/>
      </c>
      <c r="CU85" s="179" t="n"/>
      <c r="CV85" s="130" t="n"/>
      <c r="CW85" s="178" t="n"/>
      <c r="CX85" s="184" t="n"/>
      <c r="CY85" s="130">
        <f>$E85*0</f>
        <v/>
      </c>
      <c r="CZ85" s="179" t="n"/>
      <c r="DA85" s="130" t="n"/>
      <c r="DB85" s="178" t="n"/>
      <c r="DC85" s="184" t="n"/>
      <c r="DD85" s="130">
        <f>$E85*0</f>
        <v/>
      </c>
      <c r="DE85" s="179" t="n"/>
      <c r="DF85" s="130" t="n"/>
      <c r="DG85" s="178" t="n"/>
      <c r="DH85" s="184" t="n"/>
      <c r="DI85" s="130">
        <f>$E85*0</f>
        <v/>
      </c>
      <c r="DJ85" s="179" t="n"/>
      <c r="DK85" s="130" t="n"/>
      <c r="DL85" s="178" t="n"/>
      <c r="DM85" s="184" t="n"/>
      <c r="DN85" s="130">
        <f>$E85*0</f>
        <v/>
      </c>
      <c r="DO85" s="194" t="n"/>
      <c r="DP85" s="130" t="n"/>
      <c r="DQ85" s="178" t="n"/>
      <c r="DR85" s="184" t="n"/>
      <c r="DS85" s="130">
        <f>$E85*0</f>
        <v/>
      </c>
      <c r="DT85" s="109" t="n"/>
      <c r="DU85" s="130" t="n"/>
      <c r="DV85" s="180">
        <f>SUMPRODUCT(--(MOD(COLUMN($BN85:$DU85),5)=MOD(COLUMN($BN85),5)),$BN85:$DU85)</f>
        <v/>
      </c>
      <c r="DW85" s="181">
        <f>Автовик_разбивка[[#This Row],[Цена, 
юань, без НДС 1]]*DV85</f>
        <v/>
      </c>
      <c r="DX85" s="186">
        <f>SUMPRODUCT(--(MOD(COLUMN($BN85:$DU85),5)=MOD(COLUMN($BN85)+1,5)),$BN85:$DU85)</f>
        <v/>
      </c>
      <c r="DY85" s="186">
        <f>Автовик_разбивка[[#This Row],[Цена, 
юань, без НДС 1]]*DX85</f>
        <v/>
      </c>
      <c r="DZ85" s="130">
        <f>SUMPRODUCT(--(MOD(COLUMN($BN85:$DU85),5)=MOD(COLUMN($BN85)+2,5)),$BN85:$DU85)</f>
        <v/>
      </c>
      <c r="EA85" s="187">
        <f>Автовик_разбивка[[#This Row],[Цена, 
юань, без НДС 1]]*DZ85</f>
        <v/>
      </c>
      <c r="EB85" s="109">
        <f>SUMPRODUCT(--(MOD(COLUMN($BN85:$DU85),5)=MOD(COLUMN($BN85)+3,5)),$BN85:$DU85)</f>
        <v/>
      </c>
      <c r="EC85" s="224">
        <f>Автовик_разбивка[[#This Row],[Цена, 
юань, без НДС 1]]*EB85</f>
        <v/>
      </c>
    </row>
    <row r="86">
      <c r="A86" s="256" t="n">
        <v>22</v>
      </c>
      <c r="B86" s="172" t="inlineStr">
        <is>
          <t>НовосибАРЗ</t>
        </is>
      </c>
      <c r="C86" s="173" t="inlineStr">
        <is>
          <t>TEBS</t>
        </is>
      </c>
      <c r="D86" s="173" t="inlineStr">
        <is>
          <t>TEBS 2s/2m 
15м</t>
        </is>
      </c>
      <c r="E86" s="174" t="n">
        <v>1</v>
      </c>
      <c r="F86" s="174" t="n"/>
      <c r="G86" s="174" t="n"/>
      <c r="H86" s="175" t="n">
        <v>4334010030</v>
      </c>
      <c r="I86" s="176" t="inlineStr">
        <is>
          <t>Упругий элемент</t>
        </is>
      </c>
      <c r="J86" s="911" t="n"/>
      <c r="K86" s="913" t="n"/>
      <c r="L86" s="178" t="n">
        <v>0</v>
      </c>
      <c r="M86" s="130">
        <f>$E86*0</f>
        <v/>
      </c>
      <c r="N86" s="179" t="n">
        <v>0</v>
      </c>
      <c r="O86" s="130" t="n"/>
      <c r="P86" s="178" t="n">
        <v>0</v>
      </c>
      <c r="Q86" s="130">
        <f>$E86*0</f>
        <v/>
      </c>
      <c r="R86" s="179">
        <f>$E86*0</f>
        <v/>
      </c>
      <c r="S86" s="130" t="n"/>
      <c r="T86" s="178" t="n">
        <v>0</v>
      </c>
      <c r="U86" s="130">
        <f>$E86*0</f>
        <v/>
      </c>
      <c r="V86" s="179">
        <f>$E86*0</f>
        <v/>
      </c>
      <c r="W86" s="130" t="n"/>
      <c r="X86" s="178" t="n">
        <v>0</v>
      </c>
      <c r="Y86" s="130">
        <f>$E86*0</f>
        <v/>
      </c>
      <c r="Z86" s="179">
        <f>$E86*0</f>
        <v/>
      </c>
      <c r="AA86" s="130" t="n"/>
      <c r="AB86" s="178" t="n">
        <v>0</v>
      </c>
      <c r="AC86" s="130">
        <f>$E86*0</f>
        <v/>
      </c>
      <c r="AD86" s="109" t="n"/>
      <c r="AE86" s="252" t="n"/>
      <c r="AF86" s="178" t="n">
        <v>0</v>
      </c>
      <c r="AG86" s="130">
        <f>$E86*0</f>
        <v/>
      </c>
      <c r="AH86" s="109" t="n"/>
      <c r="AI86" s="252" t="n"/>
      <c r="AJ86" s="178" t="n">
        <v>0</v>
      </c>
      <c r="AK86" s="130">
        <f>$E86*0</f>
        <v/>
      </c>
      <c r="AL86" s="109" t="n"/>
      <c r="AM86" s="252" t="n"/>
      <c r="AN86" s="178" t="n">
        <v>0</v>
      </c>
      <c r="AO86" s="130">
        <f>$E86*10</f>
        <v/>
      </c>
      <c r="AP86" s="109" t="n"/>
      <c r="AQ86" s="252" t="n"/>
      <c r="AR86" s="178" t="n">
        <v>0</v>
      </c>
      <c r="AS86" s="130">
        <f>$E86*0</f>
        <v/>
      </c>
      <c r="AT86" s="109" t="n"/>
      <c r="AU86" s="252" t="n"/>
      <c r="AV86" s="178" t="n">
        <v>0</v>
      </c>
      <c r="AW86" s="130">
        <f>$E86*0</f>
        <v/>
      </c>
      <c r="AX86" s="109" t="n"/>
      <c r="AY86" s="252" t="n"/>
      <c r="AZ86" s="178" t="n">
        <v>0</v>
      </c>
      <c r="BA86" s="130" t="n"/>
      <c r="BB86" s="194" t="n"/>
      <c r="BC86" s="252" t="n"/>
      <c r="BD86" s="178" t="n">
        <v>0</v>
      </c>
      <c r="BE86" s="130" t="n"/>
      <c r="BF86" s="109" t="n"/>
      <c r="BG86" s="252" t="n"/>
      <c r="BH86" s="180">
        <f>SUMPRODUCT(--(MOD(COLUMN($L86:$BG86),4)=MOD(COLUMN($L86),4)),$L86:$BG86)</f>
        <v/>
      </c>
      <c r="BI86" s="181">
        <f>Автовик_разбивка[[#This Row],[Цена, 
юань, без НДС 1]]*BH86</f>
        <v/>
      </c>
      <c r="BJ86" s="130">
        <f>SUMPRODUCT(--(MOD(COLUMN($L86:$BG86),4)=MOD(COLUMN($L86)+1,4)),$L86:$BG86)</f>
        <v/>
      </c>
      <c r="BK86" s="187">
        <f>Автовик_разбивка[[#This Row],[Цена, 
юань, без НДС 1]]*BJ86</f>
        <v/>
      </c>
      <c r="BL86" s="109">
        <f>SUMPRODUCT(--(MOD(COLUMN($L86:$BG86),4)=MOD(COLUMN($L86)+2,4)),$L86:$BG86)</f>
        <v/>
      </c>
      <c r="BM86" s="224">
        <f>Автовик_разбивка[[#This Row],[Цена, 
юань, без НДС 1]]*BL86</f>
        <v/>
      </c>
      <c r="BN86" s="178" t="n"/>
      <c r="BO86" s="184" t="n"/>
      <c r="BP86" s="130">
        <f>$E86*0</f>
        <v/>
      </c>
      <c r="BQ86" s="179" t="n"/>
      <c r="BR86" s="130" t="n"/>
      <c r="BS86" s="178" t="n"/>
      <c r="BT86" s="184" t="n"/>
      <c r="BU86" s="130">
        <f>$E86*0</f>
        <v/>
      </c>
      <c r="BV86" s="179" t="n"/>
      <c r="BW86" s="130" t="n"/>
      <c r="BX86" s="178" t="n"/>
      <c r="BY86" s="184" t="n"/>
      <c r="BZ86" s="130">
        <f>$E86*0</f>
        <v/>
      </c>
      <c r="CA86" s="179" t="n"/>
      <c r="CB86" s="130" t="n"/>
      <c r="CC86" s="178" t="n"/>
      <c r="CD86" s="184" t="n"/>
      <c r="CE86" s="130">
        <f>$E86*0</f>
        <v/>
      </c>
      <c r="CF86" s="179" t="n"/>
      <c r="CG86" s="130" t="n"/>
      <c r="CH86" s="178" t="n"/>
      <c r="CI86" s="184" t="n"/>
      <c r="CJ86" s="130">
        <f>$E86*0</f>
        <v/>
      </c>
      <c r="CK86" s="109" t="n"/>
      <c r="CL86" s="252" t="n"/>
      <c r="CM86" s="178" t="n"/>
      <c r="CN86" s="184" t="n"/>
      <c r="CO86" s="130">
        <f>$E86*0</f>
        <v/>
      </c>
      <c r="CP86" s="109" t="n"/>
      <c r="CQ86" s="252" t="n"/>
      <c r="CR86" s="178" t="n"/>
      <c r="CS86" s="184" t="n"/>
      <c r="CT86" s="130">
        <f>$E86*0</f>
        <v/>
      </c>
      <c r="CU86" s="109" t="n"/>
      <c r="CV86" s="252" t="n"/>
      <c r="CW86" s="178" t="n"/>
      <c r="CX86" s="184" t="n"/>
      <c r="CY86" s="130">
        <f>$E86*0</f>
        <v/>
      </c>
      <c r="CZ86" s="109" t="n"/>
      <c r="DA86" s="252" t="n"/>
      <c r="DB86" s="178" t="n"/>
      <c r="DC86" s="184" t="n"/>
      <c r="DD86" s="130">
        <f>$E86*0</f>
        <v/>
      </c>
      <c r="DE86" s="109" t="n"/>
      <c r="DF86" s="252" t="n"/>
      <c r="DG86" s="178" t="n"/>
      <c r="DH86" s="184" t="n"/>
      <c r="DI86" s="130">
        <f>$E86*0</f>
        <v/>
      </c>
      <c r="DJ86" s="109" t="n"/>
      <c r="DK86" s="252" t="n"/>
      <c r="DL86" s="178" t="n"/>
      <c r="DM86" s="184" t="n"/>
      <c r="DN86" s="130">
        <f>$E86*0</f>
        <v/>
      </c>
      <c r="DO86" s="194" t="n"/>
      <c r="DP86" s="252" t="n"/>
      <c r="DQ86" s="178" t="n"/>
      <c r="DR86" s="184" t="n"/>
      <c r="DS86" s="130">
        <f>$E86*0</f>
        <v/>
      </c>
      <c r="DT86" s="109" t="n"/>
      <c r="DU86" s="252" t="n"/>
      <c r="DV86" s="180">
        <f>SUMPRODUCT(--(MOD(COLUMN($BN86:$DU86),5)=MOD(COLUMN($BN86),5)),$BN86:$DU86)</f>
        <v/>
      </c>
      <c r="DW86" s="181">
        <f>Автовик_разбивка[[#This Row],[Цена, 
юань, без НДС 1]]*DV86</f>
        <v/>
      </c>
      <c r="DX86" s="186">
        <f>SUMPRODUCT(--(MOD(COLUMN($BN86:$DU86),5)=MOD(COLUMN($BN86)+1,5)),$BN86:$DU86)</f>
        <v/>
      </c>
      <c r="DY86" s="186">
        <f>Автовик_разбивка[[#This Row],[Цена, 
юань, без НДС 1]]*DX86</f>
        <v/>
      </c>
      <c r="DZ86" s="130">
        <f>SUMPRODUCT(--(MOD(COLUMN($BN86:$DU86),5)=MOD(COLUMN($BN86)+2,5)),$BN86:$DU86)</f>
        <v/>
      </c>
      <c r="EA86" s="187">
        <f>Автовик_разбивка[[#This Row],[Цена, 
юань, без НДС 1]]*DZ86</f>
        <v/>
      </c>
      <c r="EB86" s="109">
        <f>SUMPRODUCT(--(MOD(COLUMN($BN86:$DU86),5)=MOD(COLUMN($BN86)+3,5)),$BN86:$DU86)</f>
        <v/>
      </c>
      <c r="EC86" s="224">
        <f>Автовик_разбивка[[#This Row],[Цена, 
юань, без НДС 1]]*EB86</f>
        <v/>
      </c>
    </row>
    <row r="87">
      <c r="A87" s="256" t="n">
        <v>22</v>
      </c>
      <c r="B87" s="172" t="inlineStr">
        <is>
          <t>НовосибАРЗ</t>
        </is>
      </c>
      <c r="C87" s="173" t="inlineStr">
        <is>
          <t>TEBS</t>
        </is>
      </c>
      <c r="D87" s="173" t="inlineStr">
        <is>
          <t>TEBS 2s/2m 
15м</t>
        </is>
      </c>
      <c r="E87" s="174" t="n">
        <v>1</v>
      </c>
      <c r="F87" s="174" t="n"/>
      <c r="G87" s="174" t="n"/>
      <c r="H87" s="175" t="n">
        <v>4491731500</v>
      </c>
      <c r="I87" s="176" t="inlineStr">
        <is>
          <t>Кабель питания, 15 м</t>
        </is>
      </c>
      <c r="J87" s="911" t="n"/>
      <c r="K87" s="912" t="n"/>
      <c r="L87" s="178" t="n">
        <v>0</v>
      </c>
      <c r="M87" s="130">
        <f>$E87*0</f>
        <v/>
      </c>
      <c r="N87" s="179" t="n">
        <v>0</v>
      </c>
      <c r="O87" s="130" t="n"/>
      <c r="P87" s="178" t="n">
        <v>0</v>
      </c>
      <c r="Q87" s="130">
        <f>$E87*0</f>
        <v/>
      </c>
      <c r="R87" s="179">
        <f>$E87*0</f>
        <v/>
      </c>
      <c r="S87" s="130" t="n"/>
      <c r="T87" s="178" t="n">
        <v>0</v>
      </c>
      <c r="U87" s="130">
        <f>$E87*0</f>
        <v/>
      </c>
      <c r="V87" s="179">
        <f>$E87*0</f>
        <v/>
      </c>
      <c r="W87" s="130" t="n"/>
      <c r="X87" s="178" t="n">
        <v>0</v>
      </c>
      <c r="Y87" s="130">
        <f>$E87*0</f>
        <v/>
      </c>
      <c r="Z87" s="179">
        <f>$E87*0</f>
        <v/>
      </c>
      <c r="AA87" s="130" t="n"/>
      <c r="AB87" s="178" t="n">
        <v>0</v>
      </c>
      <c r="AC87" s="130">
        <f>$E87*0</f>
        <v/>
      </c>
      <c r="AD87" s="109" t="n"/>
      <c r="AE87" s="252" t="n"/>
      <c r="AF87" s="178" t="n">
        <v>0</v>
      </c>
      <c r="AG87" s="130">
        <f>$E87*0</f>
        <v/>
      </c>
      <c r="AH87" s="109" t="n"/>
      <c r="AI87" s="252" t="n"/>
      <c r="AJ87" s="178" t="n">
        <v>0</v>
      </c>
      <c r="AK87" s="130">
        <f>$E87*0</f>
        <v/>
      </c>
      <c r="AL87" s="109" t="n"/>
      <c r="AM87" s="252" t="n"/>
      <c r="AN87" s="178" t="n">
        <v>0</v>
      </c>
      <c r="AO87" s="130">
        <f>$E87*10</f>
        <v/>
      </c>
      <c r="AP87" s="109" t="n"/>
      <c r="AQ87" s="252" t="n"/>
      <c r="AR87" s="178" t="n">
        <v>0</v>
      </c>
      <c r="AS87" s="130">
        <f>$E87*0</f>
        <v/>
      </c>
      <c r="AT87" s="109" t="n"/>
      <c r="AU87" s="252" t="n"/>
      <c r="AV87" s="178" t="n">
        <v>0</v>
      </c>
      <c r="AW87" s="130">
        <f>$E87*0</f>
        <v/>
      </c>
      <c r="AX87" s="109" t="n"/>
      <c r="AY87" s="252" t="n"/>
      <c r="AZ87" s="178" t="n">
        <v>0</v>
      </c>
      <c r="BA87" s="130" t="n"/>
      <c r="BB87" s="193" t="n"/>
      <c r="BC87" s="252" t="n"/>
      <c r="BD87" s="178" t="n">
        <v>0</v>
      </c>
      <c r="BE87" s="130" t="n"/>
      <c r="BF87" s="109" t="n"/>
      <c r="BG87" s="252" t="n"/>
      <c r="BH87" s="180">
        <f>SUMPRODUCT(--(MOD(COLUMN($L87:$BG87),4)=MOD(COLUMN($L87),4)),$L87:$BG87)</f>
        <v/>
      </c>
      <c r="BI87" s="181">
        <f>Автовик_разбивка[[#This Row],[Цена, 
юань, без НДС 1]]*BH87</f>
        <v/>
      </c>
      <c r="BJ87" s="130">
        <f>SUMPRODUCT(--(MOD(COLUMN($L87:$BG87),4)=MOD(COLUMN($L87)+1,4)),$L87:$BG87)</f>
        <v/>
      </c>
      <c r="BK87" s="187">
        <f>Автовик_разбивка[[#This Row],[Цена, 
юань, без НДС 1]]*BJ87</f>
        <v/>
      </c>
      <c r="BL87" s="109">
        <f>SUMPRODUCT(--(MOD(COLUMN($L87:$BG87),4)=MOD(COLUMN($L87)+2,4)),$L87:$BG87)</f>
        <v/>
      </c>
      <c r="BM87" s="224">
        <f>Автовик_разбивка[[#This Row],[Цена, 
юань, без НДС 1]]*BL87</f>
        <v/>
      </c>
      <c r="BN87" s="178" t="n"/>
      <c r="BO87" s="184" t="n"/>
      <c r="BP87" s="130">
        <f>$E87*0</f>
        <v/>
      </c>
      <c r="BQ87" s="179" t="n"/>
      <c r="BR87" s="130" t="n"/>
      <c r="BS87" s="178" t="n"/>
      <c r="BT87" s="184" t="n"/>
      <c r="BU87" s="130">
        <f>$E87*0</f>
        <v/>
      </c>
      <c r="BV87" s="179" t="n"/>
      <c r="BW87" s="130" t="n"/>
      <c r="BX87" s="178" t="n"/>
      <c r="BY87" s="184" t="n"/>
      <c r="BZ87" s="130">
        <f>$E87*0</f>
        <v/>
      </c>
      <c r="CA87" s="179" t="n"/>
      <c r="CB87" s="130" t="n"/>
      <c r="CC87" s="178" t="n"/>
      <c r="CD87" s="184" t="n"/>
      <c r="CE87" s="130">
        <f>$E87*0</f>
        <v/>
      </c>
      <c r="CF87" s="179" t="n"/>
      <c r="CG87" s="130" t="n"/>
      <c r="CH87" s="178" t="n"/>
      <c r="CI87" s="184" t="n"/>
      <c r="CJ87" s="130">
        <f>$E87*0</f>
        <v/>
      </c>
      <c r="CK87" s="109" t="n"/>
      <c r="CL87" s="252" t="n"/>
      <c r="CM87" s="178" t="n"/>
      <c r="CN87" s="184" t="n"/>
      <c r="CO87" s="130">
        <f>$E87*0</f>
        <v/>
      </c>
      <c r="CP87" s="109" t="n"/>
      <c r="CQ87" s="252" t="n"/>
      <c r="CR87" s="178" t="n"/>
      <c r="CS87" s="184" t="n"/>
      <c r="CT87" s="130">
        <f>$E87*0</f>
        <v/>
      </c>
      <c r="CU87" s="109" t="n"/>
      <c r="CV87" s="252" t="n"/>
      <c r="CW87" s="178" t="n"/>
      <c r="CX87" s="184" t="n"/>
      <c r="CY87" s="130">
        <f>$E87*0</f>
        <v/>
      </c>
      <c r="CZ87" s="109" t="n"/>
      <c r="DA87" s="252" t="n"/>
      <c r="DB87" s="178" t="n"/>
      <c r="DC87" s="184" t="n"/>
      <c r="DD87" s="130">
        <f>$E87*0</f>
        <v/>
      </c>
      <c r="DE87" s="109" t="n"/>
      <c r="DF87" s="252" t="n"/>
      <c r="DG87" s="178" t="n"/>
      <c r="DH87" s="184" t="n"/>
      <c r="DI87" s="130">
        <f>$E87*0</f>
        <v/>
      </c>
      <c r="DJ87" s="109" t="n"/>
      <c r="DK87" s="252" t="n"/>
      <c r="DL87" s="178" t="n"/>
      <c r="DM87" s="184" t="n"/>
      <c r="DN87" s="130">
        <f>$E87*0</f>
        <v/>
      </c>
      <c r="DO87" s="193" t="n"/>
      <c r="DP87" s="252" t="n"/>
      <c r="DQ87" s="178" t="n"/>
      <c r="DR87" s="184" t="n"/>
      <c r="DS87" s="130">
        <f>$E87*0</f>
        <v/>
      </c>
      <c r="DT87" s="109" t="n"/>
      <c r="DU87" s="252" t="n"/>
      <c r="DV87" s="180">
        <f>SUMPRODUCT(--(MOD(COLUMN($BN87:$DU87),5)=MOD(COLUMN($BN87),5)),$BN87:$DU87)</f>
        <v/>
      </c>
      <c r="DW87" s="181">
        <f>Автовик_разбивка[[#This Row],[Цена, 
юань, без НДС 1]]*DV87</f>
        <v/>
      </c>
      <c r="DX87" s="186">
        <f>SUMPRODUCT(--(MOD(COLUMN($BN87:$DU87),5)=MOD(COLUMN($BN87)+1,5)),$BN87:$DU87)</f>
        <v/>
      </c>
      <c r="DY87" s="186">
        <f>Автовик_разбивка[[#This Row],[Цена, 
юань, без НДС 1]]*DX87</f>
        <v/>
      </c>
      <c r="DZ87" s="130">
        <f>SUMPRODUCT(--(MOD(COLUMN($BN87:$DU87),5)=MOD(COLUMN($BN87)+2,5)),$BN87:$DU87)</f>
        <v/>
      </c>
      <c r="EA87" s="187">
        <f>Автовик_разбивка[[#This Row],[Цена, 
юань, без НДС 1]]*DZ87</f>
        <v/>
      </c>
      <c r="EB87" s="109">
        <f>SUMPRODUCT(--(MOD(COLUMN($BN87:$DU87),5)=MOD(COLUMN($BN87)+3,5)),$BN87:$DU87)</f>
        <v/>
      </c>
      <c r="EC87" s="224">
        <f>Автовик_разбивка[[#This Row],[Цена, 
юань, без НДС 1]]*EB87</f>
        <v/>
      </c>
    </row>
    <row r="88">
      <c r="A88" s="256" t="n">
        <v>22</v>
      </c>
      <c r="B88" s="172" t="inlineStr">
        <is>
          <t>НовосибАРЗ</t>
        </is>
      </c>
      <c r="C88" s="173" t="inlineStr">
        <is>
          <t>TEBS</t>
        </is>
      </c>
      <c r="D88" s="173" t="inlineStr">
        <is>
          <t>TEBS 2s/2m 
15м</t>
        </is>
      </c>
      <c r="E88" s="174" t="n">
        <v>2</v>
      </c>
      <c r="F88" s="174" t="n"/>
      <c r="G88" s="174" t="n"/>
      <c r="H88" s="175" t="n">
        <v>4497230500</v>
      </c>
      <c r="I88" s="176" t="inlineStr">
        <is>
          <t>Кабель датчика, 5 м</t>
        </is>
      </c>
      <c r="J88" s="911" t="n"/>
      <c r="K88" s="912" t="n"/>
      <c r="L88" s="178" t="n">
        <v>0</v>
      </c>
      <c r="M88" s="130">
        <f>$E88*0</f>
        <v/>
      </c>
      <c r="N88" s="179" t="n">
        <v>0</v>
      </c>
      <c r="O88" s="130" t="n"/>
      <c r="P88" s="178" t="n">
        <v>0</v>
      </c>
      <c r="Q88" s="130">
        <f>$E88*0</f>
        <v/>
      </c>
      <c r="R88" s="179">
        <f>$E88*0</f>
        <v/>
      </c>
      <c r="S88" s="130" t="n"/>
      <c r="T88" s="178" t="n">
        <v>0</v>
      </c>
      <c r="U88" s="130">
        <f>$E88*0</f>
        <v/>
      </c>
      <c r="V88" s="179">
        <f>$E88*0</f>
        <v/>
      </c>
      <c r="W88" s="130" t="n"/>
      <c r="X88" s="178" t="n">
        <v>0</v>
      </c>
      <c r="Y88" s="130">
        <f>$E88*0</f>
        <v/>
      </c>
      <c r="Z88" s="179">
        <f>$E88*0</f>
        <v/>
      </c>
      <c r="AA88" s="130" t="n"/>
      <c r="AB88" s="178" t="n">
        <v>0</v>
      </c>
      <c r="AC88" s="130">
        <f>$E88*0</f>
        <v/>
      </c>
      <c r="AD88" s="109" t="n"/>
      <c r="AE88" s="252" t="n"/>
      <c r="AF88" s="178" t="n">
        <v>0</v>
      </c>
      <c r="AG88" s="130">
        <f>$E88*0</f>
        <v/>
      </c>
      <c r="AH88" s="109" t="n"/>
      <c r="AI88" s="252" t="n"/>
      <c r="AJ88" s="178" t="n">
        <v>0</v>
      </c>
      <c r="AK88" s="130">
        <f>$E88*0</f>
        <v/>
      </c>
      <c r="AL88" s="109" t="n"/>
      <c r="AM88" s="252" t="n"/>
      <c r="AN88" s="178" t="n">
        <v>0</v>
      </c>
      <c r="AO88" s="130">
        <f>$E88*10</f>
        <v/>
      </c>
      <c r="AP88" s="109" t="n"/>
      <c r="AQ88" s="252" t="n"/>
      <c r="AR88" s="178" t="n">
        <v>0</v>
      </c>
      <c r="AS88" s="130">
        <f>$E88*0</f>
        <v/>
      </c>
      <c r="AT88" s="109" t="n"/>
      <c r="AU88" s="252" t="n"/>
      <c r="AV88" s="178" t="n">
        <v>0</v>
      </c>
      <c r="AW88" s="130">
        <f>$E88*0</f>
        <v/>
      </c>
      <c r="AX88" s="109" t="n"/>
      <c r="AY88" s="252" t="n"/>
      <c r="AZ88" s="178" t="n">
        <v>0</v>
      </c>
      <c r="BA88" s="130" t="n"/>
      <c r="BB88" s="193" t="n"/>
      <c r="BC88" s="252" t="n"/>
      <c r="BD88" s="178" t="n">
        <v>0</v>
      </c>
      <c r="BE88" s="130" t="n"/>
      <c r="BF88" s="109" t="n"/>
      <c r="BG88" s="252" t="n"/>
      <c r="BH88" s="180">
        <f>SUMPRODUCT(--(MOD(COLUMN($L88:$BG88),4)=MOD(COLUMN($L88),4)),$L88:$BG88)</f>
        <v/>
      </c>
      <c r="BI88" s="181">
        <f>Автовик_разбивка[[#This Row],[Цена, 
юань, без НДС 1]]*BH88</f>
        <v/>
      </c>
      <c r="BJ88" s="130">
        <f>SUMPRODUCT(--(MOD(COLUMN($L88:$BG88),4)=MOD(COLUMN($L88)+1,4)),$L88:$BG88)</f>
        <v/>
      </c>
      <c r="BK88" s="187">
        <f>Автовик_разбивка[[#This Row],[Цена, 
юань, без НДС 1]]*BJ88</f>
        <v/>
      </c>
      <c r="BL88" s="109">
        <f>SUMPRODUCT(--(MOD(COLUMN($L88:$BG88),4)=MOD(COLUMN($L88)+2,4)),$L88:$BG88)</f>
        <v/>
      </c>
      <c r="BM88" s="224">
        <f>Автовик_разбивка[[#This Row],[Цена, 
юань, без НДС 1]]*BL88</f>
        <v/>
      </c>
      <c r="BN88" s="178" t="n"/>
      <c r="BO88" s="184" t="n"/>
      <c r="BP88" s="130">
        <f>$E88*0</f>
        <v/>
      </c>
      <c r="BQ88" s="179" t="n"/>
      <c r="BR88" s="130" t="n"/>
      <c r="BS88" s="178" t="n"/>
      <c r="BT88" s="184" t="n"/>
      <c r="BU88" s="130">
        <f>$E88*0</f>
        <v/>
      </c>
      <c r="BV88" s="179" t="n"/>
      <c r="BW88" s="130" t="n"/>
      <c r="BX88" s="178" t="n"/>
      <c r="BY88" s="184" t="n"/>
      <c r="BZ88" s="130">
        <f>$E88*0</f>
        <v/>
      </c>
      <c r="CA88" s="179" t="n"/>
      <c r="CB88" s="130" t="n"/>
      <c r="CC88" s="178" t="n"/>
      <c r="CD88" s="184" t="n"/>
      <c r="CE88" s="130">
        <f>$E88*0</f>
        <v/>
      </c>
      <c r="CF88" s="179" t="n"/>
      <c r="CG88" s="130" t="n"/>
      <c r="CH88" s="178" t="n"/>
      <c r="CI88" s="184" t="n"/>
      <c r="CJ88" s="130">
        <f>$E88*0</f>
        <v/>
      </c>
      <c r="CK88" s="109" t="n"/>
      <c r="CL88" s="252" t="n"/>
      <c r="CM88" s="178" t="n"/>
      <c r="CN88" s="184" t="n"/>
      <c r="CO88" s="130">
        <f>$E88*0</f>
        <v/>
      </c>
      <c r="CP88" s="109" t="n"/>
      <c r="CQ88" s="252" t="n"/>
      <c r="CR88" s="178" t="n"/>
      <c r="CS88" s="184" t="n"/>
      <c r="CT88" s="130">
        <f>$E88*0</f>
        <v/>
      </c>
      <c r="CU88" s="109" t="n"/>
      <c r="CV88" s="252" t="n"/>
      <c r="CW88" s="178" t="n"/>
      <c r="CX88" s="184" t="n"/>
      <c r="CY88" s="130">
        <f>$E88*0</f>
        <v/>
      </c>
      <c r="CZ88" s="109" t="n"/>
      <c r="DA88" s="252" t="n"/>
      <c r="DB88" s="178" t="n"/>
      <c r="DC88" s="184" t="n"/>
      <c r="DD88" s="130">
        <f>$E88*0</f>
        <v/>
      </c>
      <c r="DE88" s="109" t="n"/>
      <c r="DF88" s="252" t="n"/>
      <c r="DG88" s="178" t="n"/>
      <c r="DH88" s="184" t="n"/>
      <c r="DI88" s="130">
        <f>$E88*0</f>
        <v/>
      </c>
      <c r="DJ88" s="109" t="n"/>
      <c r="DK88" s="252" t="n"/>
      <c r="DL88" s="178" t="n"/>
      <c r="DM88" s="184" t="n"/>
      <c r="DN88" s="130">
        <f>$E88*0</f>
        <v/>
      </c>
      <c r="DO88" s="193" t="n"/>
      <c r="DP88" s="252" t="n"/>
      <c r="DQ88" s="178" t="n"/>
      <c r="DR88" s="184" t="n"/>
      <c r="DS88" s="130">
        <f>$E88*0</f>
        <v/>
      </c>
      <c r="DT88" s="109" t="n"/>
      <c r="DU88" s="252" t="n"/>
      <c r="DV88" s="180">
        <f>SUMPRODUCT(--(MOD(COLUMN($BN88:$DU88),5)=MOD(COLUMN($BN88),5)),$BN88:$DU88)</f>
        <v/>
      </c>
      <c r="DW88" s="181">
        <f>Автовик_разбивка[[#This Row],[Цена, 
юань, без НДС 1]]*DV88</f>
        <v/>
      </c>
      <c r="DX88" s="186">
        <f>SUMPRODUCT(--(MOD(COLUMN($BN88:$DU88),5)=MOD(COLUMN($BN88)+1,5)),$BN88:$DU88)</f>
        <v/>
      </c>
      <c r="DY88" s="186">
        <f>Автовик_разбивка[[#This Row],[Цена, 
юань, без НДС 1]]*DX88</f>
        <v/>
      </c>
      <c r="DZ88" s="130">
        <f>SUMPRODUCT(--(MOD(COLUMN($BN88:$DU88),5)=MOD(COLUMN($BN88)+2,5)),$BN88:$DU88)</f>
        <v/>
      </c>
      <c r="EA88" s="187">
        <f>Автовик_разбивка[[#This Row],[Цена, 
юань, без НДС 1]]*DZ88</f>
        <v/>
      </c>
      <c r="EB88" s="109">
        <f>SUMPRODUCT(--(MOD(COLUMN($BN88:$DU88),5)=MOD(COLUMN($BN88)+3,5)),$BN88:$DU88)</f>
        <v/>
      </c>
      <c r="EC88" s="224">
        <f>Автовик_разбивка[[#This Row],[Цена, 
юань, без НДС 1]]*EB88</f>
        <v/>
      </c>
    </row>
    <row r="89">
      <c r="A89" s="256" t="n">
        <v>22</v>
      </c>
      <c r="B89" s="172" t="inlineStr">
        <is>
          <t>НовосибАРЗ</t>
        </is>
      </c>
      <c r="C89" s="173" t="inlineStr">
        <is>
          <t>TEBS</t>
        </is>
      </c>
      <c r="D89" s="173" t="inlineStr">
        <is>
          <t>TEBS 2s/2m 
15м</t>
        </is>
      </c>
      <c r="E89" s="174" t="n">
        <v>1</v>
      </c>
      <c r="F89" s="174" t="n"/>
      <c r="G89" s="174" t="n"/>
      <c r="H89" s="175" t="n">
        <v>4630320200</v>
      </c>
      <c r="I89" s="176" t="inlineStr">
        <is>
          <t>Кран ручного управления</t>
        </is>
      </c>
      <c r="J89" s="911" t="n"/>
      <c r="K89" s="913" t="n"/>
      <c r="L89" s="178" t="n">
        <v>0</v>
      </c>
      <c r="M89" s="130">
        <f>$E89*0</f>
        <v/>
      </c>
      <c r="N89" s="179" t="n">
        <v>0</v>
      </c>
      <c r="O89" s="130" t="n"/>
      <c r="P89" s="178" t="n">
        <v>0</v>
      </c>
      <c r="Q89" s="130">
        <f>$E89*0</f>
        <v/>
      </c>
      <c r="R89" s="179">
        <f>$E89*0</f>
        <v/>
      </c>
      <c r="S89" s="130" t="n"/>
      <c r="T89" s="178" t="n">
        <v>0</v>
      </c>
      <c r="U89" s="130">
        <f>$E89*0</f>
        <v/>
      </c>
      <c r="V89" s="179">
        <f>$E89*0</f>
        <v/>
      </c>
      <c r="W89" s="130" t="n"/>
      <c r="X89" s="178" t="n">
        <v>0</v>
      </c>
      <c r="Y89" s="130">
        <f>$E89*0</f>
        <v/>
      </c>
      <c r="Z89" s="179">
        <f>$E89*0</f>
        <v/>
      </c>
      <c r="AA89" s="130" t="n"/>
      <c r="AB89" s="178" t="n">
        <v>0</v>
      </c>
      <c r="AC89" s="130">
        <f>$E89*0</f>
        <v/>
      </c>
      <c r="AD89" s="109" t="n"/>
      <c r="AE89" s="252" t="n"/>
      <c r="AF89" s="178" t="n">
        <v>0</v>
      </c>
      <c r="AG89" s="130">
        <f>$E89*0</f>
        <v/>
      </c>
      <c r="AH89" s="109" t="n"/>
      <c r="AI89" s="252" t="n"/>
      <c r="AJ89" s="178" t="n">
        <v>0</v>
      </c>
      <c r="AK89" s="130">
        <f>$E89*0</f>
        <v/>
      </c>
      <c r="AL89" s="109" t="n"/>
      <c r="AM89" s="252" t="n"/>
      <c r="AN89" s="178" t="n">
        <v>0</v>
      </c>
      <c r="AO89" s="130">
        <f>$E89*10</f>
        <v/>
      </c>
      <c r="AP89" s="109" t="n"/>
      <c r="AQ89" s="252" t="n"/>
      <c r="AR89" s="178" t="n">
        <v>0</v>
      </c>
      <c r="AS89" s="130">
        <f>$E89*0</f>
        <v/>
      </c>
      <c r="AT89" s="109" t="n"/>
      <c r="AU89" s="252" t="n"/>
      <c r="AV89" s="178" t="n">
        <v>0</v>
      </c>
      <c r="AW89" s="130">
        <f>$E89*0</f>
        <v/>
      </c>
      <c r="AX89" s="109" t="n"/>
      <c r="AY89" s="252" t="n"/>
      <c r="AZ89" s="178" t="n">
        <v>0</v>
      </c>
      <c r="BA89" s="130" t="n"/>
      <c r="BB89" s="194" t="n"/>
      <c r="BC89" s="252" t="n"/>
      <c r="BD89" s="178" t="n">
        <v>0</v>
      </c>
      <c r="BE89" s="130" t="n"/>
      <c r="BF89" s="109" t="n"/>
      <c r="BG89" s="252" t="n"/>
      <c r="BH89" s="180">
        <f>SUMPRODUCT(--(MOD(COLUMN($L89:$BG89),4)=MOD(COLUMN($L89),4)),$L89:$BG89)</f>
        <v/>
      </c>
      <c r="BI89" s="181">
        <f>Автовик_разбивка[[#This Row],[Цена, 
юань, без НДС 1]]*BH89</f>
        <v/>
      </c>
      <c r="BJ89" s="130">
        <f>SUMPRODUCT(--(MOD(COLUMN($L89:$BG89),4)=MOD(COLUMN($L89)+1,4)),$L89:$BG89)</f>
        <v/>
      </c>
      <c r="BK89" s="187">
        <f>Автовик_разбивка[[#This Row],[Цена, 
юань, без НДС 1]]*BJ89</f>
        <v/>
      </c>
      <c r="BL89" s="109">
        <f>SUMPRODUCT(--(MOD(COLUMN($L89:$BG89),4)=MOD(COLUMN($L89)+2,4)),$L89:$BG89)</f>
        <v/>
      </c>
      <c r="BM89" s="224">
        <f>Автовик_разбивка[[#This Row],[Цена, 
юань, без НДС 1]]*BL89</f>
        <v/>
      </c>
      <c r="BN89" s="178" t="n"/>
      <c r="BO89" s="184" t="n"/>
      <c r="BP89" s="130">
        <f>$E89*0</f>
        <v/>
      </c>
      <c r="BQ89" s="179" t="n"/>
      <c r="BR89" s="130" t="n"/>
      <c r="BS89" s="178" t="n"/>
      <c r="BT89" s="184" t="n"/>
      <c r="BU89" s="130">
        <f>$E89*0</f>
        <v/>
      </c>
      <c r="BV89" s="179" t="n"/>
      <c r="BW89" s="130" t="n"/>
      <c r="BX89" s="178" t="n"/>
      <c r="BY89" s="184" t="n"/>
      <c r="BZ89" s="130">
        <f>$E89*0</f>
        <v/>
      </c>
      <c r="CA89" s="179" t="n"/>
      <c r="CB89" s="130" t="n"/>
      <c r="CC89" s="178" t="n"/>
      <c r="CD89" s="184" t="n"/>
      <c r="CE89" s="130">
        <f>$E89*0</f>
        <v/>
      </c>
      <c r="CF89" s="179" t="n"/>
      <c r="CG89" s="130" t="n"/>
      <c r="CH89" s="178" t="n"/>
      <c r="CI89" s="184" t="n"/>
      <c r="CJ89" s="130">
        <f>$E89*0</f>
        <v/>
      </c>
      <c r="CK89" s="109" t="n"/>
      <c r="CL89" s="252" t="n"/>
      <c r="CM89" s="178" t="n"/>
      <c r="CN89" s="184" t="n"/>
      <c r="CO89" s="130">
        <f>$E89*0</f>
        <v/>
      </c>
      <c r="CP89" s="109" t="n"/>
      <c r="CQ89" s="252" t="n"/>
      <c r="CR89" s="178" t="n"/>
      <c r="CS89" s="184" t="n"/>
      <c r="CT89" s="130">
        <f>$E89*0</f>
        <v/>
      </c>
      <c r="CU89" s="109" t="n"/>
      <c r="CV89" s="252" t="n"/>
      <c r="CW89" s="178" t="n"/>
      <c r="CX89" s="184" t="n"/>
      <c r="CY89" s="130">
        <f>$E89*0</f>
        <v/>
      </c>
      <c r="CZ89" s="109" t="n"/>
      <c r="DA89" s="252" t="n"/>
      <c r="DB89" s="178" t="n"/>
      <c r="DC89" s="184" t="n"/>
      <c r="DD89" s="130">
        <f>$E89*0</f>
        <v/>
      </c>
      <c r="DE89" s="109" t="n"/>
      <c r="DF89" s="252" t="n"/>
      <c r="DG89" s="178" t="n"/>
      <c r="DH89" s="184" t="n"/>
      <c r="DI89" s="130">
        <f>$E89*0</f>
        <v/>
      </c>
      <c r="DJ89" s="109" t="n"/>
      <c r="DK89" s="252" t="n"/>
      <c r="DL89" s="178" t="n"/>
      <c r="DM89" s="184" t="n"/>
      <c r="DN89" s="130">
        <f>$E89*0</f>
        <v/>
      </c>
      <c r="DO89" s="194" t="n"/>
      <c r="DP89" s="252" t="n"/>
      <c r="DQ89" s="178" t="n"/>
      <c r="DR89" s="184" t="n"/>
      <c r="DS89" s="130">
        <f>$E89*0</f>
        <v/>
      </c>
      <c r="DT89" s="109" t="n"/>
      <c r="DU89" s="252" t="n"/>
      <c r="DV89" s="180">
        <f>SUMPRODUCT(--(MOD(COLUMN($BN89:$DU89),5)=MOD(COLUMN($BN89),5)),$BN89:$DU89)</f>
        <v/>
      </c>
      <c r="DW89" s="181">
        <f>Автовик_разбивка[[#This Row],[Цена, 
юань, без НДС 1]]*DV89</f>
        <v/>
      </c>
      <c r="DX89" s="186">
        <f>SUMPRODUCT(--(MOD(COLUMN($BN89:$DU89),5)=MOD(COLUMN($BN89)+1,5)),$BN89:$DU89)</f>
        <v/>
      </c>
      <c r="DY89" s="186">
        <f>Автовик_разбивка[[#This Row],[Цена, 
юань, без НДС 1]]*DX89</f>
        <v/>
      </c>
      <c r="DZ89" s="130">
        <f>SUMPRODUCT(--(MOD(COLUMN($BN89:$DU89),5)=MOD(COLUMN($BN89)+2,5)),$BN89:$DU89)</f>
        <v/>
      </c>
      <c r="EA89" s="187">
        <f>Автовик_разбивка[[#This Row],[Цена, 
юань, без НДС 1]]*DZ89</f>
        <v/>
      </c>
      <c r="EB89" s="109">
        <f>SUMPRODUCT(--(MOD(COLUMN($BN89:$DU89),5)=MOD(COLUMN($BN89)+3,5)),$BN89:$DU89)</f>
        <v/>
      </c>
      <c r="EC89" s="224">
        <f>Автовик_разбивка[[#This Row],[Цена, 
юань, без НДС 1]]*EB89</f>
        <v/>
      </c>
    </row>
    <row r="90">
      <c r="A90" s="256" t="n">
        <v>22</v>
      </c>
      <c r="B90" s="172" t="inlineStr">
        <is>
          <t>НовосибАРЗ</t>
        </is>
      </c>
      <c r="C90" s="173" t="inlineStr">
        <is>
          <t>TEBS</t>
        </is>
      </c>
      <c r="D90" s="173" t="inlineStr">
        <is>
          <t>TEBS 2s/2m 
15м</t>
        </is>
      </c>
      <c r="E90" s="174" t="n">
        <v>1</v>
      </c>
      <c r="F90" s="174" t="n"/>
      <c r="G90" s="174" t="n"/>
      <c r="H90" s="175" t="n">
        <v>4640061000</v>
      </c>
      <c r="I90" s="176" t="inlineStr">
        <is>
          <t>Кран уровня пола, 5-ти портовый</t>
        </is>
      </c>
      <c r="J90" s="911" t="n"/>
      <c r="K90" s="912" t="n"/>
      <c r="L90" s="178" t="n">
        <v>0</v>
      </c>
      <c r="M90" s="130">
        <f>$E90*0</f>
        <v/>
      </c>
      <c r="N90" s="179" t="n">
        <v>0</v>
      </c>
      <c r="O90" s="130" t="n"/>
      <c r="P90" s="178" t="n">
        <v>0</v>
      </c>
      <c r="Q90" s="130">
        <f>$E90*0</f>
        <v/>
      </c>
      <c r="R90" s="179">
        <f>$E90*0</f>
        <v/>
      </c>
      <c r="S90" s="130" t="n"/>
      <c r="T90" s="178" t="n">
        <v>0</v>
      </c>
      <c r="U90" s="130">
        <f>$E90*0</f>
        <v/>
      </c>
      <c r="V90" s="179">
        <f>$E90*0</f>
        <v/>
      </c>
      <c r="W90" s="130" t="n"/>
      <c r="X90" s="178" t="n">
        <v>0</v>
      </c>
      <c r="Y90" s="130">
        <f>$E90*0</f>
        <v/>
      </c>
      <c r="Z90" s="179">
        <f>$E90*0</f>
        <v/>
      </c>
      <c r="AA90" s="130" t="n"/>
      <c r="AB90" s="178" t="n">
        <v>0</v>
      </c>
      <c r="AC90" s="130">
        <f>$E90*0</f>
        <v/>
      </c>
      <c r="AD90" s="109" t="n"/>
      <c r="AE90" s="252" t="n"/>
      <c r="AF90" s="178" t="n">
        <v>0</v>
      </c>
      <c r="AG90" s="130">
        <f>$E90*0</f>
        <v/>
      </c>
      <c r="AH90" s="109" t="n"/>
      <c r="AI90" s="252" t="n"/>
      <c r="AJ90" s="178" t="n">
        <v>0</v>
      </c>
      <c r="AK90" s="130">
        <f>$E90*0</f>
        <v/>
      </c>
      <c r="AL90" s="109" t="n"/>
      <c r="AM90" s="252" t="n"/>
      <c r="AN90" s="178" t="n">
        <v>0</v>
      </c>
      <c r="AO90" s="130">
        <f>$E90*10</f>
        <v/>
      </c>
      <c r="AP90" s="109" t="n"/>
      <c r="AQ90" s="252" t="n"/>
      <c r="AR90" s="178" t="n">
        <v>0</v>
      </c>
      <c r="AS90" s="130">
        <f>$E90*0</f>
        <v/>
      </c>
      <c r="AT90" s="109" t="n"/>
      <c r="AU90" s="252" t="n"/>
      <c r="AV90" s="178" t="n">
        <v>0</v>
      </c>
      <c r="AW90" s="130">
        <f>$E90*0</f>
        <v/>
      </c>
      <c r="AX90" s="109" t="n"/>
      <c r="AY90" s="252" t="n"/>
      <c r="AZ90" s="178" t="n">
        <v>0</v>
      </c>
      <c r="BA90" s="130" t="n"/>
      <c r="BB90" s="179" t="n"/>
      <c r="BC90" s="252" t="n"/>
      <c r="BD90" s="178" t="n">
        <v>0</v>
      </c>
      <c r="BE90" s="130" t="n"/>
      <c r="BF90" s="109" t="n"/>
      <c r="BG90" s="252" t="n"/>
      <c r="BH90" s="180">
        <f>SUMPRODUCT(--(MOD(COLUMN($L90:$BG90),4)=MOD(COLUMN($L90),4)),$L90:$BG90)</f>
        <v/>
      </c>
      <c r="BI90" s="181">
        <f>Автовик_разбивка[[#This Row],[Цена, 
юань, без НДС 1]]*BH90</f>
        <v/>
      </c>
      <c r="BJ90" s="130">
        <f>SUMPRODUCT(--(MOD(COLUMN($L90:$BG90),4)=MOD(COLUMN($L90)+1,4)),$L90:$BG90)</f>
        <v/>
      </c>
      <c r="BK90" s="187">
        <f>Автовик_разбивка[[#This Row],[Цена, 
юань, без НДС 1]]*BJ90</f>
        <v/>
      </c>
      <c r="BL90" s="109">
        <f>SUMPRODUCT(--(MOD(COLUMN($L90:$BG90),4)=MOD(COLUMN($L90)+2,4)),$L90:$BG90)</f>
        <v/>
      </c>
      <c r="BM90" s="224">
        <f>Автовик_разбивка[[#This Row],[Цена, 
юань, без НДС 1]]*BL90</f>
        <v/>
      </c>
      <c r="BN90" s="178" t="n"/>
      <c r="BO90" s="184" t="n"/>
      <c r="BP90" s="130">
        <f>$E90*0</f>
        <v/>
      </c>
      <c r="BQ90" s="179" t="n"/>
      <c r="BR90" s="130" t="n"/>
      <c r="BS90" s="178" t="n"/>
      <c r="BT90" s="184" t="n"/>
      <c r="BU90" s="130">
        <f>$E90*0</f>
        <v/>
      </c>
      <c r="BV90" s="179" t="n"/>
      <c r="BW90" s="130" t="n"/>
      <c r="BX90" s="178" t="n"/>
      <c r="BY90" s="184" t="n"/>
      <c r="BZ90" s="130">
        <f>$E90*0</f>
        <v/>
      </c>
      <c r="CA90" s="179" t="n"/>
      <c r="CB90" s="130" t="n"/>
      <c r="CC90" s="178" t="n"/>
      <c r="CD90" s="184" t="n"/>
      <c r="CE90" s="130">
        <f>$E90*0</f>
        <v/>
      </c>
      <c r="CF90" s="179" t="n"/>
      <c r="CG90" s="130" t="n"/>
      <c r="CH90" s="178" t="n"/>
      <c r="CI90" s="184" t="n"/>
      <c r="CJ90" s="130">
        <f>$E90*0</f>
        <v/>
      </c>
      <c r="CK90" s="109" t="n"/>
      <c r="CL90" s="252" t="n"/>
      <c r="CM90" s="178" t="n"/>
      <c r="CN90" s="184" t="n"/>
      <c r="CO90" s="130">
        <f>$E90*0</f>
        <v/>
      </c>
      <c r="CP90" s="109" t="n"/>
      <c r="CQ90" s="252" t="n"/>
      <c r="CR90" s="178" t="n"/>
      <c r="CS90" s="184" t="n"/>
      <c r="CT90" s="130">
        <f>$E90*0</f>
        <v/>
      </c>
      <c r="CU90" s="109" t="n"/>
      <c r="CV90" s="252" t="n"/>
      <c r="CW90" s="178" t="n"/>
      <c r="CX90" s="184" t="n"/>
      <c r="CY90" s="130">
        <f>$E90*0</f>
        <v/>
      </c>
      <c r="CZ90" s="109" t="n"/>
      <c r="DA90" s="252" t="n"/>
      <c r="DB90" s="178" t="n"/>
      <c r="DC90" s="184" t="n"/>
      <c r="DD90" s="130">
        <f>$E90*0</f>
        <v/>
      </c>
      <c r="DE90" s="109" t="n"/>
      <c r="DF90" s="252" t="n"/>
      <c r="DG90" s="178" t="n"/>
      <c r="DH90" s="184" t="n"/>
      <c r="DI90" s="130">
        <f>$E90*0</f>
        <v/>
      </c>
      <c r="DJ90" s="109" t="n"/>
      <c r="DK90" s="252" t="n"/>
      <c r="DL90" s="178" t="n"/>
      <c r="DM90" s="184" t="n"/>
      <c r="DN90" s="130">
        <f>$E90*0</f>
        <v/>
      </c>
      <c r="DO90" s="179" t="n"/>
      <c r="DP90" s="252" t="n"/>
      <c r="DQ90" s="178" t="n"/>
      <c r="DR90" s="184" t="n"/>
      <c r="DS90" s="130">
        <f>$E90*0</f>
        <v/>
      </c>
      <c r="DT90" s="109" t="n"/>
      <c r="DU90" s="252" t="n"/>
      <c r="DV90" s="180">
        <f>SUMPRODUCT(--(MOD(COLUMN($BN90:$DU90),5)=MOD(COLUMN($BN90),5)),$BN90:$DU90)</f>
        <v/>
      </c>
      <c r="DW90" s="181">
        <f>Автовик_разбивка[[#This Row],[Цена, 
юань, без НДС 1]]*DV90</f>
        <v/>
      </c>
      <c r="DX90" s="186">
        <f>SUMPRODUCT(--(MOD(COLUMN($BN90:$DU90),5)=MOD(COLUMN($BN90)+1,5)),$BN90:$DU90)</f>
        <v/>
      </c>
      <c r="DY90" s="186">
        <f>Автовик_разбивка[[#This Row],[Цена, 
юань, без НДС 1]]*DX90</f>
        <v/>
      </c>
      <c r="DZ90" s="130">
        <f>SUMPRODUCT(--(MOD(COLUMN($BN90:$DU90),5)=MOD(COLUMN($BN90)+2,5)),$BN90:$DU90)</f>
        <v/>
      </c>
      <c r="EA90" s="187">
        <f>Автовик_разбивка[[#This Row],[Цена, 
юань, без НДС 1]]*DZ90</f>
        <v/>
      </c>
      <c r="EB90" s="109">
        <f>SUMPRODUCT(--(MOD(COLUMN($BN90:$DU90),5)=MOD(COLUMN($BN90)+3,5)),$BN90:$DU90)</f>
        <v/>
      </c>
      <c r="EC90" s="224">
        <f>Автовик_разбивка[[#This Row],[Цена, 
юань, без НДС 1]]*EB90</f>
        <v/>
      </c>
    </row>
    <row r="91">
      <c r="A91" s="256" t="n">
        <v>22</v>
      </c>
      <c r="B91" s="172" t="inlineStr">
        <is>
          <t>НовосибАРЗ</t>
        </is>
      </c>
      <c r="C91" s="173" t="inlineStr">
        <is>
          <t>TEBS</t>
        </is>
      </c>
      <c r="D91" s="173" t="inlineStr">
        <is>
          <t>TEBS 2s/2m 
15м</t>
        </is>
      </c>
      <c r="E91" s="174" t="n">
        <v>1</v>
      </c>
      <c r="F91" s="174" t="n"/>
      <c r="G91" s="174" t="n"/>
      <c r="H91" s="175" t="n">
        <v>4801020640</v>
      </c>
      <c r="I91" s="176" t="inlineStr">
        <is>
          <t>Модулятор EBS, с PEM, без фит.</t>
        </is>
      </c>
      <c r="J91" s="911" t="n"/>
      <c r="K91" s="913" t="n"/>
      <c r="L91" s="178" t="n">
        <v>0</v>
      </c>
      <c r="M91" s="130">
        <f>$E91*0</f>
        <v/>
      </c>
      <c r="N91" s="179" t="n">
        <v>0</v>
      </c>
      <c r="O91" s="130" t="n"/>
      <c r="P91" s="178" t="n">
        <v>0</v>
      </c>
      <c r="Q91" s="130">
        <f>$E91*0</f>
        <v/>
      </c>
      <c r="R91" s="179">
        <f>$E91*0</f>
        <v/>
      </c>
      <c r="S91" s="130" t="n"/>
      <c r="T91" s="178" t="n">
        <v>0</v>
      </c>
      <c r="U91" s="130">
        <f>$E91*0</f>
        <v/>
      </c>
      <c r="V91" s="179">
        <f>$E91*0</f>
        <v/>
      </c>
      <c r="W91" s="130" t="n"/>
      <c r="X91" s="178" t="n">
        <v>0</v>
      </c>
      <c r="Y91" s="130">
        <f>$E91*0</f>
        <v/>
      </c>
      <c r="Z91" s="179">
        <f>$E91*0</f>
        <v/>
      </c>
      <c r="AA91" s="130" t="n"/>
      <c r="AB91" s="178" t="n">
        <v>0</v>
      </c>
      <c r="AC91" s="130">
        <f>$E91*0</f>
        <v/>
      </c>
      <c r="AD91" s="109" t="n"/>
      <c r="AE91" s="252" t="n"/>
      <c r="AF91" s="178" t="n">
        <v>0</v>
      </c>
      <c r="AG91" s="130">
        <f>$E91*0</f>
        <v/>
      </c>
      <c r="AH91" s="109" t="n"/>
      <c r="AI91" s="252" t="n"/>
      <c r="AJ91" s="178" t="n">
        <v>0</v>
      </c>
      <c r="AK91" s="130">
        <f>$E91*0</f>
        <v/>
      </c>
      <c r="AL91" s="109" t="n"/>
      <c r="AM91" s="252" t="n"/>
      <c r="AN91" s="178" t="n">
        <v>0</v>
      </c>
      <c r="AO91" s="130">
        <f>$E91*10</f>
        <v/>
      </c>
      <c r="AP91" s="109" t="n"/>
      <c r="AQ91" s="252" t="n"/>
      <c r="AR91" s="178" t="n">
        <v>0</v>
      </c>
      <c r="AS91" s="130">
        <f>$E91*0</f>
        <v/>
      </c>
      <c r="AT91" s="109" t="n"/>
      <c r="AU91" s="252" t="n"/>
      <c r="AV91" s="178" t="n">
        <v>0</v>
      </c>
      <c r="AW91" s="130">
        <f>$E91*0</f>
        <v/>
      </c>
      <c r="AX91" s="109" t="n"/>
      <c r="AY91" s="252" t="n"/>
      <c r="AZ91" s="178" t="n">
        <v>0</v>
      </c>
      <c r="BA91" s="130" t="n"/>
      <c r="BB91" s="193" t="n"/>
      <c r="BC91" s="252" t="n"/>
      <c r="BD91" s="178" t="n">
        <v>0</v>
      </c>
      <c r="BE91" s="130" t="n"/>
      <c r="BF91" s="109" t="n"/>
      <c r="BG91" s="252" t="n"/>
      <c r="BH91" s="180">
        <f>SUMPRODUCT(--(MOD(COLUMN($L91:$BG91),4)=MOD(COLUMN($L91),4)),$L91:$BG91)</f>
        <v/>
      </c>
      <c r="BI91" s="181">
        <f>Автовик_разбивка[[#This Row],[Цена, 
юань, без НДС 1]]*BH91</f>
        <v/>
      </c>
      <c r="BJ91" s="130">
        <f>SUMPRODUCT(--(MOD(COLUMN($L91:$BG91),4)=MOD(COLUMN($L91)+1,4)),$L91:$BG91)</f>
        <v/>
      </c>
      <c r="BK91" s="187">
        <f>Автовик_разбивка[[#This Row],[Цена, 
юань, без НДС 1]]*BJ91</f>
        <v/>
      </c>
      <c r="BL91" s="109">
        <f>SUMPRODUCT(--(MOD(COLUMN($L91:$BG91),4)=MOD(COLUMN($L91)+2,4)),$L91:$BG91)</f>
        <v/>
      </c>
      <c r="BM91" s="224">
        <f>Автовик_разбивка[[#This Row],[Цена, 
юань, без НДС 1]]*BL91</f>
        <v/>
      </c>
      <c r="BN91" s="178" t="n"/>
      <c r="BO91" s="184" t="n"/>
      <c r="BP91" s="130">
        <f>$E91*0</f>
        <v/>
      </c>
      <c r="BQ91" s="179" t="n"/>
      <c r="BR91" s="130" t="n"/>
      <c r="BS91" s="178" t="n"/>
      <c r="BT91" s="184" t="n"/>
      <c r="BU91" s="130">
        <f>$E91*0</f>
        <v/>
      </c>
      <c r="BV91" s="179" t="n"/>
      <c r="BW91" s="130" t="n"/>
      <c r="BX91" s="178" t="n"/>
      <c r="BY91" s="184" t="n"/>
      <c r="BZ91" s="130">
        <f>$E91*0</f>
        <v/>
      </c>
      <c r="CA91" s="179" t="n"/>
      <c r="CB91" s="130" t="n"/>
      <c r="CC91" s="178" t="n"/>
      <c r="CD91" s="184" t="n"/>
      <c r="CE91" s="130">
        <f>$E91*0</f>
        <v/>
      </c>
      <c r="CF91" s="179" t="n"/>
      <c r="CG91" s="130" t="n"/>
      <c r="CH91" s="178" t="n"/>
      <c r="CI91" s="184" t="n"/>
      <c r="CJ91" s="130">
        <f>$E91*0</f>
        <v/>
      </c>
      <c r="CK91" s="109" t="n"/>
      <c r="CL91" s="252" t="n"/>
      <c r="CM91" s="178" t="n"/>
      <c r="CN91" s="184" t="n"/>
      <c r="CO91" s="130">
        <f>$E91*0</f>
        <v/>
      </c>
      <c r="CP91" s="109" t="n"/>
      <c r="CQ91" s="252" t="n"/>
      <c r="CR91" s="178" t="n"/>
      <c r="CS91" s="184" t="n"/>
      <c r="CT91" s="130">
        <f>$E91*0</f>
        <v/>
      </c>
      <c r="CU91" s="109" t="n"/>
      <c r="CV91" s="252" t="n"/>
      <c r="CW91" s="178" t="n"/>
      <c r="CX91" s="184" t="n"/>
      <c r="CY91" s="130">
        <f>$E91*0</f>
        <v/>
      </c>
      <c r="CZ91" s="109" t="n"/>
      <c r="DA91" s="252" t="n"/>
      <c r="DB91" s="178" t="n"/>
      <c r="DC91" s="184" t="n"/>
      <c r="DD91" s="130">
        <f>$E91*0</f>
        <v/>
      </c>
      <c r="DE91" s="109" t="n"/>
      <c r="DF91" s="252" t="n"/>
      <c r="DG91" s="178" t="n"/>
      <c r="DH91" s="184" t="n"/>
      <c r="DI91" s="130">
        <f>$E91*0</f>
        <v/>
      </c>
      <c r="DJ91" s="109" t="n"/>
      <c r="DK91" s="252" t="n"/>
      <c r="DL91" s="178" t="n"/>
      <c r="DM91" s="184" t="n"/>
      <c r="DN91" s="130">
        <f>$E91*0</f>
        <v/>
      </c>
      <c r="DO91" s="193" t="n"/>
      <c r="DP91" s="252" t="n"/>
      <c r="DQ91" s="178" t="n"/>
      <c r="DR91" s="184" t="n"/>
      <c r="DS91" s="130">
        <f>$E91*0</f>
        <v/>
      </c>
      <c r="DT91" s="109" t="n"/>
      <c r="DU91" s="252" t="n"/>
      <c r="DV91" s="180">
        <f>SUMPRODUCT(--(MOD(COLUMN($BN91:$DU91),5)=MOD(COLUMN($BN91),5)),$BN91:$DU91)</f>
        <v/>
      </c>
      <c r="DW91" s="181">
        <f>Автовик_разбивка[[#This Row],[Цена, 
юань, без НДС 1]]*DV91</f>
        <v/>
      </c>
      <c r="DX91" s="186">
        <f>SUMPRODUCT(--(MOD(COLUMN($BN91:$DU91),5)=MOD(COLUMN($BN91)+1,5)),$BN91:$DU91)</f>
        <v/>
      </c>
      <c r="DY91" s="186">
        <f>Автовик_разбивка[[#This Row],[Цена, 
юань, без НДС 1]]*DX91</f>
        <v/>
      </c>
      <c r="DZ91" s="130">
        <f>SUMPRODUCT(--(MOD(COLUMN($BN91:$DU91),5)=MOD(COLUMN($BN91)+2,5)),$BN91:$DU91)</f>
        <v/>
      </c>
      <c r="EA91" s="187">
        <f>Автовик_разбивка[[#This Row],[Цена, 
юань, без НДС 1]]*DZ91</f>
        <v/>
      </c>
      <c r="EB91" s="109">
        <f>SUMPRODUCT(--(MOD(COLUMN($BN91:$DU91),5)=MOD(COLUMN($BN91)+3,5)),$BN91:$DU91)</f>
        <v/>
      </c>
      <c r="EC91" s="224">
        <f>Автовик_разбивка[[#This Row],[Цена, 
юань, без НДС 1]]*EB91</f>
        <v/>
      </c>
    </row>
    <row r="92">
      <c r="A92" s="256" t="n">
        <v>22</v>
      </c>
      <c r="B92" s="172" t="inlineStr">
        <is>
          <t>НовосибАРЗ</t>
        </is>
      </c>
      <c r="C92" s="173" t="inlineStr">
        <is>
          <t>TEBS</t>
        </is>
      </c>
      <c r="D92" s="173" t="inlineStr">
        <is>
          <t>TEBS 2s/2m 
15м</t>
        </is>
      </c>
      <c r="E92" s="174" t="n">
        <v>1</v>
      </c>
      <c r="F92" s="174" t="n"/>
      <c r="G92" s="174" t="n"/>
      <c r="H92" s="175" t="n">
        <v>9522010010</v>
      </c>
      <c r="I92" s="176" t="inlineStr">
        <is>
          <t>Головка соединительная (управляющая)</t>
        </is>
      </c>
      <c r="J92" s="911" t="n"/>
      <c r="K92" s="913" t="n"/>
      <c r="L92" s="178" t="n">
        <v>0</v>
      </c>
      <c r="M92" s="130">
        <f>$E92*0</f>
        <v/>
      </c>
      <c r="N92" s="179" t="n">
        <v>0</v>
      </c>
      <c r="O92" s="130" t="n"/>
      <c r="P92" s="178" t="n">
        <v>0</v>
      </c>
      <c r="Q92" s="130">
        <f>$E92*0</f>
        <v/>
      </c>
      <c r="R92" s="179">
        <f>$E92*0</f>
        <v/>
      </c>
      <c r="S92" s="130" t="n"/>
      <c r="T92" s="178" t="n">
        <v>0</v>
      </c>
      <c r="U92" s="130">
        <f>$E92*0</f>
        <v/>
      </c>
      <c r="V92" s="179">
        <f>$E92*0</f>
        <v/>
      </c>
      <c r="W92" s="130" t="n"/>
      <c r="X92" s="178" t="n">
        <v>0</v>
      </c>
      <c r="Y92" s="130">
        <f>$E92*0</f>
        <v/>
      </c>
      <c r="Z92" s="179">
        <f>$E92*0</f>
        <v/>
      </c>
      <c r="AA92" s="130" t="n"/>
      <c r="AB92" s="178" t="n">
        <v>0</v>
      </c>
      <c r="AC92" s="130">
        <f>$E92*0</f>
        <v/>
      </c>
      <c r="AD92" s="179" t="n"/>
      <c r="AE92" s="130" t="n"/>
      <c r="AF92" s="178" t="n">
        <v>0</v>
      </c>
      <c r="AG92" s="130">
        <f>$E92*0</f>
        <v/>
      </c>
      <c r="AH92" s="179" t="n"/>
      <c r="AI92" s="130" t="n"/>
      <c r="AJ92" s="178" t="n">
        <v>0</v>
      </c>
      <c r="AK92" s="130">
        <f>$E92*0</f>
        <v/>
      </c>
      <c r="AL92" s="179" t="n"/>
      <c r="AM92" s="130" t="n"/>
      <c r="AN92" s="178" t="n">
        <v>0</v>
      </c>
      <c r="AO92" s="130">
        <f>$E92*10</f>
        <v/>
      </c>
      <c r="AP92" s="179" t="n"/>
      <c r="AQ92" s="130" t="n"/>
      <c r="AR92" s="178" t="n">
        <v>0</v>
      </c>
      <c r="AS92" s="130">
        <f>$E92*0</f>
        <v/>
      </c>
      <c r="AT92" s="179" t="n"/>
      <c r="AU92" s="130" t="n"/>
      <c r="AV92" s="178" t="n">
        <v>0</v>
      </c>
      <c r="AW92" s="130">
        <f>$E92*0</f>
        <v/>
      </c>
      <c r="AX92" s="179" t="n"/>
      <c r="AY92" s="130" t="n"/>
      <c r="AZ92" s="178" t="n">
        <v>0</v>
      </c>
      <c r="BA92" s="130" t="n"/>
      <c r="BB92" s="228" t="n"/>
      <c r="BC92" s="130" t="n"/>
      <c r="BD92" s="178" t="n">
        <v>0</v>
      </c>
      <c r="BE92" s="130" t="n"/>
      <c r="BF92" s="109" t="n"/>
      <c r="BG92" s="130" t="n"/>
      <c r="BH92" s="180">
        <f>SUMPRODUCT(--(MOD(COLUMN($L92:$BG92),4)=MOD(COLUMN($L92),4)),$L92:$BG92)</f>
        <v/>
      </c>
      <c r="BI92" s="181">
        <f>Автовик_разбивка[[#This Row],[Цена, 
юань, без НДС 1]]*BH92</f>
        <v/>
      </c>
      <c r="BJ92" s="130">
        <f>SUMPRODUCT(--(MOD(COLUMN($L92:$BG92),4)=MOD(COLUMN($L92)+1,4)),$L92:$BG92)</f>
        <v/>
      </c>
      <c r="BK92" s="187">
        <f>Автовик_разбивка[[#This Row],[Цена, 
юань, без НДС 1]]*BJ92</f>
        <v/>
      </c>
      <c r="BL92" s="109">
        <f>SUMPRODUCT(--(MOD(COLUMN($L92:$BG92),4)=MOD(COLUMN($L92)+2,4)),$L92:$BG92)</f>
        <v/>
      </c>
      <c r="BM92" s="224">
        <f>Автовик_разбивка[[#This Row],[Цена, 
юань, без НДС 1]]*BL92</f>
        <v/>
      </c>
      <c r="BN92" s="178" t="n"/>
      <c r="BO92" s="184" t="n"/>
      <c r="BP92" s="130">
        <f>$E92*0</f>
        <v/>
      </c>
      <c r="BQ92" s="179" t="n"/>
      <c r="BR92" s="130" t="n"/>
      <c r="BS92" s="178" t="n"/>
      <c r="BT92" s="184" t="n"/>
      <c r="BU92" s="130">
        <f>$E92*0</f>
        <v/>
      </c>
      <c r="BV92" s="179" t="n"/>
      <c r="BW92" s="130" t="n"/>
      <c r="BX92" s="178" t="n"/>
      <c r="BY92" s="184" t="n"/>
      <c r="BZ92" s="130">
        <f>$E92*0</f>
        <v/>
      </c>
      <c r="CA92" s="179" t="n"/>
      <c r="CB92" s="130" t="n"/>
      <c r="CC92" s="178" t="n"/>
      <c r="CD92" s="184" t="n"/>
      <c r="CE92" s="130">
        <f>$E92*0</f>
        <v/>
      </c>
      <c r="CF92" s="179" t="n"/>
      <c r="CG92" s="130" t="n"/>
      <c r="CH92" s="178" t="n"/>
      <c r="CI92" s="184" t="n"/>
      <c r="CJ92" s="130">
        <f>$E92*0</f>
        <v/>
      </c>
      <c r="CK92" s="179" t="n"/>
      <c r="CL92" s="130" t="n"/>
      <c r="CM92" s="178" t="n"/>
      <c r="CN92" s="184" t="n"/>
      <c r="CO92" s="130">
        <f>$E92*0</f>
        <v/>
      </c>
      <c r="CP92" s="179" t="n"/>
      <c r="CQ92" s="130" t="n"/>
      <c r="CR92" s="178" t="n"/>
      <c r="CS92" s="184" t="n"/>
      <c r="CT92" s="130">
        <f>$E92*0</f>
        <v/>
      </c>
      <c r="CU92" s="179" t="n"/>
      <c r="CV92" s="130" t="n"/>
      <c r="CW92" s="178" t="n"/>
      <c r="CX92" s="184" t="n"/>
      <c r="CY92" s="130">
        <f>$E92*0</f>
        <v/>
      </c>
      <c r="CZ92" s="179" t="n"/>
      <c r="DA92" s="130" t="n"/>
      <c r="DB92" s="178" t="n"/>
      <c r="DC92" s="184" t="n"/>
      <c r="DD92" s="130">
        <f>$E92*0</f>
        <v/>
      </c>
      <c r="DE92" s="179" t="n"/>
      <c r="DF92" s="130" t="n"/>
      <c r="DG92" s="178" t="n"/>
      <c r="DH92" s="184" t="n"/>
      <c r="DI92" s="130">
        <f>$E92*0</f>
        <v/>
      </c>
      <c r="DJ92" s="179" t="n"/>
      <c r="DK92" s="130" t="n"/>
      <c r="DL92" s="178" t="n"/>
      <c r="DM92" s="184" t="n"/>
      <c r="DN92" s="130">
        <f>$E92*0</f>
        <v/>
      </c>
      <c r="DO92" s="228" t="n"/>
      <c r="DP92" s="130" t="n"/>
      <c r="DQ92" s="178" t="n"/>
      <c r="DR92" s="184" t="n"/>
      <c r="DS92" s="130">
        <f>$E92*0</f>
        <v/>
      </c>
      <c r="DT92" s="109" t="n"/>
      <c r="DU92" s="130" t="n"/>
      <c r="DV92" s="180">
        <f>SUMPRODUCT(--(MOD(COLUMN($BN92:$DU92),5)=MOD(COLUMN($BN92),5)),$BN92:$DU92)</f>
        <v/>
      </c>
      <c r="DW92" s="181">
        <f>Автовик_разбивка[[#This Row],[Цена, 
юань, без НДС 1]]*DV92</f>
        <v/>
      </c>
      <c r="DX92" s="186">
        <f>SUMPRODUCT(--(MOD(COLUMN($BN92:$DU92),5)=MOD(COLUMN($BN92)+1,5)),$BN92:$DU92)</f>
        <v/>
      </c>
      <c r="DY92" s="186">
        <f>Автовик_разбивка[[#This Row],[Цена, 
юань, без НДС 1]]*DX92</f>
        <v/>
      </c>
      <c r="DZ92" s="130">
        <f>SUMPRODUCT(--(MOD(COLUMN($BN92:$DU92),5)=MOD(COLUMN($BN92)+2,5)),$BN92:$DU92)</f>
        <v/>
      </c>
      <c r="EA92" s="187">
        <f>Автовик_разбивка[[#This Row],[Цена, 
юань, без НДС 1]]*DZ92</f>
        <v/>
      </c>
      <c r="EB92" s="109">
        <f>SUMPRODUCT(--(MOD(COLUMN($BN92:$DU92),5)=MOD(COLUMN($BN92)+3,5)),$BN92:$DU92)</f>
        <v/>
      </c>
      <c r="EC92" s="224">
        <f>Автовик_разбивка[[#This Row],[Цена, 
юань, без НДС 1]]*EB92</f>
        <v/>
      </c>
    </row>
    <row r="93">
      <c r="A93" s="256" t="n">
        <v>22</v>
      </c>
      <c r="B93" s="172" t="inlineStr">
        <is>
          <t>НовосибАРЗ</t>
        </is>
      </c>
      <c r="C93" s="173" t="inlineStr">
        <is>
          <t>TEBS</t>
        </is>
      </c>
      <c r="D93" s="173" t="inlineStr">
        <is>
          <t>TEBS 2s/2m 
15м</t>
        </is>
      </c>
      <c r="E93" s="174" t="n">
        <v>1</v>
      </c>
      <c r="F93" s="174" t="n"/>
      <c r="G93" s="174" t="n"/>
      <c r="H93" s="175" t="n">
        <v>9522010020</v>
      </c>
      <c r="I93" s="176" t="inlineStr">
        <is>
          <t>Головка соединительная (питающая)</t>
        </is>
      </c>
      <c r="J93" s="911" t="n"/>
      <c r="K93" s="913" t="n"/>
      <c r="L93" s="178" t="n">
        <v>0</v>
      </c>
      <c r="M93" s="130">
        <f>$E93*0</f>
        <v/>
      </c>
      <c r="N93" s="179" t="n">
        <v>0</v>
      </c>
      <c r="O93" s="130" t="n"/>
      <c r="P93" s="178" t="n">
        <v>0</v>
      </c>
      <c r="Q93" s="130">
        <f>$E93*0</f>
        <v/>
      </c>
      <c r="R93" s="179">
        <f>$E93*0</f>
        <v/>
      </c>
      <c r="S93" s="130" t="n"/>
      <c r="T93" s="178" t="n">
        <v>0</v>
      </c>
      <c r="U93" s="130">
        <f>$E93*0</f>
        <v/>
      </c>
      <c r="V93" s="179">
        <f>$E93*0</f>
        <v/>
      </c>
      <c r="W93" s="130" t="n"/>
      <c r="X93" s="178" t="n">
        <v>0</v>
      </c>
      <c r="Y93" s="130">
        <f>$E93*0</f>
        <v/>
      </c>
      <c r="Z93" s="179">
        <f>$E93*0</f>
        <v/>
      </c>
      <c r="AA93" s="130" t="n"/>
      <c r="AB93" s="178" t="n">
        <v>0</v>
      </c>
      <c r="AC93" s="130">
        <f>$E93*0</f>
        <v/>
      </c>
      <c r="AD93" s="179" t="n"/>
      <c r="AE93" s="130" t="n"/>
      <c r="AF93" s="178" t="n">
        <v>0</v>
      </c>
      <c r="AG93" s="130">
        <f>$E93*0</f>
        <v/>
      </c>
      <c r="AH93" s="179" t="n"/>
      <c r="AI93" s="130" t="n"/>
      <c r="AJ93" s="178" t="n">
        <v>0</v>
      </c>
      <c r="AK93" s="130">
        <f>$E93*0</f>
        <v/>
      </c>
      <c r="AL93" s="179" t="n"/>
      <c r="AM93" s="130" t="n"/>
      <c r="AN93" s="178" t="n">
        <v>0</v>
      </c>
      <c r="AO93" s="130">
        <f>$E93*10</f>
        <v/>
      </c>
      <c r="AP93" s="179" t="n"/>
      <c r="AQ93" s="130" t="n"/>
      <c r="AR93" s="178" t="n">
        <v>0</v>
      </c>
      <c r="AS93" s="130">
        <f>$E93*0</f>
        <v/>
      </c>
      <c r="AT93" s="179" t="n"/>
      <c r="AU93" s="130" t="n"/>
      <c r="AV93" s="178" t="n">
        <v>0</v>
      </c>
      <c r="AW93" s="130">
        <f>$E93*0</f>
        <v/>
      </c>
      <c r="AX93" s="179" t="n"/>
      <c r="AY93" s="130" t="n"/>
      <c r="AZ93" s="178" t="n">
        <v>0</v>
      </c>
      <c r="BA93" s="130" t="n"/>
      <c r="BB93" s="228" t="n"/>
      <c r="BC93" s="130" t="n"/>
      <c r="BD93" s="178" t="n">
        <v>0</v>
      </c>
      <c r="BE93" s="130" t="n"/>
      <c r="BF93" s="109" t="n"/>
      <c r="BG93" s="130" t="n"/>
      <c r="BH93" s="180">
        <f>SUMPRODUCT(--(MOD(COLUMN($L93:$BG93),4)=MOD(COLUMN($L93),4)),$L93:$BG93)</f>
        <v/>
      </c>
      <c r="BI93" s="181">
        <f>Автовик_разбивка[[#This Row],[Цена, 
юань, без НДС 1]]*BH93</f>
        <v/>
      </c>
      <c r="BJ93" s="130">
        <f>SUMPRODUCT(--(MOD(COLUMN($L93:$BG93),4)=MOD(COLUMN($L93)+1,4)),$L93:$BG93)</f>
        <v/>
      </c>
      <c r="BK93" s="187">
        <f>Автовик_разбивка[[#This Row],[Цена, 
юань, без НДС 1]]*BJ93</f>
        <v/>
      </c>
      <c r="BL93" s="109">
        <f>SUMPRODUCT(--(MOD(COLUMN($L93:$BG93),4)=MOD(COLUMN($L93)+2,4)),$L93:$BG93)</f>
        <v/>
      </c>
      <c r="BM93" s="224">
        <f>Автовик_разбивка[[#This Row],[Цена, 
юань, без НДС 1]]*BL93</f>
        <v/>
      </c>
      <c r="BN93" s="178" t="n"/>
      <c r="BO93" s="184" t="n"/>
      <c r="BP93" s="130">
        <f>$E93*0</f>
        <v/>
      </c>
      <c r="BQ93" s="179" t="n"/>
      <c r="BR93" s="130" t="n"/>
      <c r="BS93" s="178" t="n"/>
      <c r="BT93" s="184" t="n"/>
      <c r="BU93" s="130">
        <f>$E93*0</f>
        <v/>
      </c>
      <c r="BV93" s="179" t="n"/>
      <c r="BW93" s="130" t="n"/>
      <c r="BX93" s="178" t="n"/>
      <c r="BY93" s="184" t="n"/>
      <c r="BZ93" s="130">
        <f>$E93*0</f>
        <v/>
      </c>
      <c r="CA93" s="179" t="n"/>
      <c r="CB93" s="130" t="n"/>
      <c r="CC93" s="178" t="n"/>
      <c r="CD93" s="184" t="n"/>
      <c r="CE93" s="130">
        <f>$E93*0</f>
        <v/>
      </c>
      <c r="CF93" s="179" t="n"/>
      <c r="CG93" s="130" t="n"/>
      <c r="CH93" s="178" t="n"/>
      <c r="CI93" s="184" t="n"/>
      <c r="CJ93" s="130">
        <f>$E93*0</f>
        <v/>
      </c>
      <c r="CK93" s="179" t="n"/>
      <c r="CL93" s="130" t="n"/>
      <c r="CM93" s="178" t="n"/>
      <c r="CN93" s="184" t="n"/>
      <c r="CO93" s="130">
        <f>$E93*0</f>
        <v/>
      </c>
      <c r="CP93" s="179" t="n"/>
      <c r="CQ93" s="130" t="n"/>
      <c r="CR93" s="178" t="n"/>
      <c r="CS93" s="184" t="n"/>
      <c r="CT93" s="130">
        <f>$E93*0</f>
        <v/>
      </c>
      <c r="CU93" s="179" t="n"/>
      <c r="CV93" s="130" t="n"/>
      <c r="CW93" s="178" t="n"/>
      <c r="CX93" s="184" t="n"/>
      <c r="CY93" s="130">
        <f>$E93*0</f>
        <v/>
      </c>
      <c r="CZ93" s="179" t="n"/>
      <c r="DA93" s="130" t="n"/>
      <c r="DB93" s="178" t="n"/>
      <c r="DC93" s="184" t="n"/>
      <c r="DD93" s="130">
        <f>$E93*0</f>
        <v/>
      </c>
      <c r="DE93" s="179" t="n"/>
      <c r="DF93" s="130" t="n"/>
      <c r="DG93" s="178" t="n"/>
      <c r="DH93" s="184" t="n"/>
      <c r="DI93" s="130">
        <f>$E93*0</f>
        <v/>
      </c>
      <c r="DJ93" s="179" t="n"/>
      <c r="DK93" s="130" t="n"/>
      <c r="DL93" s="178" t="n"/>
      <c r="DM93" s="184" t="n"/>
      <c r="DN93" s="130">
        <f>$E93*0</f>
        <v/>
      </c>
      <c r="DO93" s="228" t="n"/>
      <c r="DP93" s="130" t="n"/>
      <c r="DQ93" s="178" t="n"/>
      <c r="DR93" s="184" t="n"/>
      <c r="DS93" s="130">
        <f>$E93*0</f>
        <v/>
      </c>
      <c r="DT93" s="109" t="n"/>
      <c r="DU93" s="130" t="n"/>
      <c r="DV93" s="180">
        <f>SUMPRODUCT(--(MOD(COLUMN($BN93:$DU93),5)=MOD(COLUMN($BN93),5)),$BN93:$DU93)</f>
        <v/>
      </c>
      <c r="DW93" s="181">
        <f>Автовик_разбивка[[#This Row],[Цена, 
юань, без НДС 1]]*DV93</f>
        <v/>
      </c>
      <c r="DX93" s="186">
        <f>SUMPRODUCT(--(MOD(COLUMN($BN93:$DU93),5)=MOD(COLUMN($BN93)+1,5)),$BN93:$DU93)</f>
        <v/>
      </c>
      <c r="DY93" s="186">
        <f>Автовик_разбивка[[#This Row],[Цена, 
юань, без НДС 1]]*DX93</f>
        <v/>
      </c>
      <c r="DZ93" s="130">
        <f>SUMPRODUCT(--(MOD(COLUMN($BN93:$DU93),5)=MOD(COLUMN($BN93)+2,5)),$BN93:$DU93)</f>
        <v/>
      </c>
      <c r="EA93" s="187">
        <f>Автовик_разбивка[[#This Row],[Цена, 
юань, без НДС 1]]*DZ93</f>
        <v/>
      </c>
      <c r="EB93" s="109">
        <f>SUMPRODUCT(--(MOD(COLUMN($BN93:$DU93),5)=MOD(COLUMN($BN93)+3,5)),$BN93:$DU93)</f>
        <v/>
      </c>
      <c r="EC93" s="224">
        <f>Автовик_разбивка[[#This Row],[Цена, 
юань, без НДС 1]]*EB93</f>
        <v/>
      </c>
    </row>
    <row r="94">
      <c r="A94" s="256" t="n">
        <v>22</v>
      </c>
      <c r="B94" s="172" t="inlineStr">
        <is>
          <t>НовосибАРЗ</t>
        </is>
      </c>
      <c r="C94" s="173" t="inlineStr">
        <is>
          <t>TEBS</t>
        </is>
      </c>
      <c r="D94" s="173" t="inlineStr">
        <is>
          <t>TEBS 2s/2m 
15м</t>
        </is>
      </c>
      <c r="E94" s="174" t="n">
        <v>1</v>
      </c>
      <c r="F94" s="174" t="n"/>
      <c r="G94" s="174" t="n"/>
      <c r="H94" s="175" t="n">
        <v>9710029000</v>
      </c>
      <c r="I94" s="176" t="inlineStr">
        <is>
          <t>Воздухораспределитель с клапаном растормаживания</t>
        </is>
      </c>
      <c r="J94" s="911" t="n"/>
      <c r="K94" s="913" t="n"/>
      <c r="L94" s="178" t="n">
        <v>0</v>
      </c>
      <c r="M94" s="130">
        <f>$E94*0</f>
        <v/>
      </c>
      <c r="N94" s="179" t="n">
        <v>0</v>
      </c>
      <c r="O94" s="130" t="n"/>
      <c r="P94" s="178" t="n">
        <v>0</v>
      </c>
      <c r="Q94" s="130">
        <f>$E94*0</f>
        <v/>
      </c>
      <c r="R94" s="179">
        <f>$E94*0</f>
        <v/>
      </c>
      <c r="S94" s="130" t="n"/>
      <c r="T94" s="178" t="n">
        <v>0</v>
      </c>
      <c r="U94" s="130">
        <f>$E94*0</f>
        <v/>
      </c>
      <c r="V94" s="179">
        <f>$E94*0</f>
        <v/>
      </c>
      <c r="W94" s="130" t="n"/>
      <c r="X94" s="178" t="n">
        <v>0</v>
      </c>
      <c r="Y94" s="130">
        <f>$E94*0</f>
        <v/>
      </c>
      <c r="Z94" s="179">
        <f>$E94*0</f>
        <v/>
      </c>
      <c r="AA94" s="130" t="n"/>
      <c r="AB94" s="178" t="n">
        <v>0</v>
      </c>
      <c r="AC94" s="130">
        <f>$E94*0</f>
        <v/>
      </c>
      <c r="AD94" s="109" t="n"/>
      <c r="AE94" s="252" t="n"/>
      <c r="AF94" s="178" t="n">
        <v>0</v>
      </c>
      <c r="AG94" s="130">
        <f>$E94*0</f>
        <v/>
      </c>
      <c r="AH94" s="109" t="n"/>
      <c r="AI94" s="252" t="n"/>
      <c r="AJ94" s="178" t="n">
        <v>0</v>
      </c>
      <c r="AK94" s="130">
        <f>$E94*0</f>
        <v/>
      </c>
      <c r="AL94" s="109" t="n"/>
      <c r="AM94" s="252" t="n"/>
      <c r="AN94" s="178" t="n">
        <v>0</v>
      </c>
      <c r="AO94" s="130">
        <f>$E94*10</f>
        <v/>
      </c>
      <c r="AP94" s="109" t="n"/>
      <c r="AQ94" s="252" t="n"/>
      <c r="AR94" s="178" t="n">
        <v>0</v>
      </c>
      <c r="AS94" s="130">
        <f>$E94*0</f>
        <v/>
      </c>
      <c r="AT94" s="109" t="n"/>
      <c r="AU94" s="252" t="n"/>
      <c r="AV94" s="178" t="n">
        <v>0</v>
      </c>
      <c r="AW94" s="130">
        <f>$E94*0</f>
        <v/>
      </c>
      <c r="AX94" s="109" t="n"/>
      <c r="AY94" s="252" t="n"/>
      <c r="AZ94" s="178" t="n">
        <v>0</v>
      </c>
      <c r="BA94" s="130" t="n"/>
      <c r="BB94" s="194" t="n"/>
      <c r="BC94" s="252" t="n"/>
      <c r="BD94" s="178" t="n">
        <v>0</v>
      </c>
      <c r="BE94" s="130" t="n"/>
      <c r="BF94" s="109" t="n"/>
      <c r="BG94" s="252" t="n"/>
      <c r="BH94" s="180">
        <f>SUMPRODUCT(--(MOD(COLUMN($L94:$BG94),4)=MOD(COLUMN($L94),4)),$L94:$BG94)</f>
        <v/>
      </c>
      <c r="BI94" s="181">
        <f>Автовик_разбивка[[#This Row],[Цена, 
юань, без НДС 1]]*BH94</f>
        <v/>
      </c>
      <c r="BJ94" s="130">
        <f>SUMPRODUCT(--(MOD(COLUMN($L94:$BG94),4)=MOD(COLUMN($L94)+1,4)),$L94:$BG94)</f>
        <v/>
      </c>
      <c r="BK94" s="187">
        <f>Автовик_разбивка[[#This Row],[Цена, 
юань, без НДС 1]]*BJ94</f>
        <v/>
      </c>
      <c r="BL94" s="109">
        <f>SUMPRODUCT(--(MOD(COLUMN($L94:$BG94),4)=MOD(COLUMN($L94)+2,4)),$L94:$BG94)</f>
        <v/>
      </c>
      <c r="BM94" s="224">
        <f>Автовик_разбивка[[#This Row],[Цена, 
юань, без НДС 1]]*BL94</f>
        <v/>
      </c>
      <c r="BN94" s="178" t="n"/>
      <c r="BO94" s="184" t="n"/>
      <c r="BP94" s="130">
        <f>$E94*0</f>
        <v/>
      </c>
      <c r="BQ94" s="179" t="n"/>
      <c r="BR94" s="130" t="n"/>
      <c r="BS94" s="178" t="n"/>
      <c r="BT94" s="184" t="n"/>
      <c r="BU94" s="130">
        <f>$E94*0</f>
        <v/>
      </c>
      <c r="BV94" s="179" t="n"/>
      <c r="BW94" s="130" t="n"/>
      <c r="BX94" s="178" t="n"/>
      <c r="BY94" s="184" t="n"/>
      <c r="BZ94" s="130">
        <f>$E94*0</f>
        <v/>
      </c>
      <c r="CA94" s="179" t="n"/>
      <c r="CB94" s="130" t="n"/>
      <c r="CC94" s="178" t="n"/>
      <c r="CD94" s="184" t="n"/>
      <c r="CE94" s="130">
        <f>$E94*0</f>
        <v/>
      </c>
      <c r="CF94" s="179" t="n"/>
      <c r="CG94" s="130" t="n"/>
      <c r="CH94" s="178" t="n"/>
      <c r="CI94" s="184" t="n"/>
      <c r="CJ94" s="130">
        <f>$E94*0</f>
        <v/>
      </c>
      <c r="CK94" s="109" t="n"/>
      <c r="CL94" s="252" t="n"/>
      <c r="CM94" s="178" t="n"/>
      <c r="CN94" s="184" t="n"/>
      <c r="CO94" s="130">
        <f>$E94*0</f>
        <v/>
      </c>
      <c r="CP94" s="109" t="n"/>
      <c r="CQ94" s="252" t="n"/>
      <c r="CR94" s="178" t="n"/>
      <c r="CS94" s="184" t="n"/>
      <c r="CT94" s="130">
        <f>$E94*0</f>
        <v/>
      </c>
      <c r="CU94" s="109" t="n"/>
      <c r="CV94" s="252" t="n"/>
      <c r="CW94" s="178" t="n"/>
      <c r="CX94" s="184" t="n"/>
      <c r="CY94" s="130">
        <f>$E94*0</f>
        <v/>
      </c>
      <c r="CZ94" s="109" t="n"/>
      <c r="DA94" s="252" t="n"/>
      <c r="DB94" s="178" t="n"/>
      <c r="DC94" s="184" t="n"/>
      <c r="DD94" s="130">
        <f>$E94*0</f>
        <v/>
      </c>
      <c r="DE94" s="109" t="n"/>
      <c r="DF94" s="252" t="n"/>
      <c r="DG94" s="178" t="n"/>
      <c r="DH94" s="184" t="n"/>
      <c r="DI94" s="130">
        <f>$E94*0</f>
        <v/>
      </c>
      <c r="DJ94" s="109" t="n"/>
      <c r="DK94" s="252" t="n"/>
      <c r="DL94" s="178" t="n"/>
      <c r="DM94" s="184" t="n"/>
      <c r="DN94" s="130">
        <f>$E94*0</f>
        <v/>
      </c>
      <c r="DO94" s="194" t="n"/>
      <c r="DP94" s="252" t="n"/>
      <c r="DQ94" s="178" t="n"/>
      <c r="DR94" s="184" t="n"/>
      <c r="DS94" s="130">
        <f>$E94*0</f>
        <v/>
      </c>
      <c r="DT94" s="109" t="n"/>
      <c r="DU94" s="252" t="n"/>
      <c r="DV94" s="180">
        <f>SUMPRODUCT(--(MOD(COLUMN($BN94:$DU94),5)=MOD(COLUMN($BN94),5)),$BN94:$DU94)</f>
        <v/>
      </c>
      <c r="DW94" s="181">
        <f>Автовик_разбивка[[#This Row],[Цена, 
юань, без НДС 1]]*DV94</f>
        <v/>
      </c>
      <c r="DX94" s="186">
        <f>SUMPRODUCT(--(MOD(COLUMN($BN94:$DU94),5)=MOD(COLUMN($BN94)+1,5)),$BN94:$DU94)</f>
        <v/>
      </c>
      <c r="DY94" s="186">
        <f>Автовик_разбивка[[#This Row],[Цена, 
юань, без НДС 1]]*DX94</f>
        <v/>
      </c>
      <c r="DZ94" s="130">
        <f>SUMPRODUCT(--(MOD(COLUMN($BN94:$DU94),5)=MOD(COLUMN($BN94)+2,5)),$BN94:$DU94)</f>
        <v/>
      </c>
      <c r="EA94" s="187">
        <f>Автовик_разбивка[[#This Row],[Цена, 
юань, без НДС 1]]*DZ94</f>
        <v/>
      </c>
      <c r="EB94" s="109">
        <f>SUMPRODUCT(--(MOD(COLUMN($BN94:$DU94),5)=MOD(COLUMN($BN94)+3,5)),$BN94:$DU94)</f>
        <v/>
      </c>
      <c r="EC94" s="224">
        <f>Автовик_разбивка[[#This Row],[Цена, 
юань, без НДС 1]]*EB94</f>
        <v/>
      </c>
    </row>
    <row r="95">
      <c r="A95" s="256" t="n">
        <v>22</v>
      </c>
      <c r="B95" s="172" t="inlineStr">
        <is>
          <t>НовосибАРЗ</t>
        </is>
      </c>
      <c r="C95" s="173" t="n"/>
      <c r="D95" s="173" t="n"/>
      <c r="E95" s="174" t="n"/>
      <c r="F95" s="174" t="n"/>
      <c r="G95" s="174" t="n"/>
      <c r="H95" s="175" t="n">
        <v>4231079000</v>
      </c>
      <c r="I95" s="176" t="inlineStr">
        <is>
          <t>Камера тормозная тип 30</t>
        </is>
      </c>
      <c r="J95" s="911" t="n"/>
      <c r="K95" s="913" t="n"/>
      <c r="L95" s="178" t="n"/>
      <c r="M95" s="130" t="n"/>
      <c r="N95" s="179" t="n"/>
      <c r="O95" s="130" t="n"/>
      <c r="P95" s="178" t="n"/>
      <c r="Q95" s="130" t="n">
        <v>0</v>
      </c>
      <c r="R95" s="179" t="n">
        <v>140</v>
      </c>
      <c r="S95" s="130" t="n"/>
      <c r="T95" s="178" t="n"/>
      <c r="U95" s="130" t="n"/>
      <c r="V95" s="179" t="n"/>
      <c r="W95" s="130" t="n"/>
      <c r="X95" s="178" t="n"/>
      <c r="Y95" s="130" t="n"/>
      <c r="Z95" s="179" t="n"/>
      <c r="AA95" s="130" t="n"/>
      <c r="AB95" s="178" t="n"/>
      <c r="AC95" s="130" t="n"/>
      <c r="AD95" s="109" t="n"/>
      <c r="AE95" s="252" t="n"/>
      <c r="AF95" s="178" t="n"/>
      <c r="AG95" s="130" t="n"/>
      <c r="AH95" s="109" t="n"/>
      <c r="AI95" s="252" t="n"/>
      <c r="AJ95" s="178" t="n"/>
      <c r="AK95" s="130" t="n"/>
      <c r="AL95" s="109" t="n"/>
      <c r="AM95" s="252" t="n"/>
      <c r="AN95" s="178" t="n"/>
      <c r="AO95" s="130" t="n"/>
      <c r="AP95" s="109" t="n"/>
      <c r="AQ95" s="252" t="n"/>
      <c r="AR95" s="178" t="n"/>
      <c r="AS95" s="130" t="n"/>
      <c r="AT95" s="109" t="n"/>
      <c r="AU95" s="252" t="n"/>
      <c r="AV95" s="178" t="n"/>
      <c r="AW95" s="130" t="n"/>
      <c r="AX95" s="109" t="n"/>
      <c r="AY95" s="252" t="n"/>
      <c r="AZ95" s="178" t="n"/>
      <c r="BA95" s="130" t="n"/>
      <c r="BB95" s="194" t="n"/>
      <c r="BC95" s="252" t="n"/>
      <c r="BD95" s="178" t="n"/>
      <c r="BE95" s="130" t="n"/>
      <c r="BF95" s="109" t="n"/>
      <c r="BG95" s="252" t="n"/>
      <c r="BH95" s="180">
        <f>SUMPRODUCT(--(MOD(COLUMN($L95:$BG95),4)=MOD(COLUMN($L95),4)),$L95:$BG95)</f>
        <v/>
      </c>
      <c r="BI95" s="181">
        <f>Автовик_разбивка[[#This Row],[Цена, 
юань, без НДС 1]]*BH95</f>
        <v/>
      </c>
      <c r="BJ95" s="130">
        <f>SUMPRODUCT(--(MOD(COLUMN($L95:$BG95),4)=MOD(COLUMN($L95)+1,4)),$L95:$BG95)</f>
        <v/>
      </c>
      <c r="BK95" s="187">
        <f>Автовик_разбивка[[#This Row],[Цена, 
юань, без НДС 1]]*BJ95</f>
        <v/>
      </c>
      <c r="BL95" s="109">
        <f>SUMPRODUCT(--(MOD(COLUMN($L95:$BG95),4)=MOD(COLUMN($L95)+2,4)),$L95:$BG95)</f>
        <v/>
      </c>
      <c r="BM95" s="224">
        <f>Автовик_разбивка[[#This Row],[Цена, 
юань, без НДС 1]]*BL95</f>
        <v/>
      </c>
      <c r="BN95" s="178" t="n"/>
      <c r="BO95" s="184" t="n"/>
      <c r="BP95" s="130" t="n"/>
      <c r="BQ95" s="179" t="n"/>
      <c r="BR95" s="130" t="n"/>
      <c r="BS95" s="178" t="n"/>
      <c r="BT95" s="184" t="n"/>
      <c r="BU95" s="130" t="n"/>
      <c r="BV95" s="179" t="n"/>
      <c r="BW95" s="130" t="n"/>
      <c r="BX95" s="178" t="n"/>
      <c r="BY95" s="184" t="n"/>
      <c r="BZ95" s="130" t="n"/>
      <c r="CA95" s="179" t="n"/>
      <c r="CB95" s="130" t="n"/>
      <c r="CC95" s="178" t="n"/>
      <c r="CD95" s="184" t="n"/>
      <c r="CE95" s="130" t="n"/>
      <c r="CF95" s="179" t="n"/>
      <c r="CG95" s="130" t="n"/>
      <c r="CH95" s="178" t="n"/>
      <c r="CI95" s="184" t="n"/>
      <c r="CJ95" s="130" t="n"/>
      <c r="CK95" s="109" t="n"/>
      <c r="CL95" s="252" t="n"/>
      <c r="CM95" s="178" t="n"/>
      <c r="CN95" s="184" t="n"/>
      <c r="CO95" s="130" t="n"/>
      <c r="CP95" s="109" t="n"/>
      <c r="CQ95" s="252" t="n"/>
      <c r="CR95" s="178" t="n"/>
      <c r="CS95" s="184" t="n"/>
      <c r="CT95" s="130" t="n"/>
      <c r="CU95" s="109" t="n"/>
      <c r="CV95" s="252" t="n"/>
      <c r="CW95" s="178" t="n"/>
      <c r="CX95" s="184" t="n"/>
      <c r="CY95" s="130" t="n"/>
      <c r="CZ95" s="109" t="n"/>
      <c r="DA95" s="252" t="n"/>
      <c r="DB95" s="178" t="n"/>
      <c r="DC95" s="184" t="n"/>
      <c r="DD95" s="130" t="n"/>
      <c r="DE95" s="109" t="n"/>
      <c r="DF95" s="252" t="n"/>
      <c r="DG95" s="178" t="n"/>
      <c r="DH95" s="184" t="n"/>
      <c r="DI95" s="130" t="n"/>
      <c r="DJ95" s="109" t="n"/>
      <c r="DK95" s="252" t="n"/>
      <c r="DL95" s="178" t="n"/>
      <c r="DM95" s="184" t="n"/>
      <c r="DN95" s="130" t="n"/>
      <c r="DO95" s="194" t="n"/>
      <c r="DP95" s="252" t="n"/>
      <c r="DQ95" s="178" t="n"/>
      <c r="DR95" s="184" t="n"/>
      <c r="DS95" s="130" t="n"/>
      <c r="DT95" s="109" t="n"/>
      <c r="DU95" s="252" t="n"/>
      <c r="DV95" s="180">
        <f>SUMPRODUCT(--(MOD(COLUMN($BN95:$DU95),5)=MOD(COLUMN($BN95),5)),$BN95:$DU95)</f>
        <v/>
      </c>
      <c r="DW95" s="181">
        <f>Автовик_разбивка[[#This Row],[Цена, 
юань, без НДС 1]]*DV95</f>
        <v/>
      </c>
      <c r="DX95" s="186">
        <f>SUMPRODUCT(--(MOD(COLUMN($BN95:$DU95),5)=MOD(COLUMN($BN95)+1,5)),$BN95:$DU95)</f>
        <v/>
      </c>
      <c r="DY95" s="186">
        <f>Автовик_разбивка[[#This Row],[Цена, 
юань, без НДС 1]]*DX95</f>
        <v/>
      </c>
      <c r="DZ95" s="130">
        <f>SUMPRODUCT(--(MOD(COLUMN($BN95:$DU95),5)=MOD(COLUMN($BN95)+2,5)),$BN95:$DU95)</f>
        <v/>
      </c>
      <c r="EA95" s="187">
        <f>Автовик_разбивка[[#This Row],[Цена, 
юань, без НДС 1]]*DZ95</f>
        <v/>
      </c>
      <c r="EB95" s="109">
        <f>SUMPRODUCT(--(MOD(COLUMN($BN95:$DU95),5)=MOD(COLUMN($BN95)+3,5)),$BN95:$DU95)</f>
        <v/>
      </c>
      <c r="EC95" s="224">
        <f>Автовик_разбивка[[#This Row],[Цена, 
юань, без НДС 1]]*EB95</f>
        <v/>
      </c>
    </row>
    <row r="96">
      <c r="A96" s="256" t="n">
        <v>22</v>
      </c>
      <c r="B96" s="172" t="inlineStr">
        <is>
          <t>НовосибАРЗ</t>
        </is>
      </c>
      <c r="C96" s="173" t="n"/>
      <c r="D96" s="173" t="n"/>
      <c r="E96" s="174" t="n"/>
      <c r="F96" s="174" t="n"/>
      <c r="G96" s="174" t="n"/>
      <c r="H96" s="175" t="n">
        <v>9253771100</v>
      </c>
      <c r="I96" s="176" t="inlineStr">
        <is>
          <t>Энергоаккумулятор тип 30/30</t>
        </is>
      </c>
      <c r="J96" s="911" t="n"/>
      <c r="K96" s="913" t="n"/>
      <c r="L96" s="178" t="n"/>
      <c r="M96" s="130" t="n"/>
      <c r="N96" s="179" t="n"/>
      <c r="O96" s="130" t="n"/>
      <c r="P96" s="178" t="n"/>
      <c r="Q96" s="130" t="n">
        <v>0</v>
      </c>
      <c r="R96" s="179" t="n">
        <v>110</v>
      </c>
      <c r="S96" s="130" t="n"/>
      <c r="T96" s="178" t="n"/>
      <c r="U96" s="130" t="n"/>
      <c r="V96" s="179" t="n"/>
      <c r="W96" s="130" t="n"/>
      <c r="X96" s="178" t="n"/>
      <c r="Y96" s="130" t="n"/>
      <c r="Z96" s="179" t="n"/>
      <c r="AA96" s="130" t="n"/>
      <c r="AB96" s="178" t="n"/>
      <c r="AC96" s="130" t="n"/>
      <c r="AD96" s="109" t="n"/>
      <c r="AE96" s="252" t="n"/>
      <c r="AF96" s="178" t="n"/>
      <c r="AG96" s="130" t="n"/>
      <c r="AH96" s="109" t="n"/>
      <c r="AI96" s="252" t="n"/>
      <c r="AJ96" s="178" t="n"/>
      <c r="AK96" s="130" t="n"/>
      <c r="AL96" s="109" t="n"/>
      <c r="AM96" s="252" t="n"/>
      <c r="AN96" s="178" t="n"/>
      <c r="AO96" s="130" t="n"/>
      <c r="AP96" s="109" t="n"/>
      <c r="AQ96" s="252" t="n"/>
      <c r="AR96" s="178" t="n"/>
      <c r="AS96" s="130" t="n"/>
      <c r="AT96" s="109" t="n"/>
      <c r="AU96" s="252" t="n"/>
      <c r="AV96" s="178" t="n"/>
      <c r="AW96" s="130" t="n"/>
      <c r="AX96" s="109" t="n"/>
      <c r="AY96" s="252" t="n"/>
      <c r="AZ96" s="178" t="n"/>
      <c r="BA96" s="130" t="n"/>
      <c r="BB96" s="194" t="n"/>
      <c r="BC96" s="252" t="n"/>
      <c r="BD96" s="178" t="n"/>
      <c r="BE96" s="130" t="n"/>
      <c r="BF96" s="109" t="n"/>
      <c r="BG96" s="252" t="n"/>
      <c r="BH96" s="180">
        <f>SUMPRODUCT(--(MOD(COLUMN($L96:$BG96),4)=MOD(COLUMN($L96),4)),$L96:$BG96)</f>
        <v/>
      </c>
      <c r="BI96" s="181">
        <f>Автовик_разбивка[[#This Row],[Цена, 
юань, без НДС 1]]*BH96</f>
        <v/>
      </c>
      <c r="BJ96" s="130">
        <f>SUMPRODUCT(--(MOD(COLUMN($L96:$BG96),4)=MOD(COLUMN($L96)+1,4)),$L96:$BG96)</f>
        <v/>
      </c>
      <c r="BK96" s="187">
        <f>Автовик_разбивка[[#This Row],[Цена, 
юань, без НДС 1]]*BJ96</f>
        <v/>
      </c>
      <c r="BL96" s="109">
        <f>SUMPRODUCT(--(MOD(COLUMN($L96:$BG96),4)=MOD(COLUMN($L96)+2,4)),$L96:$BG96)</f>
        <v/>
      </c>
      <c r="BM96" s="224">
        <f>Автовик_разбивка[[#This Row],[Цена, 
юань, без НДС 1]]*BL96</f>
        <v/>
      </c>
      <c r="BN96" s="178" t="n"/>
      <c r="BO96" s="184" t="n"/>
      <c r="BP96" s="130" t="n"/>
      <c r="BQ96" s="179" t="n"/>
      <c r="BR96" s="130" t="n"/>
      <c r="BS96" s="178" t="n"/>
      <c r="BT96" s="184" t="n"/>
      <c r="BU96" s="130" t="n"/>
      <c r="BV96" s="179" t="n"/>
      <c r="BW96" s="130" t="n"/>
      <c r="BX96" s="178" t="n"/>
      <c r="BY96" s="184" t="n"/>
      <c r="BZ96" s="130" t="n"/>
      <c r="CA96" s="179" t="n"/>
      <c r="CB96" s="130" t="n"/>
      <c r="CC96" s="178" t="n"/>
      <c r="CD96" s="184" t="n"/>
      <c r="CE96" s="130" t="n"/>
      <c r="CF96" s="179" t="n"/>
      <c r="CG96" s="130" t="n"/>
      <c r="CH96" s="178" t="n"/>
      <c r="CI96" s="184" t="n"/>
      <c r="CJ96" s="130" t="n"/>
      <c r="CK96" s="109" t="n"/>
      <c r="CL96" s="252" t="n"/>
      <c r="CM96" s="178" t="n"/>
      <c r="CN96" s="184" t="n"/>
      <c r="CO96" s="130" t="n"/>
      <c r="CP96" s="109" t="n"/>
      <c r="CQ96" s="252" t="n"/>
      <c r="CR96" s="178" t="n"/>
      <c r="CS96" s="184" t="n"/>
      <c r="CT96" s="130" t="n"/>
      <c r="CU96" s="109" t="n"/>
      <c r="CV96" s="252" t="n"/>
      <c r="CW96" s="178" t="n"/>
      <c r="CX96" s="184" t="n"/>
      <c r="CY96" s="130" t="n"/>
      <c r="CZ96" s="109" t="n"/>
      <c r="DA96" s="252" t="n"/>
      <c r="DB96" s="178" t="n"/>
      <c r="DC96" s="184" t="n"/>
      <c r="DD96" s="130" t="n"/>
      <c r="DE96" s="109" t="n"/>
      <c r="DF96" s="252" t="n"/>
      <c r="DG96" s="178" t="n"/>
      <c r="DH96" s="184" t="n"/>
      <c r="DI96" s="130" t="n"/>
      <c r="DJ96" s="109" t="n"/>
      <c r="DK96" s="252" t="n"/>
      <c r="DL96" s="178" t="n"/>
      <c r="DM96" s="184" t="n"/>
      <c r="DN96" s="130" t="n"/>
      <c r="DO96" s="194" t="n"/>
      <c r="DP96" s="252" t="n"/>
      <c r="DQ96" s="178" t="n"/>
      <c r="DR96" s="184" t="n"/>
      <c r="DS96" s="130" t="n"/>
      <c r="DT96" s="109" t="n"/>
      <c r="DU96" s="252" t="n"/>
      <c r="DV96" s="180">
        <f>SUMPRODUCT(--(MOD(COLUMN($BN96:$DU96),5)=MOD(COLUMN($BN96),5)),$BN96:$DU96)</f>
        <v/>
      </c>
      <c r="DW96" s="181">
        <f>Автовик_разбивка[[#This Row],[Цена, 
юань, без НДС 1]]*DV96</f>
        <v/>
      </c>
      <c r="DX96" s="186">
        <f>SUMPRODUCT(--(MOD(COLUMN($BN96:$DU96),5)=MOD(COLUMN($BN96)+1,5)),$BN96:$DU96)</f>
        <v/>
      </c>
      <c r="DY96" s="186">
        <f>Автовик_разбивка[[#This Row],[Цена, 
юань, без НДС 1]]*DX96</f>
        <v/>
      </c>
      <c r="DZ96" s="130">
        <f>SUMPRODUCT(--(MOD(COLUMN($BN96:$DU96),5)=MOD(COLUMN($BN96)+2,5)),$BN96:$DU96)</f>
        <v/>
      </c>
      <c r="EA96" s="187">
        <f>Автовик_разбивка[[#This Row],[Цена, 
юань, без НДС 1]]*DZ96</f>
        <v/>
      </c>
      <c r="EB96" s="109">
        <f>SUMPRODUCT(--(MOD(COLUMN($BN96:$DU96),5)=MOD(COLUMN($BN96)+3,5)),$BN96:$DU96)</f>
        <v/>
      </c>
      <c r="EC96" s="224">
        <f>Автовик_разбивка[[#This Row],[Цена, 
юань, без НДС 1]]*EB96</f>
        <v/>
      </c>
    </row>
    <row r="97">
      <c r="A97" s="256" t="n">
        <v>22</v>
      </c>
      <c r="B97" s="172" t="inlineStr">
        <is>
          <t>НовосибАРЗ</t>
        </is>
      </c>
      <c r="C97" s="132" t="n"/>
      <c r="D97" s="132" t="n"/>
      <c r="E97" s="229" t="n"/>
      <c r="F97" s="229" t="n"/>
      <c r="G97" s="229" t="n"/>
      <c r="H97" s="230" t="n"/>
      <c r="I97" s="231" t="inlineStr">
        <is>
          <t>Итого</t>
        </is>
      </c>
      <c r="J97" s="914" t="n"/>
      <c r="K97" s="914" t="n"/>
      <c r="L97" s="233" t="n"/>
      <c r="M97" s="234" t="n"/>
      <c r="N97" s="235" t="n"/>
      <c r="O97" s="234" t="n"/>
      <c r="P97" s="233" t="n"/>
      <c r="Q97" s="234" t="n"/>
      <c r="R97" s="235" t="n"/>
      <c r="S97" s="234" t="n"/>
      <c r="T97" s="233" t="n"/>
      <c r="U97" s="234" t="n"/>
      <c r="V97" s="235" t="n"/>
      <c r="W97" s="234" t="n"/>
      <c r="X97" s="233" t="n"/>
      <c r="Y97" s="234" t="n"/>
      <c r="Z97" s="235" t="n"/>
      <c r="AA97" s="234" t="n"/>
      <c r="AB97" s="233" t="n"/>
      <c r="AC97" s="234" t="n"/>
      <c r="AD97" s="235" t="n"/>
      <c r="AE97" s="234" t="n"/>
      <c r="AF97" s="233" t="n"/>
      <c r="AG97" s="234" t="n"/>
      <c r="AH97" s="235" t="n"/>
      <c r="AI97" s="234" t="n"/>
      <c r="AJ97" s="233" t="n"/>
      <c r="AK97" s="234" t="n"/>
      <c r="AL97" s="235" t="n"/>
      <c r="AM97" s="234" t="n"/>
      <c r="AN97" s="233" t="n"/>
      <c r="AO97" s="234" t="n"/>
      <c r="AP97" s="235" t="n"/>
      <c r="AQ97" s="234" t="n"/>
      <c r="AR97" s="233" t="n"/>
      <c r="AS97" s="234" t="n"/>
      <c r="AT97" s="235" t="n"/>
      <c r="AU97" s="234" t="n"/>
      <c r="AV97" s="233" t="n"/>
      <c r="AW97" s="234" t="n"/>
      <c r="AX97" s="235" t="n"/>
      <c r="AY97" s="234" t="n"/>
      <c r="AZ97" s="233" t="n"/>
      <c r="BA97" s="234" t="n"/>
      <c r="BB97" s="235" t="n"/>
      <c r="BC97" s="234" t="n"/>
      <c r="BD97" s="233" t="n"/>
      <c r="BE97" s="234" t="n"/>
      <c r="BF97" s="235" t="n"/>
      <c r="BG97" s="234" t="n"/>
      <c r="BH97" s="233">
        <f>SUMPRODUCT(--(MOD(COLUMN($L97:$BG97),4)=MOD(COLUMN($L97),4)),$L97:$BG97)</f>
        <v/>
      </c>
      <c r="BI97" s="238">
        <f>Автовик_разбивка[[#This Row],[Цена, 
юань, без НДС 1]]*BH97</f>
        <v/>
      </c>
      <c r="BJ97" s="234">
        <f>SUMPRODUCT(--(MOD(COLUMN($L97:$BG97),4)=MOD(COLUMN($L97)+1,4)),$L97:$BG97)</f>
        <v/>
      </c>
      <c r="BK97" s="253">
        <f>Автовик_разбивка[[#This Row],[Цена, 
юань, без НДС 1]]*BJ97</f>
        <v/>
      </c>
      <c r="BL97" s="235">
        <f>SUMPRODUCT(--(MOD(COLUMN($L97:$BG97),4)=MOD(COLUMN($L97)+2,4)),$L97:$BG97)</f>
        <v/>
      </c>
      <c r="BM97" s="254">
        <f>Автовик_разбивка[[#This Row],[Цена, 
юань, без НДС 1]]*BL97</f>
        <v/>
      </c>
      <c r="BN97" s="233" t="n"/>
      <c r="BO97" s="241" t="n"/>
      <c r="BP97" s="234" t="n"/>
      <c r="BQ97" s="235" t="n"/>
      <c r="BR97" s="234" t="n"/>
      <c r="BS97" s="233" t="n"/>
      <c r="BT97" s="241" t="n"/>
      <c r="BU97" s="234" t="n"/>
      <c r="BV97" s="235" t="n"/>
      <c r="BW97" s="234" t="n"/>
      <c r="BX97" s="233" t="n"/>
      <c r="BY97" s="241" t="n"/>
      <c r="BZ97" s="234" t="n"/>
      <c r="CA97" s="235" t="n"/>
      <c r="CB97" s="234" t="n"/>
      <c r="CC97" s="233" t="n"/>
      <c r="CD97" s="241" t="n"/>
      <c r="CE97" s="234" t="n"/>
      <c r="CF97" s="235" t="n"/>
      <c r="CG97" s="234" t="n"/>
      <c r="CH97" s="233" t="n"/>
      <c r="CI97" s="241" t="n"/>
      <c r="CJ97" s="234" t="n"/>
      <c r="CK97" s="235" t="n"/>
      <c r="CL97" s="234" t="n"/>
      <c r="CM97" s="233" t="n"/>
      <c r="CN97" s="241" t="n"/>
      <c r="CO97" s="234" t="n"/>
      <c r="CP97" s="235" t="n"/>
      <c r="CQ97" s="234" t="n"/>
      <c r="CR97" s="233" t="n"/>
      <c r="CS97" s="241" t="n"/>
      <c r="CT97" s="234" t="n"/>
      <c r="CU97" s="235" t="n"/>
      <c r="CV97" s="234" t="n"/>
      <c r="CW97" s="233" t="n"/>
      <c r="CX97" s="241" t="n"/>
      <c r="CY97" s="234" t="n"/>
      <c r="CZ97" s="235" t="n"/>
      <c r="DA97" s="234" t="n"/>
      <c r="DB97" s="233" t="n"/>
      <c r="DC97" s="241" t="n"/>
      <c r="DD97" s="234" t="n"/>
      <c r="DE97" s="235" t="n"/>
      <c r="DF97" s="234" t="n"/>
      <c r="DG97" s="233" t="n"/>
      <c r="DH97" s="241" t="n"/>
      <c r="DI97" s="234" t="n"/>
      <c r="DJ97" s="235" t="n"/>
      <c r="DK97" s="234" t="n"/>
      <c r="DL97" s="233" t="n"/>
      <c r="DM97" s="241" t="n"/>
      <c r="DN97" s="234" t="n"/>
      <c r="DO97" s="235" t="n"/>
      <c r="DP97" s="234" t="n"/>
      <c r="DQ97" s="233" t="n"/>
      <c r="DR97" s="241" t="n"/>
      <c r="DS97" s="234" t="n"/>
      <c r="DT97" s="235" t="n"/>
      <c r="DU97" s="234" t="n"/>
      <c r="DV97" s="233">
        <f>SUMPRODUCT(--(MOD(COLUMN($BN97:$DU97),5)=MOD(COLUMN($BN97),5)),$BN97:$DU97)</f>
        <v/>
      </c>
      <c r="DW97" s="238">
        <f>Автовик_разбивка[[#This Row],[Цена, 
юань, без НДС 1]]*DV97</f>
        <v/>
      </c>
      <c r="DX97" s="242">
        <f>SUMPRODUCT(--(MOD(COLUMN($BN97:$DU97),5)=MOD(COLUMN($BN97)+1,5)),$BN97:$DU97)</f>
        <v/>
      </c>
      <c r="DY97" s="242">
        <f>Автовик_разбивка[[#This Row],[Цена, 
юань, без НДС 1]]*DX97</f>
        <v/>
      </c>
      <c r="DZ97" s="234">
        <f>SUMPRODUCT(--(MOD(COLUMN($BN97:$DU97),5)=MOD(COLUMN($BN97)+2,5)),$BN97:$DU97)</f>
        <v/>
      </c>
      <c r="EA97" s="253">
        <f>Автовик_разбивка[[#This Row],[Цена, 
юань, без НДС 1]]*DZ97</f>
        <v/>
      </c>
      <c r="EB97" s="235">
        <f>SUMPRODUCT(--(MOD(COLUMN($BN97:$DU97),5)=MOD(COLUMN($BN97)+3,5)),$BN97:$DU97)</f>
        <v/>
      </c>
      <c r="EC97" s="254">
        <f>Автовик_разбивка[[#This Row],[Цена, 
юань, без НДС 1]]*EB97</f>
        <v/>
      </c>
    </row>
    <row r="98">
      <c r="A98" s="256" t="n">
        <v>22</v>
      </c>
      <c r="B98" s="243" t="inlineStr">
        <is>
          <t>НовосибАРЗ</t>
        </is>
      </c>
      <c r="C98" s="244" t="n"/>
      <c r="D98" s="244" t="n"/>
      <c r="E98" s="245" t="n"/>
      <c r="F98" s="245" t="n"/>
      <c r="G98" s="245" t="n"/>
      <c r="H98" s="246" t="n"/>
      <c r="I98" s="247" t="n"/>
      <c r="J98" s="915" t="n"/>
      <c r="K98" s="915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9" t="n"/>
      <c r="Y98" s="249" t="n"/>
      <c r="Z98" s="249" t="n"/>
      <c r="AA98" s="249" t="n"/>
      <c r="AB98" s="249" t="n"/>
      <c r="AC98" s="249" t="n"/>
      <c r="AD98" s="249" t="n"/>
      <c r="AE98" s="249" t="n"/>
      <c r="AF98" s="249" t="n"/>
      <c r="AG98" s="249" t="n"/>
      <c r="AH98" s="249" t="n"/>
      <c r="AI98" s="249" t="n"/>
      <c r="AJ98" s="249" t="n"/>
      <c r="AK98" s="249" t="n"/>
      <c r="AL98" s="249" t="n"/>
      <c r="AM98" s="249" t="n"/>
      <c r="AN98" s="249" t="n"/>
      <c r="AO98" s="249" t="n"/>
      <c r="AP98" s="249" t="n"/>
      <c r="AQ98" s="249" t="n"/>
      <c r="AR98" s="249" t="n"/>
      <c r="AS98" s="249" t="n"/>
      <c r="AT98" s="249" t="n"/>
      <c r="AU98" s="249" t="n"/>
      <c r="AV98" s="249" t="n"/>
      <c r="AW98" s="249" t="n"/>
      <c r="AX98" s="250" t="n"/>
      <c r="AY98" s="249" t="n"/>
      <c r="AZ98" s="250" t="n"/>
      <c r="BA98" s="250" t="n"/>
      <c r="BB98" s="250" t="n"/>
      <c r="BC98" s="249" t="n"/>
      <c r="BD98" s="250" t="n"/>
      <c r="BE98" s="250" t="n"/>
      <c r="BF98" s="250" t="n"/>
      <c r="BG98" s="249" t="n"/>
      <c r="BH98" s="250">
        <f>SUMPRODUCT(--(MOD(COLUMN($L98:$BG98),4)=MOD(COLUMN($L98),4)),$L98:$BG98)</f>
        <v/>
      </c>
      <c r="BI98" s="251">
        <f>Автовик_разбивка[[#This Row],[Цена, 
юань, без НДС 1]]*BH98</f>
        <v/>
      </c>
      <c r="BJ98" s="250">
        <f>SUMPRODUCT(--(MOD(COLUMN($L98:$BG98),4)=MOD(COLUMN($L98)+1,4)),$L98:$BG98)</f>
        <v/>
      </c>
      <c r="BK98" s="251">
        <f>Автовик_разбивка[[#This Row],[Цена, 
юань, без НДС 1]]*BJ98</f>
        <v/>
      </c>
      <c r="BL98" s="250">
        <f>SUMPRODUCT(--(MOD(COLUMN($L98:$BG98),4)=MOD(COLUMN($L98)+2,4)),$L98:$BG98)</f>
        <v/>
      </c>
      <c r="BM98" s="251">
        <f>Автовик_разбивка[[#This Row],[Цена, 
юань, без НДС 1]]*BL98</f>
        <v/>
      </c>
      <c r="BN98" s="249" t="n"/>
      <c r="BO98" s="249" t="n"/>
      <c r="BP98" s="249" t="n"/>
      <c r="BQ98" s="249" t="n"/>
      <c r="BR98" s="249" t="n"/>
      <c r="BS98" s="249" t="n"/>
      <c r="BT98" s="249" t="n"/>
      <c r="BU98" s="249" t="n"/>
      <c r="BV98" s="249" t="n"/>
      <c r="BW98" s="249" t="n"/>
      <c r="BX98" s="249" t="n"/>
      <c r="BY98" s="249" t="n"/>
      <c r="BZ98" s="249" t="n"/>
      <c r="CA98" s="249" t="n"/>
      <c r="CB98" s="249" t="n"/>
      <c r="CC98" s="249" t="n"/>
      <c r="CD98" s="249" t="n"/>
      <c r="CE98" s="249" t="n"/>
      <c r="CF98" s="249" t="n"/>
      <c r="CG98" s="249" t="n"/>
      <c r="CH98" s="249" t="n"/>
      <c r="CI98" s="249" t="n"/>
      <c r="CJ98" s="249" t="n"/>
      <c r="CK98" s="249" t="n"/>
      <c r="CL98" s="249" t="n"/>
      <c r="CM98" s="249" t="n"/>
      <c r="CN98" s="249" t="n"/>
      <c r="CO98" s="249" t="n"/>
      <c r="CP98" s="249" t="n"/>
      <c r="CQ98" s="249" t="n"/>
      <c r="CR98" s="249" t="n"/>
      <c r="CS98" s="249" t="n"/>
      <c r="CT98" s="249" t="n"/>
      <c r="CU98" s="249" t="n"/>
      <c r="CV98" s="249" t="n"/>
      <c r="CW98" s="249" t="n"/>
      <c r="CX98" s="249" t="n"/>
      <c r="CY98" s="249" t="n"/>
      <c r="CZ98" s="249" t="n"/>
      <c r="DA98" s="249" t="n"/>
      <c r="DB98" s="249" t="n"/>
      <c r="DC98" s="249" t="n"/>
      <c r="DD98" s="249" t="n"/>
      <c r="DE98" s="249" t="n"/>
      <c r="DF98" s="249" t="n"/>
      <c r="DG98" s="249" t="n"/>
      <c r="DH98" s="249" t="n"/>
      <c r="DI98" s="249" t="n"/>
      <c r="DJ98" s="250" t="n"/>
      <c r="DK98" s="249" t="n"/>
      <c r="DL98" s="250" t="n"/>
      <c r="DM98" s="250" t="n"/>
      <c r="DN98" s="250" t="n"/>
      <c r="DO98" s="250" t="n"/>
      <c r="DP98" s="249" t="n"/>
      <c r="DQ98" s="250" t="n"/>
      <c r="DR98" s="250" t="n"/>
      <c r="DS98" s="250" t="n"/>
      <c r="DT98" s="250" t="n"/>
      <c r="DU98" s="249" t="n"/>
      <c r="DV98" s="250">
        <f>SUMPRODUCT(--(MOD(COLUMN($BN98:$DU98),5)=MOD(COLUMN($BN98),5)),$BN98:$DU98)</f>
        <v/>
      </c>
      <c r="DW98" s="251">
        <f>Автовик_разбивка[[#This Row],[Цена, 
юань, без НДС 1]]*DV98</f>
        <v/>
      </c>
      <c r="DX98" s="251">
        <f>SUMPRODUCT(--(MOD(COLUMN($BN98:$DU98),5)=MOD(COLUMN($BN98)+1,5)),$BN98:$DU98)</f>
        <v/>
      </c>
      <c r="DY98" s="251">
        <f>Автовик_разбивка[[#This Row],[Цена, 
юань, без НДС 1]]*DX98</f>
        <v/>
      </c>
      <c r="DZ98" s="250">
        <f>SUMPRODUCT(--(MOD(COLUMN($BN98:$DU98),5)=MOD(COLUMN($BN98)+2,5)),$BN98:$DU98)</f>
        <v/>
      </c>
      <c r="EA98" s="251">
        <f>Автовик_разбивка[[#This Row],[Цена, 
юань, без НДС 1]]*DZ98</f>
        <v/>
      </c>
      <c r="EB98" s="250">
        <f>SUMPRODUCT(--(MOD(COLUMN($BN98:$DU98),5)=MOD(COLUMN($BN98)+3,5)),$BN98:$DU98)</f>
        <v/>
      </c>
      <c r="EC98" s="251">
        <f>Автовик_разбивка[[#This Row],[Цена, 
юань, без НДС 1]]*EB98</f>
        <v/>
      </c>
    </row>
    <row r="99">
      <c r="A99" s="256" t="n">
        <v>22</v>
      </c>
      <c r="B99" s="172" t="inlineStr">
        <is>
          <t>УЗСТ</t>
        </is>
      </c>
      <c r="C99" s="173" t="inlineStr">
        <is>
          <t>TEBS</t>
        </is>
      </c>
      <c r="D99" s="173" t="inlineStr">
        <is>
          <t>LACV</t>
        </is>
      </c>
      <c r="E99" s="174" t="n">
        <v>1</v>
      </c>
      <c r="F99" s="174" t="n"/>
      <c r="G99" s="174" t="n"/>
      <c r="H99" s="175" t="n">
        <v>4494430600</v>
      </c>
      <c r="I99" s="176" t="inlineStr">
        <is>
          <t>Кабель клапана управления подъемом оси, 6 м</t>
        </is>
      </c>
      <c r="J99" s="911" t="n"/>
      <c r="K99" s="912" t="n"/>
      <c r="L99" s="178" t="n">
        <v>10</v>
      </c>
      <c r="M99" s="130">
        <f>$E99*10</f>
        <v/>
      </c>
      <c r="N99" s="179" t="n">
        <v>0</v>
      </c>
      <c r="O99" s="130" t="n"/>
      <c r="P99" s="178" t="n">
        <v>10</v>
      </c>
      <c r="Q99" s="130">
        <f>$E99*10</f>
        <v/>
      </c>
      <c r="R99" s="179" t="n">
        <v>8</v>
      </c>
      <c r="S99" s="130" t="n"/>
      <c r="T99" s="178" t="n">
        <v>10</v>
      </c>
      <c r="U99" s="130">
        <f>$E99*30</f>
        <v/>
      </c>
      <c r="V99" s="179" t="n">
        <v>1</v>
      </c>
      <c r="W99" s="130" t="n"/>
      <c r="X99" s="178" t="n">
        <v>10</v>
      </c>
      <c r="Y99" s="130">
        <f>$E99*10</f>
        <v/>
      </c>
      <c r="Z99" s="179" t="n">
        <v>3</v>
      </c>
      <c r="AA99" s="130" t="n"/>
      <c r="AB99" s="178" t="n">
        <v>10</v>
      </c>
      <c r="AC99" s="130">
        <f>$E99*10</f>
        <v/>
      </c>
      <c r="AD99" s="179" t="n"/>
      <c r="AE99" s="130" t="n"/>
      <c r="AF99" s="178" t="n">
        <v>10</v>
      </c>
      <c r="AG99" s="130">
        <f>$E99*10</f>
        <v/>
      </c>
      <c r="AH99" s="179" t="n"/>
      <c r="AI99" s="130" t="n"/>
      <c r="AJ99" s="178" t="n">
        <v>10</v>
      </c>
      <c r="AK99" s="130">
        <f>$E99*10</f>
        <v/>
      </c>
      <c r="AL99" s="179" t="n"/>
      <c r="AM99" s="130" t="n"/>
      <c r="AN99" s="178" t="n">
        <v>10</v>
      </c>
      <c r="AO99" s="130">
        <f>$E99*0</f>
        <v/>
      </c>
      <c r="AP99" s="179" t="n"/>
      <c r="AQ99" s="130" t="n"/>
      <c r="AR99" s="178" t="n">
        <v>10</v>
      </c>
      <c r="AS99" s="130">
        <f>$E99*15</f>
        <v/>
      </c>
      <c r="AT99" s="179" t="n"/>
      <c r="AU99" s="130" t="n"/>
      <c r="AV99" s="178" t="n">
        <v>10</v>
      </c>
      <c r="AW99" s="130">
        <f>$E99*0</f>
        <v/>
      </c>
      <c r="AX99" s="179" t="n"/>
      <c r="AY99" s="130" t="n"/>
      <c r="AZ99" s="178" t="n">
        <v>10</v>
      </c>
      <c r="BA99" s="130">
        <f>$E99*10</f>
        <v/>
      </c>
      <c r="BB99" s="194" t="n"/>
      <c r="BC99" s="130" t="n"/>
      <c r="BD99" s="178" t="n">
        <v>10</v>
      </c>
      <c r="BE99" s="130">
        <f>$E99*20</f>
        <v/>
      </c>
      <c r="BF99" s="109" t="n"/>
      <c r="BG99" s="130" t="n"/>
      <c r="BH99" s="180">
        <f>SUMPRODUCT(--(MOD(COLUMN($L99:$BG99),4)=MOD(COLUMN($L99),4)),$L99:$BG99)</f>
        <v/>
      </c>
      <c r="BI99" s="181">
        <f>Автовик_разбивка[[#This Row],[Цена, 
юань, без НДС 1]]*BH99</f>
        <v/>
      </c>
      <c r="BJ99" s="130">
        <f>SUMPRODUCT(--(MOD(COLUMN($L99:$BG99),4)=MOD(COLUMN($L99)+1,4)),$L99:$BG99)</f>
        <v/>
      </c>
      <c r="BK99" s="187">
        <f>Автовик_разбивка[[#This Row],[Цена, 
юань, без НДС 1]]*BJ99</f>
        <v/>
      </c>
      <c r="BL99" s="109">
        <f>SUMPRODUCT(--(MOD(COLUMN($L99:$BG99),4)=MOD(COLUMN($L99)+2,4)),$L99:$BG99)</f>
        <v/>
      </c>
      <c r="BM99" s="224">
        <f>Автовик_разбивка[[#This Row],[Цена, 
юань, без НДС 1]]*BL99</f>
        <v/>
      </c>
      <c r="BN99" s="178" t="n"/>
      <c r="BO99" s="184" t="n"/>
      <c r="BP99" s="130">
        <f>$E99*0</f>
        <v/>
      </c>
      <c r="BQ99" s="179" t="n"/>
      <c r="BR99" s="130" t="n"/>
      <c r="BS99" s="178" t="n"/>
      <c r="BT99" s="184" t="n"/>
      <c r="BU99" s="130">
        <f>$E99*10</f>
        <v/>
      </c>
      <c r="BV99" s="179" t="n"/>
      <c r="BW99" s="130" t="n"/>
      <c r="BX99" s="178" t="n"/>
      <c r="BY99" s="184" t="n"/>
      <c r="BZ99" s="130">
        <f>$E99*10</f>
        <v/>
      </c>
      <c r="CA99" s="179" t="n"/>
      <c r="CB99" s="130" t="n"/>
      <c r="CC99" s="178" t="n"/>
      <c r="CD99" s="184" t="n"/>
      <c r="CE99" s="130">
        <f>$E99*10</f>
        <v/>
      </c>
      <c r="CF99" s="179" t="n"/>
      <c r="CG99" s="130" t="n"/>
      <c r="CH99" s="178" t="n"/>
      <c r="CI99" s="184" t="n"/>
      <c r="CJ99" s="130">
        <f>$E99*10</f>
        <v/>
      </c>
      <c r="CK99" s="179" t="n"/>
      <c r="CL99" s="130" t="n"/>
      <c r="CM99" s="178" t="n"/>
      <c r="CN99" s="184" t="n"/>
      <c r="CO99" s="130">
        <f>$E99*10</f>
        <v/>
      </c>
      <c r="CP99" s="179" t="n"/>
      <c r="CQ99" s="130" t="n"/>
      <c r="CR99" s="178" t="n"/>
      <c r="CS99" s="184" t="n"/>
      <c r="CT99" s="130">
        <f>$E99*10</f>
        <v/>
      </c>
      <c r="CU99" s="179" t="n"/>
      <c r="CV99" s="130" t="n"/>
      <c r="CW99" s="178" t="n"/>
      <c r="CX99" s="184" t="n"/>
      <c r="CY99" s="130">
        <f>$E99*10</f>
        <v/>
      </c>
      <c r="CZ99" s="179" t="n"/>
      <c r="DA99" s="130" t="n"/>
      <c r="DB99" s="178" t="n"/>
      <c r="DC99" s="184" t="n"/>
      <c r="DD99" s="130">
        <f>$E99*10</f>
        <v/>
      </c>
      <c r="DE99" s="179" t="n"/>
      <c r="DF99" s="130" t="n"/>
      <c r="DG99" s="178" t="n"/>
      <c r="DH99" s="184" t="n"/>
      <c r="DI99" s="130">
        <f>$E99*10</f>
        <v/>
      </c>
      <c r="DJ99" s="179" t="n"/>
      <c r="DK99" s="130" t="n"/>
      <c r="DL99" s="178" t="n"/>
      <c r="DM99" s="184" t="n"/>
      <c r="DN99" s="130">
        <f>$E99*10</f>
        <v/>
      </c>
      <c r="DO99" s="194" t="n"/>
      <c r="DP99" s="130" t="n"/>
      <c r="DQ99" s="178" t="n"/>
      <c r="DR99" s="184" t="n"/>
      <c r="DS99" s="130">
        <f>$E99*10</f>
        <v/>
      </c>
      <c r="DT99" s="109" t="n"/>
      <c r="DU99" s="130" t="n"/>
      <c r="DV99" s="180">
        <f>SUMPRODUCT(--(MOD(COLUMN($BN99:$DU99),5)=MOD(COLUMN($BN99),5)),$BN99:$DU99)</f>
        <v/>
      </c>
      <c r="DW99" s="181">
        <f>Автовик_разбивка[[#This Row],[Цена, 
юань, без НДС 1]]*DV99</f>
        <v/>
      </c>
      <c r="DX99" s="186">
        <f>SUMPRODUCT(--(MOD(COLUMN($BN99:$DU99),5)=MOD(COLUMN($BN99)+1,5)),$BN99:$DU99)</f>
        <v/>
      </c>
      <c r="DY99" s="186">
        <f>Автовик_разбивка[[#This Row],[Цена, 
юань, без НДС 1]]*DX99</f>
        <v/>
      </c>
      <c r="DZ99" s="130">
        <f>SUMPRODUCT(--(MOD(COLUMN($BN99:$DU99),5)=MOD(COLUMN($BN99)+2,5)),$BN99:$DU99)</f>
        <v/>
      </c>
      <c r="EA99" s="187">
        <f>Автовик_разбивка[[#This Row],[Цена, 
юань, без НДС 1]]*DZ99</f>
        <v/>
      </c>
      <c r="EB99" s="109">
        <f>SUMPRODUCT(--(MOD(COLUMN($BN99:$DU99),5)=MOD(COLUMN($BN99)+3,5)),$BN99:$DU99)</f>
        <v/>
      </c>
      <c r="EC99" s="224">
        <f>Автовик_разбивка[[#This Row],[Цена, 
юань, без НДС 1]]*EB99</f>
        <v/>
      </c>
    </row>
    <row r="100">
      <c r="A100" s="256" t="n">
        <v>22</v>
      </c>
      <c r="B100" s="172" t="inlineStr">
        <is>
          <t>УЗСТ</t>
        </is>
      </c>
      <c r="C100" s="173" t="inlineStr">
        <is>
          <t>TEBS</t>
        </is>
      </c>
      <c r="D100" s="173" t="inlineStr">
        <is>
          <t>LACV</t>
        </is>
      </c>
      <c r="E100" s="174" t="n">
        <v>1</v>
      </c>
      <c r="F100" s="174" t="n"/>
      <c r="G100" s="174" t="n"/>
      <c r="H100" s="175" t="n">
        <v>4630840310</v>
      </c>
      <c r="I100" s="176" t="inlineStr">
        <is>
          <t>Клапан управления подъемом оси (LACV)</t>
        </is>
      </c>
      <c r="J100" s="911" t="n"/>
      <c r="K100" s="912" t="n"/>
      <c r="L100" s="178" t="n">
        <v>10</v>
      </c>
      <c r="M100" s="130">
        <f>$E100*10</f>
        <v/>
      </c>
      <c r="N100" s="179" t="n">
        <v>0</v>
      </c>
      <c r="O100" s="130" t="n"/>
      <c r="P100" s="178" t="n">
        <v>10</v>
      </c>
      <c r="Q100" s="130">
        <f>$E100*10</f>
        <v/>
      </c>
      <c r="R100" s="179" t="n">
        <v>8</v>
      </c>
      <c r="S100" s="130" t="n"/>
      <c r="T100" s="178" t="n">
        <v>10</v>
      </c>
      <c r="U100" s="130">
        <f>$E100*30</f>
        <v/>
      </c>
      <c r="V100" s="179" t="n">
        <v>1</v>
      </c>
      <c r="W100" s="130" t="n"/>
      <c r="X100" s="178" t="n">
        <v>10</v>
      </c>
      <c r="Y100" s="130">
        <f>$E100*10</f>
        <v/>
      </c>
      <c r="Z100" s="179" t="n">
        <v>3</v>
      </c>
      <c r="AA100" s="130" t="n"/>
      <c r="AB100" s="178" t="n">
        <v>10</v>
      </c>
      <c r="AC100" s="130">
        <f>$E100*10</f>
        <v/>
      </c>
      <c r="AD100" s="179" t="n"/>
      <c r="AE100" s="130" t="n"/>
      <c r="AF100" s="178" t="n">
        <v>10</v>
      </c>
      <c r="AG100" s="130">
        <f>$E100*10</f>
        <v/>
      </c>
      <c r="AH100" s="179" t="n"/>
      <c r="AI100" s="130" t="n"/>
      <c r="AJ100" s="178" t="n">
        <v>10</v>
      </c>
      <c r="AK100" s="130">
        <f>$E100*10</f>
        <v/>
      </c>
      <c r="AL100" s="179" t="n"/>
      <c r="AM100" s="130" t="n"/>
      <c r="AN100" s="178" t="n">
        <v>10</v>
      </c>
      <c r="AO100" s="130">
        <f>$E100*0</f>
        <v/>
      </c>
      <c r="AP100" s="179" t="n"/>
      <c r="AQ100" s="130" t="n"/>
      <c r="AR100" s="178" t="n">
        <v>10</v>
      </c>
      <c r="AS100" s="130">
        <f>$E100*15</f>
        <v/>
      </c>
      <c r="AT100" s="179" t="n"/>
      <c r="AU100" s="130" t="n"/>
      <c r="AV100" s="178" t="n">
        <v>10</v>
      </c>
      <c r="AW100" s="130">
        <f>$E100*0</f>
        <v/>
      </c>
      <c r="AX100" s="179" t="n"/>
      <c r="AY100" s="130" t="n"/>
      <c r="AZ100" s="178" t="n">
        <v>10</v>
      </c>
      <c r="BA100" s="130">
        <f>$E100*10</f>
        <v/>
      </c>
      <c r="BB100" s="194" t="n"/>
      <c r="BC100" s="130" t="n"/>
      <c r="BD100" s="178" t="n">
        <v>10</v>
      </c>
      <c r="BE100" s="130">
        <f>$E100*20</f>
        <v/>
      </c>
      <c r="BF100" s="109" t="n"/>
      <c r="BG100" s="130" t="n"/>
      <c r="BH100" s="180">
        <f>SUMPRODUCT(--(MOD(COLUMN($L100:$BG100),4)=MOD(COLUMN($L100),4)),$L100:$BG100)</f>
        <v/>
      </c>
      <c r="BI100" s="181">
        <f>Автовик_разбивка[[#This Row],[Цена, 
юань, без НДС 1]]*BH100</f>
        <v/>
      </c>
      <c r="BJ100" s="130">
        <f>SUMPRODUCT(--(MOD(COLUMN($L100:$BG100),4)=MOD(COLUMN($L100)+1,4)),$L100:$BG100)</f>
        <v/>
      </c>
      <c r="BK100" s="187">
        <f>Автовик_разбивка[[#This Row],[Цена, 
юань, без НДС 1]]*BJ100</f>
        <v/>
      </c>
      <c r="BL100" s="109">
        <f>SUMPRODUCT(--(MOD(COLUMN($L100:$BG100),4)=MOD(COLUMN($L100)+2,4)),$L100:$BG100)</f>
        <v/>
      </c>
      <c r="BM100" s="224">
        <f>Автовик_разбивка[[#This Row],[Цена, 
юань, без НДС 1]]*BL100</f>
        <v/>
      </c>
      <c r="BN100" s="178" t="n"/>
      <c r="BO100" s="184" t="n"/>
      <c r="BP100" s="130">
        <f>$E100*0</f>
        <v/>
      </c>
      <c r="BQ100" s="179" t="n"/>
      <c r="BR100" s="130" t="n"/>
      <c r="BS100" s="178" t="n"/>
      <c r="BT100" s="184" t="n"/>
      <c r="BU100" s="130">
        <f>$E100*10</f>
        <v/>
      </c>
      <c r="BV100" s="179" t="n"/>
      <c r="BW100" s="130" t="n"/>
      <c r="BX100" s="178" t="n"/>
      <c r="BY100" s="184" t="n"/>
      <c r="BZ100" s="130">
        <f>$E100*10</f>
        <v/>
      </c>
      <c r="CA100" s="179" t="n"/>
      <c r="CB100" s="130" t="n"/>
      <c r="CC100" s="178" t="n"/>
      <c r="CD100" s="184" t="n"/>
      <c r="CE100" s="130">
        <f>$E100*10</f>
        <v/>
      </c>
      <c r="CF100" s="179" t="n"/>
      <c r="CG100" s="130" t="n"/>
      <c r="CH100" s="178" t="n"/>
      <c r="CI100" s="184" t="n"/>
      <c r="CJ100" s="130">
        <f>$E100*10</f>
        <v/>
      </c>
      <c r="CK100" s="179" t="n"/>
      <c r="CL100" s="130" t="n"/>
      <c r="CM100" s="178" t="n"/>
      <c r="CN100" s="184" t="n"/>
      <c r="CO100" s="130">
        <f>$E100*10</f>
        <v/>
      </c>
      <c r="CP100" s="179" t="n"/>
      <c r="CQ100" s="130" t="n"/>
      <c r="CR100" s="178" t="n"/>
      <c r="CS100" s="184" t="n"/>
      <c r="CT100" s="130">
        <f>$E100*10</f>
        <v/>
      </c>
      <c r="CU100" s="179" t="n"/>
      <c r="CV100" s="130" t="n"/>
      <c r="CW100" s="178" t="n"/>
      <c r="CX100" s="184" t="n"/>
      <c r="CY100" s="130">
        <f>$E100*10</f>
        <v/>
      </c>
      <c r="CZ100" s="179" t="n"/>
      <c r="DA100" s="130" t="n"/>
      <c r="DB100" s="178" t="n"/>
      <c r="DC100" s="184" t="n"/>
      <c r="DD100" s="130">
        <f>$E100*10</f>
        <v/>
      </c>
      <c r="DE100" s="179" t="n"/>
      <c r="DF100" s="130" t="n"/>
      <c r="DG100" s="178" t="n"/>
      <c r="DH100" s="184" t="n"/>
      <c r="DI100" s="130">
        <f>$E100*10</f>
        <v/>
      </c>
      <c r="DJ100" s="179" t="n"/>
      <c r="DK100" s="130" t="n"/>
      <c r="DL100" s="178" t="n"/>
      <c r="DM100" s="184" t="n"/>
      <c r="DN100" s="130">
        <f>$E100*10</f>
        <v/>
      </c>
      <c r="DO100" s="194" t="n"/>
      <c r="DP100" s="130" t="n"/>
      <c r="DQ100" s="178" t="n"/>
      <c r="DR100" s="184" t="n"/>
      <c r="DS100" s="130">
        <f>$E100*10</f>
        <v/>
      </c>
      <c r="DT100" s="109" t="n"/>
      <c r="DU100" s="130" t="n"/>
      <c r="DV100" s="180">
        <f>SUMPRODUCT(--(MOD(COLUMN($BN100:$DU100),5)=MOD(COLUMN($BN100),5)),$BN100:$DU100)</f>
        <v/>
      </c>
      <c r="DW100" s="181">
        <f>Автовик_разбивка[[#This Row],[Цена, 
юань, без НДС 1]]*DV100</f>
        <v/>
      </c>
      <c r="DX100" s="186">
        <f>SUMPRODUCT(--(MOD(COLUMN($BN100:$DU100),5)=MOD(COLUMN($BN100)+1,5)),$BN100:$DU100)</f>
        <v/>
      </c>
      <c r="DY100" s="186">
        <f>Автовик_разбивка[[#This Row],[Цена, 
юань, без НДС 1]]*DX100</f>
        <v/>
      </c>
      <c r="DZ100" s="130">
        <f>SUMPRODUCT(--(MOD(COLUMN($BN100:$DU100),5)=MOD(COLUMN($BN100)+2,5)),$BN100:$DU100)</f>
        <v/>
      </c>
      <c r="EA100" s="187">
        <f>Автовик_разбивка[[#This Row],[Цена, 
юань, без НДС 1]]*DZ100</f>
        <v/>
      </c>
      <c r="EB100" s="109">
        <f>SUMPRODUCT(--(MOD(COLUMN($BN100:$DU100),5)=MOD(COLUMN($BN100)+3,5)),$BN100:$DU100)</f>
        <v/>
      </c>
      <c r="EC100" s="224">
        <f>Автовик_разбивка[[#This Row],[Цена, 
юань, без НДС 1]]*EB100</f>
        <v/>
      </c>
    </row>
    <row r="101">
      <c r="A101" s="256" t="n">
        <v>22</v>
      </c>
      <c r="B101" s="172" t="inlineStr">
        <is>
          <t>УЗСТ</t>
        </is>
      </c>
      <c r="C101" s="173" t="inlineStr">
        <is>
          <t>TEBS</t>
        </is>
      </c>
      <c r="D101" s="173" t="inlineStr">
        <is>
          <t xml:space="preserve">TEBS 2s/2m 
15м </t>
        </is>
      </c>
      <c r="E101" s="174" t="n">
        <v>1</v>
      </c>
      <c r="F101" s="174" t="n"/>
      <c r="G101" s="174" t="n"/>
      <c r="H101" s="175" t="n">
        <v>4334010030</v>
      </c>
      <c r="I101" s="176" t="inlineStr">
        <is>
          <t>Упругий элемент</t>
        </is>
      </c>
      <c r="J101" s="911" t="n"/>
      <c r="K101" s="913" t="n"/>
      <c r="L101" s="178" t="n">
        <v>20</v>
      </c>
      <c r="M101" s="130">
        <f>$E101*20</f>
        <v/>
      </c>
      <c r="N101" s="179" t="n">
        <v>0</v>
      </c>
      <c r="O101" s="130" t="n"/>
      <c r="P101" s="178" t="n">
        <v>20</v>
      </c>
      <c r="Q101" s="130">
        <f>$E101*20</f>
        <v/>
      </c>
      <c r="R101" s="179" t="n">
        <v>0</v>
      </c>
      <c r="S101" s="130" t="n"/>
      <c r="T101" s="178" t="n">
        <v>20</v>
      </c>
      <c r="U101" s="130">
        <f>$E101*30</f>
        <v/>
      </c>
      <c r="V101" s="179" t="n">
        <v>0</v>
      </c>
      <c r="W101" s="130" t="n"/>
      <c r="X101" s="178" t="n">
        <v>20</v>
      </c>
      <c r="Y101" s="130">
        <f>$E101*20</f>
        <v/>
      </c>
      <c r="Z101" s="179" t="n">
        <v>0</v>
      </c>
      <c r="AA101" s="130" t="n"/>
      <c r="AB101" s="178" t="n">
        <v>20</v>
      </c>
      <c r="AC101" s="130">
        <f>$E101*20</f>
        <v/>
      </c>
      <c r="AD101" s="109" t="n"/>
      <c r="AE101" s="252" t="n"/>
      <c r="AF101" s="178" t="n">
        <v>20</v>
      </c>
      <c r="AG101" s="130">
        <f>$E101*20</f>
        <v/>
      </c>
      <c r="AH101" s="109" t="n"/>
      <c r="AI101" s="252" t="n"/>
      <c r="AJ101" s="178" t="n">
        <v>20</v>
      </c>
      <c r="AK101" s="130">
        <f>$E101*20</f>
        <v/>
      </c>
      <c r="AL101" s="109" t="n"/>
      <c r="AM101" s="252" t="n"/>
      <c r="AN101" s="178" t="n">
        <v>20</v>
      </c>
      <c r="AO101" s="130">
        <f>$E101*0</f>
        <v/>
      </c>
      <c r="AP101" s="109" t="n"/>
      <c r="AQ101" s="252" t="n"/>
      <c r="AR101" s="178" t="n">
        <v>20</v>
      </c>
      <c r="AS101" s="130">
        <f>$E101*30</f>
        <v/>
      </c>
      <c r="AT101" s="109" t="n"/>
      <c r="AU101" s="252" t="n"/>
      <c r="AV101" s="178" t="n">
        <v>20</v>
      </c>
      <c r="AW101" s="130">
        <f>$E101*0</f>
        <v/>
      </c>
      <c r="AX101" s="109" t="n"/>
      <c r="AY101" s="252" t="n"/>
      <c r="AZ101" s="178" t="n">
        <v>20</v>
      </c>
      <c r="BA101" s="130">
        <f>$E101*20</f>
        <v/>
      </c>
      <c r="BB101" s="194" t="n"/>
      <c r="BC101" s="252" t="n"/>
      <c r="BD101" s="178" t="n">
        <v>20</v>
      </c>
      <c r="BE101" s="130">
        <f>$E101*20</f>
        <v/>
      </c>
      <c r="BF101" s="109" t="n"/>
      <c r="BG101" s="252" t="n"/>
      <c r="BH101" s="180">
        <f>SUMPRODUCT(--(MOD(COLUMN($L101:$BG101),4)=MOD(COLUMN($L101),4)),$L101:$BG101)</f>
        <v/>
      </c>
      <c r="BI101" s="181">
        <f>Автовик_разбивка[[#This Row],[Цена, 
юань, без НДС 1]]*BH101</f>
        <v/>
      </c>
      <c r="BJ101" s="130">
        <f>SUMPRODUCT(--(MOD(COLUMN($L101:$BG101),4)=MOD(COLUMN($L101)+1,4)),$L101:$BG101)</f>
        <v/>
      </c>
      <c r="BK101" s="187">
        <f>Автовик_разбивка[[#This Row],[Цена, 
юань, без НДС 1]]*BJ101</f>
        <v/>
      </c>
      <c r="BL101" s="109">
        <f>SUMPRODUCT(--(MOD(COLUMN($L101:$BG101),4)=MOD(COLUMN($L101)+2,4)),$L101:$BG101)</f>
        <v/>
      </c>
      <c r="BM101" s="224">
        <f>Автовик_разбивка[[#This Row],[Цена, 
юань, без НДС 1]]*BL101</f>
        <v/>
      </c>
      <c r="BN101" s="178" t="n"/>
      <c r="BO101" s="184" t="n"/>
      <c r="BP101" s="130">
        <f>$E101*0</f>
        <v/>
      </c>
      <c r="BQ101" s="179" t="n"/>
      <c r="BR101" s="130" t="n"/>
      <c r="BS101" s="178" t="n"/>
      <c r="BT101" s="184" t="n"/>
      <c r="BU101" s="130">
        <f>$E101*20</f>
        <v/>
      </c>
      <c r="BV101" s="179" t="n"/>
      <c r="BW101" s="130" t="n"/>
      <c r="BX101" s="178" t="n"/>
      <c r="BY101" s="184" t="n"/>
      <c r="BZ101" s="130">
        <f>$E101*20</f>
        <v/>
      </c>
      <c r="CA101" s="179" t="n"/>
      <c r="CB101" s="130" t="n"/>
      <c r="CC101" s="178" t="n"/>
      <c r="CD101" s="184" t="n"/>
      <c r="CE101" s="130">
        <f>$E101*20</f>
        <v/>
      </c>
      <c r="CF101" s="179" t="n"/>
      <c r="CG101" s="130" t="n"/>
      <c r="CH101" s="178" t="n"/>
      <c r="CI101" s="184" t="n"/>
      <c r="CJ101" s="130">
        <f>$E101*20</f>
        <v/>
      </c>
      <c r="CK101" s="109" t="n"/>
      <c r="CL101" s="252" t="n"/>
      <c r="CM101" s="178" t="n"/>
      <c r="CN101" s="184" t="n"/>
      <c r="CO101" s="130">
        <f>$E101*20</f>
        <v/>
      </c>
      <c r="CP101" s="109" t="n"/>
      <c r="CQ101" s="252" t="n"/>
      <c r="CR101" s="178" t="n"/>
      <c r="CS101" s="184" t="n"/>
      <c r="CT101" s="130">
        <f>$E101*20</f>
        <v/>
      </c>
      <c r="CU101" s="109" t="n"/>
      <c r="CV101" s="252" t="n"/>
      <c r="CW101" s="178" t="n"/>
      <c r="CX101" s="184" t="n"/>
      <c r="CY101" s="130">
        <f>$E101*20</f>
        <v/>
      </c>
      <c r="CZ101" s="109" t="n"/>
      <c r="DA101" s="252" t="n"/>
      <c r="DB101" s="178" t="n"/>
      <c r="DC101" s="184" t="n"/>
      <c r="DD101" s="130">
        <f>$E101*20</f>
        <v/>
      </c>
      <c r="DE101" s="109" t="n"/>
      <c r="DF101" s="252" t="n"/>
      <c r="DG101" s="178" t="n"/>
      <c r="DH101" s="184" t="n"/>
      <c r="DI101" s="130">
        <f>$E101*20</f>
        <v/>
      </c>
      <c r="DJ101" s="109" t="n"/>
      <c r="DK101" s="252" t="n"/>
      <c r="DL101" s="178" t="n"/>
      <c r="DM101" s="184" t="n"/>
      <c r="DN101" s="130">
        <f>$E101*20</f>
        <v/>
      </c>
      <c r="DO101" s="194" t="n"/>
      <c r="DP101" s="252" t="n"/>
      <c r="DQ101" s="178" t="n"/>
      <c r="DR101" s="184" t="n"/>
      <c r="DS101" s="130">
        <f>$E101*20</f>
        <v/>
      </c>
      <c r="DT101" s="109" t="n"/>
      <c r="DU101" s="252" t="n"/>
      <c r="DV101" s="180">
        <f>SUMPRODUCT(--(MOD(COLUMN($BN101:$DU101),5)=MOD(COLUMN($BN101),5)),$BN101:$DU101)</f>
        <v/>
      </c>
      <c r="DW101" s="181">
        <f>Автовик_разбивка[[#This Row],[Цена, 
юань, без НДС 1]]*DV101</f>
        <v/>
      </c>
      <c r="DX101" s="186">
        <f>SUMPRODUCT(--(MOD(COLUMN($BN101:$DU101),5)=MOD(COLUMN($BN101)+1,5)),$BN101:$DU101)</f>
        <v/>
      </c>
      <c r="DY101" s="186">
        <f>Автовик_разбивка[[#This Row],[Цена, 
юань, без НДС 1]]*DX101</f>
        <v/>
      </c>
      <c r="DZ101" s="130">
        <f>SUMPRODUCT(--(MOD(COLUMN($BN101:$DU101),5)=MOD(COLUMN($BN101)+2,5)),$BN101:$DU101)</f>
        <v/>
      </c>
      <c r="EA101" s="187">
        <f>Автовик_разбивка[[#This Row],[Цена, 
юань, без НДС 1]]*DZ101</f>
        <v/>
      </c>
      <c r="EB101" s="109">
        <f>SUMPRODUCT(--(MOD(COLUMN($BN101:$DU101),5)=MOD(COLUMN($BN101)+3,5)),$BN101:$DU101)</f>
        <v/>
      </c>
      <c r="EC101" s="224">
        <f>Автовик_разбивка[[#This Row],[Цена, 
юань, без НДС 1]]*EB101</f>
        <v/>
      </c>
    </row>
    <row r="102">
      <c r="A102" s="256" t="n">
        <v>22</v>
      </c>
      <c r="B102" s="172" t="inlineStr">
        <is>
          <t>УЗСТ</t>
        </is>
      </c>
      <c r="C102" s="173" t="inlineStr">
        <is>
          <t>TEBS</t>
        </is>
      </c>
      <c r="D102" s="173" t="inlineStr">
        <is>
          <t xml:space="preserve">TEBS 2s/2m 
15м </t>
        </is>
      </c>
      <c r="E102" s="174" t="n">
        <v>1</v>
      </c>
      <c r="F102" s="174" t="n"/>
      <c r="G102" s="174" t="n"/>
      <c r="H102" s="175" t="n">
        <v>4491731500</v>
      </c>
      <c r="I102" s="176" t="inlineStr">
        <is>
          <t>Кабель питания, 15 м</t>
        </is>
      </c>
      <c r="J102" s="911" t="n"/>
      <c r="K102" s="912" t="n"/>
      <c r="L102" s="178" t="n">
        <v>20</v>
      </c>
      <c r="M102" s="130">
        <f>$E102*20</f>
        <v/>
      </c>
      <c r="N102" s="179" t="n">
        <v>0</v>
      </c>
      <c r="O102" s="130" t="n"/>
      <c r="P102" s="178" t="n">
        <v>20</v>
      </c>
      <c r="Q102" s="130">
        <f>$E102*20</f>
        <v/>
      </c>
      <c r="R102" s="179" t="n">
        <v>0</v>
      </c>
      <c r="S102" s="130" t="n"/>
      <c r="T102" s="178" t="n">
        <v>20</v>
      </c>
      <c r="U102" s="130">
        <f>$E102*30</f>
        <v/>
      </c>
      <c r="V102" s="179" t="n">
        <v>0</v>
      </c>
      <c r="W102" s="130" t="n"/>
      <c r="X102" s="178" t="n">
        <v>20</v>
      </c>
      <c r="Y102" s="130">
        <f>$E102*20</f>
        <v/>
      </c>
      <c r="Z102" s="179" t="n">
        <v>0</v>
      </c>
      <c r="AA102" s="130" t="n"/>
      <c r="AB102" s="178" t="n">
        <v>20</v>
      </c>
      <c r="AC102" s="130">
        <f>$E102*20</f>
        <v/>
      </c>
      <c r="AD102" s="109" t="n"/>
      <c r="AE102" s="252" t="n"/>
      <c r="AF102" s="178" t="n">
        <v>20</v>
      </c>
      <c r="AG102" s="130">
        <f>$E102*20</f>
        <v/>
      </c>
      <c r="AH102" s="109" t="n"/>
      <c r="AI102" s="252" t="n"/>
      <c r="AJ102" s="178" t="n">
        <v>20</v>
      </c>
      <c r="AK102" s="130">
        <f>$E102*20</f>
        <v/>
      </c>
      <c r="AL102" s="109" t="n"/>
      <c r="AM102" s="252" t="n"/>
      <c r="AN102" s="178" t="n">
        <v>20</v>
      </c>
      <c r="AO102" s="130">
        <f>$E102*0</f>
        <v/>
      </c>
      <c r="AP102" s="109" t="n"/>
      <c r="AQ102" s="252" t="n"/>
      <c r="AR102" s="178" t="n">
        <v>20</v>
      </c>
      <c r="AS102" s="130">
        <f>$E102*30</f>
        <v/>
      </c>
      <c r="AT102" s="109" t="n"/>
      <c r="AU102" s="252" t="n"/>
      <c r="AV102" s="178" t="n">
        <v>20</v>
      </c>
      <c r="AW102" s="130">
        <f>$E102*0</f>
        <v/>
      </c>
      <c r="AX102" s="109" t="n"/>
      <c r="AY102" s="252" t="n"/>
      <c r="AZ102" s="178" t="n">
        <v>20</v>
      </c>
      <c r="BA102" s="130">
        <f>$E102*20</f>
        <v/>
      </c>
      <c r="BB102" s="193" t="n"/>
      <c r="BC102" s="252" t="n"/>
      <c r="BD102" s="178" t="n">
        <v>20</v>
      </c>
      <c r="BE102" s="130">
        <f>$E102*20</f>
        <v/>
      </c>
      <c r="BF102" s="109" t="n"/>
      <c r="BG102" s="252" t="n"/>
      <c r="BH102" s="180">
        <f>SUMPRODUCT(--(MOD(COLUMN($L102:$BG102),4)=MOD(COLUMN($L102),4)),$L102:$BG102)</f>
        <v/>
      </c>
      <c r="BI102" s="181">
        <f>Автовик_разбивка[[#This Row],[Цена, 
юань, без НДС 1]]*BH102</f>
        <v/>
      </c>
      <c r="BJ102" s="130">
        <f>SUMPRODUCT(--(MOD(COLUMN($L102:$BG102),4)=MOD(COLUMN($L102)+1,4)),$L102:$BG102)</f>
        <v/>
      </c>
      <c r="BK102" s="187">
        <f>Автовик_разбивка[[#This Row],[Цена, 
юань, без НДС 1]]*BJ102</f>
        <v/>
      </c>
      <c r="BL102" s="109">
        <f>SUMPRODUCT(--(MOD(COLUMN($L102:$BG102),4)=MOD(COLUMN($L102)+2,4)),$L102:$BG102)</f>
        <v/>
      </c>
      <c r="BM102" s="224">
        <f>Автовик_разбивка[[#This Row],[Цена, 
юань, без НДС 1]]*BL102</f>
        <v/>
      </c>
      <c r="BN102" s="178" t="n"/>
      <c r="BO102" s="184" t="n"/>
      <c r="BP102" s="130">
        <f>$E102*0</f>
        <v/>
      </c>
      <c r="BQ102" s="179" t="n"/>
      <c r="BR102" s="130" t="n"/>
      <c r="BS102" s="178" t="n"/>
      <c r="BT102" s="184" t="n"/>
      <c r="BU102" s="130">
        <f>$E102*20</f>
        <v/>
      </c>
      <c r="BV102" s="179" t="n"/>
      <c r="BW102" s="130" t="n"/>
      <c r="BX102" s="178" t="n"/>
      <c r="BY102" s="184" t="n"/>
      <c r="BZ102" s="130">
        <f>$E102*20</f>
        <v/>
      </c>
      <c r="CA102" s="179" t="n"/>
      <c r="CB102" s="130" t="n"/>
      <c r="CC102" s="178" t="n"/>
      <c r="CD102" s="184" t="n"/>
      <c r="CE102" s="130">
        <f>$E102*20</f>
        <v/>
      </c>
      <c r="CF102" s="179" t="n"/>
      <c r="CG102" s="130" t="n"/>
      <c r="CH102" s="178" t="n"/>
      <c r="CI102" s="184" t="n"/>
      <c r="CJ102" s="130">
        <f>$E102*20</f>
        <v/>
      </c>
      <c r="CK102" s="109" t="n"/>
      <c r="CL102" s="252" t="n"/>
      <c r="CM102" s="178" t="n"/>
      <c r="CN102" s="184" t="n"/>
      <c r="CO102" s="130">
        <f>$E102*20</f>
        <v/>
      </c>
      <c r="CP102" s="109" t="n"/>
      <c r="CQ102" s="252" t="n"/>
      <c r="CR102" s="178" t="n"/>
      <c r="CS102" s="184" t="n"/>
      <c r="CT102" s="130">
        <f>$E102*20</f>
        <v/>
      </c>
      <c r="CU102" s="109" t="n"/>
      <c r="CV102" s="252" t="n"/>
      <c r="CW102" s="178" t="n"/>
      <c r="CX102" s="184" t="n"/>
      <c r="CY102" s="130">
        <f>$E102*20</f>
        <v/>
      </c>
      <c r="CZ102" s="109" t="n"/>
      <c r="DA102" s="252" t="n"/>
      <c r="DB102" s="178" t="n"/>
      <c r="DC102" s="184" t="n"/>
      <c r="DD102" s="130">
        <f>$E102*20</f>
        <v/>
      </c>
      <c r="DE102" s="109" t="n"/>
      <c r="DF102" s="252" t="n"/>
      <c r="DG102" s="178" t="n"/>
      <c r="DH102" s="184" t="n"/>
      <c r="DI102" s="130">
        <f>$E102*20</f>
        <v/>
      </c>
      <c r="DJ102" s="109" t="n"/>
      <c r="DK102" s="252" t="n"/>
      <c r="DL102" s="178" t="n"/>
      <c r="DM102" s="184" t="n"/>
      <c r="DN102" s="130">
        <f>$E102*20</f>
        <v/>
      </c>
      <c r="DO102" s="193" t="n"/>
      <c r="DP102" s="252" t="n"/>
      <c r="DQ102" s="178" t="n"/>
      <c r="DR102" s="184" t="n"/>
      <c r="DS102" s="130">
        <f>$E102*20</f>
        <v/>
      </c>
      <c r="DT102" s="109" t="n"/>
      <c r="DU102" s="252" t="n"/>
      <c r="DV102" s="180">
        <f>SUMPRODUCT(--(MOD(COLUMN($BN102:$DU102),5)=MOD(COLUMN($BN102),5)),$BN102:$DU102)</f>
        <v/>
      </c>
      <c r="DW102" s="181">
        <f>Автовик_разбивка[[#This Row],[Цена, 
юань, без НДС 1]]*DV102</f>
        <v/>
      </c>
      <c r="DX102" s="186">
        <f>SUMPRODUCT(--(MOD(COLUMN($BN102:$DU102),5)=MOD(COLUMN($BN102)+1,5)),$BN102:$DU102)</f>
        <v/>
      </c>
      <c r="DY102" s="186">
        <f>Автовик_разбивка[[#This Row],[Цена, 
юань, без НДС 1]]*DX102</f>
        <v/>
      </c>
      <c r="DZ102" s="130">
        <f>SUMPRODUCT(--(MOD(COLUMN($BN102:$DU102),5)=MOD(COLUMN($BN102)+2,5)),$BN102:$DU102)</f>
        <v/>
      </c>
      <c r="EA102" s="187">
        <f>Автовик_разбивка[[#This Row],[Цена, 
юань, без НДС 1]]*DZ102</f>
        <v/>
      </c>
      <c r="EB102" s="109">
        <f>SUMPRODUCT(--(MOD(COLUMN($BN102:$DU102),5)=MOD(COLUMN($BN102)+3,5)),$BN102:$DU102)</f>
        <v/>
      </c>
      <c r="EC102" s="224">
        <f>Автовик_разбивка[[#This Row],[Цена, 
юань, без НДС 1]]*EB102</f>
        <v/>
      </c>
    </row>
    <row r="103">
      <c r="A103" s="256" t="n">
        <v>22</v>
      </c>
      <c r="B103" s="172" t="inlineStr">
        <is>
          <t>УЗСТ</t>
        </is>
      </c>
      <c r="C103" s="173" t="inlineStr">
        <is>
          <t>TEBS</t>
        </is>
      </c>
      <c r="D103" s="173" t="inlineStr">
        <is>
          <t xml:space="preserve">TEBS 2s/2m 
15м </t>
        </is>
      </c>
      <c r="E103" s="174" t="n">
        <v>2</v>
      </c>
      <c r="F103" s="174" t="n"/>
      <c r="G103" s="174" t="n"/>
      <c r="H103" s="175" t="n">
        <v>4497230500</v>
      </c>
      <c r="I103" s="176" t="inlineStr">
        <is>
          <t>Кабель датчика, 5 м</t>
        </is>
      </c>
      <c r="J103" s="911" t="n"/>
      <c r="K103" s="912" t="n"/>
      <c r="L103" s="178" t="n">
        <v>40</v>
      </c>
      <c r="M103" s="130">
        <f>$E103*20</f>
        <v/>
      </c>
      <c r="N103" s="179" t="n">
        <v>0</v>
      </c>
      <c r="O103" s="130" t="n"/>
      <c r="P103" s="178" t="n">
        <v>40</v>
      </c>
      <c r="Q103" s="130">
        <f>$E103*20</f>
        <v/>
      </c>
      <c r="R103" s="179" t="n">
        <v>0</v>
      </c>
      <c r="S103" s="130" t="n"/>
      <c r="T103" s="178" t="n">
        <v>40</v>
      </c>
      <c r="U103" s="130">
        <f>$E103*30</f>
        <v/>
      </c>
      <c r="V103" s="179" t="n">
        <v>0</v>
      </c>
      <c r="W103" s="130" t="n"/>
      <c r="X103" s="178" t="n">
        <v>40</v>
      </c>
      <c r="Y103" s="130">
        <f>$E103*20</f>
        <v/>
      </c>
      <c r="Z103" s="179" t="n">
        <v>0</v>
      </c>
      <c r="AA103" s="130" t="n"/>
      <c r="AB103" s="178" t="n">
        <v>40</v>
      </c>
      <c r="AC103" s="130">
        <f>$E103*20</f>
        <v/>
      </c>
      <c r="AD103" s="109" t="n"/>
      <c r="AE103" s="252" t="n"/>
      <c r="AF103" s="178" t="n">
        <v>40</v>
      </c>
      <c r="AG103" s="130">
        <f>$E103*20</f>
        <v/>
      </c>
      <c r="AH103" s="109" t="n"/>
      <c r="AI103" s="252" t="n"/>
      <c r="AJ103" s="178" t="n">
        <v>40</v>
      </c>
      <c r="AK103" s="130">
        <f>$E103*20</f>
        <v/>
      </c>
      <c r="AL103" s="109" t="n"/>
      <c r="AM103" s="252" t="n"/>
      <c r="AN103" s="178" t="n">
        <v>40</v>
      </c>
      <c r="AO103" s="130">
        <f>$E103*0</f>
        <v/>
      </c>
      <c r="AP103" s="109" t="n"/>
      <c r="AQ103" s="252" t="n"/>
      <c r="AR103" s="178" t="n">
        <v>40</v>
      </c>
      <c r="AS103" s="130">
        <f>$E103*30</f>
        <v/>
      </c>
      <c r="AT103" s="109" t="n"/>
      <c r="AU103" s="252" t="n"/>
      <c r="AV103" s="178" t="n">
        <v>40</v>
      </c>
      <c r="AW103" s="130">
        <f>$E103*0</f>
        <v/>
      </c>
      <c r="AX103" s="109" t="n"/>
      <c r="AY103" s="252" t="n"/>
      <c r="AZ103" s="178" t="n">
        <v>40</v>
      </c>
      <c r="BA103" s="130">
        <f>$E103*20</f>
        <v/>
      </c>
      <c r="BB103" s="193" t="n"/>
      <c r="BC103" s="252" t="n"/>
      <c r="BD103" s="178" t="n">
        <v>40</v>
      </c>
      <c r="BE103" s="130">
        <f>$E103*20</f>
        <v/>
      </c>
      <c r="BF103" s="109" t="n"/>
      <c r="BG103" s="252" t="n"/>
      <c r="BH103" s="180">
        <f>SUMPRODUCT(--(MOD(COLUMN($L103:$BG103),4)=MOD(COLUMN($L103),4)),$L103:$BG103)</f>
        <v/>
      </c>
      <c r="BI103" s="181">
        <f>Автовик_разбивка[[#This Row],[Цена, 
юань, без НДС 1]]*BH103</f>
        <v/>
      </c>
      <c r="BJ103" s="130">
        <f>SUMPRODUCT(--(MOD(COLUMN($L103:$BG103),4)=MOD(COLUMN($L103)+1,4)),$L103:$BG103)</f>
        <v/>
      </c>
      <c r="BK103" s="187">
        <f>Автовик_разбивка[[#This Row],[Цена, 
юань, без НДС 1]]*BJ103</f>
        <v/>
      </c>
      <c r="BL103" s="109">
        <f>SUMPRODUCT(--(MOD(COLUMN($L103:$BG103),4)=MOD(COLUMN($L103)+2,4)),$L103:$BG103)</f>
        <v/>
      </c>
      <c r="BM103" s="224">
        <f>Автовик_разбивка[[#This Row],[Цена, 
юань, без НДС 1]]*BL103</f>
        <v/>
      </c>
      <c r="BN103" s="178" t="n"/>
      <c r="BO103" s="184" t="n"/>
      <c r="BP103" s="130">
        <f>$E103*0</f>
        <v/>
      </c>
      <c r="BQ103" s="179" t="n"/>
      <c r="BR103" s="130" t="n"/>
      <c r="BS103" s="178" t="n"/>
      <c r="BT103" s="184" t="n"/>
      <c r="BU103" s="130">
        <f>$E103*20</f>
        <v/>
      </c>
      <c r="BV103" s="179" t="n"/>
      <c r="BW103" s="130" t="n"/>
      <c r="BX103" s="178" t="n"/>
      <c r="BY103" s="184" t="n"/>
      <c r="BZ103" s="130">
        <f>$E103*20</f>
        <v/>
      </c>
      <c r="CA103" s="179" t="n"/>
      <c r="CB103" s="130" t="n"/>
      <c r="CC103" s="178" t="n"/>
      <c r="CD103" s="184" t="n"/>
      <c r="CE103" s="130">
        <f>$E103*20</f>
        <v/>
      </c>
      <c r="CF103" s="179" t="n"/>
      <c r="CG103" s="130" t="n"/>
      <c r="CH103" s="178" t="n"/>
      <c r="CI103" s="184" t="n"/>
      <c r="CJ103" s="130">
        <f>$E103*20</f>
        <v/>
      </c>
      <c r="CK103" s="109" t="n"/>
      <c r="CL103" s="252" t="n"/>
      <c r="CM103" s="178" t="n"/>
      <c r="CN103" s="184" t="n"/>
      <c r="CO103" s="130">
        <f>$E103*20</f>
        <v/>
      </c>
      <c r="CP103" s="109" t="n"/>
      <c r="CQ103" s="252" t="n"/>
      <c r="CR103" s="178" t="n"/>
      <c r="CS103" s="184" t="n"/>
      <c r="CT103" s="130">
        <f>$E103*20</f>
        <v/>
      </c>
      <c r="CU103" s="109" t="n"/>
      <c r="CV103" s="252" t="n"/>
      <c r="CW103" s="178" t="n"/>
      <c r="CX103" s="184" t="n"/>
      <c r="CY103" s="130">
        <f>$E103*20</f>
        <v/>
      </c>
      <c r="CZ103" s="109" t="n"/>
      <c r="DA103" s="252" t="n"/>
      <c r="DB103" s="178" t="n"/>
      <c r="DC103" s="184" t="n"/>
      <c r="DD103" s="130">
        <f>$E103*20</f>
        <v/>
      </c>
      <c r="DE103" s="109" t="n"/>
      <c r="DF103" s="252" t="n"/>
      <c r="DG103" s="178" t="n"/>
      <c r="DH103" s="184" t="n"/>
      <c r="DI103" s="130">
        <f>$E103*20</f>
        <v/>
      </c>
      <c r="DJ103" s="109" t="n"/>
      <c r="DK103" s="252" t="n"/>
      <c r="DL103" s="178" t="n"/>
      <c r="DM103" s="184" t="n"/>
      <c r="DN103" s="130">
        <f>$E103*20</f>
        <v/>
      </c>
      <c r="DO103" s="193" t="n"/>
      <c r="DP103" s="252" t="n"/>
      <c r="DQ103" s="178" t="n"/>
      <c r="DR103" s="184" t="n"/>
      <c r="DS103" s="130">
        <f>$E103*20</f>
        <v/>
      </c>
      <c r="DT103" s="109" t="n"/>
      <c r="DU103" s="252" t="n"/>
      <c r="DV103" s="180">
        <f>SUMPRODUCT(--(MOD(COLUMN($BN103:$DU103),5)=MOD(COLUMN($BN103),5)),$BN103:$DU103)</f>
        <v/>
      </c>
      <c r="DW103" s="181">
        <f>Автовик_разбивка[[#This Row],[Цена, 
юань, без НДС 1]]*DV103</f>
        <v/>
      </c>
      <c r="DX103" s="186">
        <f>SUMPRODUCT(--(MOD(COLUMN($BN103:$DU103),5)=MOD(COLUMN($BN103)+1,5)),$BN103:$DU103)</f>
        <v/>
      </c>
      <c r="DY103" s="186">
        <f>Автовик_разбивка[[#This Row],[Цена, 
юань, без НДС 1]]*DX103</f>
        <v/>
      </c>
      <c r="DZ103" s="130">
        <f>SUMPRODUCT(--(MOD(COLUMN($BN103:$DU103),5)=MOD(COLUMN($BN103)+2,5)),$BN103:$DU103)</f>
        <v/>
      </c>
      <c r="EA103" s="187">
        <f>Автовик_разбивка[[#This Row],[Цена, 
юань, без НДС 1]]*DZ103</f>
        <v/>
      </c>
      <c r="EB103" s="109">
        <f>SUMPRODUCT(--(MOD(COLUMN($BN103:$DU103),5)=MOD(COLUMN($BN103)+3,5)),$BN103:$DU103)</f>
        <v/>
      </c>
      <c r="EC103" s="224">
        <f>Автовик_разбивка[[#This Row],[Цена, 
юань, без НДС 1]]*EB103</f>
        <v/>
      </c>
    </row>
    <row r="104">
      <c r="A104" s="256" t="n">
        <v>22</v>
      </c>
      <c r="B104" s="172" t="inlineStr">
        <is>
          <t>УЗСТ</t>
        </is>
      </c>
      <c r="C104" s="173" t="inlineStr">
        <is>
          <t>TEBS</t>
        </is>
      </c>
      <c r="D104" s="173" t="inlineStr">
        <is>
          <t xml:space="preserve">TEBS 2s/2m 
15м </t>
        </is>
      </c>
      <c r="E104" s="174" t="n">
        <v>1</v>
      </c>
      <c r="F104" s="174" t="n"/>
      <c r="G104" s="174" t="n"/>
      <c r="H104" s="175" t="n">
        <v>4630320200</v>
      </c>
      <c r="I104" s="176" t="inlineStr">
        <is>
          <t>Кран ручного управления</t>
        </is>
      </c>
      <c r="J104" s="911" t="n"/>
      <c r="K104" s="913" t="n"/>
      <c r="L104" s="178" t="n">
        <v>20</v>
      </c>
      <c r="M104" s="130">
        <f>$E104*20</f>
        <v/>
      </c>
      <c r="N104" s="179" t="n">
        <v>0</v>
      </c>
      <c r="O104" s="130" t="n"/>
      <c r="P104" s="178" t="n">
        <v>20</v>
      </c>
      <c r="Q104" s="130">
        <f>$E104*20</f>
        <v/>
      </c>
      <c r="R104" s="179" t="n">
        <v>0</v>
      </c>
      <c r="S104" s="130" t="n"/>
      <c r="T104" s="178" t="n">
        <v>20</v>
      </c>
      <c r="U104" s="130">
        <f>$E104*30</f>
        <v/>
      </c>
      <c r="V104" s="179" t="n">
        <v>0</v>
      </c>
      <c r="W104" s="130" t="n"/>
      <c r="X104" s="178" t="n">
        <v>20</v>
      </c>
      <c r="Y104" s="130">
        <f>$E104*20</f>
        <v/>
      </c>
      <c r="Z104" s="179" t="n">
        <v>0</v>
      </c>
      <c r="AA104" s="130" t="n"/>
      <c r="AB104" s="178" t="n">
        <v>20</v>
      </c>
      <c r="AC104" s="130">
        <f>$E104*20</f>
        <v/>
      </c>
      <c r="AD104" s="109" t="n"/>
      <c r="AE104" s="252" t="n"/>
      <c r="AF104" s="178" t="n">
        <v>20</v>
      </c>
      <c r="AG104" s="130">
        <f>$E104*20</f>
        <v/>
      </c>
      <c r="AH104" s="109" t="n"/>
      <c r="AI104" s="252" t="n"/>
      <c r="AJ104" s="178" t="n">
        <v>20</v>
      </c>
      <c r="AK104" s="130">
        <f>$E104*20</f>
        <v/>
      </c>
      <c r="AL104" s="109" t="n"/>
      <c r="AM104" s="252" t="n"/>
      <c r="AN104" s="178" t="n">
        <v>20</v>
      </c>
      <c r="AO104" s="130">
        <f>$E104*0</f>
        <v/>
      </c>
      <c r="AP104" s="109" t="n"/>
      <c r="AQ104" s="252" t="n"/>
      <c r="AR104" s="178" t="n">
        <v>20</v>
      </c>
      <c r="AS104" s="130">
        <f>$E104*30</f>
        <v/>
      </c>
      <c r="AT104" s="109" t="n"/>
      <c r="AU104" s="252" t="n"/>
      <c r="AV104" s="178" t="n">
        <v>20</v>
      </c>
      <c r="AW104" s="130">
        <f>$E104*0</f>
        <v/>
      </c>
      <c r="AX104" s="109" t="n"/>
      <c r="AY104" s="252" t="n"/>
      <c r="AZ104" s="178" t="n">
        <v>20</v>
      </c>
      <c r="BA104" s="130">
        <f>$E104*20</f>
        <v/>
      </c>
      <c r="BB104" s="194" t="n"/>
      <c r="BC104" s="252" t="n"/>
      <c r="BD104" s="178" t="n">
        <v>20</v>
      </c>
      <c r="BE104" s="130">
        <f>$E104*20</f>
        <v/>
      </c>
      <c r="BF104" s="109" t="n"/>
      <c r="BG104" s="252" t="n"/>
      <c r="BH104" s="180">
        <f>SUMPRODUCT(--(MOD(COLUMN($L104:$BG104),4)=MOD(COLUMN($L104),4)),$L104:$BG104)</f>
        <v/>
      </c>
      <c r="BI104" s="181">
        <f>Автовик_разбивка[[#This Row],[Цена, 
юань, без НДС 1]]*BH104</f>
        <v/>
      </c>
      <c r="BJ104" s="130">
        <f>SUMPRODUCT(--(MOD(COLUMN($L104:$BG104),4)=MOD(COLUMN($L104)+1,4)),$L104:$BG104)</f>
        <v/>
      </c>
      <c r="BK104" s="187">
        <f>Автовик_разбивка[[#This Row],[Цена, 
юань, без НДС 1]]*BJ104</f>
        <v/>
      </c>
      <c r="BL104" s="109">
        <f>SUMPRODUCT(--(MOD(COLUMN($L104:$BG104),4)=MOD(COLUMN($L104)+2,4)),$L104:$BG104)</f>
        <v/>
      </c>
      <c r="BM104" s="224">
        <f>Автовик_разбивка[[#This Row],[Цена, 
юань, без НДС 1]]*BL104</f>
        <v/>
      </c>
      <c r="BN104" s="178" t="n"/>
      <c r="BO104" s="184" t="n"/>
      <c r="BP104" s="130">
        <f>$E104*0</f>
        <v/>
      </c>
      <c r="BQ104" s="179" t="n"/>
      <c r="BR104" s="130" t="n"/>
      <c r="BS104" s="178" t="n"/>
      <c r="BT104" s="184" t="n"/>
      <c r="BU104" s="130">
        <f>$E104*20</f>
        <v/>
      </c>
      <c r="BV104" s="179" t="n"/>
      <c r="BW104" s="130" t="n"/>
      <c r="BX104" s="178" t="n"/>
      <c r="BY104" s="184" t="n"/>
      <c r="BZ104" s="130">
        <f>$E104*20</f>
        <v/>
      </c>
      <c r="CA104" s="179" t="n"/>
      <c r="CB104" s="130" t="n"/>
      <c r="CC104" s="178" t="n"/>
      <c r="CD104" s="184" t="n"/>
      <c r="CE104" s="130">
        <f>$E104*20</f>
        <v/>
      </c>
      <c r="CF104" s="179" t="n"/>
      <c r="CG104" s="130" t="n"/>
      <c r="CH104" s="178" t="n"/>
      <c r="CI104" s="184" t="n"/>
      <c r="CJ104" s="130">
        <f>$E104*20</f>
        <v/>
      </c>
      <c r="CK104" s="109" t="n"/>
      <c r="CL104" s="252" t="n"/>
      <c r="CM104" s="178" t="n"/>
      <c r="CN104" s="184" t="n"/>
      <c r="CO104" s="130">
        <f>$E104*20</f>
        <v/>
      </c>
      <c r="CP104" s="109" t="n"/>
      <c r="CQ104" s="252" t="n"/>
      <c r="CR104" s="178" t="n"/>
      <c r="CS104" s="184" t="n"/>
      <c r="CT104" s="130">
        <f>$E104*20</f>
        <v/>
      </c>
      <c r="CU104" s="109" t="n"/>
      <c r="CV104" s="252" t="n"/>
      <c r="CW104" s="178" t="n"/>
      <c r="CX104" s="184" t="n"/>
      <c r="CY104" s="130">
        <f>$E104*20</f>
        <v/>
      </c>
      <c r="CZ104" s="109" t="n"/>
      <c r="DA104" s="252" t="n"/>
      <c r="DB104" s="178" t="n"/>
      <c r="DC104" s="184" t="n"/>
      <c r="DD104" s="130">
        <f>$E104*20</f>
        <v/>
      </c>
      <c r="DE104" s="109" t="n"/>
      <c r="DF104" s="252" t="n"/>
      <c r="DG104" s="178" t="n"/>
      <c r="DH104" s="184" t="n"/>
      <c r="DI104" s="130">
        <f>$E104*20</f>
        <v/>
      </c>
      <c r="DJ104" s="109" t="n"/>
      <c r="DK104" s="252" t="n"/>
      <c r="DL104" s="178" t="n"/>
      <c r="DM104" s="184" t="n"/>
      <c r="DN104" s="130">
        <f>$E104*20</f>
        <v/>
      </c>
      <c r="DO104" s="194" t="n"/>
      <c r="DP104" s="252" t="n"/>
      <c r="DQ104" s="178" t="n"/>
      <c r="DR104" s="184" t="n"/>
      <c r="DS104" s="130">
        <f>$E104*20</f>
        <v/>
      </c>
      <c r="DT104" s="109" t="n"/>
      <c r="DU104" s="252" t="n"/>
      <c r="DV104" s="180">
        <f>SUMPRODUCT(--(MOD(COLUMN($BN104:$DU104),5)=MOD(COLUMN($BN104),5)),$BN104:$DU104)</f>
        <v/>
      </c>
      <c r="DW104" s="181">
        <f>Автовик_разбивка[[#This Row],[Цена, 
юань, без НДС 1]]*DV104</f>
        <v/>
      </c>
      <c r="DX104" s="186">
        <f>SUMPRODUCT(--(MOD(COLUMN($BN104:$DU104),5)=MOD(COLUMN($BN104)+1,5)),$BN104:$DU104)</f>
        <v/>
      </c>
      <c r="DY104" s="186">
        <f>Автовик_разбивка[[#This Row],[Цена, 
юань, без НДС 1]]*DX104</f>
        <v/>
      </c>
      <c r="DZ104" s="130">
        <f>SUMPRODUCT(--(MOD(COLUMN($BN104:$DU104),5)=MOD(COLUMN($BN104)+2,5)),$BN104:$DU104)</f>
        <v/>
      </c>
      <c r="EA104" s="187">
        <f>Автовик_разбивка[[#This Row],[Цена, 
юань, без НДС 1]]*DZ104</f>
        <v/>
      </c>
      <c r="EB104" s="109">
        <f>SUMPRODUCT(--(MOD(COLUMN($BN104:$DU104),5)=MOD(COLUMN($BN104)+3,5)),$BN104:$DU104)</f>
        <v/>
      </c>
      <c r="EC104" s="224">
        <f>Автовик_разбивка[[#This Row],[Цена, 
юань, без НДС 1]]*EB104</f>
        <v/>
      </c>
    </row>
    <row r="105">
      <c r="A105" s="256" t="n">
        <v>22</v>
      </c>
      <c r="B105" s="172" t="inlineStr">
        <is>
          <t>УЗСТ</t>
        </is>
      </c>
      <c r="C105" s="173" t="inlineStr">
        <is>
          <t>TEBS</t>
        </is>
      </c>
      <c r="D105" s="173" t="inlineStr">
        <is>
          <t xml:space="preserve">TEBS 2s/2m 
15м </t>
        </is>
      </c>
      <c r="E105" s="174" t="n">
        <v>1</v>
      </c>
      <c r="F105" s="174" t="n"/>
      <c r="G105" s="174" t="n"/>
      <c r="H105" s="175" t="n">
        <v>4640061000</v>
      </c>
      <c r="I105" s="176" t="inlineStr">
        <is>
          <t>Кран уровня пола, 5-ти портовый</t>
        </is>
      </c>
      <c r="J105" s="911" t="n"/>
      <c r="K105" s="912" t="n"/>
      <c r="L105" s="178" t="n">
        <v>20</v>
      </c>
      <c r="M105" s="130">
        <f>$E105*20</f>
        <v/>
      </c>
      <c r="N105" s="179" t="n">
        <v>0</v>
      </c>
      <c r="O105" s="130" t="n"/>
      <c r="P105" s="178" t="n">
        <v>20</v>
      </c>
      <c r="Q105" s="130">
        <f>$E105*20</f>
        <v/>
      </c>
      <c r="R105" s="179" t="n">
        <v>0</v>
      </c>
      <c r="S105" s="130" t="n"/>
      <c r="T105" s="178" t="n">
        <v>20</v>
      </c>
      <c r="U105" s="130">
        <f>$E105*30</f>
        <v/>
      </c>
      <c r="V105" s="179" t="n">
        <v>0</v>
      </c>
      <c r="W105" s="130" t="n"/>
      <c r="X105" s="178" t="n">
        <v>20</v>
      </c>
      <c r="Y105" s="130">
        <f>$E105*20</f>
        <v/>
      </c>
      <c r="Z105" s="179" t="n">
        <v>0</v>
      </c>
      <c r="AA105" s="130" t="n"/>
      <c r="AB105" s="178" t="n">
        <v>20</v>
      </c>
      <c r="AC105" s="130">
        <f>$E105*20</f>
        <v/>
      </c>
      <c r="AD105" s="109" t="n"/>
      <c r="AE105" s="252" t="n"/>
      <c r="AF105" s="178" t="n">
        <v>20</v>
      </c>
      <c r="AG105" s="130">
        <f>$E105*20</f>
        <v/>
      </c>
      <c r="AH105" s="109" t="n"/>
      <c r="AI105" s="252" t="n"/>
      <c r="AJ105" s="178" t="n">
        <v>20</v>
      </c>
      <c r="AK105" s="130">
        <f>$E105*20</f>
        <v/>
      </c>
      <c r="AL105" s="109" t="n"/>
      <c r="AM105" s="252" t="n"/>
      <c r="AN105" s="178" t="n">
        <v>20</v>
      </c>
      <c r="AO105" s="130">
        <f>$E105*0</f>
        <v/>
      </c>
      <c r="AP105" s="109" t="n"/>
      <c r="AQ105" s="252" t="n"/>
      <c r="AR105" s="178" t="n">
        <v>20</v>
      </c>
      <c r="AS105" s="130">
        <f>$E105*30</f>
        <v/>
      </c>
      <c r="AT105" s="109" t="n"/>
      <c r="AU105" s="252" t="n"/>
      <c r="AV105" s="178" t="n">
        <v>20</v>
      </c>
      <c r="AW105" s="130">
        <f>$E105*0</f>
        <v/>
      </c>
      <c r="AX105" s="109" t="n"/>
      <c r="AY105" s="252" t="n"/>
      <c r="AZ105" s="178" t="n">
        <v>20</v>
      </c>
      <c r="BA105" s="130">
        <f>$E105*20</f>
        <v/>
      </c>
      <c r="BB105" s="179" t="n"/>
      <c r="BC105" s="252" t="n"/>
      <c r="BD105" s="178" t="n">
        <v>20</v>
      </c>
      <c r="BE105" s="130">
        <f>$E105*20</f>
        <v/>
      </c>
      <c r="BF105" s="109" t="n"/>
      <c r="BG105" s="252" t="n"/>
      <c r="BH105" s="180">
        <f>SUMPRODUCT(--(MOD(COLUMN($L105:$BG105),4)=MOD(COLUMN($L105),4)),$L105:$BG105)</f>
        <v/>
      </c>
      <c r="BI105" s="181">
        <f>Автовик_разбивка[[#This Row],[Цена, 
юань, без НДС 1]]*BH105</f>
        <v/>
      </c>
      <c r="BJ105" s="130">
        <f>SUMPRODUCT(--(MOD(COLUMN($L105:$BG105),4)=MOD(COLUMN($L105)+1,4)),$L105:$BG105)</f>
        <v/>
      </c>
      <c r="BK105" s="187">
        <f>Автовик_разбивка[[#This Row],[Цена, 
юань, без НДС 1]]*BJ105</f>
        <v/>
      </c>
      <c r="BL105" s="109">
        <f>SUMPRODUCT(--(MOD(COLUMN($L105:$BG105),4)=MOD(COLUMN($L105)+2,4)),$L105:$BG105)</f>
        <v/>
      </c>
      <c r="BM105" s="224">
        <f>Автовик_разбивка[[#This Row],[Цена, 
юань, без НДС 1]]*BL105</f>
        <v/>
      </c>
      <c r="BN105" s="178" t="n"/>
      <c r="BO105" s="184" t="n"/>
      <c r="BP105" s="130">
        <f>$E105*0</f>
        <v/>
      </c>
      <c r="BQ105" s="179" t="n"/>
      <c r="BR105" s="130" t="n"/>
      <c r="BS105" s="178" t="n"/>
      <c r="BT105" s="184" t="n"/>
      <c r="BU105" s="130">
        <f>$E105*20</f>
        <v/>
      </c>
      <c r="BV105" s="179" t="n"/>
      <c r="BW105" s="130" t="n"/>
      <c r="BX105" s="178" t="n"/>
      <c r="BY105" s="184" t="n"/>
      <c r="BZ105" s="130">
        <f>$E105*20</f>
        <v/>
      </c>
      <c r="CA105" s="179" t="n"/>
      <c r="CB105" s="130" t="n"/>
      <c r="CC105" s="178" t="n"/>
      <c r="CD105" s="184" t="n"/>
      <c r="CE105" s="130">
        <f>$E105*20</f>
        <v/>
      </c>
      <c r="CF105" s="179" t="n"/>
      <c r="CG105" s="130" t="n"/>
      <c r="CH105" s="178" t="n"/>
      <c r="CI105" s="184" t="n"/>
      <c r="CJ105" s="130">
        <f>$E105*20</f>
        <v/>
      </c>
      <c r="CK105" s="109" t="n"/>
      <c r="CL105" s="252" t="n"/>
      <c r="CM105" s="178" t="n"/>
      <c r="CN105" s="184" t="n"/>
      <c r="CO105" s="130">
        <f>$E105*20</f>
        <v/>
      </c>
      <c r="CP105" s="109" t="n"/>
      <c r="CQ105" s="252" t="n"/>
      <c r="CR105" s="178" t="n"/>
      <c r="CS105" s="184" t="n"/>
      <c r="CT105" s="130">
        <f>$E105*20</f>
        <v/>
      </c>
      <c r="CU105" s="109" t="n"/>
      <c r="CV105" s="252" t="n"/>
      <c r="CW105" s="178" t="n"/>
      <c r="CX105" s="184" t="n"/>
      <c r="CY105" s="130">
        <f>$E105*20</f>
        <v/>
      </c>
      <c r="CZ105" s="109" t="n"/>
      <c r="DA105" s="252" t="n"/>
      <c r="DB105" s="178" t="n"/>
      <c r="DC105" s="184" t="n"/>
      <c r="DD105" s="130">
        <f>$E105*20</f>
        <v/>
      </c>
      <c r="DE105" s="109" t="n"/>
      <c r="DF105" s="252" t="n"/>
      <c r="DG105" s="178" t="n"/>
      <c r="DH105" s="184" t="n"/>
      <c r="DI105" s="130">
        <f>$E105*20</f>
        <v/>
      </c>
      <c r="DJ105" s="109" t="n"/>
      <c r="DK105" s="252" t="n"/>
      <c r="DL105" s="178" t="n"/>
      <c r="DM105" s="184" t="n"/>
      <c r="DN105" s="130">
        <f>$E105*20</f>
        <v/>
      </c>
      <c r="DO105" s="179" t="n"/>
      <c r="DP105" s="252" t="n"/>
      <c r="DQ105" s="178" t="n"/>
      <c r="DR105" s="184" t="n"/>
      <c r="DS105" s="130">
        <f>$E105*20</f>
        <v/>
      </c>
      <c r="DT105" s="109" t="n"/>
      <c r="DU105" s="252" t="n"/>
      <c r="DV105" s="180">
        <f>SUMPRODUCT(--(MOD(COLUMN($BN105:$DU105),5)=MOD(COLUMN($BN105),5)),$BN105:$DU105)</f>
        <v/>
      </c>
      <c r="DW105" s="181">
        <f>Автовик_разбивка[[#This Row],[Цена, 
юань, без НДС 1]]*DV105</f>
        <v/>
      </c>
      <c r="DX105" s="186">
        <f>SUMPRODUCT(--(MOD(COLUMN($BN105:$DU105),5)=MOD(COLUMN($BN105)+1,5)),$BN105:$DU105)</f>
        <v/>
      </c>
      <c r="DY105" s="186">
        <f>Автовик_разбивка[[#This Row],[Цена, 
юань, без НДС 1]]*DX105</f>
        <v/>
      </c>
      <c r="DZ105" s="130">
        <f>SUMPRODUCT(--(MOD(COLUMN($BN105:$DU105),5)=MOD(COLUMN($BN105)+2,5)),$BN105:$DU105)</f>
        <v/>
      </c>
      <c r="EA105" s="187">
        <f>Автовик_разбивка[[#This Row],[Цена, 
юань, без НДС 1]]*DZ105</f>
        <v/>
      </c>
      <c r="EB105" s="109">
        <f>SUMPRODUCT(--(MOD(COLUMN($BN105:$DU105),5)=MOD(COLUMN($BN105)+3,5)),$BN105:$DU105)</f>
        <v/>
      </c>
      <c r="EC105" s="224">
        <f>Автовик_разбивка[[#This Row],[Цена, 
юань, без НДС 1]]*EB105</f>
        <v/>
      </c>
    </row>
    <row r="106">
      <c r="A106" s="256" t="n">
        <v>22</v>
      </c>
      <c r="B106" s="172" t="inlineStr">
        <is>
          <t>УЗСТ</t>
        </is>
      </c>
      <c r="C106" s="173" t="inlineStr">
        <is>
          <t>TEBS</t>
        </is>
      </c>
      <c r="D106" s="173" t="inlineStr">
        <is>
          <t xml:space="preserve">TEBS 2s/2m 
15м </t>
        </is>
      </c>
      <c r="E106" s="174" t="n">
        <v>1</v>
      </c>
      <c r="F106" s="174" t="n"/>
      <c r="G106" s="174" t="n"/>
      <c r="H106" s="175" t="n">
        <v>4801020640</v>
      </c>
      <c r="I106" s="176" t="inlineStr">
        <is>
          <t>Модулятор EBS, с PEM, без фит.</t>
        </is>
      </c>
      <c r="J106" s="911" t="n"/>
      <c r="K106" s="913" t="n"/>
      <c r="L106" s="178" t="n">
        <v>20</v>
      </c>
      <c r="M106" s="130">
        <f>$E106*20</f>
        <v/>
      </c>
      <c r="N106" s="179" t="n">
        <v>0</v>
      </c>
      <c r="O106" s="130" t="n"/>
      <c r="P106" s="178" t="n">
        <v>20</v>
      </c>
      <c r="Q106" s="130">
        <f>$E106*20</f>
        <v/>
      </c>
      <c r="R106" s="179" t="n">
        <v>0</v>
      </c>
      <c r="S106" s="130" t="n"/>
      <c r="T106" s="178" t="n">
        <v>20</v>
      </c>
      <c r="U106" s="130">
        <f>$E106*30</f>
        <v/>
      </c>
      <c r="V106" s="179" t="n">
        <v>0</v>
      </c>
      <c r="W106" s="130" t="n"/>
      <c r="X106" s="178" t="n">
        <v>20</v>
      </c>
      <c r="Y106" s="130">
        <f>$E106*20</f>
        <v/>
      </c>
      <c r="Z106" s="179" t="n">
        <v>0</v>
      </c>
      <c r="AA106" s="130" t="n"/>
      <c r="AB106" s="178" t="n">
        <v>20</v>
      </c>
      <c r="AC106" s="130">
        <f>$E106*20</f>
        <v/>
      </c>
      <c r="AD106" s="109" t="n"/>
      <c r="AE106" s="252" t="n"/>
      <c r="AF106" s="178" t="n">
        <v>20</v>
      </c>
      <c r="AG106" s="130">
        <f>$E106*20</f>
        <v/>
      </c>
      <c r="AH106" s="109" t="n"/>
      <c r="AI106" s="252" t="n"/>
      <c r="AJ106" s="178" t="n">
        <v>20</v>
      </c>
      <c r="AK106" s="130">
        <f>$E106*20</f>
        <v/>
      </c>
      <c r="AL106" s="109" t="n"/>
      <c r="AM106" s="252" t="n"/>
      <c r="AN106" s="178" t="n">
        <v>20</v>
      </c>
      <c r="AO106" s="130">
        <f>$E106*0</f>
        <v/>
      </c>
      <c r="AP106" s="109" t="n"/>
      <c r="AQ106" s="252" t="n"/>
      <c r="AR106" s="178" t="n">
        <v>20</v>
      </c>
      <c r="AS106" s="130">
        <f>$E106*30</f>
        <v/>
      </c>
      <c r="AT106" s="109" t="n"/>
      <c r="AU106" s="252" t="n"/>
      <c r="AV106" s="178" t="n">
        <v>20</v>
      </c>
      <c r="AW106" s="130">
        <f>$E106*0</f>
        <v/>
      </c>
      <c r="AX106" s="109" t="n"/>
      <c r="AY106" s="252" t="n"/>
      <c r="AZ106" s="178" t="n">
        <v>20</v>
      </c>
      <c r="BA106" s="130">
        <f>$E106*20</f>
        <v/>
      </c>
      <c r="BB106" s="193" t="n"/>
      <c r="BC106" s="252" t="n"/>
      <c r="BD106" s="178" t="n">
        <v>20</v>
      </c>
      <c r="BE106" s="130">
        <f>$E106*20</f>
        <v/>
      </c>
      <c r="BF106" s="109" t="n"/>
      <c r="BG106" s="252" t="n"/>
      <c r="BH106" s="180">
        <f>SUMPRODUCT(--(MOD(COLUMN($L106:$BG106),4)=MOD(COLUMN($L106),4)),$L106:$BG106)</f>
        <v/>
      </c>
      <c r="BI106" s="181">
        <f>Автовик_разбивка[[#This Row],[Цена, 
юань, без НДС 1]]*BH106</f>
        <v/>
      </c>
      <c r="BJ106" s="130">
        <f>SUMPRODUCT(--(MOD(COLUMN($L106:$BG106),4)=MOD(COLUMN($L106)+1,4)),$L106:$BG106)</f>
        <v/>
      </c>
      <c r="BK106" s="187">
        <f>Автовик_разбивка[[#This Row],[Цена, 
юань, без НДС 1]]*BJ106</f>
        <v/>
      </c>
      <c r="BL106" s="109">
        <f>SUMPRODUCT(--(MOD(COLUMN($L106:$BG106),4)=MOD(COLUMN($L106)+2,4)),$L106:$BG106)</f>
        <v/>
      </c>
      <c r="BM106" s="224">
        <f>Автовик_разбивка[[#This Row],[Цена, 
юань, без НДС 1]]*BL106</f>
        <v/>
      </c>
      <c r="BN106" s="178" t="n"/>
      <c r="BO106" s="184" t="n"/>
      <c r="BP106" s="130">
        <f>$E106*0</f>
        <v/>
      </c>
      <c r="BQ106" s="179" t="n"/>
      <c r="BR106" s="130" t="n"/>
      <c r="BS106" s="178" t="n"/>
      <c r="BT106" s="184" t="n"/>
      <c r="BU106" s="130">
        <f>$E106*20</f>
        <v/>
      </c>
      <c r="BV106" s="179" t="n"/>
      <c r="BW106" s="130" t="n"/>
      <c r="BX106" s="178" t="n"/>
      <c r="BY106" s="184" t="n"/>
      <c r="BZ106" s="130">
        <f>$E106*20</f>
        <v/>
      </c>
      <c r="CA106" s="179" t="n"/>
      <c r="CB106" s="130" t="n"/>
      <c r="CC106" s="178" t="n"/>
      <c r="CD106" s="184" t="n"/>
      <c r="CE106" s="130">
        <f>$E106*20</f>
        <v/>
      </c>
      <c r="CF106" s="179" t="n"/>
      <c r="CG106" s="130" t="n"/>
      <c r="CH106" s="178" t="n"/>
      <c r="CI106" s="184" t="n"/>
      <c r="CJ106" s="130">
        <f>$E106*20</f>
        <v/>
      </c>
      <c r="CK106" s="109" t="n"/>
      <c r="CL106" s="252" t="n"/>
      <c r="CM106" s="178" t="n"/>
      <c r="CN106" s="184" t="n"/>
      <c r="CO106" s="130">
        <f>$E106*20</f>
        <v/>
      </c>
      <c r="CP106" s="109" t="n"/>
      <c r="CQ106" s="252" t="n"/>
      <c r="CR106" s="178" t="n"/>
      <c r="CS106" s="184" t="n"/>
      <c r="CT106" s="130">
        <f>$E106*20</f>
        <v/>
      </c>
      <c r="CU106" s="109" t="n"/>
      <c r="CV106" s="252" t="n"/>
      <c r="CW106" s="178" t="n"/>
      <c r="CX106" s="184" t="n"/>
      <c r="CY106" s="130">
        <f>$E106*20</f>
        <v/>
      </c>
      <c r="CZ106" s="109" t="n"/>
      <c r="DA106" s="252" t="n"/>
      <c r="DB106" s="178" t="n"/>
      <c r="DC106" s="184" t="n"/>
      <c r="DD106" s="130">
        <f>$E106*20</f>
        <v/>
      </c>
      <c r="DE106" s="109" t="n"/>
      <c r="DF106" s="252" t="n"/>
      <c r="DG106" s="178" t="n"/>
      <c r="DH106" s="184" t="n"/>
      <c r="DI106" s="130">
        <f>$E106*20</f>
        <v/>
      </c>
      <c r="DJ106" s="109" t="n"/>
      <c r="DK106" s="252" t="n"/>
      <c r="DL106" s="178" t="n"/>
      <c r="DM106" s="184" t="n"/>
      <c r="DN106" s="130">
        <f>$E106*20</f>
        <v/>
      </c>
      <c r="DO106" s="193" t="n"/>
      <c r="DP106" s="252" t="n"/>
      <c r="DQ106" s="178" t="n"/>
      <c r="DR106" s="184" t="n"/>
      <c r="DS106" s="130">
        <f>$E106*20</f>
        <v/>
      </c>
      <c r="DT106" s="109" t="n"/>
      <c r="DU106" s="252" t="n"/>
      <c r="DV106" s="180">
        <f>SUMPRODUCT(--(MOD(COLUMN($BN106:$DU106),5)=MOD(COLUMN($BN106),5)),$BN106:$DU106)</f>
        <v/>
      </c>
      <c r="DW106" s="181">
        <f>Автовик_разбивка[[#This Row],[Цена, 
юань, без НДС 1]]*DV106</f>
        <v/>
      </c>
      <c r="DX106" s="186">
        <f>SUMPRODUCT(--(MOD(COLUMN($BN106:$DU106),5)=MOD(COLUMN($BN106)+1,5)),$BN106:$DU106)</f>
        <v/>
      </c>
      <c r="DY106" s="186">
        <f>Автовик_разбивка[[#This Row],[Цена, 
юань, без НДС 1]]*DX106</f>
        <v/>
      </c>
      <c r="DZ106" s="130">
        <f>SUMPRODUCT(--(MOD(COLUMN($BN106:$DU106),5)=MOD(COLUMN($BN106)+2,5)),$BN106:$DU106)</f>
        <v/>
      </c>
      <c r="EA106" s="187">
        <f>Автовик_разбивка[[#This Row],[Цена, 
юань, без НДС 1]]*DZ106</f>
        <v/>
      </c>
      <c r="EB106" s="109">
        <f>SUMPRODUCT(--(MOD(COLUMN($BN106:$DU106),5)=MOD(COLUMN($BN106)+3,5)),$BN106:$DU106)</f>
        <v/>
      </c>
      <c r="EC106" s="224">
        <f>Автовик_разбивка[[#This Row],[Цена, 
юань, без НДС 1]]*EB106</f>
        <v/>
      </c>
    </row>
    <row r="107">
      <c r="A107" s="256" t="n">
        <v>22</v>
      </c>
      <c r="B107" s="172" t="inlineStr">
        <is>
          <t>УЗСТ</t>
        </is>
      </c>
      <c r="C107" s="173" t="inlineStr">
        <is>
          <t>TEBS</t>
        </is>
      </c>
      <c r="D107" s="173" t="inlineStr">
        <is>
          <t xml:space="preserve">TEBS 2s/2m 
15м </t>
        </is>
      </c>
      <c r="E107" s="174" t="n">
        <v>1</v>
      </c>
      <c r="F107" s="174" t="n"/>
      <c r="G107" s="174" t="n"/>
      <c r="H107" s="175" t="n">
        <v>9522010010</v>
      </c>
      <c r="I107" s="176" t="inlineStr">
        <is>
          <t>Головка соединительная (управляющая)</t>
        </is>
      </c>
      <c r="J107" s="911" t="n"/>
      <c r="K107" s="913" t="n"/>
      <c r="L107" s="178" t="n">
        <v>20</v>
      </c>
      <c r="M107" s="130">
        <f>$E107*20</f>
        <v/>
      </c>
      <c r="N107" s="179" t="n">
        <v>0</v>
      </c>
      <c r="O107" s="130" t="n"/>
      <c r="P107" s="178" t="n">
        <v>20</v>
      </c>
      <c r="Q107" s="130">
        <f>$E107*20</f>
        <v/>
      </c>
      <c r="R107" s="179" t="n">
        <v>0</v>
      </c>
      <c r="S107" s="130" t="n"/>
      <c r="T107" s="178" t="n">
        <v>20</v>
      </c>
      <c r="U107" s="130">
        <f>$E107*30</f>
        <v/>
      </c>
      <c r="V107" s="179" t="n">
        <v>0</v>
      </c>
      <c r="W107" s="130" t="n"/>
      <c r="X107" s="178" t="n">
        <v>20</v>
      </c>
      <c r="Y107" s="130">
        <f>$E107*20</f>
        <v/>
      </c>
      <c r="Z107" s="179" t="n">
        <v>0</v>
      </c>
      <c r="AA107" s="130" t="n"/>
      <c r="AB107" s="178" t="n">
        <v>20</v>
      </c>
      <c r="AC107" s="130">
        <f>$E107*20</f>
        <v/>
      </c>
      <c r="AD107" s="179" t="n"/>
      <c r="AE107" s="130" t="n"/>
      <c r="AF107" s="178" t="n">
        <v>20</v>
      </c>
      <c r="AG107" s="130">
        <f>$E107*20</f>
        <v/>
      </c>
      <c r="AH107" s="179" t="n"/>
      <c r="AI107" s="130" t="n"/>
      <c r="AJ107" s="178" t="n">
        <v>20</v>
      </c>
      <c r="AK107" s="130">
        <f>$E107*20</f>
        <v/>
      </c>
      <c r="AL107" s="179" t="n"/>
      <c r="AM107" s="130" t="n"/>
      <c r="AN107" s="178" t="n">
        <v>20</v>
      </c>
      <c r="AO107" s="130">
        <f>$E107*0</f>
        <v/>
      </c>
      <c r="AP107" s="179" t="n"/>
      <c r="AQ107" s="130" t="n"/>
      <c r="AR107" s="178" t="n">
        <v>20</v>
      </c>
      <c r="AS107" s="130">
        <f>$E107*30</f>
        <v/>
      </c>
      <c r="AT107" s="179" t="n"/>
      <c r="AU107" s="130" t="n"/>
      <c r="AV107" s="178" t="n">
        <v>20</v>
      </c>
      <c r="AW107" s="130">
        <f>$E107*0</f>
        <v/>
      </c>
      <c r="AX107" s="179" t="n"/>
      <c r="AY107" s="130" t="n"/>
      <c r="AZ107" s="178" t="n">
        <v>20</v>
      </c>
      <c r="BA107" s="130">
        <f>$E107*20</f>
        <v/>
      </c>
      <c r="BB107" s="228" t="n"/>
      <c r="BC107" s="130" t="n"/>
      <c r="BD107" s="178" t="n">
        <v>20</v>
      </c>
      <c r="BE107" s="130">
        <f>$E107*20</f>
        <v/>
      </c>
      <c r="BF107" s="109" t="n"/>
      <c r="BG107" s="130" t="n"/>
      <c r="BH107" s="180">
        <f>SUMPRODUCT(--(MOD(COLUMN($L107:$BG107),4)=MOD(COLUMN($L107),4)),$L107:$BG107)</f>
        <v/>
      </c>
      <c r="BI107" s="181">
        <f>Автовик_разбивка[[#This Row],[Цена, 
юань, без НДС 1]]*BH107</f>
        <v/>
      </c>
      <c r="BJ107" s="130">
        <f>SUMPRODUCT(--(MOD(COLUMN($L107:$BG107),4)=MOD(COLUMN($L107)+1,4)),$L107:$BG107)</f>
        <v/>
      </c>
      <c r="BK107" s="187">
        <f>Автовик_разбивка[[#This Row],[Цена, 
юань, без НДС 1]]*BJ107</f>
        <v/>
      </c>
      <c r="BL107" s="109">
        <f>SUMPRODUCT(--(MOD(COLUMN($L107:$BG107),4)=MOD(COLUMN($L107)+2,4)),$L107:$BG107)</f>
        <v/>
      </c>
      <c r="BM107" s="224">
        <f>Автовик_разбивка[[#This Row],[Цена, 
юань, без НДС 1]]*BL107</f>
        <v/>
      </c>
      <c r="BN107" s="178" t="n"/>
      <c r="BO107" s="184" t="n"/>
      <c r="BP107" s="130">
        <f>$E107*0</f>
        <v/>
      </c>
      <c r="BQ107" s="179" t="n"/>
      <c r="BR107" s="130" t="n"/>
      <c r="BS107" s="178" t="n"/>
      <c r="BT107" s="184" t="n"/>
      <c r="BU107" s="130">
        <f>$E107*20</f>
        <v/>
      </c>
      <c r="BV107" s="179" t="n"/>
      <c r="BW107" s="130" t="n"/>
      <c r="BX107" s="178" t="n"/>
      <c r="BY107" s="184" t="n"/>
      <c r="BZ107" s="130">
        <f>$E107*20</f>
        <v/>
      </c>
      <c r="CA107" s="179" t="n"/>
      <c r="CB107" s="130" t="n"/>
      <c r="CC107" s="178" t="n"/>
      <c r="CD107" s="184" t="n"/>
      <c r="CE107" s="130">
        <f>$E107*20</f>
        <v/>
      </c>
      <c r="CF107" s="179" t="n"/>
      <c r="CG107" s="130" t="n"/>
      <c r="CH107" s="178" t="n"/>
      <c r="CI107" s="184" t="n"/>
      <c r="CJ107" s="130">
        <f>$E107*20</f>
        <v/>
      </c>
      <c r="CK107" s="179" t="n"/>
      <c r="CL107" s="130" t="n"/>
      <c r="CM107" s="178" t="n"/>
      <c r="CN107" s="184" t="n"/>
      <c r="CO107" s="130">
        <f>$E107*20</f>
        <v/>
      </c>
      <c r="CP107" s="179" t="n"/>
      <c r="CQ107" s="130" t="n"/>
      <c r="CR107" s="178" t="n"/>
      <c r="CS107" s="184" t="n"/>
      <c r="CT107" s="130">
        <f>$E107*20</f>
        <v/>
      </c>
      <c r="CU107" s="179" t="n"/>
      <c r="CV107" s="130" t="n"/>
      <c r="CW107" s="178" t="n"/>
      <c r="CX107" s="184" t="n"/>
      <c r="CY107" s="130">
        <f>$E107*20</f>
        <v/>
      </c>
      <c r="CZ107" s="179" t="n"/>
      <c r="DA107" s="130" t="n"/>
      <c r="DB107" s="178" t="n"/>
      <c r="DC107" s="184" t="n"/>
      <c r="DD107" s="130">
        <f>$E107*20</f>
        <v/>
      </c>
      <c r="DE107" s="179" t="n"/>
      <c r="DF107" s="130" t="n"/>
      <c r="DG107" s="178" t="n"/>
      <c r="DH107" s="184" t="n"/>
      <c r="DI107" s="130">
        <f>$E107*20</f>
        <v/>
      </c>
      <c r="DJ107" s="179" t="n"/>
      <c r="DK107" s="130" t="n"/>
      <c r="DL107" s="178" t="n"/>
      <c r="DM107" s="184" t="n"/>
      <c r="DN107" s="130">
        <f>$E107*20</f>
        <v/>
      </c>
      <c r="DO107" s="228" t="n"/>
      <c r="DP107" s="130" t="n"/>
      <c r="DQ107" s="178" t="n"/>
      <c r="DR107" s="184" t="n"/>
      <c r="DS107" s="130">
        <f>$E107*20</f>
        <v/>
      </c>
      <c r="DT107" s="109" t="n"/>
      <c r="DU107" s="130" t="n"/>
      <c r="DV107" s="180">
        <f>SUMPRODUCT(--(MOD(COLUMN($BN107:$DU107),5)=MOD(COLUMN($BN107),5)),$BN107:$DU107)</f>
        <v/>
      </c>
      <c r="DW107" s="181">
        <f>Автовик_разбивка[[#This Row],[Цена, 
юань, без НДС 1]]*DV107</f>
        <v/>
      </c>
      <c r="DX107" s="186">
        <f>SUMPRODUCT(--(MOD(COLUMN($BN107:$DU107),5)=MOD(COLUMN($BN107)+1,5)),$BN107:$DU107)</f>
        <v/>
      </c>
      <c r="DY107" s="186">
        <f>Автовик_разбивка[[#This Row],[Цена, 
юань, без НДС 1]]*DX107</f>
        <v/>
      </c>
      <c r="DZ107" s="130">
        <f>SUMPRODUCT(--(MOD(COLUMN($BN107:$DU107),5)=MOD(COLUMN($BN107)+2,5)),$BN107:$DU107)</f>
        <v/>
      </c>
      <c r="EA107" s="187">
        <f>Автовик_разбивка[[#This Row],[Цена, 
юань, без НДС 1]]*DZ107</f>
        <v/>
      </c>
      <c r="EB107" s="109">
        <f>SUMPRODUCT(--(MOD(COLUMN($BN107:$DU107),5)=MOD(COLUMN($BN107)+3,5)),$BN107:$DU107)</f>
        <v/>
      </c>
      <c r="EC107" s="224">
        <f>Автовик_разбивка[[#This Row],[Цена, 
юань, без НДС 1]]*EB107</f>
        <v/>
      </c>
    </row>
    <row r="108">
      <c r="A108" s="256" t="n">
        <v>22</v>
      </c>
      <c r="B108" s="172" t="inlineStr">
        <is>
          <t>УЗСТ</t>
        </is>
      </c>
      <c r="C108" s="173" t="inlineStr">
        <is>
          <t>TEBS</t>
        </is>
      </c>
      <c r="D108" s="173" t="inlineStr">
        <is>
          <t xml:space="preserve">TEBS 2s/2m 
15м </t>
        </is>
      </c>
      <c r="E108" s="174" t="n">
        <v>1</v>
      </c>
      <c r="F108" s="174" t="n"/>
      <c r="G108" s="174" t="n"/>
      <c r="H108" s="175" t="n">
        <v>9522010020</v>
      </c>
      <c r="I108" s="176" t="inlineStr">
        <is>
          <t>Головка соединительная (питающая)</t>
        </is>
      </c>
      <c r="J108" s="911" t="n"/>
      <c r="K108" s="913" t="n"/>
      <c r="L108" s="178" t="n">
        <v>20</v>
      </c>
      <c r="M108" s="130">
        <f>$E108*20</f>
        <v/>
      </c>
      <c r="N108" s="179" t="n">
        <v>0</v>
      </c>
      <c r="O108" s="130" t="n"/>
      <c r="P108" s="178" t="n">
        <v>20</v>
      </c>
      <c r="Q108" s="130">
        <f>$E108*20</f>
        <v/>
      </c>
      <c r="R108" s="179" t="n">
        <v>0</v>
      </c>
      <c r="S108" s="130" t="n"/>
      <c r="T108" s="178" t="n">
        <v>20</v>
      </c>
      <c r="U108" s="130">
        <f>$E108*30</f>
        <v/>
      </c>
      <c r="V108" s="179" t="n">
        <v>0</v>
      </c>
      <c r="W108" s="130" t="n"/>
      <c r="X108" s="178" t="n">
        <v>20</v>
      </c>
      <c r="Y108" s="130">
        <f>$E108*20</f>
        <v/>
      </c>
      <c r="Z108" s="179" t="n">
        <v>0</v>
      </c>
      <c r="AA108" s="130" t="n"/>
      <c r="AB108" s="178" t="n">
        <v>20</v>
      </c>
      <c r="AC108" s="130">
        <f>$E108*20</f>
        <v/>
      </c>
      <c r="AD108" s="179" t="n"/>
      <c r="AE108" s="130" t="n"/>
      <c r="AF108" s="178" t="n">
        <v>20</v>
      </c>
      <c r="AG108" s="130">
        <f>$E108*20</f>
        <v/>
      </c>
      <c r="AH108" s="179" t="n"/>
      <c r="AI108" s="130" t="n"/>
      <c r="AJ108" s="178" t="n">
        <v>20</v>
      </c>
      <c r="AK108" s="130">
        <f>$E108*20</f>
        <v/>
      </c>
      <c r="AL108" s="179" t="n"/>
      <c r="AM108" s="130" t="n"/>
      <c r="AN108" s="178" t="n">
        <v>20</v>
      </c>
      <c r="AO108" s="130">
        <f>$E108*0</f>
        <v/>
      </c>
      <c r="AP108" s="179" t="n"/>
      <c r="AQ108" s="130" t="n"/>
      <c r="AR108" s="178" t="n">
        <v>20</v>
      </c>
      <c r="AS108" s="130">
        <f>$E108*30</f>
        <v/>
      </c>
      <c r="AT108" s="179" t="n"/>
      <c r="AU108" s="130" t="n"/>
      <c r="AV108" s="178" t="n">
        <v>20</v>
      </c>
      <c r="AW108" s="130">
        <f>$E108*0</f>
        <v/>
      </c>
      <c r="AX108" s="179" t="n"/>
      <c r="AY108" s="130" t="n"/>
      <c r="AZ108" s="178" t="n">
        <v>20</v>
      </c>
      <c r="BA108" s="130">
        <f>$E108*20</f>
        <v/>
      </c>
      <c r="BB108" s="228" t="n"/>
      <c r="BC108" s="130" t="n"/>
      <c r="BD108" s="178" t="n">
        <v>20</v>
      </c>
      <c r="BE108" s="130">
        <f>$E108*20</f>
        <v/>
      </c>
      <c r="BF108" s="109" t="n"/>
      <c r="BG108" s="130" t="n"/>
      <c r="BH108" s="180">
        <f>SUMPRODUCT(--(MOD(COLUMN($L108:$BG108),4)=MOD(COLUMN($L108),4)),$L108:$BG108)</f>
        <v/>
      </c>
      <c r="BI108" s="181">
        <f>Автовик_разбивка[[#This Row],[Цена, 
юань, без НДС 1]]*BH108</f>
        <v/>
      </c>
      <c r="BJ108" s="130">
        <f>SUMPRODUCT(--(MOD(COLUMN($L108:$BG108),4)=MOD(COLUMN($L108)+1,4)),$L108:$BG108)</f>
        <v/>
      </c>
      <c r="BK108" s="187">
        <f>Автовик_разбивка[[#This Row],[Цена, 
юань, без НДС 1]]*BJ108</f>
        <v/>
      </c>
      <c r="BL108" s="109">
        <f>SUMPRODUCT(--(MOD(COLUMN($L108:$BG108),4)=MOD(COLUMN($L108)+2,4)),$L108:$BG108)</f>
        <v/>
      </c>
      <c r="BM108" s="224">
        <f>Автовик_разбивка[[#This Row],[Цена, 
юань, без НДС 1]]*BL108</f>
        <v/>
      </c>
      <c r="BN108" s="178" t="n"/>
      <c r="BO108" s="184" t="n"/>
      <c r="BP108" s="130">
        <f>$E108*0</f>
        <v/>
      </c>
      <c r="BQ108" s="179" t="n"/>
      <c r="BR108" s="130" t="n"/>
      <c r="BS108" s="178" t="n"/>
      <c r="BT108" s="184" t="n"/>
      <c r="BU108" s="130">
        <f>$E108*20</f>
        <v/>
      </c>
      <c r="BV108" s="179" t="n"/>
      <c r="BW108" s="130" t="n"/>
      <c r="BX108" s="178" t="n"/>
      <c r="BY108" s="184" t="n"/>
      <c r="BZ108" s="130">
        <f>$E108*20</f>
        <v/>
      </c>
      <c r="CA108" s="179" t="n"/>
      <c r="CB108" s="130" t="n"/>
      <c r="CC108" s="178" t="n"/>
      <c r="CD108" s="184" t="n"/>
      <c r="CE108" s="130">
        <f>$E108*20</f>
        <v/>
      </c>
      <c r="CF108" s="179" t="n"/>
      <c r="CG108" s="130" t="n"/>
      <c r="CH108" s="178" t="n"/>
      <c r="CI108" s="184" t="n"/>
      <c r="CJ108" s="130">
        <f>$E108*20</f>
        <v/>
      </c>
      <c r="CK108" s="179" t="n"/>
      <c r="CL108" s="130" t="n"/>
      <c r="CM108" s="178" t="n"/>
      <c r="CN108" s="184" t="n"/>
      <c r="CO108" s="130">
        <f>$E108*20</f>
        <v/>
      </c>
      <c r="CP108" s="179" t="n"/>
      <c r="CQ108" s="130" t="n"/>
      <c r="CR108" s="178" t="n"/>
      <c r="CS108" s="184" t="n"/>
      <c r="CT108" s="130">
        <f>$E108*20</f>
        <v/>
      </c>
      <c r="CU108" s="179" t="n"/>
      <c r="CV108" s="130" t="n"/>
      <c r="CW108" s="178" t="n"/>
      <c r="CX108" s="184" t="n"/>
      <c r="CY108" s="130">
        <f>$E108*20</f>
        <v/>
      </c>
      <c r="CZ108" s="179" t="n"/>
      <c r="DA108" s="130" t="n"/>
      <c r="DB108" s="178" t="n"/>
      <c r="DC108" s="184" t="n"/>
      <c r="DD108" s="130">
        <f>$E108*20</f>
        <v/>
      </c>
      <c r="DE108" s="179" t="n"/>
      <c r="DF108" s="130" t="n"/>
      <c r="DG108" s="178" t="n"/>
      <c r="DH108" s="184" t="n"/>
      <c r="DI108" s="130">
        <f>$E108*20</f>
        <v/>
      </c>
      <c r="DJ108" s="179" t="n"/>
      <c r="DK108" s="130" t="n"/>
      <c r="DL108" s="178" t="n"/>
      <c r="DM108" s="184" t="n"/>
      <c r="DN108" s="130">
        <f>$E108*20</f>
        <v/>
      </c>
      <c r="DO108" s="228" t="n"/>
      <c r="DP108" s="130" t="n"/>
      <c r="DQ108" s="178" t="n"/>
      <c r="DR108" s="184" t="n"/>
      <c r="DS108" s="130">
        <f>$E108*20</f>
        <v/>
      </c>
      <c r="DT108" s="109" t="n"/>
      <c r="DU108" s="130" t="n"/>
      <c r="DV108" s="180">
        <f>SUMPRODUCT(--(MOD(COLUMN($BN108:$DU108),5)=MOD(COLUMN($BN108),5)),$BN108:$DU108)</f>
        <v/>
      </c>
      <c r="DW108" s="181">
        <f>Автовик_разбивка[[#This Row],[Цена, 
юань, без НДС 1]]*DV108</f>
        <v/>
      </c>
      <c r="DX108" s="186">
        <f>SUMPRODUCT(--(MOD(COLUMN($BN108:$DU108),5)=MOD(COLUMN($BN108)+1,5)),$BN108:$DU108)</f>
        <v/>
      </c>
      <c r="DY108" s="186">
        <f>Автовик_разбивка[[#This Row],[Цена, 
юань, без НДС 1]]*DX108</f>
        <v/>
      </c>
      <c r="DZ108" s="130">
        <f>SUMPRODUCT(--(MOD(COLUMN($BN108:$DU108),5)=MOD(COLUMN($BN108)+2,5)),$BN108:$DU108)</f>
        <v/>
      </c>
      <c r="EA108" s="187">
        <f>Автовик_разбивка[[#This Row],[Цена, 
юань, без НДС 1]]*DZ108</f>
        <v/>
      </c>
      <c r="EB108" s="109">
        <f>SUMPRODUCT(--(MOD(COLUMN($BN108:$DU108),5)=MOD(COLUMN($BN108)+3,5)),$BN108:$DU108)</f>
        <v/>
      </c>
      <c r="EC108" s="224">
        <f>Автовик_разбивка[[#This Row],[Цена, 
юань, без НДС 1]]*EB108</f>
        <v/>
      </c>
    </row>
    <row r="109">
      <c r="A109" s="256" t="n">
        <v>22</v>
      </c>
      <c r="B109" s="172" t="inlineStr">
        <is>
          <t>УЗСТ</t>
        </is>
      </c>
      <c r="C109" s="173" t="inlineStr">
        <is>
          <t>TEBS</t>
        </is>
      </c>
      <c r="D109" s="173" t="inlineStr">
        <is>
          <t xml:space="preserve">TEBS 2s/2m 
15м </t>
        </is>
      </c>
      <c r="E109" s="174" t="n">
        <v>1</v>
      </c>
      <c r="F109" s="174" t="n"/>
      <c r="G109" s="174" t="n"/>
      <c r="H109" s="175" t="n">
        <v>9710029000</v>
      </c>
      <c r="I109" s="176" t="inlineStr">
        <is>
          <t>Воздухораспределитель с клапаном растормаживания</t>
        </is>
      </c>
      <c r="J109" s="911" t="n"/>
      <c r="K109" s="913" t="n"/>
      <c r="L109" s="178" t="n">
        <v>20</v>
      </c>
      <c r="M109" s="130">
        <f>$E109*20</f>
        <v/>
      </c>
      <c r="N109" s="179" t="n">
        <v>0</v>
      </c>
      <c r="O109" s="130" t="n"/>
      <c r="P109" s="178" t="n">
        <v>20</v>
      </c>
      <c r="Q109" s="130">
        <f>$E109*20</f>
        <v/>
      </c>
      <c r="R109" s="179" t="n">
        <v>0</v>
      </c>
      <c r="S109" s="130" t="n"/>
      <c r="T109" s="178" t="n">
        <v>20</v>
      </c>
      <c r="U109" s="130">
        <f>$E109*30</f>
        <v/>
      </c>
      <c r="V109" s="179" t="n">
        <v>0</v>
      </c>
      <c r="W109" s="130" t="n"/>
      <c r="X109" s="178" t="n">
        <v>20</v>
      </c>
      <c r="Y109" s="130">
        <f>$E109*20</f>
        <v/>
      </c>
      <c r="Z109" s="179" t="n">
        <v>0</v>
      </c>
      <c r="AA109" s="130" t="n"/>
      <c r="AB109" s="178" t="n">
        <v>20</v>
      </c>
      <c r="AC109" s="130">
        <f>$E109*20</f>
        <v/>
      </c>
      <c r="AD109" s="109" t="n"/>
      <c r="AE109" s="252" t="n"/>
      <c r="AF109" s="178" t="n">
        <v>20</v>
      </c>
      <c r="AG109" s="130">
        <f>$E109*20</f>
        <v/>
      </c>
      <c r="AH109" s="109" t="n"/>
      <c r="AI109" s="252" t="n"/>
      <c r="AJ109" s="178" t="n">
        <v>20</v>
      </c>
      <c r="AK109" s="130">
        <f>$E109*20</f>
        <v/>
      </c>
      <c r="AL109" s="109" t="n"/>
      <c r="AM109" s="252" t="n"/>
      <c r="AN109" s="178" t="n">
        <v>20</v>
      </c>
      <c r="AO109" s="130">
        <f>$E109*0</f>
        <v/>
      </c>
      <c r="AP109" s="109" t="n"/>
      <c r="AQ109" s="252" t="n"/>
      <c r="AR109" s="178" t="n">
        <v>20</v>
      </c>
      <c r="AS109" s="130">
        <f>$E109*30</f>
        <v/>
      </c>
      <c r="AT109" s="109" t="n"/>
      <c r="AU109" s="252" t="n"/>
      <c r="AV109" s="178" t="n">
        <v>20</v>
      </c>
      <c r="AW109" s="130">
        <f>$E109*0</f>
        <v/>
      </c>
      <c r="AX109" s="109" t="n"/>
      <c r="AY109" s="252" t="n"/>
      <c r="AZ109" s="178" t="n">
        <v>20</v>
      </c>
      <c r="BA109" s="130">
        <f>$E109*20</f>
        <v/>
      </c>
      <c r="BB109" s="194" t="n"/>
      <c r="BC109" s="252" t="n"/>
      <c r="BD109" s="178" t="n">
        <v>20</v>
      </c>
      <c r="BE109" s="130">
        <f>$E109*20</f>
        <v/>
      </c>
      <c r="BF109" s="109" t="n"/>
      <c r="BG109" s="252" t="n"/>
      <c r="BH109" s="180">
        <f>SUMPRODUCT(--(MOD(COLUMN($L109:$BG109),4)=MOD(COLUMN($L109),4)),$L109:$BG109)</f>
        <v/>
      </c>
      <c r="BI109" s="181">
        <f>Автовик_разбивка[[#This Row],[Цена, 
юань, без НДС 1]]*BH109</f>
        <v/>
      </c>
      <c r="BJ109" s="130">
        <f>SUMPRODUCT(--(MOD(COLUMN($L109:$BG109),4)=MOD(COLUMN($L109)+1,4)),$L109:$BG109)</f>
        <v/>
      </c>
      <c r="BK109" s="187">
        <f>Автовик_разбивка[[#This Row],[Цена, 
юань, без НДС 1]]*BJ109</f>
        <v/>
      </c>
      <c r="BL109" s="109">
        <f>SUMPRODUCT(--(MOD(COLUMN($L109:$BG109),4)=MOD(COLUMN($L109)+2,4)),$L109:$BG109)</f>
        <v/>
      </c>
      <c r="BM109" s="224">
        <f>Автовик_разбивка[[#This Row],[Цена, 
юань, без НДС 1]]*BL109</f>
        <v/>
      </c>
      <c r="BN109" s="178" t="n"/>
      <c r="BO109" s="184" t="n"/>
      <c r="BP109" s="130">
        <f>$E109*0</f>
        <v/>
      </c>
      <c r="BQ109" s="179" t="n"/>
      <c r="BR109" s="130" t="n"/>
      <c r="BS109" s="178" t="n"/>
      <c r="BT109" s="184" t="n"/>
      <c r="BU109" s="130">
        <f>$E109*20</f>
        <v/>
      </c>
      <c r="BV109" s="179" t="n"/>
      <c r="BW109" s="130" t="n"/>
      <c r="BX109" s="178" t="n"/>
      <c r="BY109" s="184" t="n"/>
      <c r="BZ109" s="130">
        <f>$E109*20</f>
        <v/>
      </c>
      <c r="CA109" s="179" t="n"/>
      <c r="CB109" s="130" t="n"/>
      <c r="CC109" s="178" t="n"/>
      <c r="CD109" s="184" t="n"/>
      <c r="CE109" s="130">
        <f>$E109*20</f>
        <v/>
      </c>
      <c r="CF109" s="179" t="n"/>
      <c r="CG109" s="130" t="n"/>
      <c r="CH109" s="178" t="n"/>
      <c r="CI109" s="184" t="n"/>
      <c r="CJ109" s="130">
        <f>$E109*20</f>
        <v/>
      </c>
      <c r="CK109" s="109" t="n"/>
      <c r="CL109" s="252" t="n"/>
      <c r="CM109" s="178" t="n"/>
      <c r="CN109" s="184" t="n"/>
      <c r="CO109" s="130">
        <f>$E109*20</f>
        <v/>
      </c>
      <c r="CP109" s="109" t="n"/>
      <c r="CQ109" s="252" t="n"/>
      <c r="CR109" s="178" t="n"/>
      <c r="CS109" s="184" t="n"/>
      <c r="CT109" s="130">
        <f>$E109*20</f>
        <v/>
      </c>
      <c r="CU109" s="109" t="n"/>
      <c r="CV109" s="252" t="n"/>
      <c r="CW109" s="178" t="n"/>
      <c r="CX109" s="184" t="n"/>
      <c r="CY109" s="130">
        <f>$E109*20</f>
        <v/>
      </c>
      <c r="CZ109" s="109" t="n"/>
      <c r="DA109" s="252" t="n"/>
      <c r="DB109" s="178" t="n"/>
      <c r="DC109" s="184" t="n"/>
      <c r="DD109" s="130">
        <f>$E109*20</f>
        <v/>
      </c>
      <c r="DE109" s="109" t="n"/>
      <c r="DF109" s="252" t="n"/>
      <c r="DG109" s="178" t="n"/>
      <c r="DH109" s="184" t="n"/>
      <c r="DI109" s="130">
        <f>$E109*20</f>
        <v/>
      </c>
      <c r="DJ109" s="109" t="n"/>
      <c r="DK109" s="252" t="n"/>
      <c r="DL109" s="178" t="n"/>
      <c r="DM109" s="184" t="n"/>
      <c r="DN109" s="130">
        <f>$E109*20</f>
        <v/>
      </c>
      <c r="DO109" s="194" t="n"/>
      <c r="DP109" s="252" t="n"/>
      <c r="DQ109" s="178" t="n"/>
      <c r="DR109" s="184" t="n"/>
      <c r="DS109" s="130">
        <f>$E109*20</f>
        <v/>
      </c>
      <c r="DT109" s="109" t="n"/>
      <c r="DU109" s="252" t="n"/>
      <c r="DV109" s="180">
        <f>SUMPRODUCT(--(MOD(COLUMN($BN109:$DU109),5)=MOD(COLUMN($BN109),5)),$BN109:$DU109)</f>
        <v/>
      </c>
      <c r="DW109" s="181">
        <f>Автовик_разбивка[[#This Row],[Цена, 
юань, без НДС 1]]*DV109</f>
        <v/>
      </c>
      <c r="DX109" s="186">
        <f>SUMPRODUCT(--(MOD(COLUMN($BN109:$DU109),5)=MOD(COLUMN($BN109)+1,5)),$BN109:$DU109)</f>
        <v/>
      </c>
      <c r="DY109" s="186">
        <f>Автовик_разбивка[[#This Row],[Цена, 
юань, без НДС 1]]*DX109</f>
        <v/>
      </c>
      <c r="DZ109" s="130">
        <f>SUMPRODUCT(--(MOD(COLUMN($BN109:$DU109),5)=MOD(COLUMN($BN109)+2,5)),$BN109:$DU109)</f>
        <v/>
      </c>
      <c r="EA109" s="187">
        <f>Автовик_разбивка[[#This Row],[Цена, 
юань, без НДС 1]]*DZ109</f>
        <v/>
      </c>
      <c r="EB109" s="109">
        <f>SUMPRODUCT(--(MOD(COLUMN($BN109:$DU109),5)=MOD(COLUMN($BN109)+3,5)),$BN109:$DU109)</f>
        <v/>
      </c>
      <c r="EC109" s="224">
        <f>Автовик_разбивка[[#This Row],[Цена, 
юань, без НДС 1]]*EB109</f>
        <v/>
      </c>
    </row>
    <row r="110">
      <c r="A110" s="256" t="n">
        <v>22</v>
      </c>
      <c r="B110" s="172" t="inlineStr">
        <is>
          <t>УЗСТ</t>
        </is>
      </c>
      <c r="C110" s="173" t="inlineStr">
        <is>
          <t>TEBS W</t>
        </is>
      </c>
      <c r="D110" s="173" t="inlineStr">
        <is>
          <t>TEBS 4s/3m W</t>
        </is>
      </c>
      <c r="E110" s="174" t="n">
        <v>1</v>
      </c>
      <c r="F110" s="174" t="n"/>
      <c r="G110" s="204" t="n">
        <v>2</v>
      </c>
      <c r="H110" s="205" t="n">
        <v>4334010030</v>
      </c>
      <c r="I110" s="206" t="inlineStr">
        <is>
          <t>Упругий элемент</t>
        </is>
      </c>
      <c r="J110" s="911" t="n"/>
      <c r="K110" s="912" t="n"/>
      <c r="L110" s="178" t="n"/>
      <c r="M110" s="130" t="n"/>
      <c r="N110" s="179" t="n"/>
      <c r="O110" s="130" t="n"/>
      <c r="P110" s="178" t="n"/>
      <c r="Q110" s="130">
        <f>$E110*1</f>
        <v/>
      </c>
      <c r="R110" s="179" t="n">
        <v>1</v>
      </c>
      <c r="S110" s="130" t="n"/>
      <c r="T110" s="178" t="n"/>
      <c r="U110" s="130" t="n"/>
      <c r="V110" s="179" t="n"/>
      <c r="W110" s="130" t="n"/>
      <c r="X110" s="178" t="n"/>
      <c r="Y110" s="130" t="n"/>
      <c r="Z110" s="179" t="n"/>
      <c r="AA110" s="130" t="n"/>
      <c r="AB110" s="178" t="n"/>
      <c r="AC110" s="130" t="n"/>
      <c r="AD110" s="179" t="n"/>
      <c r="AE110" s="130" t="n"/>
      <c r="AF110" s="178" t="n"/>
      <c r="AG110" s="130" t="n"/>
      <c r="AH110" s="179" t="n"/>
      <c r="AI110" s="130" t="n"/>
      <c r="AJ110" s="178" t="n"/>
      <c r="AK110" s="130" t="n"/>
      <c r="AL110" s="179" t="n"/>
      <c r="AM110" s="130" t="n"/>
      <c r="AN110" s="178" t="n"/>
      <c r="AO110" s="130" t="n"/>
      <c r="AP110" s="179" t="n"/>
      <c r="AQ110" s="130" t="n"/>
      <c r="AR110" s="178" t="n"/>
      <c r="AS110" s="130" t="n"/>
      <c r="AT110" s="179" t="n"/>
      <c r="AU110" s="130" t="n"/>
      <c r="AV110" s="178" t="n"/>
      <c r="AW110" s="130" t="n"/>
      <c r="AX110" s="179" t="n"/>
      <c r="AY110" s="130" t="n"/>
      <c r="AZ110" s="178" t="n"/>
      <c r="BA110" s="130" t="n"/>
      <c r="BB110" s="194" t="n"/>
      <c r="BC110" s="130" t="n"/>
      <c r="BD110" s="178" t="n"/>
      <c r="BE110" s="130" t="n"/>
      <c r="BF110" s="109" t="n"/>
      <c r="BG110" s="130" t="n"/>
      <c r="BH110" s="180">
        <f>SUMPRODUCT(--(MOD(COLUMN($L110:$BG110),4)=MOD(COLUMN($L110),4)),$L110:$BG110)</f>
        <v/>
      </c>
      <c r="BI110" s="181">
        <f>Автовик_разбивка[[#This Row],[Цена, 
юань, без НДС 1]]*BH110</f>
        <v/>
      </c>
      <c r="BJ110" s="130">
        <f>SUMPRODUCT(--(MOD(COLUMN($L110:$BG110),4)=MOD(COLUMN($L110)+1,4)),$L110:$BG110)</f>
        <v/>
      </c>
      <c r="BK110" s="187">
        <f>Автовик_разбивка[[#This Row],[Цена, 
юань, без НДС 1]]*BJ110</f>
        <v/>
      </c>
      <c r="BL110" s="109">
        <f>SUMPRODUCT(--(MOD(COLUMN($L110:$BG110),4)=MOD(COLUMN($L110)+2,4)),$L110:$BG110)</f>
        <v/>
      </c>
      <c r="BM110" s="224">
        <f>Автовик_разбивка[[#This Row],[Цена, 
юань, без НДС 1]]*BL110</f>
        <v/>
      </c>
      <c r="BN110" s="178" t="n"/>
      <c r="BO110" s="184" t="n"/>
      <c r="BP110" s="130" t="n"/>
      <c r="BQ110" s="179" t="n"/>
      <c r="BR110" s="130" t="n"/>
      <c r="BS110" s="178" t="n"/>
      <c r="BT110" s="184" t="n"/>
      <c r="BU110" s="130" t="n"/>
      <c r="BV110" s="179" t="n"/>
      <c r="BW110" s="130" t="n"/>
      <c r="BX110" s="178" t="n"/>
      <c r="BY110" s="184" t="n"/>
      <c r="BZ110" s="130" t="n"/>
      <c r="CA110" s="179" t="n"/>
      <c r="CB110" s="130" t="n"/>
      <c r="CC110" s="178" t="n"/>
      <c r="CD110" s="184" t="n"/>
      <c r="CE110" s="130" t="n"/>
      <c r="CF110" s="179" t="n"/>
      <c r="CG110" s="130" t="n"/>
      <c r="CH110" s="178" t="n"/>
      <c r="CI110" s="184" t="n"/>
      <c r="CJ110" s="130" t="n"/>
      <c r="CK110" s="179" t="n"/>
      <c r="CL110" s="130" t="n"/>
      <c r="CM110" s="178" t="n"/>
      <c r="CN110" s="184" t="n"/>
      <c r="CO110" s="130" t="n"/>
      <c r="CP110" s="179" t="n"/>
      <c r="CQ110" s="130" t="n"/>
      <c r="CR110" s="178" t="n"/>
      <c r="CS110" s="184" t="n"/>
      <c r="CT110" s="130" t="n"/>
      <c r="CU110" s="179" t="n"/>
      <c r="CV110" s="130" t="n"/>
      <c r="CW110" s="178" t="n"/>
      <c r="CX110" s="184" t="n"/>
      <c r="CY110" s="130" t="n"/>
      <c r="CZ110" s="179" t="n"/>
      <c r="DA110" s="130" t="n"/>
      <c r="DB110" s="178" t="n"/>
      <c r="DC110" s="184" t="n"/>
      <c r="DD110" s="130" t="n"/>
      <c r="DE110" s="179" t="n"/>
      <c r="DF110" s="130" t="n"/>
      <c r="DG110" s="178" t="n"/>
      <c r="DH110" s="184" t="n"/>
      <c r="DI110" s="130" t="n"/>
      <c r="DJ110" s="179" t="n"/>
      <c r="DK110" s="130" t="n"/>
      <c r="DL110" s="178" t="n"/>
      <c r="DM110" s="184" t="n"/>
      <c r="DN110" s="130" t="n"/>
      <c r="DO110" s="194" t="n"/>
      <c r="DP110" s="130" t="n"/>
      <c r="DQ110" s="178" t="n"/>
      <c r="DR110" s="184" t="n"/>
      <c r="DS110" s="130" t="n"/>
      <c r="DT110" s="109" t="n"/>
      <c r="DU110" s="130" t="n"/>
      <c r="DV110" s="180">
        <f>SUMPRODUCT(--(MOD(COLUMN($BN110:$DU110),5)=MOD(COLUMN($BN110),5)),$BN110:$DU110)</f>
        <v/>
      </c>
      <c r="DW110" s="181">
        <f>Автовик_разбивка[[#This Row],[Цена, 
юань, без НДС 1]]*DV110</f>
        <v/>
      </c>
      <c r="DX110" s="186">
        <f>SUMPRODUCT(--(MOD(COLUMN($BN110:$DU110),5)=MOD(COLUMN($BN110)+1,5)),$BN110:$DU110)</f>
        <v/>
      </c>
      <c r="DY110" s="186">
        <f>Автовик_разбивка[[#This Row],[Цена, 
юань, без НДС 1]]*DX110</f>
        <v/>
      </c>
      <c r="DZ110" s="130">
        <f>SUMPRODUCT(--(MOD(COLUMN($BN110:$DU110),5)=MOD(COLUMN($BN110)+2,5)),$BN110:$DU110)</f>
        <v/>
      </c>
      <c r="EA110" s="187">
        <f>Автовик_разбивка[[#This Row],[Цена, 
юань, без НДС 1]]*DZ110</f>
        <v/>
      </c>
      <c r="EB110" s="109">
        <f>SUMPRODUCT(--(MOD(COLUMN($BN110:$DU110),5)=MOD(COLUMN($BN110)+3,5)),$BN110:$DU110)</f>
        <v/>
      </c>
      <c r="EC110" s="224">
        <f>Автовик_разбивка[[#This Row],[Цена, 
юань, без НДС 1]]*EB110</f>
        <v/>
      </c>
    </row>
    <row r="111">
      <c r="A111" s="256" t="n">
        <v>22</v>
      </c>
      <c r="B111" s="172" t="inlineStr">
        <is>
          <t>УЗСТ</t>
        </is>
      </c>
      <c r="C111" s="173" t="inlineStr">
        <is>
          <t>TEBS W</t>
        </is>
      </c>
      <c r="D111" s="173" t="inlineStr">
        <is>
          <t>TEBS 4s/3m W</t>
        </is>
      </c>
      <c r="E111" s="174" t="n">
        <v>1</v>
      </c>
      <c r="F111" s="174" t="n"/>
      <c r="G111" s="204" t="n"/>
      <c r="H111" s="205" t="n">
        <v>4341001250</v>
      </c>
      <c r="I111" s="206" t="inlineStr">
        <is>
          <t>Клапан перепускной</t>
        </is>
      </c>
      <c r="J111" s="911" t="n"/>
      <c r="K111" s="912" t="n"/>
      <c r="L111" s="178" t="n"/>
      <c r="M111" s="130" t="n"/>
      <c r="N111" s="179" t="n"/>
      <c r="O111" s="130" t="n"/>
      <c r="P111" s="178" t="n"/>
      <c r="Q111" s="130">
        <f>$E111*1</f>
        <v/>
      </c>
      <c r="R111" s="179" t="n">
        <v>1</v>
      </c>
      <c r="S111" s="130" t="n"/>
      <c r="T111" s="178" t="n"/>
      <c r="U111" s="130" t="n"/>
      <c r="V111" s="179" t="n"/>
      <c r="W111" s="130" t="n"/>
      <c r="X111" s="178" t="n"/>
      <c r="Y111" s="130" t="n"/>
      <c r="Z111" s="179" t="n"/>
      <c r="AA111" s="130" t="n"/>
      <c r="AB111" s="178" t="n"/>
      <c r="AC111" s="130" t="n"/>
      <c r="AD111" s="179" t="n"/>
      <c r="AE111" s="130" t="n"/>
      <c r="AF111" s="178" t="n"/>
      <c r="AG111" s="130" t="n"/>
      <c r="AH111" s="179" t="n"/>
      <c r="AI111" s="130" t="n"/>
      <c r="AJ111" s="178" t="n"/>
      <c r="AK111" s="130" t="n"/>
      <c r="AL111" s="179" t="n"/>
      <c r="AM111" s="130" t="n"/>
      <c r="AN111" s="178" t="n"/>
      <c r="AO111" s="130" t="n"/>
      <c r="AP111" s="179" t="n"/>
      <c r="AQ111" s="130" t="n"/>
      <c r="AR111" s="178" t="n"/>
      <c r="AS111" s="130" t="n"/>
      <c r="AT111" s="179" t="n"/>
      <c r="AU111" s="130" t="n"/>
      <c r="AV111" s="178" t="n"/>
      <c r="AW111" s="130" t="n"/>
      <c r="AX111" s="179" t="n"/>
      <c r="AY111" s="130" t="n"/>
      <c r="AZ111" s="178" t="n"/>
      <c r="BA111" s="130" t="n"/>
      <c r="BB111" s="194" t="n"/>
      <c r="BC111" s="130" t="n"/>
      <c r="BD111" s="178" t="n"/>
      <c r="BE111" s="130" t="n"/>
      <c r="BF111" s="109" t="n"/>
      <c r="BG111" s="130" t="n"/>
      <c r="BH111" s="180">
        <f>SUMPRODUCT(--(MOD(COLUMN($L111:$BG111),4)=MOD(COLUMN($L111),4)),$L111:$BG111)</f>
        <v/>
      </c>
      <c r="BI111" s="181">
        <f>Автовик_разбивка[[#This Row],[Цена, 
юань, без НДС 1]]*BH111</f>
        <v/>
      </c>
      <c r="BJ111" s="130">
        <f>SUMPRODUCT(--(MOD(COLUMN($L111:$BG111),4)=MOD(COLUMN($L111)+1,4)),$L111:$BG111)</f>
        <v/>
      </c>
      <c r="BK111" s="187">
        <f>Автовик_разбивка[[#This Row],[Цена, 
юань, без НДС 1]]*BJ111</f>
        <v/>
      </c>
      <c r="BL111" s="109">
        <f>SUMPRODUCT(--(MOD(COLUMN($L111:$BG111),4)=MOD(COLUMN($L111)+2,4)),$L111:$BG111)</f>
        <v/>
      </c>
      <c r="BM111" s="224">
        <f>Автовик_разбивка[[#This Row],[Цена, 
юань, без НДС 1]]*BL111</f>
        <v/>
      </c>
      <c r="BN111" s="178" t="n"/>
      <c r="BO111" s="184" t="n"/>
      <c r="BP111" s="130" t="n"/>
      <c r="BQ111" s="179" t="n"/>
      <c r="BR111" s="130" t="n"/>
      <c r="BS111" s="178" t="n"/>
      <c r="BT111" s="184" t="n"/>
      <c r="BU111" s="130" t="n"/>
      <c r="BV111" s="179" t="n"/>
      <c r="BW111" s="130" t="n"/>
      <c r="BX111" s="178" t="n"/>
      <c r="BY111" s="184" t="n"/>
      <c r="BZ111" s="130" t="n"/>
      <c r="CA111" s="179" t="n"/>
      <c r="CB111" s="130" t="n"/>
      <c r="CC111" s="178" t="n"/>
      <c r="CD111" s="184" t="n"/>
      <c r="CE111" s="130" t="n"/>
      <c r="CF111" s="179" t="n"/>
      <c r="CG111" s="130" t="n"/>
      <c r="CH111" s="178" t="n"/>
      <c r="CI111" s="184" t="n"/>
      <c r="CJ111" s="130" t="n"/>
      <c r="CK111" s="179" t="n"/>
      <c r="CL111" s="130" t="n"/>
      <c r="CM111" s="178" t="n"/>
      <c r="CN111" s="184" t="n"/>
      <c r="CO111" s="130" t="n"/>
      <c r="CP111" s="179" t="n"/>
      <c r="CQ111" s="130" t="n"/>
      <c r="CR111" s="178" t="n"/>
      <c r="CS111" s="184" t="n"/>
      <c r="CT111" s="130" t="n"/>
      <c r="CU111" s="179" t="n"/>
      <c r="CV111" s="130" t="n"/>
      <c r="CW111" s="178" t="n"/>
      <c r="CX111" s="184" t="n"/>
      <c r="CY111" s="130" t="n"/>
      <c r="CZ111" s="179" t="n"/>
      <c r="DA111" s="130" t="n"/>
      <c r="DB111" s="178" t="n"/>
      <c r="DC111" s="184" t="n"/>
      <c r="DD111" s="130" t="n"/>
      <c r="DE111" s="179" t="n"/>
      <c r="DF111" s="130" t="n"/>
      <c r="DG111" s="178" t="n"/>
      <c r="DH111" s="184" t="n"/>
      <c r="DI111" s="130" t="n"/>
      <c r="DJ111" s="179" t="n"/>
      <c r="DK111" s="130" t="n"/>
      <c r="DL111" s="178" t="n"/>
      <c r="DM111" s="184" t="n"/>
      <c r="DN111" s="130" t="n"/>
      <c r="DO111" s="194" t="n"/>
      <c r="DP111" s="130" t="n"/>
      <c r="DQ111" s="178" t="n"/>
      <c r="DR111" s="184" t="n"/>
      <c r="DS111" s="130" t="n"/>
      <c r="DT111" s="109" t="n"/>
      <c r="DU111" s="130" t="n"/>
      <c r="DV111" s="180">
        <f>SUMPRODUCT(--(MOD(COLUMN($BN111:$DU111),5)=MOD(COLUMN($BN111),5)),$BN111:$DU111)</f>
        <v/>
      </c>
      <c r="DW111" s="181">
        <f>Автовик_разбивка[[#This Row],[Цена, 
юань, без НДС 1]]*DV111</f>
        <v/>
      </c>
      <c r="DX111" s="186">
        <f>SUMPRODUCT(--(MOD(COLUMN($BN111:$DU111),5)=MOD(COLUMN($BN111)+1,5)),$BN111:$DU111)</f>
        <v/>
      </c>
      <c r="DY111" s="186">
        <f>Автовик_разбивка[[#This Row],[Цена, 
юань, без НДС 1]]*DX111</f>
        <v/>
      </c>
      <c r="DZ111" s="130">
        <f>SUMPRODUCT(--(MOD(COLUMN($BN111:$DU111),5)=MOD(COLUMN($BN111)+2,5)),$BN111:$DU111)</f>
        <v/>
      </c>
      <c r="EA111" s="187">
        <f>Автовик_разбивка[[#This Row],[Цена, 
юань, без НДС 1]]*DZ111</f>
        <v/>
      </c>
      <c r="EB111" s="109">
        <f>SUMPRODUCT(--(MOD(COLUMN($BN111:$DU111),5)=MOD(COLUMN($BN111)+3,5)),$BN111:$DU111)</f>
        <v/>
      </c>
      <c r="EC111" s="224">
        <f>Автовик_разбивка[[#This Row],[Цена, 
юань, без НДС 1]]*EB111</f>
        <v/>
      </c>
    </row>
    <row r="112">
      <c r="A112" s="256" t="n">
        <v>22</v>
      </c>
      <c r="B112" s="172" t="inlineStr">
        <is>
          <t>УЗСТ</t>
        </is>
      </c>
      <c r="C112" s="173" t="inlineStr">
        <is>
          <t>TEBS W</t>
        </is>
      </c>
      <c r="D112" s="173" t="inlineStr">
        <is>
          <t>TEBS 4s/3m W</t>
        </is>
      </c>
      <c r="E112" s="174" t="n">
        <v>1</v>
      </c>
      <c r="F112" s="174" t="n"/>
      <c r="G112" s="204" t="n">
        <v>2</v>
      </c>
      <c r="H112" s="205" t="n">
        <v>4491731200</v>
      </c>
      <c r="I112" s="206" t="inlineStr">
        <is>
          <t>Кабель питания, 12 м, для полуприцепа</t>
        </is>
      </c>
      <c r="J112" s="911" t="n"/>
      <c r="K112" s="912" t="n"/>
      <c r="L112" s="178" t="n"/>
      <c r="M112" s="130" t="n"/>
      <c r="N112" s="179" t="n"/>
      <c r="O112" s="130" t="n"/>
      <c r="P112" s="178" t="n"/>
      <c r="Q112" s="130">
        <f>$E112*1</f>
        <v/>
      </c>
      <c r="R112" s="179" t="n">
        <v>1</v>
      </c>
      <c r="S112" s="130" t="n"/>
      <c r="T112" s="178" t="n"/>
      <c r="U112" s="130" t="n"/>
      <c r="V112" s="179" t="n"/>
      <c r="W112" s="130" t="n"/>
      <c r="X112" s="178" t="n"/>
      <c r="Y112" s="130" t="n"/>
      <c r="Z112" s="179" t="n"/>
      <c r="AA112" s="130" t="n"/>
      <c r="AB112" s="178" t="n"/>
      <c r="AC112" s="130" t="n"/>
      <c r="AD112" s="179" t="n"/>
      <c r="AE112" s="130" t="n"/>
      <c r="AF112" s="178" t="n"/>
      <c r="AG112" s="130" t="n"/>
      <c r="AH112" s="179" t="n"/>
      <c r="AI112" s="130" t="n"/>
      <c r="AJ112" s="178" t="n"/>
      <c r="AK112" s="130" t="n"/>
      <c r="AL112" s="179" t="n"/>
      <c r="AM112" s="130" t="n"/>
      <c r="AN112" s="178" t="n"/>
      <c r="AO112" s="130" t="n"/>
      <c r="AP112" s="179" t="n"/>
      <c r="AQ112" s="130" t="n"/>
      <c r="AR112" s="178" t="n"/>
      <c r="AS112" s="130" t="n"/>
      <c r="AT112" s="179" t="n"/>
      <c r="AU112" s="130" t="n"/>
      <c r="AV112" s="178" t="n"/>
      <c r="AW112" s="130" t="n"/>
      <c r="AX112" s="179" t="n"/>
      <c r="AY112" s="130" t="n"/>
      <c r="AZ112" s="178" t="n"/>
      <c r="BA112" s="130" t="n"/>
      <c r="BB112" s="194" t="n"/>
      <c r="BC112" s="130" t="n"/>
      <c r="BD112" s="178" t="n"/>
      <c r="BE112" s="130" t="n"/>
      <c r="BF112" s="109" t="n"/>
      <c r="BG112" s="130" t="n"/>
      <c r="BH112" s="180">
        <f>SUMPRODUCT(--(MOD(COLUMN($L112:$BG112),4)=MOD(COLUMN($L112),4)),$L112:$BG112)</f>
        <v/>
      </c>
      <c r="BI112" s="181">
        <f>Автовик_разбивка[[#This Row],[Цена, 
юань, без НДС 1]]*BH112</f>
        <v/>
      </c>
      <c r="BJ112" s="130">
        <f>SUMPRODUCT(--(MOD(COLUMN($L112:$BG112),4)=MOD(COLUMN($L112)+1,4)),$L112:$BG112)</f>
        <v/>
      </c>
      <c r="BK112" s="187">
        <f>Автовик_разбивка[[#This Row],[Цена, 
юань, без НДС 1]]*BJ112</f>
        <v/>
      </c>
      <c r="BL112" s="109">
        <f>SUMPRODUCT(--(MOD(COLUMN($L112:$BG112),4)=MOD(COLUMN($L112)+2,4)),$L112:$BG112)</f>
        <v/>
      </c>
      <c r="BM112" s="224">
        <f>Автовик_разбивка[[#This Row],[Цена, 
юань, без НДС 1]]*BL112</f>
        <v/>
      </c>
      <c r="BN112" s="178" t="n"/>
      <c r="BO112" s="184" t="n"/>
      <c r="BP112" s="130" t="n"/>
      <c r="BQ112" s="179" t="n"/>
      <c r="BR112" s="130" t="n"/>
      <c r="BS112" s="178" t="n"/>
      <c r="BT112" s="184" t="n"/>
      <c r="BU112" s="130" t="n"/>
      <c r="BV112" s="179" t="n"/>
      <c r="BW112" s="130" t="n"/>
      <c r="BX112" s="178" t="n"/>
      <c r="BY112" s="184" t="n"/>
      <c r="BZ112" s="130" t="n"/>
      <c r="CA112" s="179" t="n"/>
      <c r="CB112" s="130" t="n"/>
      <c r="CC112" s="178" t="n"/>
      <c r="CD112" s="184" t="n"/>
      <c r="CE112" s="130" t="n"/>
      <c r="CF112" s="179" t="n"/>
      <c r="CG112" s="130" t="n"/>
      <c r="CH112" s="178" t="n"/>
      <c r="CI112" s="184" t="n"/>
      <c r="CJ112" s="130" t="n"/>
      <c r="CK112" s="179" t="n"/>
      <c r="CL112" s="130" t="n"/>
      <c r="CM112" s="178" t="n"/>
      <c r="CN112" s="184" t="n"/>
      <c r="CO112" s="130" t="n"/>
      <c r="CP112" s="179" t="n"/>
      <c r="CQ112" s="130" t="n"/>
      <c r="CR112" s="178" t="n"/>
      <c r="CS112" s="184" t="n"/>
      <c r="CT112" s="130" t="n"/>
      <c r="CU112" s="179" t="n"/>
      <c r="CV112" s="130" t="n"/>
      <c r="CW112" s="178" t="n"/>
      <c r="CX112" s="184" t="n"/>
      <c r="CY112" s="130" t="n"/>
      <c r="CZ112" s="179" t="n"/>
      <c r="DA112" s="130" t="n"/>
      <c r="DB112" s="178" t="n"/>
      <c r="DC112" s="184" t="n"/>
      <c r="DD112" s="130" t="n"/>
      <c r="DE112" s="179" t="n"/>
      <c r="DF112" s="130" t="n"/>
      <c r="DG112" s="178" t="n"/>
      <c r="DH112" s="184" t="n"/>
      <c r="DI112" s="130" t="n"/>
      <c r="DJ112" s="179" t="n"/>
      <c r="DK112" s="130" t="n"/>
      <c r="DL112" s="178" t="n"/>
      <c r="DM112" s="184" t="n"/>
      <c r="DN112" s="130" t="n"/>
      <c r="DO112" s="194" t="n"/>
      <c r="DP112" s="130" t="n"/>
      <c r="DQ112" s="178" t="n"/>
      <c r="DR112" s="184" t="n"/>
      <c r="DS112" s="130" t="n"/>
      <c r="DT112" s="109" t="n"/>
      <c r="DU112" s="130" t="n"/>
      <c r="DV112" s="180">
        <f>SUMPRODUCT(--(MOD(COLUMN($BN112:$DU112),5)=MOD(COLUMN($BN112),5)),$BN112:$DU112)</f>
        <v/>
      </c>
      <c r="DW112" s="181">
        <f>Автовик_разбивка[[#This Row],[Цена, 
юань, без НДС 1]]*DV112</f>
        <v/>
      </c>
      <c r="DX112" s="186">
        <f>SUMPRODUCT(--(MOD(COLUMN($BN112:$DU112),5)=MOD(COLUMN($BN112)+1,5)),$BN112:$DU112)</f>
        <v/>
      </c>
      <c r="DY112" s="186">
        <f>Автовик_разбивка[[#This Row],[Цена, 
юань, без НДС 1]]*DX112</f>
        <v/>
      </c>
      <c r="DZ112" s="130">
        <f>SUMPRODUCT(--(MOD(COLUMN($BN112:$DU112),5)=MOD(COLUMN($BN112)+2,5)),$BN112:$DU112)</f>
        <v/>
      </c>
      <c r="EA112" s="187">
        <f>Автовик_разбивка[[#This Row],[Цена, 
юань, без НДС 1]]*DZ112</f>
        <v/>
      </c>
      <c r="EB112" s="109">
        <f>SUMPRODUCT(--(MOD(COLUMN($BN112:$DU112),5)=MOD(COLUMN($BN112)+3,5)),$BN112:$DU112)</f>
        <v/>
      </c>
      <c r="EC112" s="224">
        <f>Автовик_разбивка[[#This Row],[Цена, 
юань, без НДС 1]]*EB112</f>
        <v/>
      </c>
    </row>
    <row r="113">
      <c r="A113" s="256" t="n">
        <v>22</v>
      </c>
      <c r="B113" s="172" t="inlineStr">
        <is>
          <t>УЗСТ</t>
        </is>
      </c>
      <c r="C113" s="173" t="inlineStr">
        <is>
          <t>TEBS W</t>
        </is>
      </c>
      <c r="D113" s="173" t="inlineStr">
        <is>
          <t>TEBS 4s/3m W</t>
        </is>
      </c>
      <c r="E113" s="174" t="n">
        <v>1</v>
      </c>
      <c r="F113" s="174" t="n"/>
      <c r="G113" s="204" t="n">
        <v>2</v>
      </c>
      <c r="H113" s="205" t="n">
        <v>4494290800</v>
      </c>
      <c r="I113" s="206" t="inlineStr">
        <is>
          <t>Кабель модулятора EBS, 8 м</t>
        </is>
      </c>
      <c r="J113" s="911" t="n"/>
      <c r="K113" s="912" t="n"/>
      <c r="L113" s="178" t="n"/>
      <c r="M113" s="130" t="n"/>
      <c r="N113" s="179" t="n"/>
      <c r="O113" s="130" t="n"/>
      <c r="P113" s="178" t="n"/>
      <c r="Q113" s="130">
        <f>$E113*1</f>
        <v/>
      </c>
      <c r="R113" s="179" t="n">
        <v>1</v>
      </c>
      <c r="S113" s="130" t="n"/>
      <c r="T113" s="178" t="n"/>
      <c r="U113" s="130" t="n"/>
      <c r="V113" s="179" t="n"/>
      <c r="W113" s="130" t="n"/>
      <c r="X113" s="178" t="n"/>
      <c r="Y113" s="130" t="n"/>
      <c r="Z113" s="179" t="n"/>
      <c r="AA113" s="130" t="n"/>
      <c r="AB113" s="178" t="n"/>
      <c r="AC113" s="130" t="n"/>
      <c r="AD113" s="179" t="n"/>
      <c r="AE113" s="130" t="n"/>
      <c r="AF113" s="178" t="n"/>
      <c r="AG113" s="130" t="n"/>
      <c r="AH113" s="179" t="n"/>
      <c r="AI113" s="130" t="n"/>
      <c r="AJ113" s="178" t="n"/>
      <c r="AK113" s="130" t="n"/>
      <c r="AL113" s="179" t="n"/>
      <c r="AM113" s="130" t="n"/>
      <c r="AN113" s="178" t="n"/>
      <c r="AO113" s="130" t="n"/>
      <c r="AP113" s="179" t="n"/>
      <c r="AQ113" s="130" t="n"/>
      <c r="AR113" s="178" t="n"/>
      <c r="AS113" s="130" t="n"/>
      <c r="AT113" s="179" t="n"/>
      <c r="AU113" s="130" t="n"/>
      <c r="AV113" s="178" t="n"/>
      <c r="AW113" s="130" t="n"/>
      <c r="AX113" s="179" t="n"/>
      <c r="AY113" s="130" t="n"/>
      <c r="AZ113" s="178" t="n"/>
      <c r="BA113" s="130" t="n"/>
      <c r="BB113" s="194" t="n"/>
      <c r="BC113" s="130" t="n"/>
      <c r="BD113" s="178" t="n"/>
      <c r="BE113" s="130" t="n"/>
      <c r="BF113" s="109" t="n"/>
      <c r="BG113" s="130" t="n"/>
      <c r="BH113" s="180">
        <f>SUMPRODUCT(--(MOD(COLUMN($L113:$BG113),4)=MOD(COLUMN($L113),4)),$L113:$BG113)</f>
        <v/>
      </c>
      <c r="BI113" s="181">
        <f>Автовик_разбивка[[#This Row],[Цена, 
юань, без НДС 1]]*BH113</f>
        <v/>
      </c>
      <c r="BJ113" s="130">
        <f>SUMPRODUCT(--(MOD(COLUMN($L113:$BG113),4)=MOD(COLUMN($L113)+1,4)),$L113:$BG113)</f>
        <v/>
      </c>
      <c r="BK113" s="187">
        <f>Автовик_разбивка[[#This Row],[Цена, 
юань, без НДС 1]]*BJ113</f>
        <v/>
      </c>
      <c r="BL113" s="109">
        <f>SUMPRODUCT(--(MOD(COLUMN($L113:$BG113),4)=MOD(COLUMN($L113)+2,4)),$L113:$BG113)</f>
        <v/>
      </c>
      <c r="BM113" s="224">
        <f>Автовик_разбивка[[#This Row],[Цена, 
юань, без НДС 1]]*BL113</f>
        <v/>
      </c>
      <c r="BN113" s="178" t="n"/>
      <c r="BO113" s="184" t="n"/>
      <c r="BP113" s="130" t="n"/>
      <c r="BQ113" s="179" t="n"/>
      <c r="BR113" s="130" t="n"/>
      <c r="BS113" s="178" t="n"/>
      <c r="BT113" s="184" t="n"/>
      <c r="BU113" s="130" t="n"/>
      <c r="BV113" s="179" t="n"/>
      <c r="BW113" s="130" t="n"/>
      <c r="BX113" s="178" t="n"/>
      <c r="BY113" s="184" t="n"/>
      <c r="BZ113" s="130" t="n"/>
      <c r="CA113" s="179" t="n"/>
      <c r="CB113" s="130" t="n"/>
      <c r="CC113" s="178" t="n"/>
      <c r="CD113" s="184" t="n"/>
      <c r="CE113" s="130" t="n"/>
      <c r="CF113" s="179" t="n"/>
      <c r="CG113" s="130" t="n"/>
      <c r="CH113" s="178" t="n"/>
      <c r="CI113" s="184" t="n"/>
      <c r="CJ113" s="130" t="n"/>
      <c r="CK113" s="179" t="n"/>
      <c r="CL113" s="130" t="n"/>
      <c r="CM113" s="178" t="n"/>
      <c r="CN113" s="184" t="n"/>
      <c r="CO113" s="130" t="n"/>
      <c r="CP113" s="179" t="n"/>
      <c r="CQ113" s="130" t="n"/>
      <c r="CR113" s="178" t="n"/>
      <c r="CS113" s="184" t="n"/>
      <c r="CT113" s="130" t="n"/>
      <c r="CU113" s="179" t="n"/>
      <c r="CV113" s="130" t="n"/>
      <c r="CW113" s="178" t="n"/>
      <c r="CX113" s="184" t="n"/>
      <c r="CY113" s="130" t="n"/>
      <c r="CZ113" s="179" t="n"/>
      <c r="DA113" s="130" t="n"/>
      <c r="DB113" s="178" t="n"/>
      <c r="DC113" s="184" t="n"/>
      <c r="DD113" s="130" t="n"/>
      <c r="DE113" s="179" t="n"/>
      <c r="DF113" s="130" t="n"/>
      <c r="DG113" s="178" t="n"/>
      <c r="DH113" s="184" t="n"/>
      <c r="DI113" s="130" t="n"/>
      <c r="DJ113" s="179" t="n"/>
      <c r="DK113" s="130" t="n"/>
      <c r="DL113" s="178" t="n"/>
      <c r="DM113" s="184" t="n"/>
      <c r="DN113" s="130" t="n"/>
      <c r="DO113" s="194" t="n"/>
      <c r="DP113" s="130" t="n"/>
      <c r="DQ113" s="178" t="n"/>
      <c r="DR113" s="184" t="n"/>
      <c r="DS113" s="130" t="n"/>
      <c r="DT113" s="109" t="n"/>
      <c r="DU113" s="130" t="n"/>
      <c r="DV113" s="180">
        <f>SUMPRODUCT(--(MOD(COLUMN($BN113:$DU113),5)=MOD(COLUMN($BN113),5)),$BN113:$DU113)</f>
        <v/>
      </c>
      <c r="DW113" s="181">
        <f>Автовик_разбивка[[#This Row],[Цена, 
юань, без НДС 1]]*DV113</f>
        <v/>
      </c>
      <c r="DX113" s="186">
        <f>SUMPRODUCT(--(MOD(COLUMN($BN113:$DU113),5)=MOD(COLUMN($BN113)+1,5)),$BN113:$DU113)</f>
        <v/>
      </c>
      <c r="DY113" s="186">
        <f>Автовик_разбивка[[#This Row],[Цена, 
юань, без НДС 1]]*DX113</f>
        <v/>
      </c>
      <c r="DZ113" s="130">
        <f>SUMPRODUCT(--(MOD(COLUMN($BN113:$DU113),5)=MOD(COLUMN($BN113)+2,5)),$BN113:$DU113)</f>
        <v/>
      </c>
      <c r="EA113" s="187">
        <f>Автовик_разбивка[[#This Row],[Цена, 
юань, без НДС 1]]*DZ113</f>
        <v/>
      </c>
      <c r="EB113" s="109">
        <f>SUMPRODUCT(--(MOD(COLUMN($BN113:$DU113),5)=MOD(COLUMN($BN113)+3,5)),$BN113:$DU113)</f>
        <v/>
      </c>
      <c r="EC113" s="224">
        <f>Автовик_разбивка[[#This Row],[Цена, 
юань, без НДС 1]]*EB113</f>
        <v/>
      </c>
    </row>
    <row r="114">
      <c r="A114" s="256" t="n">
        <v>22</v>
      </c>
      <c r="B114" s="172" t="inlineStr">
        <is>
          <t>УЗСТ</t>
        </is>
      </c>
      <c r="C114" s="173" t="inlineStr">
        <is>
          <t>TEBS W</t>
        </is>
      </c>
      <c r="D114" s="173" t="inlineStr">
        <is>
          <t>TEBS 4s/3m W</t>
        </is>
      </c>
      <c r="E114" s="174" t="n">
        <v>4</v>
      </c>
      <c r="F114" s="174" t="n"/>
      <c r="G114" s="204" t="n">
        <v>2</v>
      </c>
      <c r="H114" s="205" t="n">
        <v>4497230300</v>
      </c>
      <c r="I114" s="206" t="inlineStr">
        <is>
          <t>Кабель датчика АБС</t>
        </is>
      </c>
      <c r="J114" s="911" t="n"/>
      <c r="K114" s="912" t="n"/>
      <c r="L114" s="178" t="n"/>
      <c r="M114" s="130" t="n"/>
      <c r="N114" s="179" t="n"/>
      <c r="O114" s="130" t="n"/>
      <c r="P114" s="178" t="n"/>
      <c r="Q114" s="130">
        <f>$E114*1</f>
        <v/>
      </c>
      <c r="R114" s="179" t="n">
        <v>4</v>
      </c>
      <c r="S114" s="130" t="n"/>
      <c r="T114" s="178" t="n"/>
      <c r="U114" s="130" t="n"/>
      <c r="V114" s="179" t="n"/>
      <c r="W114" s="130" t="n"/>
      <c r="X114" s="178" t="n"/>
      <c r="Y114" s="130" t="n"/>
      <c r="Z114" s="179" t="n"/>
      <c r="AA114" s="130" t="n"/>
      <c r="AB114" s="178" t="n"/>
      <c r="AC114" s="130" t="n"/>
      <c r="AD114" s="179" t="n"/>
      <c r="AE114" s="130" t="n"/>
      <c r="AF114" s="178" t="n"/>
      <c r="AG114" s="130" t="n"/>
      <c r="AH114" s="179" t="n"/>
      <c r="AI114" s="130" t="n"/>
      <c r="AJ114" s="178" t="n"/>
      <c r="AK114" s="130" t="n"/>
      <c r="AL114" s="179" t="n"/>
      <c r="AM114" s="130" t="n"/>
      <c r="AN114" s="178" t="n"/>
      <c r="AO114" s="130" t="n"/>
      <c r="AP114" s="179" t="n"/>
      <c r="AQ114" s="130" t="n"/>
      <c r="AR114" s="178" t="n"/>
      <c r="AS114" s="130" t="n"/>
      <c r="AT114" s="179" t="n"/>
      <c r="AU114" s="130" t="n"/>
      <c r="AV114" s="178" t="n"/>
      <c r="AW114" s="130" t="n"/>
      <c r="AX114" s="179" t="n"/>
      <c r="AY114" s="130" t="n"/>
      <c r="AZ114" s="178" t="n"/>
      <c r="BA114" s="130" t="n"/>
      <c r="BB114" s="194" t="n"/>
      <c r="BC114" s="130" t="n"/>
      <c r="BD114" s="178" t="n"/>
      <c r="BE114" s="130" t="n"/>
      <c r="BF114" s="109" t="n"/>
      <c r="BG114" s="130" t="n"/>
      <c r="BH114" s="180">
        <f>SUMPRODUCT(--(MOD(COLUMN($L114:$BG114),4)=MOD(COLUMN($L114),4)),$L114:$BG114)</f>
        <v/>
      </c>
      <c r="BI114" s="181">
        <f>Автовик_разбивка[[#This Row],[Цена, 
юань, без НДС 1]]*BH114</f>
        <v/>
      </c>
      <c r="BJ114" s="130">
        <f>SUMPRODUCT(--(MOD(COLUMN($L114:$BG114),4)=MOD(COLUMN($L114)+1,4)),$L114:$BG114)</f>
        <v/>
      </c>
      <c r="BK114" s="187">
        <f>Автовик_разбивка[[#This Row],[Цена, 
юань, без НДС 1]]*BJ114</f>
        <v/>
      </c>
      <c r="BL114" s="109">
        <f>SUMPRODUCT(--(MOD(COLUMN($L114:$BG114),4)=MOD(COLUMN($L114)+2,4)),$L114:$BG114)</f>
        <v/>
      </c>
      <c r="BM114" s="224">
        <f>Автовик_разбивка[[#This Row],[Цена, 
юань, без НДС 1]]*BL114</f>
        <v/>
      </c>
      <c r="BN114" s="178" t="n"/>
      <c r="BO114" s="184" t="n"/>
      <c r="BP114" s="130" t="n"/>
      <c r="BQ114" s="179" t="n"/>
      <c r="BR114" s="130" t="n"/>
      <c r="BS114" s="178" t="n"/>
      <c r="BT114" s="184" t="n"/>
      <c r="BU114" s="130" t="n"/>
      <c r="BV114" s="179" t="n"/>
      <c r="BW114" s="130" t="n"/>
      <c r="BX114" s="178" t="n"/>
      <c r="BY114" s="184" t="n"/>
      <c r="BZ114" s="130" t="n"/>
      <c r="CA114" s="179" t="n"/>
      <c r="CB114" s="130" t="n"/>
      <c r="CC114" s="178" t="n"/>
      <c r="CD114" s="184" t="n"/>
      <c r="CE114" s="130" t="n"/>
      <c r="CF114" s="179" t="n"/>
      <c r="CG114" s="130" t="n"/>
      <c r="CH114" s="178" t="n"/>
      <c r="CI114" s="184" t="n"/>
      <c r="CJ114" s="130" t="n"/>
      <c r="CK114" s="179" t="n"/>
      <c r="CL114" s="130" t="n"/>
      <c r="CM114" s="178" t="n"/>
      <c r="CN114" s="184" t="n"/>
      <c r="CO114" s="130" t="n"/>
      <c r="CP114" s="179" t="n"/>
      <c r="CQ114" s="130" t="n"/>
      <c r="CR114" s="178" t="n"/>
      <c r="CS114" s="184" t="n"/>
      <c r="CT114" s="130" t="n"/>
      <c r="CU114" s="179" t="n"/>
      <c r="CV114" s="130" t="n"/>
      <c r="CW114" s="178" t="n"/>
      <c r="CX114" s="184" t="n"/>
      <c r="CY114" s="130" t="n"/>
      <c r="CZ114" s="179" t="n"/>
      <c r="DA114" s="130" t="n"/>
      <c r="DB114" s="178" t="n"/>
      <c r="DC114" s="184" t="n"/>
      <c r="DD114" s="130" t="n"/>
      <c r="DE114" s="179" t="n"/>
      <c r="DF114" s="130" t="n"/>
      <c r="DG114" s="178" t="n"/>
      <c r="DH114" s="184" t="n"/>
      <c r="DI114" s="130" t="n"/>
      <c r="DJ114" s="179" t="n"/>
      <c r="DK114" s="130" t="n"/>
      <c r="DL114" s="178" t="n"/>
      <c r="DM114" s="184" t="n"/>
      <c r="DN114" s="130" t="n"/>
      <c r="DO114" s="194" t="n"/>
      <c r="DP114" s="130" t="n"/>
      <c r="DQ114" s="178" t="n"/>
      <c r="DR114" s="184" t="n"/>
      <c r="DS114" s="130" t="n"/>
      <c r="DT114" s="109" t="n"/>
      <c r="DU114" s="130" t="n"/>
      <c r="DV114" s="180">
        <f>SUMPRODUCT(--(MOD(COLUMN($BN114:$DU114),5)=MOD(COLUMN($BN114),5)),$BN114:$DU114)</f>
        <v/>
      </c>
      <c r="DW114" s="181">
        <f>Автовик_разбивка[[#This Row],[Цена, 
юань, без НДС 1]]*DV114</f>
        <v/>
      </c>
      <c r="DX114" s="186">
        <f>SUMPRODUCT(--(MOD(COLUMN($BN114:$DU114),5)=MOD(COLUMN($BN114)+1,5)),$BN114:$DU114)</f>
        <v/>
      </c>
      <c r="DY114" s="186">
        <f>Автовик_разбивка[[#This Row],[Цена, 
юань, без НДС 1]]*DX114</f>
        <v/>
      </c>
      <c r="DZ114" s="130">
        <f>SUMPRODUCT(--(MOD(COLUMN($BN114:$DU114),5)=MOD(COLUMN($BN114)+2,5)),$BN114:$DU114)</f>
        <v/>
      </c>
      <c r="EA114" s="187">
        <f>Автовик_разбивка[[#This Row],[Цена, 
юань, без НДС 1]]*DZ114</f>
        <v/>
      </c>
      <c r="EB114" s="109">
        <f>SUMPRODUCT(--(MOD(COLUMN($BN114:$DU114),5)=MOD(COLUMN($BN114)+3,5)),$BN114:$DU114)</f>
        <v/>
      </c>
      <c r="EC114" s="224">
        <f>Автовик_разбивка[[#This Row],[Цена, 
юань, без НДС 1]]*EB114</f>
        <v/>
      </c>
    </row>
    <row r="115">
      <c r="A115" s="256" t="n">
        <v>22</v>
      </c>
      <c r="B115" s="172" t="inlineStr">
        <is>
          <t>УЗСТ</t>
        </is>
      </c>
      <c r="C115" s="173" t="inlineStr">
        <is>
          <t>TEBS W</t>
        </is>
      </c>
      <c r="D115" s="173" t="inlineStr">
        <is>
          <t>TEBS 4s/3m W</t>
        </is>
      </c>
      <c r="E115" s="174" t="n">
        <v>2</v>
      </c>
      <c r="F115" s="174" t="n"/>
      <c r="G115" s="204" t="n">
        <v>2</v>
      </c>
      <c r="H115" s="205" t="n">
        <v>4497490300</v>
      </c>
      <c r="I115" s="206" t="inlineStr">
        <is>
          <t>Кабель-удлинитель датчика ABS, 3 м</t>
        </is>
      </c>
      <c r="J115" s="911" t="n"/>
      <c r="K115" s="912" t="n"/>
      <c r="L115" s="178" t="n"/>
      <c r="M115" s="130" t="n"/>
      <c r="N115" s="179" t="n"/>
      <c r="O115" s="130" t="n"/>
      <c r="P115" s="178" t="n"/>
      <c r="Q115" s="130">
        <f>$E115*1</f>
        <v/>
      </c>
      <c r="R115" s="179" t="n">
        <v>2</v>
      </c>
      <c r="S115" s="130" t="n"/>
      <c r="T115" s="178" t="n"/>
      <c r="U115" s="130" t="n"/>
      <c r="V115" s="179" t="n"/>
      <c r="W115" s="130" t="n"/>
      <c r="X115" s="178" t="n"/>
      <c r="Y115" s="130" t="n"/>
      <c r="Z115" s="179" t="n"/>
      <c r="AA115" s="130" t="n"/>
      <c r="AB115" s="178" t="n"/>
      <c r="AC115" s="130" t="n"/>
      <c r="AD115" s="179" t="n"/>
      <c r="AE115" s="130" t="n"/>
      <c r="AF115" s="178" t="n"/>
      <c r="AG115" s="130" t="n"/>
      <c r="AH115" s="179" t="n"/>
      <c r="AI115" s="130" t="n"/>
      <c r="AJ115" s="178" t="n"/>
      <c r="AK115" s="130" t="n"/>
      <c r="AL115" s="179" t="n"/>
      <c r="AM115" s="130" t="n"/>
      <c r="AN115" s="178" t="n"/>
      <c r="AO115" s="130" t="n"/>
      <c r="AP115" s="179" t="n"/>
      <c r="AQ115" s="130" t="n"/>
      <c r="AR115" s="178" t="n"/>
      <c r="AS115" s="130" t="n"/>
      <c r="AT115" s="179" t="n"/>
      <c r="AU115" s="130" t="n"/>
      <c r="AV115" s="178" t="n"/>
      <c r="AW115" s="130" t="n"/>
      <c r="AX115" s="179" t="n"/>
      <c r="AY115" s="130" t="n"/>
      <c r="AZ115" s="178" t="n"/>
      <c r="BA115" s="130" t="n"/>
      <c r="BB115" s="194" t="n"/>
      <c r="BC115" s="130" t="n"/>
      <c r="BD115" s="178" t="n"/>
      <c r="BE115" s="130" t="n"/>
      <c r="BF115" s="109" t="n"/>
      <c r="BG115" s="130" t="n"/>
      <c r="BH115" s="180">
        <f>SUMPRODUCT(--(MOD(COLUMN($L115:$BG115),4)=MOD(COLUMN($L115),4)),$L115:$BG115)</f>
        <v/>
      </c>
      <c r="BI115" s="181">
        <f>Автовик_разбивка[[#This Row],[Цена, 
юань, без НДС 1]]*BH115</f>
        <v/>
      </c>
      <c r="BJ115" s="130">
        <f>SUMPRODUCT(--(MOD(COLUMN($L115:$BG115),4)=MOD(COLUMN($L115)+1,4)),$L115:$BG115)</f>
        <v/>
      </c>
      <c r="BK115" s="187">
        <f>Автовик_разбивка[[#This Row],[Цена, 
юань, без НДС 1]]*BJ115</f>
        <v/>
      </c>
      <c r="BL115" s="109">
        <f>SUMPRODUCT(--(MOD(COLUMN($L115:$BG115),4)=MOD(COLUMN($L115)+2,4)),$L115:$BG115)</f>
        <v/>
      </c>
      <c r="BM115" s="224">
        <f>Автовик_разбивка[[#This Row],[Цена, 
юань, без НДС 1]]*BL115</f>
        <v/>
      </c>
      <c r="BN115" s="178" t="n"/>
      <c r="BO115" s="184" t="n"/>
      <c r="BP115" s="130" t="n"/>
      <c r="BQ115" s="179" t="n"/>
      <c r="BR115" s="130" t="n"/>
      <c r="BS115" s="178" t="n"/>
      <c r="BT115" s="184" t="n"/>
      <c r="BU115" s="130" t="n"/>
      <c r="BV115" s="179" t="n"/>
      <c r="BW115" s="130" t="n"/>
      <c r="BX115" s="178" t="n"/>
      <c r="BY115" s="184" t="n"/>
      <c r="BZ115" s="130" t="n"/>
      <c r="CA115" s="179" t="n"/>
      <c r="CB115" s="130" t="n"/>
      <c r="CC115" s="178" t="n"/>
      <c r="CD115" s="184" t="n"/>
      <c r="CE115" s="130" t="n"/>
      <c r="CF115" s="179" t="n"/>
      <c r="CG115" s="130" t="n"/>
      <c r="CH115" s="178" t="n"/>
      <c r="CI115" s="184" t="n"/>
      <c r="CJ115" s="130" t="n"/>
      <c r="CK115" s="179" t="n"/>
      <c r="CL115" s="130" t="n"/>
      <c r="CM115" s="178" t="n"/>
      <c r="CN115" s="184" t="n"/>
      <c r="CO115" s="130" t="n"/>
      <c r="CP115" s="179" t="n"/>
      <c r="CQ115" s="130" t="n"/>
      <c r="CR115" s="178" t="n"/>
      <c r="CS115" s="184" t="n"/>
      <c r="CT115" s="130" t="n"/>
      <c r="CU115" s="179" t="n"/>
      <c r="CV115" s="130" t="n"/>
      <c r="CW115" s="178" t="n"/>
      <c r="CX115" s="184" t="n"/>
      <c r="CY115" s="130" t="n"/>
      <c r="CZ115" s="179" t="n"/>
      <c r="DA115" s="130" t="n"/>
      <c r="DB115" s="178" t="n"/>
      <c r="DC115" s="184" t="n"/>
      <c r="DD115" s="130" t="n"/>
      <c r="DE115" s="179" t="n"/>
      <c r="DF115" s="130" t="n"/>
      <c r="DG115" s="178" t="n"/>
      <c r="DH115" s="184" t="n"/>
      <c r="DI115" s="130" t="n"/>
      <c r="DJ115" s="179" t="n"/>
      <c r="DK115" s="130" t="n"/>
      <c r="DL115" s="178" t="n"/>
      <c r="DM115" s="184" t="n"/>
      <c r="DN115" s="130" t="n"/>
      <c r="DO115" s="194" t="n"/>
      <c r="DP115" s="130" t="n"/>
      <c r="DQ115" s="178" t="n"/>
      <c r="DR115" s="184" t="n"/>
      <c r="DS115" s="130" t="n"/>
      <c r="DT115" s="109" t="n"/>
      <c r="DU115" s="130" t="n"/>
      <c r="DV115" s="180">
        <f>SUMPRODUCT(--(MOD(COLUMN($BN115:$DU115),5)=MOD(COLUMN($BN115),5)),$BN115:$DU115)</f>
        <v/>
      </c>
      <c r="DW115" s="181">
        <f>Автовик_разбивка[[#This Row],[Цена, 
юань, без НДС 1]]*DV115</f>
        <v/>
      </c>
      <c r="DX115" s="186">
        <f>SUMPRODUCT(--(MOD(COLUMN($BN115:$DU115),5)=MOD(COLUMN($BN115)+1,5)),$BN115:$DU115)</f>
        <v/>
      </c>
      <c r="DY115" s="186">
        <f>Автовик_разбивка[[#This Row],[Цена, 
юань, без НДС 1]]*DX115</f>
        <v/>
      </c>
      <c r="DZ115" s="130">
        <f>SUMPRODUCT(--(MOD(COLUMN($BN115:$DU115),5)=MOD(COLUMN($BN115)+2,5)),$BN115:$DU115)</f>
        <v/>
      </c>
      <c r="EA115" s="187">
        <f>Автовик_разбивка[[#This Row],[Цена, 
юань, без НДС 1]]*DZ115</f>
        <v/>
      </c>
      <c r="EB115" s="109">
        <f>SUMPRODUCT(--(MOD(COLUMN($BN115:$DU115),5)=MOD(COLUMN($BN115)+3,5)),$BN115:$DU115)</f>
        <v/>
      </c>
      <c r="EC115" s="224">
        <f>Автовик_разбивка[[#This Row],[Цена, 
юань, без НДС 1]]*EB115</f>
        <v/>
      </c>
    </row>
    <row r="116">
      <c r="A116" s="256" t="n">
        <v>22</v>
      </c>
      <c r="B116" s="172" t="inlineStr">
        <is>
          <t>УЗСТ</t>
        </is>
      </c>
      <c r="C116" s="173" t="inlineStr">
        <is>
          <t>TEBS W</t>
        </is>
      </c>
      <c r="D116" s="173" t="inlineStr">
        <is>
          <t>TEBS 4s/3m W</t>
        </is>
      </c>
      <c r="E116" s="174" t="n">
        <v>1</v>
      </c>
      <c r="F116" s="174" t="n"/>
      <c r="G116" s="204" t="n">
        <v>2</v>
      </c>
      <c r="H116" s="205" t="n">
        <v>4630320200</v>
      </c>
      <c r="I116" s="206" t="inlineStr">
        <is>
          <t>Кран ручного управления</t>
        </is>
      </c>
      <c r="J116" s="911" t="n"/>
      <c r="K116" s="912" t="n"/>
      <c r="L116" s="178" t="n"/>
      <c r="M116" s="130" t="n"/>
      <c r="N116" s="179" t="n"/>
      <c r="O116" s="130" t="n"/>
      <c r="P116" s="178" t="n"/>
      <c r="Q116" s="130">
        <f>$E116*1</f>
        <v/>
      </c>
      <c r="R116" s="179" t="n">
        <v>1</v>
      </c>
      <c r="S116" s="130" t="n"/>
      <c r="T116" s="178" t="n"/>
      <c r="U116" s="130" t="n"/>
      <c r="V116" s="179" t="n"/>
      <c r="W116" s="130" t="n"/>
      <c r="X116" s="178" t="n"/>
      <c r="Y116" s="130" t="n"/>
      <c r="Z116" s="179" t="n"/>
      <c r="AA116" s="130" t="n"/>
      <c r="AB116" s="178" t="n"/>
      <c r="AC116" s="130" t="n"/>
      <c r="AD116" s="179" t="n"/>
      <c r="AE116" s="130" t="n"/>
      <c r="AF116" s="178" t="n"/>
      <c r="AG116" s="130" t="n"/>
      <c r="AH116" s="179" t="n"/>
      <c r="AI116" s="130" t="n"/>
      <c r="AJ116" s="178" t="n"/>
      <c r="AK116" s="130" t="n"/>
      <c r="AL116" s="179" t="n"/>
      <c r="AM116" s="130" t="n"/>
      <c r="AN116" s="178" t="n"/>
      <c r="AO116" s="130" t="n"/>
      <c r="AP116" s="179" t="n"/>
      <c r="AQ116" s="130" t="n"/>
      <c r="AR116" s="178" t="n"/>
      <c r="AS116" s="130" t="n"/>
      <c r="AT116" s="179" t="n"/>
      <c r="AU116" s="130" t="n"/>
      <c r="AV116" s="178" t="n"/>
      <c r="AW116" s="130" t="n"/>
      <c r="AX116" s="179" t="n"/>
      <c r="AY116" s="130" t="n"/>
      <c r="AZ116" s="178" t="n"/>
      <c r="BA116" s="130" t="n"/>
      <c r="BB116" s="194" t="n"/>
      <c r="BC116" s="130" t="n"/>
      <c r="BD116" s="178" t="n"/>
      <c r="BE116" s="130" t="n"/>
      <c r="BF116" s="109" t="n"/>
      <c r="BG116" s="130" t="n"/>
      <c r="BH116" s="180">
        <f>SUMPRODUCT(--(MOD(COLUMN($L116:$BG116),4)=MOD(COLUMN($L116),4)),$L116:$BG116)</f>
        <v/>
      </c>
      <c r="BI116" s="181">
        <f>Автовик_разбивка[[#This Row],[Цена, 
юань, без НДС 1]]*BH116</f>
        <v/>
      </c>
      <c r="BJ116" s="130">
        <f>SUMPRODUCT(--(MOD(COLUMN($L116:$BG116),4)=MOD(COLUMN($L116)+1,4)),$L116:$BG116)</f>
        <v/>
      </c>
      <c r="BK116" s="187">
        <f>Автовик_разбивка[[#This Row],[Цена, 
юань, без НДС 1]]*BJ116</f>
        <v/>
      </c>
      <c r="BL116" s="109">
        <f>SUMPRODUCT(--(MOD(COLUMN($L116:$BG116),4)=MOD(COLUMN($L116)+2,4)),$L116:$BG116)</f>
        <v/>
      </c>
      <c r="BM116" s="224">
        <f>Автовик_разбивка[[#This Row],[Цена, 
юань, без НДС 1]]*BL116</f>
        <v/>
      </c>
      <c r="BN116" s="178" t="n"/>
      <c r="BO116" s="184" t="n"/>
      <c r="BP116" s="130" t="n"/>
      <c r="BQ116" s="179" t="n"/>
      <c r="BR116" s="130" t="n"/>
      <c r="BS116" s="178" t="n"/>
      <c r="BT116" s="184" t="n"/>
      <c r="BU116" s="130" t="n"/>
      <c r="BV116" s="179" t="n"/>
      <c r="BW116" s="130" t="n"/>
      <c r="BX116" s="178" t="n"/>
      <c r="BY116" s="184" t="n"/>
      <c r="BZ116" s="130" t="n"/>
      <c r="CA116" s="179" t="n"/>
      <c r="CB116" s="130" t="n"/>
      <c r="CC116" s="178" t="n"/>
      <c r="CD116" s="184" t="n"/>
      <c r="CE116" s="130" t="n"/>
      <c r="CF116" s="179" t="n"/>
      <c r="CG116" s="130" t="n"/>
      <c r="CH116" s="178" t="n"/>
      <c r="CI116" s="184" t="n"/>
      <c r="CJ116" s="130" t="n"/>
      <c r="CK116" s="179" t="n"/>
      <c r="CL116" s="130" t="n"/>
      <c r="CM116" s="178" t="n"/>
      <c r="CN116" s="184" t="n"/>
      <c r="CO116" s="130" t="n"/>
      <c r="CP116" s="179" t="n"/>
      <c r="CQ116" s="130" t="n"/>
      <c r="CR116" s="178" t="n"/>
      <c r="CS116" s="184" t="n"/>
      <c r="CT116" s="130" t="n"/>
      <c r="CU116" s="179" t="n"/>
      <c r="CV116" s="130" t="n"/>
      <c r="CW116" s="178" t="n"/>
      <c r="CX116" s="184" t="n"/>
      <c r="CY116" s="130" t="n"/>
      <c r="CZ116" s="179" t="n"/>
      <c r="DA116" s="130" t="n"/>
      <c r="DB116" s="178" t="n"/>
      <c r="DC116" s="184" t="n"/>
      <c r="DD116" s="130" t="n"/>
      <c r="DE116" s="179" t="n"/>
      <c r="DF116" s="130" t="n"/>
      <c r="DG116" s="178" t="n"/>
      <c r="DH116" s="184" t="n"/>
      <c r="DI116" s="130" t="n"/>
      <c r="DJ116" s="179" t="n"/>
      <c r="DK116" s="130" t="n"/>
      <c r="DL116" s="178" t="n"/>
      <c r="DM116" s="184" t="n"/>
      <c r="DN116" s="130" t="n"/>
      <c r="DO116" s="194" t="n"/>
      <c r="DP116" s="130" t="n"/>
      <c r="DQ116" s="178" t="n"/>
      <c r="DR116" s="184" t="n"/>
      <c r="DS116" s="130" t="n"/>
      <c r="DT116" s="109" t="n"/>
      <c r="DU116" s="130" t="n"/>
      <c r="DV116" s="180">
        <f>SUMPRODUCT(--(MOD(COLUMN($BN116:$DU116),5)=MOD(COLUMN($BN116),5)),$BN116:$DU116)</f>
        <v/>
      </c>
      <c r="DW116" s="181">
        <f>Автовик_разбивка[[#This Row],[Цена, 
юань, без НДС 1]]*DV116</f>
        <v/>
      </c>
      <c r="DX116" s="186">
        <f>SUMPRODUCT(--(MOD(COLUMN($BN116:$DU116),5)=MOD(COLUMN($BN116)+1,5)),$BN116:$DU116)</f>
        <v/>
      </c>
      <c r="DY116" s="186">
        <f>Автовик_разбивка[[#This Row],[Цена, 
юань, без НДС 1]]*DX116</f>
        <v/>
      </c>
      <c r="DZ116" s="130">
        <f>SUMPRODUCT(--(MOD(COLUMN($BN116:$DU116),5)=MOD(COLUMN($BN116)+2,5)),$BN116:$DU116)</f>
        <v/>
      </c>
      <c r="EA116" s="187">
        <f>Автовик_разбивка[[#This Row],[Цена, 
юань, без НДС 1]]*DZ116</f>
        <v/>
      </c>
      <c r="EB116" s="109">
        <f>SUMPRODUCT(--(MOD(COLUMN($BN116:$DU116),5)=MOD(COLUMN($BN116)+3,5)),$BN116:$DU116)</f>
        <v/>
      </c>
      <c r="EC116" s="224">
        <f>Автовик_разбивка[[#This Row],[Цена, 
юань, без НДС 1]]*EB116</f>
        <v/>
      </c>
    </row>
    <row r="117">
      <c r="A117" s="256" t="n">
        <v>22</v>
      </c>
      <c r="B117" s="172" t="inlineStr">
        <is>
          <t>УЗСТ</t>
        </is>
      </c>
      <c r="C117" s="173" t="inlineStr">
        <is>
          <t>TEBS W</t>
        </is>
      </c>
      <c r="D117" s="173" t="inlineStr">
        <is>
          <t>TEBS 4s/3m W</t>
        </is>
      </c>
      <c r="E117" s="174" t="n">
        <v>1</v>
      </c>
      <c r="F117" s="174" t="n"/>
      <c r="G117" s="204" t="n">
        <v>2</v>
      </c>
      <c r="H117" s="205" t="n">
        <v>4640061000</v>
      </c>
      <c r="I117" s="206" t="inlineStr">
        <is>
          <t>Кран уровня пола</t>
        </is>
      </c>
      <c r="J117" s="911" t="n"/>
      <c r="K117" s="912" t="n"/>
      <c r="L117" s="178" t="n"/>
      <c r="M117" s="130" t="n"/>
      <c r="N117" s="179" t="n"/>
      <c r="O117" s="130" t="n"/>
      <c r="P117" s="178" t="n"/>
      <c r="Q117" s="130">
        <f>$E117*1</f>
        <v/>
      </c>
      <c r="R117" s="179" t="n">
        <v>1</v>
      </c>
      <c r="S117" s="130" t="n"/>
      <c r="T117" s="178" t="n"/>
      <c r="U117" s="130" t="n"/>
      <c r="V117" s="179" t="n"/>
      <c r="W117" s="130" t="n"/>
      <c r="X117" s="178" t="n"/>
      <c r="Y117" s="130" t="n"/>
      <c r="Z117" s="179" t="n"/>
      <c r="AA117" s="130" t="n"/>
      <c r="AB117" s="178" t="n"/>
      <c r="AC117" s="130" t="n"/>
      <c r="AD117" s="179" t="n"/>
      <c r="AE117" s="130" t="n"/>
      <c r="AF117" s="178" t="n"/>
      <c r="AG117" s="130" t="n"/>
      <c r="AH117" s="179" t="n"/>
      <c r="AI117" s="130" t="n"/>
      <c r="AJ117" s="178" t="n"/>
      <c r="AK117" s="130" t="n"/>
      <c r="AL117" s="179" t="n"/>
      <c r="AM117" s="130" t="n"/>
      <c r="AN117" s="178" t="n"/>
      <c r="AO117" s="130" t="n"/>
      <c r="AP117" s="179" t="n"/>
      <c r="AQ117" s="130" t="n"/>
      <c r="AR117" s="178" t="n"/>
      <c r="AS117" s="130" t="n"/>
      <c r="AT117" s="179" t="n"/>
      <c r="AU117" s="130" t="n"/>
      <c r="AV117" s="178" t="n"/>
      <c r="AW117" s="130" t="n"/>
      <c r="AX117" s="179" t="n"/>
      <c r="AY117" s="130" t="n"/>
      <c r="AZ117" s="178" t="n"/>
      <c r="BA117" s="130" t="n"/>
      <c r="BB117" s="194" t="n"/>
      <c r="BC117" s="130" t="n"/>
      <c r="BD117" s="178" t="n"/>
      <c r="BE117" s="130" t="n"/>
      <c r="BF117" s="109" t="n"/>
      <c r="BG117" s="130" t="n"/>
      <c r="BH117" s="180">
        <f>SUMPRODUCT(--(MOD(COLUMN($L117:$BG117),4)=MOD(COLUMN($L117),4)),$L117:$BG117)</f>
        <v/>
      </c>
      <c r="BI117" s="181">
        <f>Автовик_разбивка[[#This Row],[Цена, 
юань, без НДС 1]]*BH117</f>
        <v/>
      </c>
      <c r="BJ117" s="130">
        <f>SUMPRODUCT(--(MOD(COLUMN($L117:$BG117),4)=MOD(COLUMN($L117)+1,4)),$L117:$BG117)</f>
        <v/>
      </c>
      <c r="BK117" s="187">
        <f>Автовик_разбивка[[#This Row],[Цена, 
юань, без НДС 1]]*BJ117</f>
        <v/>
      </c>
      <c r="BL117" s="109">
        <f>SUMPRODUCT(--(MOD(COLUMN($L117:$BG117),4)=MOD(COLUMN($L117)+2,4)),$L117:$BG117)</f>
        <v/>
      </c>
      <c r="BM117" s="224">
        <f>Автовик_разбивка[[#This Row],[Цена, 
юань, без НДС 1]]*BL117</f>
        <v/>
      </c>
      <c r="BN117" s="178" t="n"/>
      <c r="BO117" s="184" t="n"/>
      <c r="BP117" s="130" t="n"/>
      <c r="BQ117" s="179" t="n"/>
      <c r="BR117" s="130" t="n"/>
      <c r="BS117" s="178" t="n"/>
      <c r="BT117" s="184" t="n"/>
      <c r="BU117" s="130" t="n"/>
      <c r="BV117" s="179" t="n"/>
      <c r="BW117" s="130" t="n"/>
      <c r="BX117" s="178" t="n"/>
      <c r="BY117" s="184" t="n"/>
      <c r="BZ117" s="130" t="n"/>
      <c r="CA117" s="179" t="n"/>
      <c r="CB117" s="130" t="n"/>
      <c r="CC117" s="178" t="n"/>
      <c r="CD117" s="184" t="n"/>
      <c r="CE117" s="130" t="n"/>
      <c r="CF117" s="179" t="n"/>
      <c r="CG117" s="130" t="n"/>
      <c r="CH117" s="178" t="n"/>
      <c r="CI117" s="184" t="n"/>
      <c r="CJ117" s="130" t="n"/>
      <c r="CK117" s="179" t="n"/>
      <c r="CL117" s="130" t="n"/>
      <c r="CM117" s="178" t="n"/>
      <c r="CN117" s="184" t="n"/>
      <c r="CO117" s="130" t="n"/>
      <c r="CP117" s="179" t="n"/>
      <c r="CQ117" s="130" t="n"/>
      <c r="CR117" s="178" t="n"/>
      <c r="CS117" s="184" t="n"/>
      <c r="CT117" s="130" t="n"/>
      <c r="CU117" s="179" t="n"/>
      <c r="CV117" s="130" t="n"/>
      <c r="CW117" s="178" t="n"/>
      <c r="CX117" s="184" t="n"/>
      <c r="CY117" s="130" t="n"/>
      <c r="CZ117" s="179" t="n"/>
      <c r="DA117" s="130" t="n"/>
      <c r="DB117" s="178" t="n"/>
      <c r="DC117" s="184" t="n"/>
      <c r="DD117" s="130" t="n"/>
      <c r="DE117" s="179" t="n"/>
      <c r="DF117" s="130" t="n"/>
      <c r="DG117" s="178" t="n"/>
      <c r="DH117" s="184" t="n"/>
      <c r="DI117" s="130" t="n"/>
      <c r="DJ117" s="179" t="n"/>
      <c r="DK117" s="130" t="n"/>
      <c r="DL117" s="178" t="n"/>
      <c r="DM117" s="184" t="n"/>
      <c r="DN117" s="130" t="n"/>
      <c r="DO117" s="194" t="n"/>
      <c r="DP117" s="130" t="n"/>
      <c r="DQ117" s="178" t="n"/>
      <c r="DR117" s="184" t="n"/>
      <c r="DS117" s="130" t="n"/>
      <c r="DT117" s="109" t="n"/>
      <c r="DU117" s="130" t="n"/>
      <c r="DV117" s="180">
        <f>SUMPRODUCT(--(MOD(COLUMN($BN117:$DU117),5)=MOD(COLUMN($BN117),5)),$BN117:$DU117)</f>
        <v/>
      </c>
      <c r="DW117" s="181">
        <f>Автовик_разбивка[[#This Row],[Цена, 
юань, без НДС 1]]*DV117</f>
        <v/>
      </c>
      <c r="DX117" s="186">
        <f>SUMPRODUCT(--(MOD(COLUMN($BN117:$DU117),5)=MOD(COLUMN($BN117)+1,5)),$BN117:$DU117)</f>
        <v/>
      </c>
      <c r="DY117" s="186">
        <f>Автовик_разбивка[[#This Row],[Цена, 
юань, без НДС 1]]*DX117</f>
        <v/>
      </c>
      <c r="DZ117" s="130">
        <f>SUMPRODUCT(--(MOD(COLUMN($BN117:$DU117),5)=MOD(COLUMN($BN117)+2,5)),$BN117:$DU117)</f>
        <v/>
      </c>
      <c r="EA117" s="187">
        <f>Автовик_разбивка[[#This Row],[Цена, 
юань, без НДС 1]]*DZ117</f>
        <v/>
      </c>
      <c r="EB117" s="109">
        <f>SUMPRODUCT(--(MOD(COLUMN($BN117:$DU117),5)=MOD(COLUMN($BN117)+3,5)),$BN117:$DU117)</f>
        <v/>
      </c>
      <c r="EC117" s="224">
        <f>Автовик_разбивка[[#This Row],[Цена, 
юань, без НДС 1]]*EB117</f>
        <v/>
      </c>
    </row>
    <row r="118">
      <c r="A118" s="256" t="n">
        <v>22</v>
      </c>
      <c r="B118" s="172" t="inlineStr">
        <is>
          <t>УЗСТ</t>
        </is>
      </c>
      <c r="C118" s="173" t="inlineStr">
        <is>
          <t>TEBS W</t>
        </is>
      </c>
      <c r="D118" s="173" t="inlineStr">
        <is>
          <t>TEBS 4s/3m W</t>
        </is>
      </c>
      <c r="E118" s="174" t="n">
        <v>1</v>
      </c>
      <c r="F118" s="174" t="n"/>
      <c r="G118" s="204" t="n">
        <v>2</v>
      </c>
      <c r="H118" s="205" t="n">
        <v>4801020640</v>
      </c>
      <c r="I118" s="206" t="inlineStr">
        <is>
          <t>Блок TEBS-E, 4s3m Premium</t>
        </is>
      </c>
      <c r="J118" s="911" t="n"/>
      <c r="K118" s="912" t="n"/>
      <c r="L118" s="178" t="n"/>
      <c r="M118" s="130" t="n"/>
      <c r="N118" s="179" t="n"/>
      <c r="O118" s="130" t="n"/>
      <c r="P118" s="178" t="n"/>
      <c r="Q118" s="130">
        <f>$E118*1</f>
        <v/>
      </c>
      <c r="R118" s="179" t="n">
        <v>1</v>
      </c>
      <c r="S118" s="130" t="n"/>
      <c r="T118" s="178" t="n"/>
      <c r="U118" s="130" t="n"/>
      <c r="V118" s="179" t="n"/>
      <c r="W118" s="130" t="n"/>
      <c r="X118" s="178" t="n"/>
      <c r="Y118" s="130" t="n"/>
      <c r="Z118" s="179" t="n"/>
      <c r="AA118" s="130" t="n"/>
      <c r="AB118" s="178" t="n"/>
      <c r="AC118" s="130" t="n"/>
      <c r="AD118" s="179" t="n"/>
      <c r="AE118" s="130" t="n"/>
      <c r="AF118" s="178" t="n"/>
      <c r="AG118" s="130" t="n"/>
      <c r="AH118" s="179" t="n"/>
      <c r="AI118" s="130" t="n"/>
      <c r="AJ118" s="178" t="n"/>
      <c r="AK118" s="130" t="n"/>
      <c r="AL118" s="179" t="n"/>
      <c r="AM118" s="130" t="n"/>
      <c r="AN118" s="178" t="n"/>
      <c r="AO118" s="130" t="n"/>
      <c r="AP118" s="179" t="n"/>
      <c r="AQ118" s="130" t="n"/>
      <c r="AR118" s="178" t="n"/>
      <c r="AS118" s="130" t="n"/>
      <c r="AT118" s="179" t="n"/>
      <c r="AU118" s="130" t="n"/>
      <c r="AV118" s="178" t="n"/>
      <c r="AW118" s="130" t="n"/>
      <c r="AX118" s="179" t="n"/>
      <c r="AY118" s="130" t="n"/>
      <c r="AZ118" s="178" t="n"/>
      <c r="BA118" s="130" t="n"/>
      <c r="BB118" s="194" t="n"/>
      <c r="BC118" s="130" t="n"/>
      <c r="BD118" s="178" t="n"/>
      <c r="BE118" s="130" t="n"/>
      <c r="BF118" s="109" t="n"/>
      <c r="BG118" s="130" t="n"/>
      <c r="BH118" s="180">
        <f>SUMPRODUCT(--(MOD(COLUMN($L118:$BG118),4)=MOD(COLUMN($L118),4)),$L118:$BG118)</f>
        <v/>
      </c>
      <c r="BI118" s="181">
        <f>Автовик_разбивка[[#This Row],[Цена, 
юань, без НДС 1]]*BH118</f>
        <v/>
      </c>
      <c r="BJ118" s="130">
        <f>SUMPRODUCT(--(MOD(COLUMN($L118:$BG118),4)=MOD(COLUMN($L118)+1,4)),$L118:$BG118)</f>
        <v/>
      </c>
      <c r="BK118" s="187">
        <f>Автовик_разбивка[[#This Row],[Цена, 
юань, без НДС 1]]*BJ118</f>
        <v/>
      </c>
      <c r="BL118" s="109">
        <f>SUMPRODUCT(--(MOD(COLUMN($L118:$BG118),4)=MOD(COLUMN($L118)+2,4)),$L118:$BG118)</f>
        <v/>
      </c>
      <c r="BM118" s="224">
        <f>Автовик_разбивка[[#This Row],[Цена, 
юань, без НДС 1]]*BL118</f>
        <v/>
      </c>
      <c r="BN118" s="178" t="n"/>
      <c r="BO118" s="184" t="n"/>
      <c r="BP118" s="130" t="n"/>
      <c r="BQ118" s="179" t="n"/>
      <c r="BR118" s="130" t="n"/>
      <c r="BS118" s="178" t="n"/>
      <c r="BT118" s="184" t="n"/>
      <c r="BU118" s="130" t="n"/>
      <c r="BV118" s="179" t="n"/>
      <c r="BW118" s="130" t="n"/>
      <c r="BX118" s="178" t="n"/>
      <c r="BY118" s="184" t="n"/>
      <c r="BZ118" s="130" t="n"/>
      <c r="CA118" s="179" t="n"/>
      <c r="CB118" s="130" t="n"/>
      <c r="CC118" s="178" t="n"/>
      <c r="CD118" s="184" t="n"/>
      <c r="CE118" s="130" t="n"/>
      <c r="CF118" s="179" t="n"/>
      <c r="CG118" s="130" t="n"/>
      <c r="CH118" s="178" t="n"/>
      <c r="CI118" s="184" t="n"/>
      <c r="CJ118" s="130" t="n"/>
      <c r="CK118" s="179" t="n"/>
      <c r="CL118" s="130" t="n"/>
      <c r="CM118" s="178" t="n"/>
      <c r="CN118" s="184" t="n"/>
      <c r="CO118" s="130" t="n"/>
      <c r="CP118" s="179" t="n"/>
      <c r="CQ118" s="130" t="n"/>
      <c r="CR118" s="178" t="n"/>
      <c r="CS118" s="184" t="n"/>
      <c r="CT118" s="130" t="n"/>
      <c r="CU118" s="179" t="n"/>
      <c r="CV118" s="130" t="n"/>
      <c r="CW118" s="178" t="n"/>
      <c r="CX118" s="184" t="n"/>
      <c r="CY118" s="130" t="n"/>
      <c r="CZ118" s="179" t="n"/>
      <c r="DA118" s="130" t="n"/>
      <c r="DB118" s="178" t="n"/>
      <c r="DC118" s="184" t="n"/>
      <c r="DD118" s="130" t="n"/>
      <c r="DE118" s="179" t="n"/>
      <c r="DF118" s="130" t="n"/>
      <c r="DG118" s="178" t="n"/>
      <c r="DH118" s="184" t="n"/>
      <c r="DI118" s="130" t="n"/>
      <c r="DJ118" s="179" t="n"/>
      <c r="DK118" s="130" t="n"/>
      <c r="DL118" s="178" t="n"/>
      <c r="DM118" s="184" t="n"/>
      <c r="DN118" s="130" t="n"/>
      <c r="DO118" s="194" t="n"/>
      <c r="DP118" s="130" t="n"/>
      <c r="DQ118" s="178" t="n"/>
      <c r="DR118" s="184" t="n"/>
      <c r="DS118" s="130" t="n"/>
      <c r="DT118" s="109" t="n"/>
      <c r="DU118" s="130" t="n"/>
      <c r="DV118" s="180">
        <f>SUMPRODUCT(--(MOD(COLUMN($BN118:$DU118),5)=MOD(COLUMN($BN118),5)),$BN118:$DU118)</f>
        <v/>
      </c>
      <c r="DW118" s="181">
        <f>Автовик_разбивка[[#This Row],[Цена, 
юань, без НДС 1]]*DV118</f>
        <v/>
      </c>
      <c r="DX118" s="186">
        <f>SUMPRODUCT(--(MOD(COLUMN($BN118:$DU118),5)=MOD(COLUMN($BN118)+1,5)),$BN118:$DU118)</f>
        <v/>
      </c>
      <c r="DY118" s="186">
        <f>Автовик_разбивка[[#This Row],[Цена, 
юань, без НДС 1]]*DX118</f>
        <v/>
      </c>
      <c r="DZ118" s="130">
        <f>SUMPRODUCT(--(MOD(COLUMN($BN118:$DU118),5)=MOD(COLUMN($BN118)+2,5)),$BN118:$DU118)</f>
        <v/>
      </c>
      <c r="EA118" s="187">
        <f>Автовик_разбивка[[#This Row],[Цена, 
юань, без НДС 1]]*DZ118</f>
        <v/>
      </c>
      <c r="EB118" s="109">
        <f>SUMPRODUCT(--(MOD(COLUMN($BN118:$DU118),5)=MOD(COLUMN($BN118)+3,5)),$BN118:$DU118)</f>
        <v/>
      </c>
      <c r="EC118" s="224">
        <f>Автовик_разбивка[[#This Row],[Цена, 
юань, без НДС 1]]*EB118</f>
        <v/>
      </c>
    </row>
    <row r="119">
      <c r="A119" s="256" t="n">
        <v>22</v>
      </c>
      <c r="B119" s="172" t="inlineStr">
        <is>
          <t>УЗСТ</t>
        </is>
      </c>
      <c r="C119" s="173" t="inlineStr">
        <is>
          <t>TEBS W</t>
        </is>
      </c>
      <c r="D119" s="173" t="inlineStr">
        <is>
          <t>TEBS 4s/3m W</t>
        </is>
      </c>
      <c r="E119" s="174" t="n">
        <v>1</v>
      </c>
      <c r="F119" s="174" t="n"/>
      <c r="G119" s="204" t="n">
        <v>2</v>
      </c>
      <c r="H119" s="205" t="n">
        <v>4802070010</v>
      </c>
      <c r="I119" s="206" t="inlineStr">
        <is>
          <t>Модулятор EBS</t>
        </is>
      </c>
      <c r="J119" s="911" t="n"/>
      <c r="K119" s="912" t="n"/>
      <c r="L119" s="178" t="n"/>
      <c r="M119" s="130" t="n"/>
      <c r="N119" s="179" t="n"/>
      <c r="O119" s="130" t="n"/>
      <c r="P119" s="178" t="n"/>
      <c r="Q119" s="130">
        <f>$E119*1</f>
        <v/>
      </c>
      <c r="R119" s="179" t="n">
        <v>1</v>
      </c>
      <c r="S119" s="130" t="n"/>
      <c r="T119" s="178" t="n"/>
      <c r="U119" s="130" t="n"/>
      <c r="V119" s="179" t="n"/>
      <c r="W119" s="130" t="n"/>
      <c r="X119" s="178" t="n"/>
      <c r="Y119" s="130" t="n"/>
      <c r="Z119" s="179" t="n"/>
      <c r="AA119" s="130" t="n"/>
      <c r="AB119" s="178" t="n"/>
      <c r="AC119" s="130" t="n"/>
      <c r="AD119" s="179" t="n"/>
      <c r="AE119" s="130" t="n"/>
      <c r="AF119" s="178" t="n"/>
      <c r="AG119" s="130" t="n"/>
      <c r="AH119" s="179" t="n"/>
      <c r="AI119" s="130" t="n"/>
      <c r="AJ119" s="178" t="n"/>
      <c r="AK119" s="130" t="n"/>
      <c r="AL119" s="179" t="n"/>
      <c r="AM119" s="130" t="n"/>
      <c r="AN119" s="178" t="n"/>
      <c r="AO119" s="130" t="n"/>
      <c r="AP119" s="179" t="n"/>
      <c r="AQ119" s="130" t="n"/>
      <c r="AR119" s="178" t="n"/>
      <c r="AS119" s="130" t="n"/>
      <c r="AT119" s="179" t="n"/>
      <c r="AU119" s="130" t="n"/>
      <c r="AV119" s="178" t="n"/>
      <c r="AW119" s="130" t="n"/>
      <c r="AX119" s="179" t="n"/>
      <c r="AY119" s="130" t="n"/>
      <c r="AZ119" s="178" t="n"/>
      <c r="BA119" s="130" t="n"/>
      <c r="BB119" s="194" t="n"/>
      <c r="BC119" s="130" t="n"/>
      <c r="BD119" s="178" t="n"/>
      <c r="BE119" s="130" t="n"/>
      <c r="BF119" s="109" t="n"/>
      <c r="BG119" s="130" t="n"/>
      <c r="BH119" s="180">
        <f>SUMPRODUCT(--(MOD(COLUMN($L119:$BG119),4)=MOD(COLUMN($L119),4)),$L119:$BG119)</f>
        <v/>
      </c>
      <c r="BI119" s="181">
        <f>Автовик_разбивка[[#This Row],[Цена, 
юань, без НДС 1]]*BH119</f>
        <v/>
      </c>
      <c r="BJ119" s="130">
        <f>SUMPRODUCT(--(MOD(COLUMN($L119:$BG119),4)=MOD(COLUMN($L119)+1,4)),$L119:$BG119)</f>
        <v/>
      </c>
      <c r="BK119" s="187">
        <f>Автовик_разбивка[[#This Row],[Цена, 
юань, без НДС 1]]*BJ119</f>
        <v/>
      </c>
      <c r="BL119" s="109">
        <f>SUMPRODUCT(--(MOD(COLUMN($L119:$BG119),4)=MOD(COLUMN($L119)+2,4)),$L119:$BG119)</f>
        <v/>
      </c>
      <c r="BM119" s="224">
        <f>Автовик_разбивка[[#This Row],[Цена, 
юань, без НДС 1]]*BL119</f>
        <v/>
      </c>
      <c r="BN119" s="178" t="n"/>
      <c r="BO119" s="184" t="n"/>
      <c r="BP119" s="130" t="n"/>
      <c r="BQ119" s="179" t="n"/>
      <c r="BR119" s="130" t="n"/>
      <c r="BS119" s="178" t="n"/>
      <c r="BT119" s="184" t="n"/>
      <c r="BU119" s="130" t="n"/>
      <c r="BV119" s="179" t="n"/>
      <c r="BW119" s="130" t="n"/>
      <c r="BX119" s="178" t="n"/>
      <c r="BY119" s="184" t="n"/>
      <c r="BZ119" s="130" t="n"/>
      <c r="CA119" s="179" t="n"/>
      <c r="CB119" s="130" t="n"/>
      <c r="CC119" s="178" t="n"/>
      <c r="CD119" s="184" t="n"/>
      <c r="CE119" s="130" t="n"/>
      <c r="CF119" s="179" t="n"/>
      <c r="CG119" s="130" t="n"/>
      <c r="CH119" s="178" t="n"/>
      <c r="CI119" s="184" t="n"/>
      <c r="CJ119" s="130" t="n"/>
      <c r="CK119" s="179" t="n"/>
      <c r="CL119" s="130" t="n"/>
      <c r="CM119" s="178" t="n"/>
      <c r="CN119" s="184" t="n"/>
      <c r="CO119" s="130" t="n"/>
      <c r="CP119" s="179" t="n"/>
      <c r="CQ119" s="130" t="n"/>
      <c r="CR119" s="178" t="n"/>
      <c r="CS119" s="184" t="n"/>
      <c r="CT119" s="130" t="n"/>
      <c r="CU119" s="179" t="n"/>
      <c r="CV119" s="130" t="n"/>
      <c r="CW119" s="178" t="n"/>
      <c r="CX119" s="184" t="n"/>
      <c r="CY119" s="130" t="n"/>
      <c r="CZ119" s="179" t="n"/>
      <c r="DA119" s="130" t="n"/>
      <c r="DB119" s="178" t="n"/>
      <c r="DC119" s="184" t="n"/>
      <c r="DD119" s="130" t="n"/>
      <c r="DE119" s="179" t="n"/>
      <c r="DF119" s="130" t="n"/>
      <c r="DG119" s="178" t="n"/>
      <c r="DH119" s="184" t="n"/>
      <c r="DI119" s="130" t="n"/>
      <c r="DJ119" s="179" t="n"/>
      <c r="DK119" s="130" t="n"/>
      <c r="DL119" s="178" t="n"/>
      <c r="DM119" s="184" t="n"/>
      <c r="DN119" s="130" t="n"/>
      <c r="DO119" s="194" t="n"/>
      <c r="DP119" s="130" t="n"/>
      <c r="DQ119" s="178" t="n"/>
      <c r="DR119" s="184" t="n"/>
      <c r="DS119" s="130" t="n"/>
      <c r="DT119" s="109" t="n"/>
      <c r="DU119" s="130" t="n"/>
      <c r="DV119" s="180">
        <f>SUMPRODUCT(--(MOD(COLUMN($BN119:$DU119),5)=MOD(COLUMN($BN119),5)),$BN119:$DU119)</f>
        <v/>
      </c>
      <c r="DW119" s="181">
        <f>Автовик_разбивка[[#This Row],[Цена, 
юань, без НДС 1]]*DV119</f>
        <v/>
      </c>
      <c r="DX119" s="186">
        <f>SUMPRODUCT(--(MOD(COLUMN($BN119:$DU119),5)=MOD(COLUMN($BN119)+1,5)),$BN119:$DU119)</f>
        <v/>
      </c>
      <c r="DY119" s="186">
        <f>Автовик_разбивка[[#This Row],[Цена, 
юань, без НДС 1]]*DX119</f>
        <v/>
      </c>
      <c r="DZ119" s="130">
        <f>SUMPRODUCT(--(MOD(COLUMN($BN119:$DU119),5)=MOD(COLUMN($BN119)+2,5)),$BN119:$DU119)</f>
        <v/>
      </c>
      <c r="EA119" s="187">
        <f>Автовик_разбивка[[#This Row],[Цена, 
юань, без НДС 1]]*DZ119</f>
        <v/>
      </c>
      <c r="EB119" s="109">
        <f>SUMPRODUCT(--(MOD(COLUMN($BN119:$DU119),5)=MOD(COLUMN($BN119)+3,5)),$BN119:$DU119)</f>
        <v/>
      </c>
      <c r="EC119" s="224">
        <f>Автовик_разбивка[[#This Row],[Цена, 
юань, без НДС 1]]*EB119</f>
        <v/>
      </c>
    </row>
    <row r="120">
      <c r="A120" s="256" t="n">
        <v>22</v>
      </c>
      <c r="B120" s="172" t="inlineStr">
        <is>
          <t>УЗСТ</t>
        </is>
      </c>
      <c r="C120" s="173" t="inlineStr">
        <is>
          <t>TEBS W</t>
        </is>
      </c>
      <c r="D120" s="173" t="inlineStr">
        <is>
          <t>TEBS 4s/3m W</t>
        </is>
      </c>
      <c r="E120" s="174" t="n">
        <v>1</v>
      </c>
      <c r="F120" s="174" t="n"/>
      <c r="G120" s="204" t="n">
        <v>2</v>
      </c>
      <c r="H120" s="205" t="n">
        <v>9522010010</v>
      </c>
      <c r="I120" s="206" t="inlineStr">
        <is>
          <t>Головка соединительная</t>
        </is>
      </c>
      <c r="J120" s="911" t="n"/>
      <c r="K120" s="912" t="n"/>
      <c r="L120" s="178" t="n"/>
      <c r="M120" s="130" t="n"/>
      <c r="N120" s="179" t="n"/>
      <c r="O120" s="130" t="n"/>
      <c r="P120" s="178" t="n"/>
      <c r="Q120" s="130">
        <f>$E120*1</f>
        <v/>
      </c>
      <c r="R120" s="179" t="n">
        <v>1</v>
      </c>
      <c r="S120" s="130" t="n"/>
      <c r="T120" s="178" t="n"/>
      <c r="U120" s="130" t="n"/>
      <c r="V120" s="179" t="n"/>
      <c r="W120" s="130" t="n"/>
      <c r="X120" s="178" t="n"/>
      <c r="Y120" s="130" t="n"/>
      <c r="Z120" s="179" t="n"/>
      <c r="AA120" s="130" t="n"/>
      <c r="AB120" s="178" t="n"/>
      <c r="AC120" s="130" t="n"/>
      <c r="AD120" s="179" t="n"/>
      <c r="AE120" s="130" t="n"/>
      <c r="AF120" s="178" t="n"/>
      <c r="AG120" s="130" t="n"/>
      <c r="AH120" s="179" t="n"/>
      <c r="AI120" s="130" t="n"/>
      <c r="AJ120" s="178" t="n"/>
      <c r="AK120" s="130" t="n"/>
      <c r="AL120" s="179" t="n"/>
      <c r="AM120" s="130" t="n"/>
      <c r="AN120" s="178" t="n"/>
      <c r="AO120" s="130" t="n"/>
      <c r="AP120" s="179" t="n"/>
      <c r="AQ120" s="130" t="n"/>
      <c r="AR120" s="178" t="n"/>
      <c r="AS120" s="130" t="n"/>
      <c r="AT120" s="179" t="n"/>
      <c r="AU120" s="130" t="n"/>
      <c r="AV120" s="178" t="n"/>
      <c r="AW120" s="130" t="n"/>
      <c r="AX120" s="179" t="n"/>
      <c r="AY120" s="130" t="n"/>
      <c r="AZ120" s="178" t="n"/>
      <c r="BA120" s="130" t="n"/>
      <c r="BB120" s="194" t="n"/>
      <c r="BC120" s="130" t="n"/>
      <c r="BD120" s="178" t="n"/>
      <c r="BE120" s="130" t="n"/>
      <c r="BF120" s="109" t="n"/>
      <c r="BG120" s="130" t="n"/>
      <c r="BH120" s="180">
        <f>SUMPRODUCT(--(MOD(COLUMN($L120:$BG120),4)=MOD(COLUMN($L120),4)),$L120:$BG120)</f>
        <v/>
      </c>
      <c r="BI120" s="181">
        <f>Автовик_разбивка[[#This Row],[Цена, 
юань, без НДС 1]]*BH120</f>
        <v/>
      </c>
      <c r="BJ120" s="130">
        <f>SUMPRODUCT(--(MOD(COLUMN($L120:$BG120),4)=MOD(COLUMN($L120)+1,4)),$L120:$BG120)</f>
        <v/>
      </c>
      <c r="BK120" s="187">
        <f>Автовик_разбивка[[#This Row],[Цена, 
юань, без НДС 1]]*BJ120</f>
        <v/>
      </c>
      <c r="BL120" s="109">
        <f>SUMPRODUCT(--(MOD(COLUMN($L120:$BG120),4)=MOD(COLUMN($L120)+2,4)),$L120:$BG120)</f>
        <v/>
      </c>
      <c r="BM120" s="224">
        <f>Автовик_разбивка[[#This Row],[Цена, 
юань, без НДС 1]]*BL120</f>
        <v/>
      </c>
      <c r="BN120" s="178" t="n"/>
      <c r="BO120" s="184" t="n"/>
      <c r="BP120" s="130" t="n"/>
      <c r="BQ120" s="179" t="n"/>
      <c r="BR120" s="130" t="n"/>
      <c r="BS120" s="178" t="n"/>
      <c r="BT120" s="184" t="n"/>
      <c r="BU120" s="130" t="n"/>
      <c r="BV120" s="179" t="n"/>
      <c r="BW120" s="130" t="n"/>
      <c r="BX120" s="178" t="n"/>
      <c r="BY120" s="184" t="n"/>
      <c r="BZ120" s="130" t="n"/>
      <c r="CA120" s="179" t="n"/>
      <c r="CB120" s="130" t="n"/>
      <c r="CC120" s="178" t="n"/>
      <c r="CD120" s="184" t="n"/>
      <c r="CE120" s="130" t="n"/>
      <c r="CF120" s="179" t="n"/>
      <c r="CG120" s="130" t="n"/>
      <c r="CH120" s="178" t="n"/>
      <c r="CI120" s="184" t="n"/>
      <c r="CJ120" s="130" t="n"/>
      <c r="CK120" s="179" t="n"/>
      <c r="CL120" s="130" t="n"/>
      <c r="CM120" s="178" t="n"/>
      <c r="CN120" s="184" t="n"/>
      <c r="CO120" s="130" t="n"/>
      <c r="CP120" s="179" t="n"/>
      <c r="CQ120" s="130" t="n"/>
      <c r="CR120" s="178" t="n"/>
      <c r="CS120" s="184" t="n"/>
      <c r="CT120" s="130" t="n"/>
      <c r="CU120" s="179" t="n"/>
      <c r="CV120" s="130" t="n"/>
      <c r="CW120" s="178" t="n"/>
      <c r="CX120" s="184" t="n"/>
      <c r="CY120" s="130" t="n"/>
      <c r="CZ120" s="179" t="n"/>
      <c r="DA120" s="130" t="n"/>
      <c r="DB120" s="178" t="n"/>
      <c r="DC120" s="184" t="n"/>
      <c r="DD120" s="130" t="n"/>
      <c r="DE120" s="179" t="n"/>
      <c r="DF120" s="130" t="n"/>
      <c r="DG120" s="178" t="n"/>
      <c r="DH120" s="184" t="n"/>
      <c r="DI120" s="130" t="n"/>
      <c r="DJ120" s="179" t="n"/>
      <c r="DK120" s="130" t="n"/>
      <c r="DL120" s="178" t="n"/>
      <c r="DM120" s="184" t="n"/>
      <c r="DN120" s="130" t="n"/>
      <c r="DO120" s="194" t="n"/>
      <c r="DP120" s="130" t="n"/>
      <c r="DQ120" s="178" t="n"/>
      <c r="DR120" s="184" t="n"/>
      <c r="DS120" s="130" t="n"/>
      <c r="DT120" s="109" t="n"/>
      <c r="DU120" s="130" t="n"/>
      <c r="DV120" s="180">
        <f>SUMPRODUCT(--(MOD(COLUMN($BN120:$DU120),5)=MOD(COLUMN($BN120),5)),$BN120:$DU120)</f>
        <v/>
      </c>
      <c r="DW120" s="181">
        <f>Автовик_разбивка[[#This Row],[Цена, 
юань, без НДС 1]]*DV120</f>
        <v/>
      </c>
      <c r="DX120" s="186">
        <f>SUMPRODUCT(--(MOD(COLUMN($BN120:$DU120),5)=MOD(COLUMN($BN120)+1,5)),$BN120:$DU120)</f>
        <v/>
      </c>
      <c r="DY120" s="186">
        <f>Автовик_разбивка[[#This Row],[Цена, 
юань, без НДС 1]]*DX120</f>
        <v/>
      </c>
      <c r="DZ120" s="130">
        <f>SUMPRODUCT(--(MOD(COLUMN($BN120:$DU120),5)=MOD(COLUMN($BN120)+2,5)),$BN120:$DU120)</f>
        <v/>
      </c>
      <c r="EA120" s="187">
        <f>Автовик_разбивка[[#This Row],[Цена, 
юань, без НДС 1]]*DZ120</f>
        <v/>
      </c>
      <c r="EB120" s="109">
        <f>SUMPRODUCT(--(MOD(COLUMN($BN120:$DU120),5)=MOD(COLUMN($BN120)+3,5)),$BN120:$DU120)</f>
        <v/>
      </c>
      <c r="EC120" s="224">
        <f>Автовик_разбивка[[#This Row],[Цена, 
юань, без НДС 1]]*EB120</f>
        <v/>
      </c>
    </row>
    <row r="121">
      <c r="A121" s="256" t="n">
        <v>22</v>
      </c>
      <c r="B121" s="172" t="inlineStr">
        <is>
          <t>УЗСТ</t>
        </is>
      </c>
      <c r="C121" s="173" t="inlineStr">
        <is>
          <t>TEBS W</t>
        </is>
      </c>
      <c r="D121" s="173" t="inlineStr">
        <is>
          <t>TEBS 4s/3m W</t>
        </is>
      </c>
      <c r="E121" s="174" t="n">
        <v>1</v>
      </c>
      <c r="F121" s="174" t="n"/>
      <c r="G121" s="204" t="n">
        <v>2</v>
      </c>
      <c r="H121" s="205" t="n">
        <v>9522010020</v>
      </c>
      <c r="I121" s="206" t="inlineStr">
        <is>
          <t>Головка соединительная</t>
        </is>
      </c>
      <c r="J121" s="911" t="n"/>
      <c r="K121" s="912" t="n"/>
      <c r="L121" s="178" t="n"/>
      <c r="M121" s="130" t="n"/>
      <c r="N121" s="179" t="n"/>
      <c r="O121" s="130" t="n"/>
      <c r="P121" s="178" t="n"/>
      <c r="Q121" s="130">
        <f>$E121*1</f>
        <v/>
      </c>
      <c r="R121" s="179" t="n">
        <v>1</v>
      </c>
      <c r="S121" s="130" t="n"/>
      <c r="T121" s="178" t="n"/>
      <c r="U121" s="130" t="n"/>
      <c r="V121" s="179" t="n"/>
      <c r="W121" s="130" t="n"/>
      <c r="X121" s="178" t="n"/>
      <c r="Y121" s="130" t="n"/>
      <c r="Z121" s="179" t="n"/>
      <c r="AA121" s="130" t="n"/>
      <c r="AB121" s="178" t="n"/>
      <c r="AC121" s="130" t="n"/>
      <c r="AD121" s="179" t="n"/>
      <c r="AE121" s="130" t="n"/>
      <c r="AF121" s="178" t="n"/>
      <c r="AG121" s="130" t="n"/>
      <c r="AH121" s="179" t="n"/>
      <c r="AI121" s="130" t="n"/>
      <c r="AJ121" s="178" t="n"/>
      <c r="AK121" s="130" t="n"/>
      <c r="AL121" s="179" t="n"/>
      <c r="AM121" s="130" t="n"/>
      <c r="AN121" s="178" t="n"/>
      <c r="AO121" s="130" t="n"/>
      <c r="AP121" s="179" t="n"/>
      <c r="AQ121" s="130" t="n"/>
      <c r="AR121" s="178" t="n"/>
      <c r="AS121" s="130" t="n"/>
      <c r="AT121" s="179" t="n"/>
      <c r="AU121" s="130" t="n"/>
      <c r="AV121" s="178" t="n"/>
      <c r="AW121" s="130" t="n"/>
      <c r="AX121" s="179" t="n"/>
      <c r="AY121" s="130" t="n"/>
      <c r="AZ121" s="178" t="n"/>
      <c r="BA121" s="130" t="n"/>
      <c r="BB121" s="194" t="n"/>
      <c r="BC121" s="130" t="n"/>
      <c r="BD121" s="178" t="n"/>
      <c r="BE121" s="130" t="n"/>
      <c r="BF121" s="109" t="n"/>
      <c r="BG121" s="130" t="n"/>
      <c r="BH121" s="180">
        <f>SUMPRODUCT(--(MOD(COLUMN($L121:$BG121),4)=MOD(COLUMN($L121),4)),$L121:$BG121)</f>
        <v/>
      </c>
      <c r="BI121" s="181">
        <f>Автовик_разбивка[[#This Row],[Цена, 
юань, без НДС 1]]*BH121</f>
        <v/>
      </c>
      <c r="BJ121" s="130">
        <f>SUMPRODUCT(--(MOD(COLUMN($L121:$BG121),4)=MOD(COLUMN($L121)+1,4)),$L121:$BG121)</f>
        <v/>
      </c>
      <c r="BK121" s="187">
        <f>Автовик_разбивка[[#This Row],[Цена, 
юань, без НДС 1]]*BJ121</f>
        <v/>
      </c>
      <c r="BL121" s="109">
        <f>SUMPRODUCT(--(MOD(COLUMN($L121:$BG121),4)=MOD(COLUMN($L121)+2,4)),$L121:$BG121)</f>
        <v/>
      </c>
      <c r="BM121" s="224">
        <f>Автовик_разбивка[[#This Row],[Цена, 
юань, без НДС 1]]*BL121</f>
        <v/>
      </c>
      <c r="BN121" s="178" t="n"/>
      <c r="BO121" s="184" t="n"/>
      <c r="BP121" s="130" t="n"/>
      <c r="BQ121" s="179" t="n"/>
      <c r="BR121" s="130" t="n"/>
      <c r="BS121" s="178" t="n"/>
      <c r="BT121" s="184" t="n"/>
      <c r="BU121" s="130" t="n"/>
      <c r="BV121" s="179" t="n"/>
      <c r="BW121" s="130" t="n"/>
      <c r="BX121" s="178" t="n"/>
      <c r="BY121" s="184" t="n"/>
      <c r="BZ121" s="130" t="n"/>
      <c r="CA121" s="179" t="n"/>
      <c r="CB121" s="130" t="n"/>
      <c r="CC121" s="178" t="n"/>
      <c r="CD121" s="184" t="n"/>
      <c r="CE121" s="130" t="n"/>
      <c r="CF121" s="179" t="n"/>
      <c r="CG121" s="130" t="n"/>
      <c r="CH121" s="178" t="n"/>
      <c r="CI121" s="184" t="n"/>
      <c r="CJ121" s="130" t="n"/>
      <c r="CK121" s="179" t="n"/>
      <c r="CL121" s="130" t="n"/>
      <c r="CM121" s="178" t="n"/>
      <c r="CN121" s="184" t="n"/>
      <c r="CO121" s="130" t="n"/>
      <c r="CP121" s="179" t="n"/>
      <c r="CQ121" s="130" t="n"/>
      <c r="CR121" s="178" t="n"/>
      <c r="CS121" s="184" t="n"/>
      <c r="CT121" s="130" t="n"/>
      <c r="CU121" s="179" t="n"/>
      <c r="CV121" s="130" t="n"/>
      <c r="CW121" s="178" t="n"/>
      <c r="CX121" s="184" t="n"/>
      <c r="CY121" s="130" t="n"/>
      <c r="CZ121" s="179" t="n"/>
      <c r="DA121" s="130" t="n"/>
      <c r="DB121" s="178" t="n"/>
      <c r="DC121" s="184" t="n"/>
      <c r="DD121" s="130" t="n"/>
      <c r="DE121" s="179" t="n"/>
      <c r="DF121" s="130" t="n"/>
      <c r="DG121" s="178" t="n"/>
      <c r="DH121" s="184" t="n"/>
      <c r="DI121" s="130" t="n"/>
      <c r="DJ121" s="179" t="n"/>
      <c r="DK121" s="130" t="n"/>
      <c r="DL121" s="178" t="n"/>
      <c r="DM121" s="184" t="n"/>
      <c r="DN121" s="130" t="n"/>
      <c r="DO121" s="194" t="n"/>
      <c r="DP121" s="130" t="n"/>
      <c r="DQ121" s="178" t="n"/>
      <c r="DR121" s="184" t="n"/>
      <c r="DS121" s="130" t="n"/>
      <c r="DT121" s="109" t="n"/>
      <c r="DU121" s="130" t="n"/>
      <c r="DV121" s="180">
        <f>SUMPRODUCT(--(MOD(COLUMN($BN121:$DU121),5)=MOD(COLUMN($BN121),5)),$BN121:$DU121)</f>
        <v/>
      </c>
      <c r="DW121" s="181">
        <f>Автовик_разбивка[[#This Row],[Цена, 
юань, без НДС 1]]*DV121</f>
        <v/>
      </c>
      <c r="DX121" s="186">
        <f>SUMPRODUCT(--(MOD(COLUMN($BN121:$DU121),5)=MOD(COLUMN($BN121)+1,5)),$BN121:$DU121)</f>
        <v/>
      </c>
      <c r="DY121" s="186">
        <f>Автовик_разбивка[[#This Row],[Цена, 
юань, без НДС 1]]*DX121</f>
        <v/>
      </c>
      <c r="DZ121" s="130">
        <f>SUMPRODUCT(--(MOD(COLUMN($BN121:$DU121),5)=MOD(COLUMN($BN121)+2,5)),$BN121:$DU121)</f>
        <v/>
      </c>
      <c r="EA121" s="187">
        <f>Автовик_разбивка[[#This Row],[Цена, 
юань, без НДС 1]]*DZ121</f>
        <v/>
      </c>
      <c r="EB121" s="109">
        <f>SUMPRODUCT(--(MOD(COLUMN($BN121:$DU121),5)=MOD(COLUMN($BN121)+3,5)),$BN121:$DU121)</f>
        <v/>
      </c>
      <c r="EC121" s="224">
        <f>Автовик_разбивка[[#This Row],[Цена, 
юань, без НДС 1]]*EB121</f>
        <v/>
      </c>
    </row>
    <row r="122">
      <c r="A122" s="256" t="n">
        <v>22</v>
      </c>
      <c r="B122" s="172" t="inlineStr">
        <is>
          <t>УЗСТ</t>
        </is>
      </c>
      <c r="C122" s="173" t="inlineStr">
        <is>
          <t>TEBS W</t>
        </is>
      </c>
      <c r="D122" s="173" t="inlineStr">
        <is>
          <t>TEBS 4s/3m W</t>
        </is>
      </c>
      <c r="E122" s="174" t="n">
        <v>1</v>
      </c>
      <c r="F122" s="174" t="n"/>
      <c r="G122" s="204" t="n"/>
      <c r="H122" s="205" t="n">
        <v>9710029000</v>
      </c>
      <c r="I122" s="206" t="inlineStr">
        <is>
          <t>Воздухораспределитель с клапаном растормаживания</t>
        </is>
      </c>
      <c r="J122" s="911" t="n"/>
      <c r="K122" s="912" t="n"/>
      <c r="L122" s="178" t="n"/>
      <c r="M122" s="130" t="n"/>
      <c r="N122" s="179" t="n"/>
      <c r="O122" s="130" t="n"/>
      <c r="P122" s="178" t="n"/>
      <c r="Q122" s="130">
        <f>$E122*1</f>
        <v/>
      </c>
      <c r="R122" s="179" t="n">
        <v>1</v>
      </c>
      <c r="S122" s="130" t="n"/>
      <c r="T122" s="178" t="n"/>
      <c r="U122" s="130" t="n"/>
      <c r="V122" s="179" t="n"/>
      <c r="W122" s="130" t="n"/>
      <c r="X122" s="178" t="n"/>
      <c r="Y122" s="130" t="n"/>
      <c r="Z122" s="179" t="n"/>
      <c r="AA122" s="130" t="n"/>
      <c r="AB122" s="178" t="n"/>
      <c r="AC122" s="130" t="n"/>
      <c r="AD122" s="179" t="n"/>
      <c r="AE122" s="130" t="n"/>
      <c r="AF122" s="178" t="n"/>
      <c r="AG122" s="130" t="n"/>
      <c r="AH122" s="179" t="n"/>
      <c r="AI122" s="130" t="n"/>
      <c r="AJ122" s="178" t="n"/>
      <c r="AK122" s="130" t="n"/>
      <c r="AL122" s="179" t="n"/>
      <c r="AM122" s="130" t="n"/>
      <c r="AN122" s="178" t="n"/>
      <c r="AO122" s="130" t="n"/>
      <c r="AP122" s="179" t="n"/>
      <c r="AQ122" s="130" t="n"/>
      <c r="AR122" s="178" t="n"/>
      <c r="AS122" s="130" t="n"/>
      <c r="AT122" s="179" t="n"/>
      <c r="AU122" s="130" t="n"/>
      <c r="AV122" s="178" t="n"/>
      <c r="AW122" s="130" t="n"/>
      <c r="AX122" s="179" t="n"/>
      <c r="AY122" s="130" t="n"/>
      <c r="AZ122" s="178" t="n"/>
      <c r="BA122" s="130" t="n"/>
      <c r="BB122" s="194" t="n"/>
      <c r="BC122" s="130" t="n"/>
      <c r="BD122" s="178" t="n"/>
      <c r="BE122" s="130" t="n"/>
      <c r="BF122" s="109" t="n"/>
      <c r="BG122" s="130" t="n"/>
      <c r="BH122" s="180">
        <f>SUMPRODUCT(--(MOD(COLUMN($L122:$BG122),4)=MOD(COLUMN($L122),4)),$L122:$BG122)</f>
        <v/>
      </c>
      <c r="BI122" s="181">
        <f>Автовик_разбивка[[#This Row],[Цена, 
юань, без НДС 1]]*BH122</f>
        <v/>
      </c>
      <c r="BJ122" s="130">
        <f>SUMPRODUCT(--(MOD(COLUMN($L122:$BG122),4)=MOD(COLUMN($L122)+1,4)),$L122:$BG122)</f>
        <v/>
      </c>
      <c r="BK122" s="187">
        <f>Автовик_разбивка[[#This Row],[Цена, 
юань, без НДС 1]]*BJ122</f>
        <v/>
      </c>
      <c r="BL122" s="109">
        <f>SUMPRODUCT(--(MOD(COLUMN($L122:$BG122),4)=MOD(COLUMN($L122)+2,4)),$L122:$BG122)</f>
        <v/>
      </c>
      <c r="BM122" s="224">
        <f>Автовик_разбивка[[#This Row],[Цена, 
юань, без НДС 1]]*BL122</f>
        <v/>
      </c>
      <c r="BN122" s="178" t="n"/>
      <c r="BO122" s="184" t="n"/>
      <c r="BP122" s="130" t="n"/>
      <c r="BQ122" s="179" t="n"/>
      <c r="BR122" s="130" t="n"/>
      <c r="BS122" s="178" t="n"/>
      <c r="BT122" s="184" t="n"/>
      <c r="BU122" s="130" t="n"/>
      <c r="BV122" s="179" t="n"/>
      <c r="BW122" s="130" t="n"/>
      <c r="BX122" s="178" t="n"/>
      <c r="BY122" s="184" t="n"/>
      <c r="BZ122" s="130" t="n"/>
      <c r="CA122" s="179" t="n"/>
      <c r="CB122" s="130" t="n"/>
      <c r="CC122" s="178" t="n"/>
      <c r="CD122" s="184" t="n"/>
      <c r="CE122" s="130" t="n"/>
      <c r="CF122" s="179" t="n"/>
      <c r="CG122" s="130" t="n"/>
      <c r="CH122" s="178" t="n"/>
      <c r="CI122" s="184" t="n"/>
      <c r="CJ122" s="130" t="n"/>
      <c r="CK122" s="179" t="n"/>
      <c r="CL122" s="130" t="n"/>
      <c r="CM122" s="178" t="n"/>
      <c r="CN122" s="184" t="n"/>
      <c r="CO122" s="130" t="n"/>
      <c r="CP122" s="179" t="n"/>
      <c r="CQ122" s="130" t="n"/>
      <c r="CR122" s="178" t="n"/>
      <c r="CS122" s="184" t="n"/>
      <c r="CT122" s="130" t="n"/>
      <c r="CU122" s="179" t="n"/>
      <c r="CV122" s="130" t="n"/>
      <c r="CW122" s="178" t="n"/>
      <c r="CX122" s="184" t="n"/>
      <c r="CY122" s="130" t="n"/>
      <c r="CZ122" s="179" t="n"/>
      <c r="DA122" s="130" t="n"/>
      <c r="DB122" s="178" t="n"/>
      <c r="DC122" s="184" t="n"/>
      <c r="DD122" s="130" t="n"/>
      <c r="DE122" s="179" t="n"/>
      <c r="DF122" s="130" t="n"/>
      <c r="DG122" s="178" t="n"/>
      <c r="DH122" s="184" t="n"/>
      <c r="DI122" s="130" t="n"/>
      <c r="DJ122" s="179" t="n"/>
      <c r="DK122" s="130" t="n"/>
      <c r="DL122" s="178" t="n"/>
      <c r="DM122" s="184" t="n"/>
      <c r="DN122" s="130" t="n"/>
      <c r="DO122" s="194" t="n"/>
      <c r="DP122" s="130" t="n"/>
      <c r="DQ122" s="178" t="n"/>
      <c r="DR122" s="184" t="n"/>
      <c r="DS122" s="130" t="n"/>
      <c r="DT122" s="109" t="n"/>
      <c r="DU122" s="130" t="n"/>
      <c r="DV122" s="180">
        <f>SUMPRODUCT(--(MOD(COLUMN($BN122:$DU122),5)=MOD(COLUMN($BN122),5)),$BN122:$DU122)</f>
        <v/>
      </c>
      <c r="DW122" s="181">
        <f>Автовик_разбивка[[#This Row],[Цена, 
юань, без НДС 1]]*DV122</f>
        <v/>
      </c>
      <c r="DX122" s="186">
        <f>SUMPRODUCT(--(MOD(COLUMN($BN122:$DU122),5)=MOD(COLUMN($BN122)+1,5)),$BN122:$DU122)</f>
        <v/>
      </c>
      <c r="DY122" s="186">
        <f>Автовик_разбивка[[#This Row],[Цена, 
юань, без НДС 1]]*DX122</f>
        <v/>
      </c>
      <c r="DZ122" s="130">
        <f>SUMPRODUCT(--(MOD(COLUMN($BN122:$DU122),5)=MOD(COLUMN($BN122)+2,5)),$BN122:$DU122)</f>
        <v/>
      </c>
      <c r="EA122" s="187">
        <f>Автовик_разбивка[[#This Row],[Цена, 
юань, без НДС 1]]*DZ122</f>
        <v/>
      </c>
      <c r="EB122" s="109">
        <f>SUMPRODUCT(--(MOD(COLUMN($BN122:$DU122),5)=MOD(COLUMN($BN122)+3,5)),$BN122:$DU122)</f>
        <v/>
      </c>
      <c r="EC122" s="224">
        <f>Автовик_разбивка[[#This Row],[Цена, 
юань, без НДС 1]]*EB122</f>
        <v/>
      </c>
    </row>
    <row r="123">
      <c r="A123" s="256" t="n">
        <v>22</v>
      </c>
      <c r="B123" s="172" t="inlineStr">
        <is>
          <t>УЗСТ</t>
        </is>
      </c>
      <c r="C123" s="132" t="n"/>
      <c r="D123" s="132" t="n"/>
      <c r="E123" s="229" t="n"/>
      <c r="F123" s="229" t="n"/>
      <c r="G123" s="229" t="n"/>
      <c r="H123" s="230" t="n"/>
      <c r="I123" s="231" t="inlineStr">
        <is>
          <t>Итого</t>
        </is>
      </c>
      <c r="J123" s="914" t="n"/>
      <c r="K123" s="914" t="n"/>
      <c r="L123" s="233" t="n"/>
      <c r="M123" s="234" t="n"/>
      <c r="N123" s="235" t="n"/>
      <c r="O123" s="234" t="n"/>
      <c r="P123" s="233" t="n"/>
      <c r="Q123" s="234" t="n"/>
      <c r="R123" s="235" t="n"/>
      <c r="S123" s="234" t="n"/>
      <c r="T123" s="233" t="n"/>
      <c r="U123" s="234" t="n"/>
      <c r="V123" s="235" t="n"/>
      <c r="W123" s="234" t="n"/>
      <c r="X123" s="233" t="n"/>
      <c r="Y123" s="234" t="n"/>
      <c r="Z123" s="235" t="n"/>
      <c r="AA123" s="234" t="n"/>
      <c r="AB123" s="233" t="n"/>
      <c r="AC123" s="234" t="n"/>
      <c r="AD123" s="235" t="n"/>
      <c r="AE123" s="234" t="n"/>
      <c r="AF123" s="233" t="n"/>
      <c r="AG123" s="234" t="n"/>
      <c r="AH123" s="235" t="n"/>
      <c r="AI123" s="234" t="n"/>
      <c r="AJ123" s="233" t="n"/>
      <c r="AK123" s="234" t="n"/>
      <c r="AL123" s="235" t="n"/>
      <c r="AM123" s="234" t="n"/>
      <c r="AN123" s="233" t="n"/>
      <c r="AO123" s="234" t="n"/>
      <c r="AP123" s="235" t="n"/>
      <c r="AQ123" s="234" t="n"/>
      <c r="AR123" s="233" t="n"/>
      <c r="AS123" s="234" t="n"/>
      <c r="AT123" s="235" t="n"/>
      <c r="AU123" s="234" t="n"/>
      <c r="AV123" s="233" t="n"/>
      <c r="AW123" s="234" t="n"/>
      <c r="AX123" s="235" t="n"/>
      <c r="AY123" s="234" t="n"/>
      <c r="AZ123" s="233" t="n"/>
      <c r="BA123" s="234" t="n"/>
      <c r="BB123" s="235" t="n"/>
      <c r="BC123" s="234" t="n"/>
      <c r="BD123" s="233" t="n"/>
      <c r="BE123" s="234" t="n"/>
      <c r="BF123" s="235" t="n"/>
      <c r="BG123" s="234" t="n"/>
      <c r="BH123" s="233">
        <f>SUMPRODUCT(--(MOD(COLUMN($L123:$BG123),4)=MOD(COLUMN($L123),4)),$L123:$BG123)</f>
        <v/>
      </c>
      <c r="BI123" s="238">
        <f>Автовик_разбивка[[#This Row],[Цена, 
юань, без НДС 1]]*BH123</f>
        <v/>
      </c>
      <c r="BJ123" s="234">
        <f>SUMPRODUCT(--(MOD(COLUMN($L123:$BG123),4)=MOD(COLUMN($L123)+1,4)),$L123:$BG123)</f>
        <v/>
      </c>
      <c r="BK123" s="253">
        <f>Автовик_разбивка[[#This Row],[Цена, 
юань, без НДС 1]]*BJ123</f>
        <v/>
      </c>
      <c r="BL123" s="235">
        <f>SUMPRODUCT(--(MOD(COLUMN($L123:$BG123),4)=MOD(COLUMN($L123)+2,4)),$L123:$BG123)</f>
        <v/>
      </c>
      <c r="BM123" s="254">
        <f>Автовик_разбивка[[#This Row],[Цена, 
юань, без НДС 1]]*BL123</f>
        <v/>
      </c>
      <c r="BN123" s="233" t="n"/>
      <c r="BO123" s="241" t="n"/>
      <c r="BP123" s="234" t="n"/>
      <c r="BQ123" s="235" t="n"/>
      <c r="BR123" s="234" t="n"/>
      <c r="BS123" s="233" t="n"/>
      <c r="BT123" s="241" t="n"/>
      <c r="BU123" s="234" t="n"/>
      <c r="BV123" s="235" t="n"/>
      <c r="BW123" s="234" t="n"/>
      <c r="BX123" s="233" t="n"/>
      <c r="BY123" s="241" t="n"/>
      <c r="BZ123" s="234" t="n"/>
      <c r="CA123" s="235" t="n"/>
      <c r="CB123" s="234" t="n"/>
      <c r="CC123" s="233" t="n"/>
      <c r="CD123" s="241" t="n"/>
      <c r="CE123" s="234" t="n"/>
      <c r="CF123" s="235" t="n"/>
      <c r="CG123" s="234" t="n"/>
      <c r="CH123" s="233" t="n"/>
      <c r="CI123" s="241" t="n"/>
      <c r="CJ123" s="234" t="n"/>
      <c r="CK123" s="235" t="n"/>
      <c r="CL123" s="234" t="n"/>
      <c r="CM123" s="233" t="n"/>
      <c r="CN123" s="241" t="n"/>
      <c r="CO123" s="234" t="n"/>
      <c r="CP123" s="235" t="n"/>
      <c r="CQ123" s="234" t="n"/>
      <c r="CR123" s="233" t="n"/>
      <c r="CS123" s="241" t="n"/>
      <c r="CT123" s="234" t="n"/>
      <c r="CU123" s="235" t="n"/>
      <c r="CV123" s="234" t="n"/>
      <c r="CW123" s="233" t="n"/>
      <c r="CX123" s="241" t="n"/>
      <c r="CY123" s="234" t="n"/>
      <c r="CZ123" s="235" t="n"/>
      <c r="DA123" s="234" t="n"/>
      <c r="DB123" s="233" t="n"/>
      <c r="DC123" s="241" t="n"/>
      <c r="DD123" s="234" t="n"/>
      <c r="DE123" s="235" t="n"/>
      <c r="DF123" s="234" t="n"/>
      <c r="DG123" s="233" t="n"/>
      <c r="DH123" s="241" t="n"/>
      <c r="DI123" s="234" t="n"/>
      <c r="DJ123" s="235" t="n"/>
      <c r="DK123" s="234" t="n"/>
      <c r="DL123" s="233" t="n"/>
      <c r="DM123" s="241" t="n"/>
      <c r="DN123" s="234" t="n"/>
      <c r="DO123" s="235" t="n"/>
      <c r="DP123" s="234" t="n"/>
      <c r="DQ123" s="233" t="n"/>
      <c r="DR123" s="241" t="n"/>
      <c r="DS123" s="234" t="n"/>
      <c r="DT123" s="235" t="n"/>
      <c r="DU123" s="234" t="n"/>
      <c r="DV123" s="233">
        <f>SUMPRODUCT(--(MOD(COLUMN($BN123:$DU123),5)=MOD(COLUMN($BN123),5)),$BN123:$DU123)</f>
        <v/>
      </c>
      <c r="DW123" s="238">
        <f>Автовик_разбивка[[#This Row],[Цена, 
юань, без НДС 1]]*DV123</f>
        <v/>
      </c>
      <c r="DX123" s="242">
        <f>SUMPRODUCT(--(MOD(COLUMN($BN123:$DU123),5)=MOD(COLUMN($BN123)+1,5)),$BN123:$DU123)</f>
        <v/>
      </c>
      <c r="DY123" s="242">
        <f>Автовик_разбивка[[#This Row],[Цена, 
юань, без НДС 1]]*DX123</f>
        <v/>
      </c>
      <c r="DZ123" s="234">
        <f>SUMPRODUCT(--(MOD(COLUMN($BN123:$DU123),5)=MOD(COLUMN($BN123)+2,5)),$BN123:$DU123)</f>
        <v/>
      </c>
      <c r="EA123" s="253">
        <f>Автовик_разбивка[[#This Row],[Цена, 
юань, без НДС 1]]*DZ123</f>
        <v/>
      </c>
      <c r="EB123" s="235">
        <f>SUMPRODUCT(--(MOD(COLUMN($BN123:$DU123),5)=MOD(COLUMN($BN123)+3,5)),$BN123:$DU123)</f>
        <v/>
      </c>
      <c r="EC123" s="254">
        <f>Автовик_разбивка[[#This Row],[Цена, 
юань, без НДС 1]]*EB123</f>
        <v/>
      </c>
    </row>
    <row r="124">
      <c r="A124" s="256" t="n">
        <v>22</v>
      </c>
      <c r="B124" s="243" t="inlineStr">
        <is>
          <t>УЗСТ</t>
        </is>
      </c>
      <c r="C124" s="244" t="n"/>
      <c r="D124" s="244" t="n"/>
      <c r="E124" s="245" t="n"/>
      <c r="F124" s="245" t="n"/>
      <c r="G124" s="245" t="n"/>
      <c r="H124" s="246" t="n"/>
      <c r="I124" s="247" t="n"/>
      <c r="J124" s="915" t="n"/>
      <c r="K124" s="915" t="n"/>
      <c r="L124" s="249" t="n"/>
      <c r="M124" s="249" t="n"/>
      <c r="N124" s="249" t="n"/>
      <c r="O124" s="249" t="n"/>
      <c r="P124" s="249" t="n"/>
      <c r="Q124" s="249" t="n"/>
      <c r="R124" s="249" t="n"/>
      <c r="S124" s="249" t="n"/>
      <c r="T124" s="249" t="n"/>
      <c r="U124" s="249" t="n"/>
      <c r="V124" s="249" t="n"/>
      <c r="W124" s="249" t="n"/>
      <c r="X124" s="249" t="n"/>
      <c r="Y124" s="249" t="n"/>
      <c r="Z124" s="249" t="n"/>
      <c r="AA124" s="249" t="n"/>
      <c r="AB124" s="249" t="n"/>
      <c r="AC124" s="249" t="n"/>
      <c r="AD124" s="249" t="n"/>
      <c r="AE124" s="249" t="n"/>
      <c r="AF124" s="249" t="n"/>
      <c r="AG124" s="249" t="n"/>
      <c r="AH124" s="249" t="n"/>
      <c r="AI124" s="249" t="n"/>
      <c r="AJ124" s="249" t="n"/>
      <c r="AK124" s="249" t="n"/>
      <c r="AL124" s="249" t="n"/>
      <c r="AM124" s="249" t="n"/>
      <c r="AN124" s="249" t="n"/>
      <c r="AO124" s="249" t="n"/>
      <c r="AP124" s="249" t="n"/>
      <c r="AQ124" s="249" t="n"/>
      <c r="AR124" s="249" t="n"/>
      <c r="AS124" s="249" t="n"/>
      <c r="AT124" s="249" t="n"/>
      <c r="AU124" s="249" t="n"/>
      <c r="AV124" s="249" t="n"/>
      <c r="AW124" s="249" t="n"/>
      <c r="AX124" s="250" t="n"/>
      <c r="AY124" s="249" t="n"/>
      <c r="AZ124" s="250" t="n"/>
      <c r="BA124" s="250" t="n"/>
      <c r="BB124" s="250" t="n"/>
      <c r="BC124" s="249" t="n"/>
      <c r="BD124" s="250" t="n"/>
      <c r="BE124" s="250" t="n"/>
      <c r="BF124" s="250" t="n"/>
      <c r="BG124" s="249" t="n"/>
      <c r="BH124" s="250">
        <f>SUMPRODUCT(--(MOD(COLUMN($L124:$BG124),4)=MOD(COLUMN($L124),4)),$L124:$BG124)</f>
        <v/>
      </c>
      <c r="BI124" s="251">
        <f>Автовик_разбивка[[#This Row],[Цена, 
юань, без НДС 1]]*BH124</f>
        <v/>
      </c>
      <c r="BJ124" s="250">
        <f>SUMPRODUCT(--(MOD(COLUMN($L124:$BG124),4)=MOD(COLUMN($L124)+1,4)),$L124:$BG124)</f>
        <v/>
      </c>
      <c r="BK124" s="251">
        <f>Автовик_разбивка[[#This Row],[Цена, 
юань, без НДС 1]]*BJ124</f>
        <v/>
      </c>
      <c r="BL124" s="250">
        <f>SUMPRODUCT(--(MOD(COLUMN($L124:$BG124),4)=MOD(COLUMN($L124)+2,4)),$L124:$BG124)</f>
        <v/>
      </c>
      <c r="BM124" s="251">
        <f>Автовик_разбивка[[#This Row],[Цена, 
юань, без НДС 1]]*BL124</f>
        <v/>
      </c>
      <c r="BN124" s="249" t="n"/>
      <c r="BO124" s="249" t="n"/>
      <c r="BP124" s="249" t="n"/>
      <c r="BQ124" s="249" t="n"/>
      <c r="BR124" s="249" t="n"/>
      <c r="BS124" s="249" t="n"/>
      <c r="BT124" s="249" t="n"/>
      <c r="BU124" s="249" t="n"/>
      <c r="BV124" s="249" t="n"/>
      <c r="BW124" s="249" t="n"/>
      <c r="BX124" s="249" t="n"/>
      <c r="BY124" s="249" t="n"/>
      <c r="BZ124" s="249" t="n"/>
      <c r="CA124" s="249" t="n"/>
      <c r="CB124" s="249" t="n"/>
      <c r="CC124" s="249" t="n"/>
      <c r="CD124" s="249" t="n"/>
      <c r="CE124" s="249" t="n"/>
      <c r="CF124" s="249" t="n"/>
      <c r="CG124" s="249" t="n"/>
      <c r="CH124" s="249" t="n"/>
      <c r="CI124" s="249" t="n"/>
      <c r="CJ124" s="249" t="n"/>
      <c r="CK124" s="249" t="n"/>
      <c r="CL124" s="249" t="n"/>
      <c r="CM124" s="249" t="n"/>
      <c r="CN124" s="249" t="n"/>
      <c r="CO124" s="249" t="n"/>
      <c r="CP124" s="249" t="n"/>
      <c r="CQ124" s="249" t="n"/>
      <c r="CR124" s="249" t="n"/>
      <c r="CS124" s="249" t="n"/>
      <c r="CT124" s="249" t="n"/>
      <c r="CU124" s="249" t="n"/>
      <c r="CV124" s="249" t="n"/>
      <c r="CW124" s="249" t="n"/>
      <c r="CX124" s="249" t="n"/>
      <c r="CY124" s="249" t="n"/>
      <c r="CZ124" s="249" t="n"/>
      <c r="DA124" s="249" t="n"/>
      <c r="DB124" s="249" t="n"/>
      <c r="DC124" s="249" t="n"/>
      <c r="DD124" s="249" t="n"/>
      <c r="DE124" s="249" t="n"/>
      <c r="DF124" s="249" t="n"/>
      <c r="DG124" s="249" t="n"/>
      <c r="DH124" s="249" t="n"/>
      <c r="DI124" s="249" t="n"/>
      <c r="DJ124" s="250" t="n"/>
      <c r="DK124" s="249" t="n"/>
      <c r="DL124" s="250" t="n"/>
      <c r="DM124" s="250" t="n"/>
      <c r="DN124" s="250" t="n"/>
      <c r="DO124" s="250" t="n"/>
      <c r="DP124" s="249" t="n"/>
      <c r="DQ124" s="250" t="n"/>
      <c r="DR124" s="250" t="n"/>
      <c r="DS124" s="250" t="n"/>
      <c r="DT124" s="250" t="n"/>
      <c r="DU124" s="249" t="n"/>
      <c r="DV124" s="250">
        <f>SUMPRODUCT(--(MOD(COLUMN($BN124:$DU124),5)=MOD(COLUMN($BN124),5)),$BN124:$DU124)</f>
        <v/>
      </c>
      <c r="DW124" s="251">
        <f>Автовик_разбивка[[#This Row],[Цена, 
юань, без НДС 1]]*DV124</f>
        <v/>
      </c>
      <c r="DX124" s="251">
        <f>SUMPRODUCT(--(MOD(COLUMN($BN124:$DU124),5)=MOD(COLUMN($BN124)+1,5)),$BN124:$DU124)</f>
        <v/>
      </c>
      <c r="DY124" s="251">
        <f>Автовик_разбивка[[#This Row],[Цена, 
юань, без НДС 1]]*DX124</f>
        <v/>
      </c>
      <c r="DZ124" s="250">
        <f>SUMPRODUCT(--(MOD(COLUMN($BN124:$DU124),5)=MOD(COLUMN($BN124)+2,5)),$BN124:$DU124)</f>
        <v/>
      </c>
      <c r="EA124" s="251">
        <f>Автовик_разбивка[[#This Row],[Цена, 
юань, без НДС 1]]*DZ124</f>
        <v/>
      </c>
      <c r="EB124" s="250">
        <f>SUMPRODUCT(--(MOD(COLUMN($BN124:$DU124),5)=MOD(COLUMN($BN124)+3,5)),$BN124:$DU124)</f>
        <v/>
      </c>
      <c r="EC124" s="251">
        <f>Автовик_разбивка[[#This Row],[Цена, 
юань, без НДС 1]]*EB124</f>
        <v/>
      </c>
    </row>
    <row r="125">
      <c r="A125" s="256" t="n">
        <v>22</v>
      </c>
      <c r="B125" s="172" t="inlineStr">
        <is>
          <t>Хартунг</t>
        </is>
      </c>
      <c r="C125" s="173" t="inlineStr">
        <is>
          <t>TEBS</t>
        </is>
      </c>
      <c r="D125" s="173" t="inlineStr">
        <is>
          <t xml:space="preserve">TEBS 2s/2m 
15м </t>
        </is>
      </c>
      <c r="E125" s="174" t="n">
        <v>1</v>
      </c>
      <c r="F125" s="174" t="n"/>
      <c r="G125" s="174" t="n"/>
      <c r="H125" s="175" t="n">
        <v>4334010030</v>
      </c>
      <c r="I125" s="176" t="inlineStr">
        <is>
          <t>Упругий элемент</t>
        </is>
      </c>
      <c r="J125" s="912" t="n"/>
      <c r="K125" s="912" t="n"/>
      <c r="L125" s="178" t="n"/>
      <c r="M125" s="130" t="n"/>
      <c r="N125" s="179" t="n"/>
      <c r="O125" s="130" t="n"/>
      <c r="P125" s="178" t="n"/>
      <c r="Q125" s="130" t="n"/>
      <c r="R125" s="179" t="n"/>
      <c r="S125" s="130" t="n"/>
      <c r="T125" s="178" t="n"/>
      <c r="U125" s="130">
        <f>$E125*0</f>
        <v/>
      </c>
      <c r="V125" s="179" t="n">
        <v>0</v>
      </c>
      <c r="W125" s="130" t="n"/>
      <c r="X125" s="178" t="n"/>
      <c r="Y125" s="130">
        <f>$E125*0</f>
        <v/>
      </c>
      <c r="Z125" s="179" t="n">
        <v>3</v>
      </c>
      <c r="AA125" s="130" t="n"/>
      <c r="AB125" s="178" t="n"/>
      <c r="AC125" s="130">
        <f>$E125*0</f>
        <v/>
      </c>
      <c r="AD125" s="179" t="n"/>
      <c r="AE125" s="130" t="n"/>
      <c r="AF125" s="178" t="n"/>
      <c r="AG125" s="130">
        <f>$E125*0</f>
        <v/>
      </c>
      <c r="AH125" s="179" t="n"/>
      <c r="AI125" s="130" t="n"/>
      <c r="AJ125" s="178" t="n"/>
      <c r="AK125" s="130">
        <f>$E125*0</f>
        <v/>
      </c>
      <c r="AL125" s="179" t="n"/>
      <c r="AM125" s="130" t="n"/>
      <c r="AN125" s="178" t="n"/>
      <c r="AO125" s="130">
        <f>$E125*10</f>
        <v/>
      </c>
      <c r="AP125" s="179" t="n"/>
      <c r="AQ125" s="130" t="n"/>
      <c r="AR125" s="178" t="n"/>
      <c r="AS125" s="130">
        <f>$E125*5</f>
        <v/>
      </c>
      <c r="AT125" s="179" t="n"/>
      <c r="AU125" s="130" t="n"/>
      <c r="AV125" s="178" t="n"/>
      <c r="AW125" s="130">
        <f>$E125*5</f>
        <v/>
      </c>
      <c r="AX125" s="179" t="n"/>
      <c r="AY125" s="130" t="n"/>
      <c r="AZ125" s="178" t="n"/>
      <c r="BA125" s="130">
        <f>$E125*5</f>
        <v/>
      </c>
      <c r="BB125" s="179" t="n"/>
      <c r="BC125" s="130" t="n"/>
      <c r="BD125" s="178" t="n"/>
      <c r="BE125" s="130">
        <f>$E125*5</f>
        <v/>
      </c>
      <c r="BF125" s="179" t="n"/>
      <c r="BG125" s="130" t="n"/>
      <c r="BH125" s="178">
        <f>SUMPRODUCT(--(MOD(COLUMN($L125:$BG125),4)=MOD(COLUMN($L125),4)),$L125:$BG125)</f>
        <v/>
      </c>
      <c r="BI125" s="257">
        <f>Автовик_разбивка[[#This Row],[Цена, 
юань, без НДС 1]]*BH125</f>
        <v/>
      </c>
      <c r="BJ125" s="130">
        <f>SUMPRODUCT(--(MOD(COLUMN($L125:$BG125),4)=MOD(COLUMN($L125)+1,4)),$L125:$BG125)</f>
        <v/>
      </c>
      <c r="BK125" s="187">
        <f>Автовик_разбивка[[#This Row],[Цена, 
юань, без НДС 1]]*BJ125</f>
        <v/>
      </c>
      <c r="BL125" s="179">
        <f>SUMPRODUCT(--(MOD(COLUMN($L125:$BG125),4)=MOD(COLUMN($L125)+2,4)),$L125:$BG125)</f>
        <v/>
      </c>
      <c r="BM125" s="258">
        <f>Автовик_разбивка[[#This Row],[Цена, 
юань, без НДС 1]]*BL125</f>
        <v/>
      </c>
      <c r="BN125" s="178" t="n"/>
      <c r="BO125" s="184" t="n"/>
      <c r="BP125" s="130">
        <f>$E125*5</f>
        <v/>
      </c>
      <c r="BQ125" s="179" t="n"/>
      <c r="BR125" s="130" t="n"/>
      <c r="BS125" s="178" t="n"/>
      <c r="BT125" s="184" t="n"/>
      <c r="BU125" s="130">
        <f>$E125*5</f>
        <v/>
      </c>
      <c r="BV125" s="179" t="n"/>
      <c r="BW125" s="130" t="n"/>
      <c r="BX125" s="178" t="n"/>
      <c r="BY125" s="184" t="n"/>
      <c r="BZ125" s="130">
        <f>$E125*5</f>
        <v/>
      </c>
      <c r="CA125" s="179" t="n"/>
      <c r="CB125" s="130" t="n"/>
      <c r="CC125" s="178" t="n"/>
      <c r="CD125" s="184" t="n"/>
      <c r="CE125" s="130">
        <f>$E125*5</f>
        <v/>
      </c>
      <c r="CF125" s="179" t="n"/>
      <c r="CG125" s="130" t="n"/>
      <c r="CH125" s="178" t="n"/>
      <c r="CI125" s="184" t="n"/>
      <c r="CJ125" s="130">
        <f>$E125*5</f>
        <v/>
      </c>
      <c r="CK125" s="179" t="n"/>
      <c r="CL125" s="130" t="n"/>
      <c r="CM125" s="178" t="n"/>
      <c r="CN125" s="184" t="n"/>
      <c r="CO125" s="130">
        <f>$E125*5</f>
        <v/>
      </c>
      <c r="CP125" s="179" t="n"/>
      <c r="CQ125" s="130" t="n"/>
      <c r="CR125" s="178" t="n"/>
      <c r="CS125" s="184" t="n"/>
      <c r="CT125" s="130">
        <f>$E125*5</f>
        <v/>
      </c>
      <c r="CU125" s="179" t="n"/>
      <c r="CV125" s="130" t="n"/>
      <c r="CW125" s="178" t="n"/>
      <c r="CX125" s="184" t="n"/>
      <c r="CY125" s="130">
        <f>$E125*5</f>
        <v/>
      </c>
      <c r="CZ125" s="179" t="n"/>
      <c r="DA125" s="130" t="n"/>
      <c r="DB125" s="178" t="n"/>
      <c r="DC125" s="184" t="n"/>
      <c r="DD125" s="130">
        <f>$E125*5</f>
        <v/>
      </c>
      <c r="DE125" s="179" t="n"/>
      <c r="DF125" s="130" t="n"/>
      <c r="DG125" s="178" t="n"/>
      <c r="DH125" s="184" t="n"/>
      <c r="DI125" s="130">
        <f>$E125*5</f>
        <v/>
      </c>
      <c r="DJ125" s="179" t="n"/>
      <c r="DK125" s="130" t="n"/>
      <c r="DL125" s="178" t="n"/>
      <c r="DM125" s="184" t="n"/>
      <c r="DN125" s="130">
        <f>$E125*5</f>
        <v/>
      </c>
      <c r="DO125" s="179" t="n"/>
      <c r="DP125" s="130" t="n"/>
      <c r="DQ125" s="178" t="n"/>
      <c r="DR125" s="184" t="n"/>
      <c r="DS125" s="130">
        <f>$E125*5</f>
        <v/>
      </c>
      <c r="DT125" s="179" t="n"/>
      <c r="DU125" s="130" t="n"/>
      <c r="DV125" s="178">
        <f>SUMPRODUCT(--(MOD(COLUMN($BN125:$DU125),5)=MOD(COLUMN($BN125),5)),$BN125:$DU125)</f>
        <v/>
      </c>
      <c r="DW125" s="257">
        <f>Автовик_разбивка[[#This Row],[Цена, 
юань, без НДС 1]]*DV125</f>
        <v/>
      </c>
      <c r="DX125" s="259">
        <f>SUMPRODUCT(--(MOD(COLUMN($BN125:$DU125),5)=MOD(COLUMN($BN125)+1,5)),$BN125:$DU125)</f>
        <v/>
      </c>
      <c r="DY125" s="259">
        <f>Автовик_разбивка[[#This Row],[Цена, 
юань, без НДС 1]]*DX125</f>
        <v/>
      </c>
      <c r="DZ125" s="130">
        <f>SUMPRODUCT(--(MOD(COLUMN($BN125:$DU125),5)=MOD(COLUMN($BN125)+2,5)),$BN125:$DU125)</f>
        <v/>
      </c>
      <c r="EA125" s="187">
        <f>Автовик_разбивка[[#This Row],[Цена, 
юань, без НДС 1]]*DZ125</f>
        <v/>
      </c>
      <c r="EB125" s="179">
        <f>SUMPRODUCT(--(MOD(COLUMN($BN125:$DU125),5)=MOD(COLUMN($BN125)+3,5)),$BN125:$DU125)</f>
        <v/>
      </c>
      <c r="EC125" s="258">
        <f>Автовик_разбивка[[#This Row],[Цена, 
юань, без НДС 1]]*EB125</f>
        <v/>
      </c>
    </row>
    <row r="126">
      <c r="A126" s="256" t="n">
        <v>22</v>
      </c>
      <c r="B126" s="172" t="inlineStr">
        <is>
          <t>Хартунг</t>
        </is>
      </c>
      <c r="C126" s="173" t="inlineStr">
        <is>
          <t>TEBS</t>
        </is>
      </c>
      <c r="D126" s="173" t="inlineStr">
        <is>
          <t xml:space="preserve">TEBS 2s/2m 
15м </t>
        </is>
      </c>
      <c r="E126" s="174" t="n">
        <v>1</v>
      </c>
      <c r="F126" s="174" t="n"/>
      <c r="G126" s="174" t="n"/>
      <c r="H126" s="175" t="n">
        <v>4491731500</v>
      </c>
      <c r="I126" s="176" t="inlineStr">
        <is>
          <t>Кабель питания, 15 м</t>
        </is>
      </c>
      <c r="J126" s="912" t="n"/>
      <c r="K126" s="912" t="n"/>
      <c r="L126" s="178" t="n"/>
      <c r="M126" s="130" t="n"/>
      <c r="N126" s="179" t="n"/>
      <c r="O126" s="130" t="n"/>
      <c r="P126" s="178" t="n"/>
      <c r="Q126" s="130" t="n"/>
      <c r="R126" s="179" t="n"/>
      <c r="S126" s="130" t="n"/>
      <c r="T126" s="178" t="n"/>
      <c r="U126" s="130">
        <f>$E126*0</f>
        <v/>
      </c>
      <c r="V126" s="179" t="n">
        <v>0</v>
      </c>
      <c r="W126" s="130" t="n"/>
      <c r="X126" s="178" t="n"/>
      <c r="Y126" s="130">
        <f>$E126*0</f>
        <v/>
      </c>
      <c r="Z126" s="179" t="n">
        <v>3</v>
      </c>
      <c r="AA126" s="130" t="n"/>
      <c r="AB126" s="178" t="n"/>
      <c r="AC126" s="130">
        <f>$E126*0</f>
        <v/>
      </c>
      <c r="AD126" s="179" t="n"/>
      <c r="AE126" s="130" t="n"/>
      <c r="AF126" s="178" t="n"/>
      <c r="AG126" s="130">
        <f>$E126*0</f>
        <v/>
      </c>
      <c r="AH126" s="179" t="n"/>
      <c r="AI126" s="130" t="n"/>
      <c r="AJ126" s="178" t="n"/>
      <c r="AK126" s="130">
        <f>$E126*0</f>
        <v/>
      </c>
      <c r="AL126" s="179" t="n"/>
      <c r="AM126" s="130" t="n"/>
      <c r="AN126" s="178" t="n"/>
      <c r="AO126" s="130">
        <f>$E126*10</f>
        <v/>
      </c>
      <c r="AP126" s="179" t="n"/>
      <c r="AQ126" s="130" t="n"/>
      <c r="AR126" s="178" t="n"/>
      <c r="AS126" s="130">
        <f>$E126*5</f>
        <v/>
      </c>
      <c r="AT126" s="179" t="n"/>
      <c r="AU126" s="130" t="n"/>
      <c r="AV126" s="178" t="n"/>
      <c r="AW126" s="130">
        <f>$E126*5</f>
        <v/>
      </c>
      <c r="AX126" s="179" t="n"/>
      <c r="AY126" s="130" t="n"/>
      <c r="AZ126" s="178" t="n"/>
      <c r="BA126" s="130">
        <f>$E126*5</f>
        <v/>
      </c>
      <c r="BB126" s="179" t="n"/>
      <c r="BC126" s="130" t="n"/>
      <c r="BD126" s="178" t="n"/>
      <c r="BE126" s="130">
        <f>$E126*5</f>
        <v/>
      </c>
      <c r="BF126" s="179" t="n"/>
      <c r="BG126" s="130" t="n"/>
      <c r="BH126" s="178">
        <f>SUMPRODUCT(--(MOD(COLUMN($L126:$BG126),4)=MOD(COLUMN($L126),4)),$L126:$BG126)</f>
        <v/>
      </c>
      <c r="BI126" s="257">
        <f>Автовик_разбивка[[#This Row],[Цена, 
юань, без НДС 1]]*BH126</f>
        <v/>
      </c>
      <c r="BJ126" s="130">
        <f>SUMPRODUCT(--(MOD(COLUMN($L126:$BG126),4)=MOD(COLUMN($L126)+1,4)),$L126:$BG126)</f>
        <v/>
      </c>
      <c r="BK126" s="187">
        <f>Автовик_разбивка[[#This Row],[Цена, 
юань, без НДС 1]]*BJ126</f>
        <v/>
      </c>
      <c r="BL126" s="179">
        <f>SUMPRODUCT(--(MOD(COLUMN($L126:$BG126),4)=MOD(COLUMN($L126)+2,4)),$L126:$BG126)</f>
        <v/>
      </c>
      <c r="BM126" s="258">
        <f>Автовик_разбивка[[#This Row],[Цена, 
юань, без НДС 1]]*BL126</f>
        <v/>
      </c>
      <c r="BN126" s="178" t="n"/>
      <c r="BO126" s="184" t="n"/>
      <c r="BP126" s="130">
        <f>$E126*5</f>
        <v/>
      </c>
      <c r="BQ126" s="179" t="n"/>
      <c r="BR126" s="130" t="n"/>
      <c r="BS126" s="178" t="n"/>
      <c r="BT126" s="184" t="n"/>
      <c r="BU126" s="130">
        <f>$E126*5</f>
        <v/>
      </c>
      <c r="BV126" s="179" t="n"/>
      <c r="BW126" s="130" t="n"/>
      <c r="BX126" s="178" t="n"/>
      <c r="BY126" s="184" t="n"/>
      <c r="BZ126" s="130">
        <f>$E126*5</f>
        <v/>
      </c>
      <c r="CA126" s="179" t="n"/>
      <c r="CB126" s="130" t="n"/>
      <c r="CC126" s="178" t="n"/>
      <c r="CD126" s="184" t="n"/>
      <c r="CE126" s="130">
        <f>$E126*5</f>
        <v/>
      </c>
      <c r="CF126" s="179" t="n"/>
      <c r="CG126" s="130" t="n"/>
      <c r="CH126" s="178" t="n"/>
      <c r="CI126" s="184" t="n"/>
      <c r="CJ126" s="130">
        <f>$E126*5</f>
        <v/>
      </c>
      <c r="CK126" s="179" t="n"/>
      <c r="CL126" s="130" t="n"/>
      <c r="CM126" s="178" t="n"/>
      <c r="CN126" s="184" t="n"/>
      <c r="CO126" s="130">
        <f>$E126*5</f>
        <v/>
      </c>
      <c r="CP126" s="179" t="n"/>
      <c r="CQ126" s="130" t="n"/>
      <c r="CR126" s="178" t="n"/>
      <c r="CS126" s="184" t="n"/>
      <c r="CT126" s="130">
        <f>$E126*5</f>
        <v/>
      </c>
      <c r="CU126" s="179" t="n"/>
      <c r="CV126" s="130" t="n"/>
      <c r="CW126" s="178" t="n"/>
      <c r="CX126" s="184" t="n"/>
      <c r="CY126" s="130">
        <f>$E126*5</f>
        <v/>
      </c>
      <c r="CZ126" s="179" t="n"/>
      <c r="DA126" s="130" t="n"/>
      <c r="DB126" s="178" t="n"/>
      <c r="DC126" s="184" t="n"/>
      <c r="DD126" s="130">
        <f>$E126*5</f>
        <v/>
      </c>
      <c r="DE126" s="179" t="n"/>
      <c r="DF126" s="130" t="n"/>
      <c r="DG126" s="178" t="n"/>
      <c r="DH126" s="184" t="n"/>
      <c r="DI126" s="130">
        <f>$E126*5</f>
        <v/>
      </c>
      <c r="DJ126" s="179" t="n"/>
      <c r="DK126" s="130" t="n"/>
      <c r="DL126" s="178" t="n"/>
      <c r="DM126" s="184" t="n"/>
      <c r="DN126" s="130">
        <f>$E126*5</f>
        <v/>
      </c>
      <c r="DO126" s="179" t="n"/>
      <c r="DP126" s="130" t="n"/>
      <c r="DQ126" s="178" t="n"/>
      <c r="DR126" s="184" t="n"/>
      <c r="DS126" s="130">
        <f>$E126*5</f>
        <v/>
      </c>
      <c r="DT126" s="179" t="n"/>
      <c r="DU126" s="130" t="n"/>
      <c r="DV126" s="178">
        <f>SUMPRODUCT(--(MOD(COLUMN($BN126:$DU126),5)=MOD(COLUMN($BN126),5)),$BN126:$DU126)</f>
        <v/>
      </c>
      <c r="DW126" s="257">
        <f>Автовик_разбивка[[#This Row],[Цена, 
юань, без НДС 1]]*DV126</f>
        <v/>
      </c>
      <c r="DX126" s="259">
        <f>SUMPRODUCT(--(MOD(COLUMN($BN126:$DU126),5)=MOD(COLUMN($BN126)+1,5)),$BN126:$DU126)</f>
        <v/>
      </c>
      <c r="DY126" s="259">
        <f>Автовик_разбивка[[#This Row],[Цена, 
юань, без НДС 1]]*DX126</f>
        <v/>
      </c>
      <c r="DZ126" s="130">
        <f>SUMPRODUCT(--(MOD(COLUMN($BN126:$DU126),5)=MOD(COLUMN($BN126)+2,5)),$BN126:$DU126)</f>
        <v/>
      </c>
      <c r="EA126" s="187">
        <f>Автовик_разбивка[[#This Row],[Цена, 
юань, без НДС 1]]*DZ126</f>
        <v/>
      </c>
      <c r="EB126" s="179">
        <f>SUMPRODUCT(--(MOD(COLUMN($BN126:$DU126),5)=MOD(COLUMN($BN126)+3,5)),$BN126:$DU126)</f>
        <v/>
      </c>
      <c r="EC126" s="258">
        <f>Автовик_разбивка[[#This Row],[Цена, 
юань, без НДС 1]]*EB126</f>
        <v/>
      </c>
    </row>
    <row r="127">
      <c r="A127" s="256" t="n">
        <v>22</v>
      </c>
      <c r="B127" s="172" t="inlineStr">
        <is>
          <t>Хартунг</t>
        </is>
      </c>
      <c r="C127" s="173" t="inlineStr">
        <is>
          <t>TEBS</t>
        </is>
      </c>
      <c r="D127" s="173" t="inlineStr">
        <is>
          <t xml:space="preserve">TEBS 2s/2m 
15м </t>
        </is>
      </c>
      <c r="E127" s="174" t="n">
        <v>2</v>
      </c>
      <c r="F127" s="174" t="n"/>
      <c r="G127" s="174" t="n"/>
      <c r="H127" s="175" t="n">
        <v>4497230500</v>
      </c>
      <c r="I127" s="176" t="inlineStr">
        <is>
          <t>Кабель датчика, 5 м</t>
        </is>
      </c>
      <c r="J127" s="912" t="n"/>
      <c r="K127" s="912" t="n"/>
      <c r="L127" s="178" t="n"/>
      <c r="M127" s="130" t="n"/>
      <c r="N127" s="179" t="n"/>
      <c r="O127" s="130" t="n"/>
      <c r="P127" s="178" t="n"/>
      <c r="Q127" s="130" t="n"/>
      <c r="R127" s="179" t="n"/>
      <c r="S127" s="130" t="n"/>
      <c r="T127" s="178" t="n"/>
      <c r="U127" s="130">
        <f>$E127*0</f>
        <v/>
      </c>
      <c r="V127" s="179" t="n">
        <v>0</v>
      </c>
      <c r="W127" s="130" t="n"/>
      <c r="X127" s="178" t="n"/>
      <c r="Y127" s="130">
        <f>$E127*0</f>
        <v/>
      </c>
      <c r="Z127" s="179" t="n">
        <v>6</v>
      </c>
      <c r="AA127" s="130" t="n"/>
      <c r="AB127" s="178" t="n"/>
      <c r="AC127" s="130">
        <f>$E127*0</f>
        <v/>
      </c>
      <c r="AD127" s="179" t="n"/>
      <c r="AE127" s="130" t="n"/>
      <c r="AF127" s="178" t="n"/>
      <c r="AG127" s="130">
        <f>$E127*0</f>
        <v/>
      </c>
      <c r="AH127" s="179" t="n"/>
      <c r="AI127" s="130" t="n"/>
      <c r="AJ127" s="178" t="n"/>
      <c r="AK127" s="130">
        <f>$E127*0</f>
        <v/>
      </c>
      <c r="AL127" s="179" t="n"/>
      <c r="AM127" s="130" t="n"/>
      <c r="AN127" s="178" t="n"/>
      <c r="AO127" s="130">
        <f>$E127*10</f>
        <v/>
      </c>
      <c r="AP127" s="179" t="n"/>
      <c r="AQ127" s="130" t="n"/>
      <c r="AR127" s="178" t="n"/>
      <c r="AS127" s="130">
        <f>$E127*5</f>
        <v/>
      </c>
      <c r="AT127" s="179" t="n"/>
      <c r="AU127" s="130" t="n"/>
      <c r="AV127" s="178" t="n"/>
      <c r="AW127" s="130">
        <f>$E127*5</f>
        <v/>
      </c>
      <c r="AX127" s="179" t="n"/>
      <c r="AY127" s="130" t="n"/>
      <c r="AZ127" s="178" t="n"/>
      <c r="BA127" s="130">
        <f>$E127*5</f>
        <v/>
      </c>
      <c r="BB127" s="179" t="n"/>
      <c r="BC127" s="130" t="n"/>
      <c r="BD127" s="178" t="n"/>
      <c r="BE127" s="130">
        <f>$E127*5</f>
        <v/>
      </c>
      <c r="BF127" s="179" t="n"/>
      <c r="BG127" s="130" t="n"/>
      <c r="BH127" s="178">
        <f>SUMPRODUCT(--(MOD(COLUMN($L127:$BG127),4)=MOD(COLUMN($L127),4)),$L127:$BG127)</f>
        <v/>
      </c>
      <c r="BI127" s="257">
        <f>Автовик_разбивка[[#This Row],[Цена, 
юань, без НДС 1]]*BH127</f>
        <v/>
      </c>
      <c r="BJ127" s="130">
        <f>SUMPRODUCT(--(MOD(COLUMN($L127:$BG127),4)=MOD(COLUMN($L127)+1,4)),$L127:$BG127)</f>
        <v/>
      </c>
      <c r="BK127" s="187">
        <f>Автовик_разбивка[[#This Row],[Цена, 
юань, без НДС 1]]*BJ127</f>
        <v/>
      </c>
      <c r="BL127" s="179">
        <f>SUMPRODUCT(--(MOD(COLUMN($L127:$BG127),4)=MOD(COLUMN($L127)+2,4)),$L127:$BG127)</f>
        <v/>
      </c>
      <c r="BM127" s="258">
        <f>Автовик_разбивка[[#This Row],[Цена, 
юань, без НДС 1]]*BL127</f>
        <v/>
      </c>
      <c r="BN127" s="178" t="n"/>
      <c r="BO127" s="184" t="n"/>
      <c r="BP127" s="130">
        <f>$E127*5</f>
        <v/>
      </c>
      <c r="BQ127" s="179" t="n"/>
      <c r="BR127" s="130" t="n"/>
      <c r="BS127" s="178" t="n"/>
      <c r="BT127" s="184" t="n"/>
      <c r="BU127" s="130">
        <f>$E127*5</f>
        <v/>
      </c>
      <c r="BV127" s="179" t="n"/>
      <c r="BW127" s="130" t="n"/>
      <c r="BX127" s="178" t="n"/>
      <c r="BY127" s="184" t="n"/>
      <c r="BZ127" s="130">
        <f>$E127*5</f>
        <v/>
      </c>
      <c r="CA127" s="179" t="n"/>
      <c r="CB127" s="130" t="n"/>
      <c r="CC127" s="178" t="n"/>
      <c r="CD127" s="184" t="n"/>
      <c r="CE127" s="130">
        <f>$E127*5</f>
        <v/>
      </c>
      <c r="CF127" s="179" t="n"/>
      <c r="CG127" s="130" t="n"/>
      <c r="CH127" s="178" t="n"/>
      <c r="CI127" s="184" t="n"/>
      <c r="CJ127" s="130">
        <f>$E127*5</f>
        <v/>
      </c>
      <c r="CK127" s="179" t="n"/>
      <c r="CL127" s="130" t="n"/>
      <c r="CM127" s="178" t="n"/>
      <c r="CN127" s="184" t="n"/>
      <c r="CO127" s="130">
        <f>$E127*5</f>
        <v/>
      </c>
      <c r="CP127" s="179" t="n"/>
      <c r="CQ127" s="130" t="n"/>
      <c r="CR127" s="178" t="n"/>
      <c r="CS127" s="184" t="n"/>
      <c r="CT127" s="130">
        <f>$E127*5</f>
        <v/>
      </c>
      <c r="CU127" s="179" t="n"/>
      <c r="CV127" s="130" t="n"/>
      <c r="CW127" s="178" t="n"/>
      <c r="CX127" s="184" t="n"/>
      <c r="CY127" s="130">
        <f>$E127*5</f>
        <v/>
      </c>
      <c r="CZ127" s="179" t="n"/>
      <c r="DA127" s="130" t="n"/>
      <c r="DB127" s="178" t="n"/>
      <c r="DC127" s="184" t="n"/>
      <c r="DD127" s="130">
        <f>$E127*5</f>
        <v/>
      </c>
      <c r="DE127" s="179" t="n"/>
      <c r="DF127" s="130" t="n"/>
      <c r="DG127" s="178" t="n"/>
      <c r="DH127" s="184" t="n"/>
      <c r="DI127" s="130">
        <f>$E127*5</f>
        <v/>
      </c>
      <c r="DJ127" s="179" t="n"/>
      <c r="DK127" s="130" t="n"/>
      <c r="DL127" s="178" t="n"/>
      <c r="DM127" s="184" t="n"/>
      <c r="DN127" s="130">
        <f>$E127*5</f>
        <v/>
      </c>
      <c r="DO127" s="179" t="n"/>
      <c r="DP127" s="130" t="n"/>
      <c r="DQ127" s="178" t="n"/>
      <c r="DR127" s="184" t="n"/>
      <c r="DS127" s="130">
        <f>$E127*5</f>
        <v/>
      </c>
      <c r="DT127" s="179" t="n"/>
      <c r="DU127" s="130" t="n"/>
      <c r="DV127" s="178">
        <f>SUMPRODUCT(--(MOD(COLUMN($BN127:$DU127),5)=MOD(COLUMN($BN127),5)),$BN127:$DU127)</f>
        <v/>
      </c>
      <c r="DW127" s="257">
        <f>Автовик_разбивка[[#This Row],[Цена, 
юань, без НДС 1]]*DV127</f>
        <v/>
      </c>
      <c r="DX127" s="259">
        <f>SUMPRODUCT(--(MOD(COLUMN($BN127:$DU127),5)=MOD(COLUMN($BN127)+1,5)),$BN127:$DU127)</f>
        <v/>
      </c>
      <c r="DY127" s="259">
        <f>Автовик_разбивка[[#This Row],[Цена, 
юань, без НДС 1]]*DX127</f>
        <v/>
      </c>
      <c r="DZ127" s="130">
        <f>SUMPRODUCT(--(MOD(COLUMN($BN127:$DU127),5)=MOD(COLUMN($BN127)+2,5)),$BN127:$DU127)</f>
        <v/>
      </c>
      <c r="EA127" s="187">
        <f>Автовик_разбивка[[#This Row],[Цена, 
юань, без НДС 1]]*DZ127</f>
        <v/>
      </c>
      <c r="EB127" s="179">
        <f>SUMPRODUCT(--(MOD(COLUMN($BN127:$DU127),5)=MOD(COLUMN($BN127)+3,5)),$BN127:$DU127)</f>
        <v/>
      </c>
      <c r="EC127" s="258">
        <f>Автовик_разбивка[[#This Row],[Цена, 
юань, без НДС 1]]*EB127</f>
        <v/>
      </c>
    </row>
    <row r="128">
      <c r="A128" s="256" t="n">
        <v>22</v>
      </c>
      <c r="B128" s="172" t="inlineStr">
        <is>
          <t>Хартунг</t>
        </is>
      </c>
      <c r="C128" s="173" t="inlineStr">
        <is>
          <t>TEBS</t>
        </is>
      </c>
      <c r="D128" s="173" t="inlineStr">
        <is>
          <t xml:space="preserve">TEBS 2s/2m 
15м </t>
        </is>
      </c>
      <c r="E128" s="174" t="n">
        <v>1</v>
      </c>
      <c r="F128" s="174" t="n"/>
      <c r="G128" s="174" t="n"/>
      <c r="H128" s="175" t="n">
        <v>4630320200</v>
      </c>
      <c r="I128" s="176" t="inlineStr">
        <is>
          <t>Кран ручного управления</t>
        </is>
      </c>
      <c r="J128" s="912" t="n"/>
      <c r="K128" s="912" t="n"/>
      <c r="L128" s="178" t="n"/>
      <c r="M128" s="130" t="n"/>
      <c r="N128" s="179" t="n"/>
      <c r="O128" s="130" t="n"/>
      <c r="P128" s="178" t="n"/>
      <c r="Q128" s="130" t="n"/>
      <c r="R128" s="179" t="n"/>
      <c r="S128" s="130" t="n"/>
      <c r="T128" s="178" t="n"/>
      <c r="U128" s="130">
        <f>$E128*0</f>
        <v/>
      </c>
      <c r="V128" s="179" t="n">
        <v>0</v>
      </c>
      <c r="W128" s="130" t="n"/>
      <c r="X128" s="178" t="n"/>
      <c r="Y128" s="130">
        <f>$E128*0</f>
        <v/>
      </c>
      <c r="Z128" s="179" t="n">
        <v>3</v>
      </c>
      <c r="AA128" s="130" t="n"/>
      <c r="AB128" s="178" t="n"/>
      <c r="AC128" s="130">
        <f>$E128*0</f>
        <v/>
      </c>
      <c r="AD128" s="179" t="n"/>
      <c r="AE128" s="130" t="n"/>
      <c r="AF128" s="178" t="n"/>
      <c r="AG128" s="130">
        <f>$E128*0</f>
        <v/>
      </c>
      <c r="AH128" s="179" t="n"/>
      <c r="AI128" s="130" t="n"/>
      <c r="AJ128" s="178" t="n"/>
      <c r="AK128" s="130">
        <f>$E128*0</f>
        <v/>
      </c>
      <c r="AL128" s="179" t="n"/>
      <c r="AM128" s="130" t="n"/>
      <c r="AN128" s="178" t="n"/>
      <c r="AO128" s="130">
        <f>$E128*10</f>
        <v/>
      </c>
      <c r="AP128" s="179" t="n"/>
      <c r="AQ128" s="130" t="n"/>
      <c r="AR128" s="178" t="n"/>
      <c r="AS128" s="130">
        <f>$E128*5</f>
        <v/>
      </c>
      <c r="AT128" s="179" t="n"/>
      <c r="AU128" s="130" t="n"/>
      <c r="AV128" s="178" t="n"/>
      <c r="AW128" s="130">
        <f>$E128*5</f>
        <v/>
      </c>
      <c r="AX128" s="179" t="n"/>
      <c r="AY128" s="130" t="n"/>
      <c r="AZ128" s="178" t="n"/>
      <c r="BA128" s="130">
        <f>$E128*5</f>
        <v/>
      </c>
      <c r="BB128" s="179" t="n"/>
      <c r="BC128" s="130" t="n"/>
      <c r="BD128" s="178" t="n"/>
      <c r="BE128" s="130">
        <f>$E128*5</f>
        <v/>
      </c>
      <c r="BF128" s="179" t="n"/>
      <c r="BG128" s="130" t="n"/>
      <c r="BH128" s="178">
        <f>SUMPRODUCT(--(MOD(COLUMN($L128:$BG128),4)=MOD(COLUMN($L128),4)),$L128:$BG128)</f>
        <v/>
      </c>
      <c r="BI128" s="257">
        <f>Автовик_разбивка[[#This Row],[Цена, 
юань, без НДС 1]]*BH128</f>
        <v/>
      </c>
      <c r="BJ128" s="130">
        <f>SUMPRODUCT(--(MOD(COLUMN($L128:$BG128),4)=MOD(COLUMN($L128)+1,4)),$L128:$BG128)</f>
        <v/>
      </c>
      <c r="BK128" s="187">
        <f>Автовик_разбивка[[#This Row],[Цена, 
юань, без НДС 1]]*BJ128</f>
        <v/>
      </c>
      <c r="BL128" s="179">
        <f>SUMPRODUCT(--(MOD(COLUMN($L128:$BG128),4)=MOD(COLUMN($L128)+2,4)),$L128:$BG128)</f>
        <v/>
      </c>
      <c r="BM128" s="258">
        <f>Автовик_разбивка[[#This Row],[Цена, 
юань, без НДС 1]]*BL128</f>
        <v/>
      </c>
      <c r="BN128" s="178" t="n"/>
      <c r="BO128" s="184" t="n"/>
      <c r="BP128" s="130">
        <f>$E128*5</f>
        <v/>
      </c>
      <c r="BQ128" s="179" t="n"/>
      <c r="BR128" s="130" t="n"/>
      <c r="BS128" s="178" t="n"/>
      <c r="BT128" s="184" t="n"/>
      <c r="BU128" s="130">
        <f>$E128*5</f>
        <v/>
      </c>
      <c r="BV128" s="179" t="n"/>
      <c r="BW128" s="130" t="n"/>
      <c r="BX128" s="178" t="n"/>
      <c r="BY128" s="184" t="n"/>
      <c r="BZ128" s="130">
        <f>$E128*5</f>
        <v/>
      </c>
      <c r="CA128" s="179" t="n"/>
      <c r="CB128" s="130" t="n"/>
      <c r="CC128" s="178" t="n"/>
      <c r="CD128" s="184" t="n"/>
      <c r="CE128" s="130">
        <f>$E128*5</f>
        <v/>
      </c>
      <c r="CF128" s="179" t="n"/>
      <c r="CG128" s="130" t="n"/>
      <c r="CH128" s="178" t="n"/>
      <c r="CI128" s="184" t="n"/>
      <c r="CJ128" s="130">
        <f>$E128*5</f>
        <v/>
      </c>
      <c r="CK128" s="179" t="n"/>
      <c r="CL128" s="130" t="n"/>
      <c r="CM128" s="178" t="n"/>
      <c r="CN128" s="184" t="n"/>
      <c r="CO128" s="130">
        <f>$E128*5</f>
        <v/>
      </c>
      <c r="CP128" s="179" t="n"/>
      <c r="CQ128" s="130" t="n"/>
      <c r="CR128" s="178" t="n"/>
      <c r="CS128" s="184" t="n"/>
      <c r="CT128" s="130">
        <f>$E128*5</f>
        <v/>
      </c>
      <c r="CU128" s="179" t="n"/>
      <c r="CV128" s="130" t="n"/>
      <c r="CW128" s="178" t="n"/>
      <c r="CX128" s="184" t="n"/>
      <c r="CY128" s="130">
        <f>$E128*5</f>
        <v/>
      </c>
      <c r="CZ128" s="179" t="n"/>
      <c r="DA128" s="130" t="n"/>
      <c r="DB128" s="178" t="n"/>
      <c r="DC128" s="184" t="n"/>
      <c r="DD128" s="130">
        <f>$E128*5</f>
        <v/>
      </c>
      <c r="DE128" s="179" t="n"/>
      <c r="DF128" s="130" t="n"/>
      <c r="DG128" s="178" t="n"/>
      <c r="DH128" s="184" t="n"/>
      <c r="DI128" s="130">
        <f>$E128*5</f>
        <v/>
      </c>
      <c r="DJ128" s="179" t="n"/>
      <c r="DK128" s="130" t="n"/>
      <c r="DL128" s="178" t="n"/>
      <c r="DM128" s="184" t="n"/>
      <c r="DN128" s="130">
        <f>$E128*5</f>
        <v/>
      </c>
      <c r="DO128" s="179" t="n"/>
      <c r="DP128" s="130" t="n"/>
      <c r="DQ128" s="178" t="n"/>
      <c r="DR128" s="184" t="n"/>
      <c r="DS128" s="130">
        <f>$E128*5</f>
        <v/>
      </c>
      <c r="DT128" s="179" t="n"/>
      <c r="DU128" s="130" t="n"/>
      <c r="DV128" s="178">
        <f>SUMPRODUCT(--(MOD(COLUMN($BN128:$DU128),5)=MOD(COLUMN($BN128),5)),$BN128:$DU128)</f>
        <v/>
      </c>
      <c r="DW128" s="257">
        <f>Автовик_разбивка[[#This Row],[Цена, 
юань, без НДС 1]]*DV128</f>
        <v/>
      </c>
      <c r="DX128" s="259">
        <f>SUMPRODUCT(--(MOD(COLUMN($BN128:$DU128),5)=MOD(COLUMN($BN128)+1,5)),$BN128:$DU128)</f>
        <v/>
      </c>
      <c r="DY128" s="259">
        <f>Автовик_разбивка[[#This Row],[Цена, 
юань, без НДС 1]]*DX128</f>
        <v/>
      </c>
      <c r="DZ128" s="130">
        <f>SUMPRODUCT(--(MOD(COLUMN($BN128:$DU128),5)=MOD(COLUMN($BN128)+2,5)),$BN128:$DU128)</f>
        <v/>
      </c>
      <c r="EA128" s="187">
        <f>Автовик_разбивка[[#This Row],[Цена, 
юань, без НДС 1]]*DZ128</f>
        <v/>
      </c>
      <c r="EB128" s="179">
        <f>SUMPRODUCT(--(MOD(COLUMN($BN128:$DU128),5)=MOD(COLUMN($BN128)+3,5)),$BN128:$DU128)</f>
        <v/>
      </c>
      <c r="EC128" s="258">
        <f>Автовик_разбивка[[#This Row],[Цена, 
юань, без НДС 1]]*EB128</f>
        <v/>
      </c>
    </row>
    <row r="129">
      <c r="A129" s="256" t="n">
        <v>22</v>
      </c>
      <c r="B129" s="172" t="inlineStr">
        <is>
          <t>Хартунг</t>
        </is>
      </c>
      <c r="C129" s="173" t="inlineStr">
        <is>
          <t>TEBS</t>
        </is>
      </c>
      <c r="D129" s="173" t="inlineStr">
        <is>
          <t xml:space="preserve">TEBS 2s/2m 
15м </t>
        </is>
      </c>
      <c r="E129" s="174" t="n">
        <v>1</v>
      </c>
      <c r="F129" s="174" t="n"/>
      <c r="G129" s="174" t="n"/>
      <c r="H129" s="175" t="n">
        <v>4640061000</v>
      </c>
      <c r="I129" s="176" t="inlineStr">
        <is>
          <t>Кран уровня пола, 5-ти портовый</t>
        </is>
      </c>
      <c r="J129" s="912" t="n"/>
      <c r="K129" s="912" t="n"/>
      <c r="L129" s="178" t="n"/>
      <c r="M129" s="130" t="n"/>
      <c r="N129" s="179" t="n"/>
      <c r="O129" s="130" t="n"/>
      <c r="P129" s="178" t="n"/>
      <c r="Q129" s="130" t="n"/>
      <c r="R129" s="179" t="n"/>
      <c r="S129" s="130" t="n"/>
      <c r="T129" s="178" t="n"/>
      <c r="U129" s="130">
        <f>$E129*0</f>
        <v/>
      </c>
      <c r="V129" s="179" t="n">
        <v>0</v>
      </c>
      <c r="W129" s="130" t="n"/>
      <c r="X129" s="178" t="n"/>
      <c r="Y129" s="130">
        <f>$E129*0</f>
        <v/>
      </c>
      <c r="Z129" s="179" t="n">
        <v>3</v>
      </c>
      <c r="AA129" s="130" t="n"/>
      <c r="AB129" s="178" t="n"/>
      <c r="AC129" s="130">
        <f>$E129*0</f>
        <v/>
      </c>
      <c r="AD129" s="179" t="n"/>
      <c r="AE129" s="130" t="n"/>
      <c r="AF129" s="178" t="n"/>
      <c r="AG129" s="130">
        <f>$E129*0</f>
        <v/>
      </c>
      <c r="AH129" s="179" t="n"/>
      <c r="AI129" s="130" t="n"/>
      <c r="AJ129" s="178" t="n"/>
      <c r="AK129" s="130">
        <f>$E129*0</f>
        <v/>
      </c>
      <c r="AL129" s="179" t="n"/>
      <c r="AM129" s="130" t="n"/>
      <c r="AN129" s="178" t="n"/>
      <c r="AO129" s="130">
        <f>$E129*10</f>
        <v/>
      </c>
      <c r="AP129" s="179" t="n"/>
      <c r="AQ129" s="130" t="n"/>
      <c r="AR129" s="178" t="n"/>
      <c r="AS129" s="130">
        <f>$E129*5</f>
        <v/>
      </c>
      <c r="AT129" s="179" t="n"/>
      <c r="AU129" s="130" t="n"/>
      <c r="AV129" s="178" t="n"/>
      <c r="AW129" s="130">
        <f>$E129*5</f>
        <v/>
      </c>
      <c r="AX129" s="179" t="n"/>
      <c r="AY129" s="130" t="n"/>
      <c r="AZ129" s="178" t="n"/>
      <c r="BA129" s="130">
        <f>$E129*5</f>
        <v/>
      </c>
      <c r="BB129" s="179" t="n"/>
      <c r="BC129" s="130" t="n"/>
      <c r="BD129" s="178" t="n"/>
      <c r="BE129" s="130">
        <f>$E129*5</f>
        <v/>
      </c>
      <c r="BF129" s="179" t="n"/>
      <c r="BG129" s="130" t="n"/>
      <c r="BH129" s="178">
        <f>SUMPRODUCT(--(MOD(COLUMN($L129:$BG129),4)=MOD(COLUMN($L129),4)),$L129:$BG129)</f>
        <v/>
      </c>
      <c r="BI129" s="257">
        <f>Автовик_разбивка[[#This Row],[Цена, 
юань, без НДС 1]]*BH129</f>
        <v/>
      </c>
      <c r="BJ129" s="130">
        <f>SUMPRODUCT(--(MOD(COLUMN($L129:$BG129),4)=MOD(COLUMN($L129)+1,4)),$L129:$BG129)</f>
        <v/>
      </c>
      <c r="BK129" s="187">
        <f>Автовик_разбивка[[#This Row],[Цена, 
юань, без НДС 1]]*BJ129</f>
        <v/>
      </c>
      <c r="BL129" s="179">
        <f>SUMPRODUCT(--(MOD(COLUMN($L129:$BG129),4)=MOD(COLUMN($L129)+2,4)),$L129:$BG129)</f>
        <v/>
      </c>
      <c r="BM129" s="258">
        <f>Автовик_разбивка[[#This Row],[Цена, 
юань, без НДС 1]]*BL129</f>
        <v/>
      </c>
      <c r="BN129" s="178" t="n"/>
      <c r="BO129" s="184" t="n"/>
      <c r="BP129" s="130">
        <f>$E129*5</f>
        <v/>
      </c>
      <c r="BQ129" s="179" t="n"/>
      <c r="BR129" s="130" t="n"/>
      <c r="BS129" s="178" t="n"/>
      <c r="BT129" s="184" t="n"/>
      <c r="BU129" s="130">
        <f>$E129*5</f>
        <v/>
      </c>
      <c r="BV129" s="179" t="n"/>
      <c r="BW129" s="130" t="n"/>
      <c r="BX129" s="178" t="n"/>
      <c r="BY129" s="184" t="n"/>
      <c r="BZ129" s="130">
        <f>$E129*5</f>
        <v/>
      </c>
      <c r="CA129" s="179" t="n"/>
      <c r="CB129" s="130" t="n"/>
      <c r="CC129" s="178" t="n"/>
      <c r="CD129" s="184" t="n"/>
      <c r="CE129" s="130">
        <f>$E129*5</f>
        <v/>
      </c>
      <c r="CF129" s="179" t="n"/>
      <c r="CG129" s="130" t="n"/>
      <c r="CH129" s="178" t="n"/>
      <c r="CI129" s="184" t="n"/>
      <c r="CJ129" s="130">
        <f>$E129*5</f>
        <v/>
      </c>
      <c r="CK129" s="179" t="n"/>
      <c r="CL129" s="130" t="n"/>
      <c r="CM129" s="178" t="n"/>
      <c r="CN129" s="184" t="n"/>
      <c r="CO129" s="130">
        <f>$E129*5</f>
        <v/>
      </c>
      <c r="CP129" s="179" t="n"/>
      <c r="CQ129" s="130" t="n"/>
      <c r="CR129" s="178" t="n"/>
      <c r="CS129" s="184" t="n"/>
      <c r="CT129" s="130">
        <f>$E129*5</f>
        <v/>
      </c>
      <c r="CU129" s="179" t="n"/>
      <c r="CV129" s="130" t="n"/>
      <c r="CW129" s="178" t="n"/>
      <c r="CX129" s="184" t="n"/>
      <c r="CY129" s="130">
        <f>$E129*5</f>
        <v/>
      </c>
      <c r="CZ129" s="179" t="n"/>
      <c r="DA129" s="130" t="n"/>
      <c r="DB129" s="178" t="n"/>
      <c r="DC129" s="184" t="n"/>
      <c r="DD129" s="130">
        <f>$E129*5</f>
        <v/>
      </c>
      <c r="DE129" s="179" t="n"/>
      <c r="DF129" s="130" t="n"/>
      <c r="DG129" s="178" t="n"/>
      <c r="DH129" s="184" t="n"/>
      <c r="DI129" s="130">
        <f>$E129*5</f>
        <v/>
      </c>
      <c r="DJ129" s="179" t="n"/>
      <c r="DK129" s="130" t="n"/>
      <c r="DL129" s="178" t="n"/>
      <c r="DM129" s="184" t="n"/>
      <c r="DN129" s="130">
        <f>$E129*5</f>
        <v/>
      </c>
      <c r="DO129" s="179" t="n"/>
      <c r="DP129" s="130" t="n"/>
      <c r="DQ129" s="178" t="n"/>
      <c r="DR129" s="184" t="n"/>
      <c r="DS129" s="130">
        <f>$E129*5</f>
        <v/>
      </c>
      <c r="DT129" s="179" t="n"/>
      <c r="DU129" s="130" t="n"/>
      <c r="DV129" s="178">
        <f>SUMPRODUCT(--(MOD(COLUMN($BN129:$DU129),5)=MOD(COLUMN($BN129),5)),$BN129:$DU129)</f>
        <v/>
      </c>
      <c r="DW129" s="257">
        <f>Автовик_разбивка[[#This Row],[Цена, 
юань, без НДС 1]]*DV129</f>
        <v/>
      </c>
      <c r="DX129" s="259">
        <f>SUMPRODUCT(--(MOD(COLUMN($BN129:$DU129),5)=MOD(COLUMN($BN129)+1,5)),$BN129:$DU129)</f>
        <v/>
      </c>
      <c r="DY129" s="259">
        <f>Автовик_разбивка[[#This Row],[Цена, 
юань, без НДС 1]]*DX129</f>
        <v/>
      </c>
      <c r="DZ129" s="130">
        <f>SUMPRODUCT(--(MOD(COLUMN($BN129:$DU129),5)=MOD(COLUMN($BN129)+2,5)),$BN129:$DU129)</f>
        <v/>
      </c>
      <c r="EA129" s="187">
        <f>Автовик_разбивка[[#This Row],[Цена, 
юань, без НДС 1]]*DZ129</f>
        <v/>
      </c>
      <c r="EB129" s="179">
        <f>SUMPRODUCT(--(MOD(COLUMN($BN129:$DU129),5)=MOD(COLUMN($BN129)+3,5)),$BN129:$DU129)</f>
        <v/>
      </c>
      <c r="EC129" s="258">
        <f>Автовик_разбивка[[#This Row],[Цена, 
юань, без НДС 1]]*EB129</f>
        <v/>
      </c>
    </row>
    <row r="130">
      <c r="A130" s="256" t="n">
        <v>22</v>
      </c>
      <c r="B130" s="172" t="inlineStr">
        <is>
          <t>Хартунг</t>
        </is>
      </c>
      <c r="C130" s="173" t="inlineStr">
        <is>
          <t>TEBS</t>
        </is>
      </c>
      <c r="D130" s="173" t="inlineStr">
        <is>
          <t xml:space="preserve">TEBS 2s/2m 
15м </t>
        </is>
      </c>
      <c r="E130" s="174" t="n">
        <v>1</v>
      </c>
      <c r="F130" s="174" t="n"/>
      <c r="G130" s="174" t="n"/>
      <c r="H130" s="175" t="n">
        <v>4801020640</v>
      </c>
      <c r="I130" s="176" t="inlineStr">
        <is>
          <t>Модулятор EBS, с PEM, без фит.</t>
        </is>
      </c>
      <c r="J130" s="912" t="n"/>
      <c r="K130" s="912" t="n"/>
      <c r="L130" s="178" t="n"/>
      <c r="M130" s="130" t="n"/>
      <c r="N130" s="179" t="n"/>
      <c r="O130" s="130" t="n"/>
      <c r="P130" s="178" t="n"/>
      <c r="Q130" s="130" t="n"/>
      <c r="R130" s="179" t="n"/>
      <c r="S130" s="130" t="n"/>
      <c r="T130" s="178" t="n"/>
      <c r="U130" s="130">
        <f>$E130*0</f>
        <v/>
      </c>
      <c r="V130" s="179" t="n">
        <v>0</v>
      </c>
      <c r="W130" s="130" t="n"/>
      <c r="X130" s="178" t="n"/>
      <c r="Y130" s="130">
        <f>$E130*0</f>
        <v/>
      </c>
      <c r="Z130" s="179" t="n">
        <v>3</v>
      </c>
      <c r="AA130" s="130" t="n"/>
      <c r="AB130" s="178" t="n"/>
      <c r="AC130" s="130">
        <f>$E130*0</f>
        <v/>
      </c>
      <c r="AD130" s="179" t="n"/>
      <c r="AE130" s="130" t="n"/>
      <c r="AF130" s="178" t="n"/>
      <c r="AG130" s="130">
        <f>$E130*0</f>
        <v/>
      </c>
      <c r="AH130" s="179" t="n"/>
      <c r="AI130" s="130" t="n"/>
      <c r="AJ130" s="178" t="n"/>
      <c r="AK130" s="130">
        <f>$E130*0</f>
        <v/>
      </c>
      <c r="AL130" s="179" t="n"/>
      <c r="AM130" s="130" t="n"/>
      <c r="AN130" s="178" t="n"/>
      <c r="AO130" s="130">
        <f>$E130*10</f>
        <v/>
      </c>
      <c r="AP130" s="179" t="n"/>
      <c r="AQ130" s="130" t="n"/>
      <c r="AR130" s="178" t="n"/>
      <c r="AS130" s="130">
        <f>$E130*5</f>
        <v/>
      </c>
      <c r="AT130" s="179" t="n"/>
      <c r="AU130" s="130" t="n"/>
      <c r="AV130" s="178" t="n"/>
      <c r="AW130" s="130">
        <f>$E130*5</f>
        <v/>
      </c>
      <c r="AX130" s="179" t="n"/>
      <c r="AY130" s="130" t="n"/>
      <c r="AZ130" s="178" t="n"/>
      <c r="BA130" s="130">
        <f>$E130*5</f>
        <v/>
      </c>
      <c r="BB130" s="179" t="n"/>
      <c r="BC130" s="130" t="n"/>
      <c r="BD130" s="178" t="n"/>
      <c r="BE130" s="130">
        <f>$E130*5</f>
        <v/>
      </c>
      <c r="BF130" s="179" t="n"/>
      <c r="BG130" s="130" t="n"/>
      <c r="BH130" s="178">
        <f>SUMPRODUCT(--(MOD(COLUMN($L130:$BG130),4)=MOD(COLUMN($L130),4)),$L130:$BG130)</f>
        <v/>
      </c>
      <c r="BI130" s="257">
        <f>Автовик_разбивка[[#This Row],[Цена, 
юань, без НДС 1]]*BH130</f>
        <v/>
      </c>
      <c r="BJ130" s="130">
        <f>SUMPRODUCT(--(MOD(COLUMN($L130:$BG130),4)=MOD(COLUMN($L130)+1,4)),$L130:$BG130)</f>
        <v/>
      </c>
      <c r="BK130" s="187">
        <f>Автовик_разбивка[[#This Row],[Цена, 
юань, без НДС 1]]*BJ130</f>
        <v/>
      </c>
      <c r="BL130" s="179">
        <f>SUMPRODUCT(--(MOD(COLUMN($L130:$BG130),4)=MOD(COLUMN($L130)+2,4)),$L130:$BG130)</f>
        <v/>
      </c>
      <c r="BM130" s="258">
        <f>Автовик_разбивка[[#This Row],[Цена, 
юань, без НДС 1]]*BL130</f>
        <v/>
      </c>
      <c r="BN130" s="178" t="n"/>
      <c r="BO130" s="184" t="n"/>
      <c r="BP130" s="130">
        <f>$E130*5</f>
        <v/>
      </c>
      <c r="BQ130" s="179" t="n"/>
      <c r="BR130" s="130" t="n"/>
      <c r="BS130" s="178" t="n"/>
      <c r="BT130" s="184" t="n"/>
      <c r="BU130" s="130">
        <f>$E130*5</f>
        <v/>
      </c>
      <c r="BV130" s="179" t="n"/>
      <c r="BW130" s="130" t="n"/>
      <c r="BX130" s="178" t="n"/>
      <c r="BY130" s="184" t="n"/>
      <c r="BZ130" s="130">
        <f>$E130*5</f>
        <v/>
      </c>
      <c r="CA130" s="179" t="n"/>
      <c r="CB130" s="130" t="n"/>
      <c r="CC130" s="178" t="n"/>
      <c r="CD130" s="184" t="n"/>
      <c r="CE130" s="130">
        <f>$E130*5</f>
        <v/>
      </c>
      <c r="CF130" s="179" t="n"/>
      <c r="CG130" s="130" t="n"/>
      <c r="CH130" s="178" t="n"/>
      <c r="CI130" s="184" t="n"/>
      <c r="CJ130" s="130">
        <f>$E130*5</f>
        <v/>
      </c>
      <c r="CK130" s="179" t="n"/>
      <c r="CL130" s="130" t="n"/>
      <c r="CM130" s="178" t="n"/>
      <c r="CN130" s="184" t="n"/>
      <c r="CO130" s="130">
        <f>$E130*5</f>
        <v/>
      </c>
      <c r="CP130" s="179" t="n"/>
      <c r="CQ130" s="130" t="n"/>
      <c r="CR130" s="178" t="n"/>
      <c r="CS130" s="184" t="n"/>
      <c r="CT130" s="130">
        <f>$E130*5</f>
        <v/>
      </c>
      <c r="CU130" s="179" t="n"/>
      <c r="CV130" s="130" t="n"/>
      <c r="CW130" s="178" t="n"/>
      <c r="CX130" s="184" t="n"/>
      <c r="CY130" s="130">
        <f>$E130*5</f>
        <v/>
      </c>
      <c r="CZ130" s="179" t="n"/>
      <c r="DA130" s="130" t="n"/>
      <c r="DB130" s="178" t="n"/>
      <c r="DC130" s="184" t="n"/>
      <c r="DD130" s="130">
        <f>$E130*5</f>
        <v/>
      </c>
      <c r="DE130" s="179" t="n"/>
      <c r="DF130" s="130" t="n"/>
      <c r="DG130" s="178" t="n"/>
      <c r="DH130" s="184" t="n"/>
      <c r="DI130" s="130">
        <f>$E130*5</f>
        <v/>
      </c>
      <c r="DJ130" s="179" t="n"/>
      <c r="DK130" s="130" t="n"/>
      <c r="DL130" s="178" t="n"/>
      <c r="DM130" s="184" t="n"/>
      <c r="DN130" s="130">
        <f>$E130*5</f>
        <v/>
      </c>
      <c r="DO130" s="179" t="n"/>
      <c r="DP130" s="130" t="n"/>
      <c r="DQ130" s="178" t="n"/>
      <c r="DR130" s="184" t="n"/>
      <c r="DS130" s="130">
        <f>$E130*5</f>
        <v/>
      </c>
      <c r="DT130" s="179" t="n"/>
      <c r="DU130" s="130" t="n"/>
      <c r="DV130" s="178">
        <f>SUMPRODUCT(--(MOD(COLUMN($BN130:$DU130),5)=MOD(COLUMN($BN130),5)),$BN130:$DU130)</f>
        <v/>
      </c>
      <c r="DW130" s="257">
        <f>Автовик_разбивка[[#This Row],[Цена, 
юань, без НДС 1]]*DV130</f>
        <v/>
      </c>
      <c r="DX130" s="259">
        <f>SUMPRODUCT(--(MOD(COLUMN($BN130:$DU130),5)=MOD(COLUMN($BN130)+1,5)),$BN130:$DU130)</f>
        <v/>
      </c>
      <c r="DY130" s="259">
        <f>Автовик_разбивка[[#This Row],[Цена, 
юань, без НДС 1]]*DX130</f>
        <v/>
      </c>
      <c r="DZ130" s="130">
        <f>SUMPRODUCT(--(MOD(COLUMN($BN130:$DU130),5)=MOD(COLUMN($BN130)+2,5)),$BN130:$DU130)</f>
        <v/>
      </c>
      <c r="EA130" s="187">
        <f>Автовик_разбивка[[#This Row],[Цена, 
юань, без НДС 1]]*DZ130</f>
        <v/>
      </c>
      <c r="EB130" s="179">
        <f>SUMPRODUCT(--(MOD(COLUMN($BN130:$DU130),5)=MOD(COLUMN($BN130)+3,5)),$BN130:$DU130)</f>
        <v/>
      </c>
      <c r="EC130" s="258">
        <f>Автовик_разбивка[[#This Row],[Цена, 
юань, без НДС 1]]*EB130</f>
        <v/>
      </c>
    </row>
    <row r="131">
      <c r="A131" s="256" t="n">
        <v>22</v>
      </c>
      <c r="B131" s="172" t="inlineStr">
        <is>
          <t>Хартунг</t>
        </is>
      </c>
      <c r="C131" s="173" t="inlineStr">
        <is>
          <t>TEBS</t>
        </is>
      </c>
      <c r="D131" s="173" t="inlineStr">
        <is>
          <t xml:space="preserve">TEBS 2s/2m 
15м </t>
        </is>
      </c>
      <c r="E131" s="174" t="n">
        <v>1</v>
      </c>
      <c r="F131" s="174" t="n"/>
      <c r="G131" s="174" t="n"/>
      <c r="H131" s="175" t="n">
        <v>9522010010</v>
      </c>
      <c r="I131" s="176" t="inlineStr">
        <is>
          <t>Головка соединительная (управляющая)</t>
        </is>
      </c>
      <c r="J131" s="912" t="n"/>
      <c r="K131" s="912" t="n"/>
      <c r="L131" s="178" t="n"/>
      <c r="M131" s="130" t="n"/>
      <c r="N131" s="179" t="n"/>
      <c r="O131" s="130" t="n"/>
      <c r="P131" s="178" t="n"/>
      <c r="Q131" s="130" t="n"/>
      <c r="R131" s="179" t="n"/>
      <c r="S131" s="130" t="n"/>
      <c r="T131" s="178" t="n"/>
      <c r="U131" s="130">
        <f>$E131*0</f>
        <v/>
      </c>
      <c r="V131" s="179" t="n">
        <v>0</v>
      </c>
      <c r="W131" s="130" t="n"/>
      <c r="X131" s="178" t="n"/>
      <c r="Y131" s="130">
        <f>$E131*0</f>
        <v/>
      </c>
      <c r="Z131" s="179" t="n">
        <v>3</v>
      </c>
      <c r="AA131" s="130" t="n"/>
      <c r="AB131" s="178" t="n"/>
      <c r="AC131" s="130">
        <f>$E131*0</f>
        <v/>
      </c>
      <c r="AD131" s="179" t="n"/>
      <c r="AE131" s="130" t="n"/>
      <c r="AF131" s="178" t="n"/>
      <c r="AG131" s="130">
        <f>$E131*0</f>
        <v/>
      </c>
      <c r="AH131" s="179" t="n"/>
      <c r="AI131" s="130" t="n"/>
      <c r="AJ131" s="178" t="n"/>
      <c r="AK131" s="130">
        <f>$E131*0</f>
        <v/>
      </c>
      <c r="AL131" s="179" t="n"/>
      <c r="AM131" s="130" t="n"/>
      <c r="AN131" s="178" t="n"/>
      <c r="AO131" s="130">
        <f>$E131*10</f>
        <v/>
      </c>
      <c r="AP131" s="179" t="n"/>
      <c r="AQ131" s="130" t="n"/>
      <c r="AR131" s="178" t="n"/>
      <c r="AS131" s="130">
        <f>$E131*5</f>
        <v/>
      </c>
      <c r="AT131" s="179" t="n"/>
      <c r="AU131" s="130" t="n"/>
      <c r="AV131" s="178" t="n"/>
      <c r="AW131" s="130">
        <f>$E131*5</f>
        <v/>
      </c>
      <c r="AX131" s="179" t="n"/>
      <c r="AY131" s="130" t="n"/>
      <c r="AZ131" s="178" t="n"/>
      <c r="BA131" s="130">
        <f>$E131*5</f>
        <v/>
      </c>
      <c r="BB131" s="179" t="n"/>
      <c r="BC131" s="130" t="n"/>
      <c r="BD131" s="178" t="n"/>
      <c r="BE131" s="130">
        <f>$E131*5</f>
        <v/>
      </c>
      <c r="BF131" s="179" t="n"/>
      <c r="BG131" s="130" t="n"/>
      <c r="BH131" s="178">
        <f>SUMPRODUCT(--(MOD(COLUMN($L131:$BG131),4)=MOD(COLUMN($L131),4)),$L131:$BG131)</f>
        <v/>
      </c>
      <c r="BI131" s="257">
        <f>Автовик_разбивка[[#This Row],[Цена, 
юань, без НДС 1]]*BH131</f>
        <v/>
      </c>
      <c r="BJ131" s="130">
        <f>SUMPRODUCT(--(MOD(COLUMN($L131:$BG131),4)=MOD(COLUMN($L131)+1,4)),$L131:$BG131)</f>
        <v/>
      </c>
      <c r="BK131" s="187">
        <f>Автовик_разбивка[[#This Row],[Цена, 
юань, без НДС 1]]*BJ131</f>
        <v/>
      </c>
      <c r="BL131" s="179">
        <f>SUMPRODUCT(--(MOD(COLUMN($L131:$BG131),4)=MOD(COLUMN($L131)+2,4)),$L131:$BG131)</f>
        <v/>
      </c>
      <c r="BM131" s="258">
        <f>Автовик_разбивка[[#This Row],[Цена, 
юань, без НДС 1]]*BL131</f>
        <v/>
      </c>
      <c r="BN131" s="178" t="n"/>
      <c r="BO131" s="184" t="n"/>
      <c r="BP131" s="130">
        <f>$E131*5</f>
        <v/>
      </c>
      <c r="BQ131" s="179" t="n"/>
      <c r="BR131" s="130" t="n"/>
      <c r="BS131" s="178" t="n"/>
      <c r="BT131" s="184" t="n"/>
      <c r="BU131" s="130">
        <f>$E131*5</f>
        <v/>
      </c>
      <c r="BV131" s="179" t="n"/>
      <c r="BW131" s="130" t="n"/>
      <c r="BX131" s="178" t="n"/>
      <c r="BY131" s="184" t="n"/>
      <c r="BZ131" s="130">
        <f>$E131*5</f>
        <v/>
      </c>
      <c r="CA131" s="179" t="n"/>
      <c r="CB131" s="130" t="n"/>
      <c r="CC131" s="178" t="n"/>
      <c r="CD131" s="184" t="n"/>
      <c r="CE131" s="130">
        <f>$E131*5</f>
        <v/>
      </c>
      <c r="CF131" s="179" t="n"/>
      <c r="CG131" s="130" t="n"/>
      <c r="CH131" s="178" t="n"/>
      <c r="CI131" s="184" t="n"/>
      <c r="CJ131" s="130">
        <f>$E131*5</f>
        <v/>
      </c>
      <c r="CK131" s="179" t="n"/>
      <c r="CL131" s="130" t="n"/>
      <c r="CM131" s="178" t="n"/>
      <c r="CN131" s="184" t="n"/>
      <c r="CO131" s="130">
        <f>$E131*5</f>
        <v/>
      </c>
      <c r="CP131" s="179" t="n"/>
      <c r="CQ131" s="130" t="n"/>
      <c r="CR131" s="178" t="n"/>
      <c r="CS131" s="184" t="n"/>
      <c r="CT131" s="130">
        <f>$E131*5</f>
        <v/>
      </c>
      <c r="CU131" s="179" t="n"/>
      <c r="CV131" s="130" t="n"/>
      <c r="CW131" s="178" t="n"/>
      <c r="CX131" s="184" t="n"/>
      <c r="CY131" s="130">
        <f>$E131*5</f>
        <v/>
      </c>
      <c r="CZ131" s="179" t="n"/>
      <c r="DA131" s="130" t="n"/>
      <c r="DB131" s="178" t="n"/>
      <c r="DC131" s="184" t="n"/>
      <c r="DD131" s="130">
        <f>$E131*5</f>
        <v/>
      </c>
      <c r="DE131" s="179" t="n"/>
      <c r="DF131" s="130" t="n"/>
      <c r="DG131" s="178" t="n"/>
      <c r="DH131" s="184" t="n"/>
      <c r="DI131" s="130">
        <f>$E131*5</f>
        <v/>
      </c>
      <c r="DJ131" s="179" t="n"/>
      <c r="DK131" s="130" t="n"/>
      <c r="DL131" s="178" t="n"/>
      <c r="DM131" s="184" t="n"/>
      <c r="DN131" s="130">
        <f>$E131*5</f>
        <v/>
      </c>
      <c r="DO131" s="179" t="n"/>
      <c r="DP131" s="130" t="n"/>
      <c r="DQ131" s="178" t="n"/>
      <c r="DR131" s="184" t="n"/>
      <c r="DS131" s="130">
        <f>$E131*5</f>
        <v/>
      </c>
      <c r="DT131" s="179" t="n"/>
      <c r="DU131" s="130" t="n"/>
      <c r="DV131" s="178">
        <f>SUMPRODUCT(--(MOD(COLUMN($BN131:$DU131),5)=MOD(COLUMN($BN131),5)),$BN131:$DU131)</f>
        <v/>
      </c>
      <c r="DW131" s="257">
        <f>Автовик_разбивка[[#This Row],[Цена, 
юань, без НДС 1]]*DV131</f>
        <v/>
      </c>
      <c r="DX131" s="259">
        <f>SUMPRODUCT(--(MOD(COLUMN($BN131:$DU131),5)=MOD(COLUMN($BN131)+1,5)),$BN131:$DU131)</f>
        <v/>
      </c>
      <c r="DY131" s="259">
        <f>Автовик_разбивка[[#This Row],[Цена, 
юань, без НДС 1]]*DX131</f>
        <v/>
      </c>
      <c r="DZ131" s="130">
        <f>SUMPRODUCT(--(MOD(COLUMN($BN131:$DU131),5)=MOD(COLUMN($BN131)+2,5)),$BN131:$DU131)</f>
        <v/>
      </c>
      <c r="EA131" s="187">
        <f>Автовик_разбивка[[#This Row],[Цена, 
юань, без НДС 1]]*DZ131</f>
        <v/>
      </c>
      <c r="EB131" s="179">
        <f>SUMPRODUCT(--(MOD(COLUMN($BN131:$DU131),5)=MOD(COLUMN($BN131)+3,5)),$BN131:$DU131)</f>
        <v/>
      </c>
      <c r="EC131" s="258">
        <f>Автовик_разбивка[[#This Row],[Цена, 
юань, без НДС 1]]*EB131</f>
        <v/>
      </c>
    </row>
    <row r="132">
      <c r="A132" s="256" t="n">
        <v>22</v>
      </c>
      <c r="B132" s="172" t="inlineStr">
        <is>
          <t>Хартунг</t>
        </is>
      </c>
      <c r="C132" s="173" t="inlineStr">
        <is>
          <t>TEBS</t>
        </is>
      </c>
      <c r="D132" s="173" t="inlineStr">
        <is>
          <t xml:space="preserve">TEBS 2s/2m 
15м </t>
        </is>
      </c>
      <c r="E132" s="174" t="n">
        <v>1</v>
      </c>
      <c r="F132" s="174" t="n"/>
      <c r="G132" s="174" t="n"/>
      <c r="H132" s="175" t="n">
        <v>9522010020</v>
      </c>
      <c r="I132" s="176" t="inlineStr">
        <is>
          <t>Головка соединительная (питающая)</t>
        </is>
      </c>
      <c r="J132" s="912" t="n"/>
      <c r="K132" s="912" t="n"/>
      <c r="L132" s="178" t="n"/>
      <c r="M132" s="130" t="n"/>
      <c r="N132" s="179" t="n"/>
      <c r="O132" s="130" t="n"/>
      <c r="P132" s="178" t="n"/>
      <c r="Q132" s="130" t="n"/>
      <c r="R132" s="179" t="n"/>
      <c r="S132" s="130" t="n"/>
      <c r="T132" s="178" t="n"/>
      <c r="U132" s="130">
        <f>$E132*0</f>
        <v/>
      </c>
      <c r="V132" s="179" t="n">
        <v>0</v>
      </c>
      <c r="W132" s="130" t="n"/>
      <c r="X132" s="178" t="n"/>
      <c r="Y132" s="130">
        <f>$E132*0</f>
        <v/>
      </c>
      <c r="Z132" s="179" t="n">
        <v>3</v>
      </c>
      <c r="AA132" s="130" t="n"/>
      <c r="AB132" s="178" t="n"/>
      <c r="AC132" s="130">
        <f>$E132*0</f>
        <v/>
      </c>
      <c r="AD132" s="179" t="n"/>
      <c r="AE132" s="130" t="n"/>
      <c r="AF132" s="178" t="n"/>
      <c r="AG132" s="130">
        <f>$E132*0</f>
        <v/>
      </c>
      <c r="AH132" s="179" t="n"/>
      <c r="AI132" s="130" t="n"/>
      <c r="AJ132" s="178" t="n"/>
      <c r="AK132" s="130">
        <f>$E132*0</f>
        <v/>
      </c>
      <c r="AL132" s="179" t="n"/>
      <c r="AM132" s="130" t="n"/>
      <c r="AN132" s="178" t="n"/>
      <c r="AO132" s="130">
        <f>$E132*10</f>
        <v/>
      </c>
      <c r="AP132" s="179" t="n"/>
      <c r="AQ132" s="130" t="n"/>
      <c r="AR132" s="178" t="n"/>
      <c r="AS132" s="130">
        <f>$E132*5</f>
        <v/>
      </c>
      <c r="AT132" s="179" t="n"/>
      <c r="AU132" s="130" t="n"/>
      <c r="AV132" s="178" t="n"/>
      <c r="AW132" s="130">
        <f>$E132*5</f>
        <v/>
      </c>
      <c r="AX132" s="179" t="n"/>
      <c r="AY132" s="130" t="n"/>
      <c r="AZ132" s="178" t="n"/>
      <c r="BA132" s="130">
        <f>$E132*5</f>
        <v/>
      </c>
      <c r="BB132" s="179" t="n"/>
      <c r="BC132" s="130" t="n"/>
      <c r="BD132" s="178" t="n"/>
      <c r="BE132" s="130">
        <f>$E132*5</f>
        <v/>
      </c>
      <c r="BF132" s="179" t="n"/>
      <c r="BG132" s="130" t="n"/>
      <c r="BH132" s="178">
        <f>SUMPRODUCT(--(MOD(COLUMN($L132:$BG132),4)=MOD(COLUMN($L132),4)),$L132:$BG132)</f>
        <v/>
      </c>
      <c r="BI132" s="257">
        <f>Автовик_разбивка[[#This Row],[Цена, 
юань, без НДС 1]]*BH132</f>
        <v/>
      </c>
      <c r="BJ132" s="130">
        <f>SUMPRODUCT(--(MOD(COLUMN($L132:$BG132),4)=MOD(COLUMN($L132)+1,4)),$L132:$BG132)</f>
        <v/>
      </c>
      <c r="BK132" s="187">
        <f>Автовик_разбивка[[#This Row],[Цена, 
юань, без НДС 1]]*BJ132</f>
        <v/>
      </c>
      <c r="BL132" s="179">
        <f>SUMPRODUCT(--(MOD(COLUMN($L132:$BG132),4)=MOD(COLUMN($L132)+2,4)),$L132:$BG132)</f>
        <v/>
      </c>
      <c r="BM132" s="258">
        <f>Автовик_разбивка[[#This Row],[Цена, 
юань, без НДС 1]]*BL132</f>
        <v/>
      </c>
      <c r="BN132" s="178" t="n"/>
      <c r="BO132" s="184" t="n"/>
      <c r="BP132" s="130">
        <f>$E132*5</f>
        <v/>
      </c>
      <c r="BQ132" s="179" t="n"/>
      <c r="BR132" s="130" t="n"/>
      <c r="BS132" s="178" t="n"/>
      <c r="BT132" s="184" t="n"/>
      <c r="BU132" s="130">
        <f>$E132*5</f>
        <v/>
      </c>
      <c r="BV132" s="179" t="n"/>
      <c r="BW132" s="130" t="n"/>
      <c r="BX132" s="178" t="n"/>
      <c r="BY132" s="184" t="n"/>
      <c r="BZ132" s="130">
        <f>$E132*5</f>
        <v/>
      </c>
      <c r="CA132" s="179" t="n"/>
      <c r="CB132" s="130" t="n"/>
      <c r="CC132" s="178" t="n"/>
      <c r="CD132" s="184" t="n"/>
      <c r="CE132" s="130">
        <f>$E132*5</f>
        <v/>
      </c>
      <c r="CF132" s="179" t="n"/>
      <c r="CG132" s="130" t="n"/>
      <c r="CH132" s="178" t="n"/>
      <c r="CI132" s="184" t="n"/>
      <c r="CJ132" s="130">
        <f>$E132*5</f>
        <v/>
      </c>
      <c r="CK132" s="179" t="n"/>
      <c r="CL132" s="130" t="n"/>
      <c r="CM132" s="178" t="n"/>
      <c r="CN132" s="184" t="n"/>
      <c r="CO132" s="130">
        <f>$E132*5</f>
        <v/>
      </c>
      <c r="CP132" s="179" t="n"/>
      <c r="CQ132" s="130" t="n"/>
      <c r="CR132" s="178" t="n"/>
      <c r="CS132" s="184" t="n"/>
      <c r="CT132" s="130">
        <f>$E132*5</f>
        <v/>
      </c>
      <c r="CU132" s="179" t="n"/>
      <c r="CV132" s="130" t="n"/>
      <c r="CW132" s="178" t="n"/>
      <c r="CX132" s="184" t="n"/>
      <c r="CY132" s="130">
        <f>$E132*5</f>
        <v/>
      </c>
      <c r="CZ132" s="179" t="n"/>
      <c r="DA132" s="130" t="n"/>
      <c r="DB132" s="178" t="n"/>
      <c r="DC132" s="184" t="n"/>
      <c r="DD132" s="130">
        <f>$E132*5</f>
        <v/>
      </c>
      <c r="DE132" s="179" t="n"/>
      <c r="DF132" s="130" t="n"/>
      <c r="DG132" s="178" t="n"/>
      <c r="DH132" s="184" t="n"/>
      <c r="DI132" s="130">
        <f>$E132*5</f>
        <v/>
      </c>
      <c r="DJ132" s="179" t="n"/>
      <c r="DK132" s="130" t="n"/>
      <c r="DL132" s="178" t="n"/>
      <c r="DM132" s="184" t="n"/>
      <c r="DN132" s="130">
        <f>$E132*5</f>
        <v/>
      </c>
      <c r="DO132" s="179" t="n"/>
      <c r="DP132" s="130" t="n"/>
      <c r="DQ132" s="178" t="n"/>
      <c r="DR132" s="184" t="n"/>
      <c r="DS132" s="130">
        <f>$E132*5</f>
        <v/>
      </c>
      <c r="DT132" s="179" t="n"/>
      <c r="DU132" s="130" t="n"/>
      <c r="DV132" s="178">
        <f>SUMPRODUCT(--(MOD(COLUMN($BN132:$DU132),5)=MOD(COLUMN($BN132),5)),$BN132:$DU132)</f>
        <v/>
      </c>
      <c r="DW132" s="257">
        <f>Автовик_разбивка[[#This Row],[Цена, 
юань, без НДС 1]]*DV132</f>
        <v/>
      </c>
      <c r="DX132" s="259">
        <f>SUMPRODUCT(--(MOD(COLUMN($BN132:$DU132),5)=MOD(COLUMN($BN132)+1,5)),$BN132:$DU132)</f>
        <v/>
      </c>
      <c r="DY132" s="259">
        <f>Автовик_разбивка[[#This Row],[Цена, 
юань, без НДС 1]]*DX132</f>
        <v/>
      </c>
      <c r="DZ132" s="130">
        <f>SUMPRODUCT(--(MOD(COLUMN($BN132:$DU132),5)=MOD(COLUMN($BN132)+2,5)),$BN132:$DU132)</f>
        <v/>
      </c>
      <c r="EA132" s="187">
        <f>Автовик_разбивка[[#This Row],[Цена, 
юань, без НДС 1]]*DZ132</f>
        <v/>
      </c>
      <c r="EB132" s="179">
        <f>SUMPRODUCT(--(MOD(COLUMN($BN132:$DU132),5)=MOD(COLUMN($BN132)+3,5)),$BN132:$DU132)</f>
        <v/>
      </c>
      <c r="EC132" s="258">
        <f>Автовик_разбивка[[#This Row],[Цена, 
юань, без НДС 1]]*EB132</f>
        <v/>
      </c>
    </row>
    <row r="133">
      <c r="A133" s="256" t="n">
        <v>22</v>
      </c>
      <c r="B133" s="172" t="inlineStr">
        <is>
          <t>Хартунг</t>
        </is>
      </c>
      <c r="C133" s="173" t="inlineStr">
        <is>
          <t>TEBS</t>
        </is>
      </c>
      <c r="D133" s="173" t="inlineStr">
        <is>
          <t xml:space="preserve">TEBS 2s/2m 
15м </t>
        </is>
      </c>
      <c r="E133" s="174" t="n">
        <v>1</v>
      </c>
      <c r="F133" s="174" t="n"/>
      <c r="G133" s="174" t="n"/>
      <c r="H133" s="175" t="n">
        <v>9710029000</v>
      </c>
      <c r="I133" s="176" t="inlineStr">
        <is>
          <t>Воздухораспределитель с клапаном растормаживания</t>
        </is>
      </c>
      <c r="J133" s="912" t="n"/>
      <c r="K133" s="912" t="n"/>
      <c r="L133" s="178" t="n"/>
      <c r="M133" s="130" t="n"/>
      <c r="N133" s="179" t="n"/>
      <c r="O133" s="130" t="n"/>
      <c r="P133" s="178" t="n"/>
      <c r="Q133" s="130" t="n"/>
      <c r="R133" s="179" t="n"/>
      <c r="S133" s="130" t="n"/>
      <c r="T133" s="178" t="n"/>
      <c r="U133" s="130">
        <f>$E133*0</f>
        <v/>
      </c>
      <c r="V133" s="179" t="n">
        <v>0</v>
      </c>
      <c r="W133" s="130" t="n"/>
      <c r="X133" s="178" t="n"/>
      <c r="Y133" s="130">
        <f>$E133*0</f>
        <v/>
      </c>
      <c r="Z133" s="179" t="n">
        <v>3</v>
      </c>
      <c r="AA133" s="130" t="n"/>
      <c r="AB133" s="178" t="n"/>
      <c r="AC133" s="130">
        <f>$E133*0</f>
        <v/>
      </c>
      <c r="AD133" s="179" t="n"/>
      <c r="AE133" s="130" t="n"/>
      <c r="AF133" s="178" t="n"/>
      <c r="AG133" s="130">
        <f>$E133*0</f>
        <v/>
      </c>
      <c r="AH133" s="179" t="n"/>
      <c r="AI133" s="130" t="n"/>
      <c r="AJ133" s="178" t="n"/>
      <c r="AK133" s="130">
        <f>$E133*0</f>
        <v/>
      </c>
      <c r="AL133" s="179" t="n"/>
      <c r="AM133" s="130" t="n"/>
      <c r="AN133" s="178" t="n"/>
      <c r="AO133" s="130">
        <f>$E133*10</f>
        <v/>
      </c>
      <c r="AP133" s="179" t="n"/>
      <c r="AQ133" s="130" t="n"/>
      <c r="AR133" s="178" t="n"/>
      <c r="AS133" s="130">
        <f>$E133*5</f>
        <v/>
      </c>
      <c r="AT133" s="179" t="n"/>
      <c r="AU133" s="130" t="n"/>
      <c r="AV133" s="178" t="n"/>
      <c r="AW133" s="130">
        <f>$E133*5</f>
        <v/>
      </c>
      <c r="AX133" s="179" t="n"/>
      <c r="AY133" s="130" t="n"/>
      <c r="AZ133" s="178" t="n"/>
      <c r="BA133" s="130">
        <f>$E133*5</f>
        <v/>
      </c>
      <c r="BB133" s="179" t="n"/>
      <c r="BC133" s="130" t="n"/>
      <c r="BD133" s="178" t="n"/>
      <c r="BE133" s="130">
        <f>$E133*5</f>
        <v/>
      </c>
      <c r="BF133" s="179" t="n"/>
      <c r="BG133" s="130" t="n"/>
      <c r="BH133" s="178">
        <f>SUMPRODUCT(--(MOD(COLUMN($L133:$BG133),4)=MOD(COLUMN($L133),4)),$L133:$BG133)</f>
        <v/>
      </c>
      <c r="BI133" s="257">
        <f>Автовик_разбивка[[#This Row],[Цена, 
юань, без НДС 1]]*BH133</f>
        <v/>
      </c>
      <c r="BJ133" s="130">
        <f>SUMPRODUCT(--(MOD(COLUMN($L133:$BG133),4)=MOD(COLUMN($L133)+1,4)),$L133:$BG133)</f>
        <v/>
      </c>
      <c r="BK133" s="187">
        <f>Автовик_разбивка[[#This Row],[Цена, 
юань, без НДС 1]]*BJ133</f>
        <v/>
      </c>
      <c r="BL133" s="179">
        <f>SUMPRODUCT(--(MOD(COLUMN($L133:$BG133),4)=MOD(COLUMN($L133)+2,4)),$L133:$BG133)</f>
        <v/>
      </c>
      <c r="BM133" s="258">
        <f>Автовик_разбивка[[#This Row],[Цена, 
юань, без НДС 1]]*BL133</f>
        <v/>
      </c>
      <c r="BN133" s="178" t="n"/>
      <c r="BO133" s="184" t="n"/>
      <c r="BP133" s="130">
        <f>$E133*5</f>
        <v/>
      </c>
      <c r="BQ133" s="179" t="n"/>
      <c r="BR133" s="130" t="n"/>
      <c r="BS133" s="178" t="n"/>
      <c r="BT133" s="184" t="n"/>
      <c r="BU133" s="130">
        <f>$E133*5</f>
        <v/>
      </c>
      <c r="BV133" s="179" t="n"/>
      <c r="BW133" s="130" t="n"/>
      <c r="BX133" s="178" t="n"/>
      <c r="BY133" s="184" t="n"/>
      <c r="BZ133" s="130">
        <f>$E133*5</f>
        <v/>
      </c>
      <c r="CA133" s="179" t="n"/>
      <c r="CB133" s="130" t="n"/>
      <c r="CC133" s="178" t="n"/>
      <c r="CD133" s="184" t="n"/>
      <c r="CE133" s="130">
        <f>$E133*5</f>
        <v/>
      </c>
      <c r="CF133" s="179" t="n"/>
      <c r="CG133" s="130" t="n"/>
      <c r="CH133" s="178" t="n"/>
      <c r="CI133" s="184" t="n"/>
      <c r="CJ133" s="130">
        <f>$E133*5</f>
        <v/>
      </c>
      <c r="CK133" s="179" t="n"/>
      <c r="CL133" s="130" t="n"/>
      <c r="CM133" s="178" t="n"/>
      <c r="CN133" s="184" t="n"/>
      <c r="CO133" s="130">
        <f>$E133*5</f>
        <v/>
      </c>
      <c r="CP133" s="179" t="n"/>
      <c r="CQ133" s="130" t="n"/>
      <c r="CR133" s="178" t="n"/>
      <c r="CS133" s="184" t="n"/>
      <c r="CT133" s="130">
        <f>$E133*5</f>
        <v/>
      </c>
      <c r="CU133" s="179" t="n"/>
      <c r="CV133" s="130" t="n"/>
      <c r="CW133" s="178" t="n"/>
      <c r="CX133" s="184" t="n"/>
      <c r="CY133" s="130">
        <f>$E133*5</f>
        <v/>
      </c>
      <c r="CZ133" s="179" t="n"/>
      <c r="DA133" s="130" t="n"/>
      <c r="DB133" s="178" t="n"/>
      <c r="DC133" s="184" t="n"/>
      <c r="DD133" s="130">
        <f>$E133*5</f>
        <v/>
      </c>
      <c r="DE133" s="179" t="n"/>
      <c r="DF133" s="130" t="n"/>
      <c r="DG133" s="178" t="n"/>
      <c r="DH133" s="184" t="n"/>
      <c r="DI133" s="130">
        <f>$E133*5</f>
        <v/>
      </c>
      <c r="DJ133" s="179" t="n"/>
      <c r="DK133" s="130" t="n"/>
      <c r="DL133" s="178" t="n"/>
      <c r="DM133" s="184" t="n"/>
      <c r="DN133" s="130">
        <f>$E133*5</f>
        <v/>
      </c>
      <c r="DO133" s="179" t="n"/>
      <c r="DP133" s="130" t="n"/>
      <c r="DQ133" s="178" t="n"/>
      <c r="DR133" s="184" t="n"/>
      <c r="DS133" s="130">
        <f>$E133*5</f>
        <v/>
      </c>
      <c r="DT133" s="179" t="n"/>
      <c r="DU133" s="130" t="n"/>
      <c r="DV133" s="178">
        <f>SUMPRODUCT(--(MOD(COLUMN($BN133:$DU133),5)=MOD(COLUMN($BN133),5)),$BN133:$DU133)</f>
        <v/>
      </c>
      <c r="DW133" s="257">
        <f>Автовик_разбивка[[#This Row],[Цена, 
юань, без НДС 1]]*DV133</f>
        <v/>
      </c>
      <c r="DX133" s="259">
        <f>SUMPRODUCT(--(MOD(COLUMN($BN133:$DU133),5)=MOD(COLUMN($BN133)+1,5)),$BN133:$DU133)</f>
        <v/>
      </c>
      <c r="DY133" s="259">
        <f>Автовик_разбивка[[#This Row],[Цена, 
юань, без НДС 1]]*DX133</f>
        <v/>
      </c>
      <c r="DZ133" s="130">
        <f>SUMPRODUCT(--(MOD(COLUMN($BN133:$DU133),5)=MOD(COLUMN($BN133)+2,5)),$BN133:$DU133)</f>
        <v/>
      </c>
      <c r="EA133" s="187">
        <f>Автовик_разбивка[[#This Row],[Цена, 
юань, без НДС 1]]*DZ133</f>
        <v/>
      </c>
      <c r="EB133" s="179">
        <f>SUMPRODUCT(--(MOD(COLUMN($BN133:$DU133),5)=MOD(COLUMN($BN133)+3,5)),$BN133:$DU133)</f>
        <v/>
      </c>
      <c r="EC133" s="258">
        <f>Автовик_разбивка[[#This Row],[Цена, 
юань, без НДС 1]]*EB133</f>
        <v/>
      </c>
    </row>
    <row r="134">
      <c r="A134" s="256" t="n">
        <v>22</v>
      </c>
      <c r="B134" s="172" t="inlineStr">
        <is>
          <t>Хартунг</t>
        </is>
      </c>
      <c r="C134" s="173" t="n"/>
      <c r="D134" s="173" t="n"/>
      <c r="E134" s="174" t="n"/>
      <c r="F134" s="174" t="n"/>
      <c r="G134" s="174" t="n"/>
      <c r="H134" s="175" t="n">
        <v>9253771100</v>
      </c>
      <c r="I134" s="176" t="inlineStr">
        <is>
          <t>Энергоаккумулятор тип 30/30</t>
        </is>
      </c>
      <c r="J134" s="912" t="n"/>
      <c r="K134" s="912" t="n"/>
      <c r="L134" s="178" t="n"/>
      <c r="M134" s="130" t="n"/>
      <c r="N134" s="179" t="n"/>
      <c r="O134" s="130" t="n"/>
      <c r="P134" s="178" t="n"/>
      <c r="Q134" s="130" t="n">
        <v>12</v>
      </c>
      <c r="R134" s="179" t="n">
        <v>12</v>
      </c>
      <c r="S134" s="130" t="n"/>
      <c r="T134" s="178" t="n"/>
      <c r="U134" s="130" t="n">
        <v>0</v>
      </c>
      <c r="V134" s="179" t="n">
        <v>0</v>
      </c>
      <c r="W134" s="130" t="n"/>
      <c r="X134" s="178" t="n"/>
      <c r="Y134" s="130" t="n">
        <v>0</v>
      </c>
      <c r="Z134" s="179" t="n">
        <v>12</v>
      </c>
      <c r="AA134" s="130" t="n"/>
      <c r="AB134" s="178" t="n"/>
      <c r="AC134" s="130" t="n"/>
      <c r="AD134" s="179" t="n"/>
      <c r="AE134" s="130" t="n"/>
      <c r="AF134" s="178" t="n"/>
      <c r="AG134" s="130" t="n"/>
      <c r="AH134" s="179" t="n"/>
      <c r="AI134" s="130" t="n"/>
      <c r="AJ134" s="178" t="n"/>
      <c r="AK134" s="130" t="n"/>
      <c r="AL134" s="179" t="n"/>
      <c r="AM134" s="130" t="n"/>
      <c r="AN134" s="178" t="n"/>
      <c r="AO134" s="130" t="n"/>
      <c r="AP134" s="179" t="n"/>
      <c r="AQ134" s="130" t="n"/>
      <c r="AR134" s="178" t="n"/>
      <c r="AS134" s="130" t="n"/>
      <c r="AT134" s="179" t="n"/>
      <c r="AU134" s="130" t="n"/>
      <c r="AV134" s="178" t="n"/>
      <c r="AW134" s="130" t="n"/>
      <c r="AX134" s="179" t="n"/>
      <c r="AY134" s="130" t="n"/>
      <c r="AZ134" s="178" t="n"/>
      <c r="BA134" s="130" t="n"/>
      <c r="BB134" s="179" t="n"/>
      <c r="BC134" s="130" t="n"/>
      <c r="BD134" s="178" t="n"/>
      <c r="BE134" s="130" t="n"/>
      <c r="BF134" s="179" t="n"/>
      <c r="BG134" s="130" t="n"/>
      <c r="BH134" s="178">
        <f>SUMPRODUCT(--(MOD(COLUMN($L134:$BG134),4)=MOD(COLUMN($L134),4)),$L134:$BG134)</f>
        <v/>
      </c>
      <c r="BI134" s="257">
        <f>Автовик_разбивка[[#This Row],[Цена, 
юань, без НДС 1]]*BH134</f>
        <v/>
      </c>
      <c r="BJ134" s="130">
        <f>SUMPRODUCT(--(MOD(COLUMN($L134:$BG134),4)=MOD(COLUMN($L134)+1,4)),$L134:$BG134)</f>
        <v/>
      </c>
      <c r="BK134" s="187">
        <f>Автовик_разбивка[[#This Row],[Цена, 
юань, без НДС 1]]*BJ134</f>
        <v/>
      </c>
      <c r="BL134" s="179">
        <f>SUMPRODUCT(--(MOD(COLUMN($L134:$BG134),4)=MOD(COLUMN($L134)+2,4)),$L134:$BG134)</f>
        <v/>
      </c>
      <c r="BM134" s="258">
        <f>Автовик_разбивка[[#This Row],[Цена, 
юань, без НДС 1]]*BL134</f>
        <v/>
      </c>
      <c r="BN134" s="178" t="n"/>
      <c r="BO134" s="184" t="n"/>
      <c r="BP134" s="130" t="n"/>
      <c r="BQ134" s="179" t="n"/>
      <c r="BR134" s="130" t="n"/>
      <c r="BS134" s="178" t="n"/>
      <c r="BT134" s="184" t="n"/>
      <c r="BU134" s="130" t="n"/>
      <c r="BV134" s="179" t="n"/>
      <c r="BW134" s="130" t="n"/>
      <c r="BX134" s="178" t="n"/>
      <c r="BY134" s="184" t="n"/>
      <c r="BZ134" s="130" t="n"/>
      <c r="CA134" s="179" t="n"/>
      <c r="CB134" s="130" t="n"/>
      <c r="CC134" s="178" t="n"/>
      <c r="CD134" s="184" t="n"/>
      <c r="CE134" s="130" t="n"/>
      <c r="CF134" s="179" t="n"/>
      <c r="CG134" s="130" t="n"/>
      <c r="CH134" s="178" t="n"/>
      <c r="CI134" s="184" t="n"/>
      <c r="CJ134" s="130" t="n"/>
      <c r="CK134" s="179" t="n"/>
      <c r="CL134" s="130" t="n"/>
      <c r="CM134" s="178" t="n"/>
      <c r="CN134" s="184" t="n"/>
      <c r="CO134" s="130" t="n"/>
      <c r="CP134" s="179" t="n"/>
      <c r="CQ134" s="130" t="n"/>
      <c r="CR134" s="178" t="n"/>
      <c r="CS134" s="184" t="n"/>
      <c r="CT134" s="130" t="n"/>
      <c r="CU134" s="179" t="n"/>
      <c r="CV134" s="130" t="n"/>
      <c r="CW134" s="178" t="n"/>
      <c r="CX134" s="184" t="n"/>
      <c r="CY134" s="130" t="n"/>
      <c r="CZ134" s="179" t="n"/>
      <c r="DA134" s="130" t="n"/>
      <c r="DB134" s="178" t="n"/>
      <c r="DC134" s="184" t="n"/>
      <c r="DD134" s="130" t="n"/>
      <c r="DE134" s="179" t="n"/>
      <c r="DF134" s="130" t="n"/>
      <c r="DG134" s="178" t="n"/>
      <c r="DH134" s="184" t="n"/>
      <c r="DI134" s="130" t="n"/>
      <c r="DJ134" s="179" t="n"/>
      <c r="DK134" s="130" t="n"/>
      <c r="DL134" s="178" t="n"/>
      <c r="DM134" s="184" t="n"/>
      <c r="DN134" s="130" t="n"/>
      <c r="DO134" s="179" t="n"/>
      <c r="DP134" s="130" t="n"/>
      <c r="DQ134" s="178" t="n"/>
      <c r="DR134" s="184" t="n"/>
      <c r="DS134" s="130" t="n"/>
      <c r="DT134" s="179" t="n"/>
      <c r="DU134" s="130" t="n"/>
      <c r="DV134" s="178">
        <f>SUMPRODUCT(--(MOD(COLUMN($BN134:$DU134),5)=MOD(COLUMN($BN134),5)),$BN134:$DU134)</f>
        <v/>
      </c>
      <c r="DW134" s="257">
        <f>Автовик_разбивка[[#This Row],[Цена, 
юань, без НДС 1]]*DV134</f>
        <v/>
      </c>
      <c r="DX134" s="259">
        <f>SUMPRODUCT(--(MOD(COLUMN($BN134:$DU134),5)=MOD(COLUMN($BN134)+1,5)),$BN134:$DU134)</f>
        <v/>
      </c>
      <c r="DY134" s="259">
        <f>Автовик_разбивка[[#This Row],[Цена, 
юань, без НДС 1]]*DX134</f>
        <v/>
      </c>
      <c r="DZ134" s="130">
        <f>SUMPRODUCT(--(MOD(COLUMN($BN134:$DU134),5)=MOD(COLUMN($BN134)+2,5)),$BN134:$DU134)</f>
        <v/>
      </c>
      <c r="EA134" s="187">
        <f>Автовик_разбивка[[#This Row],[Цена, 
юань, без НДС 1]]*DZ134</f>
        <v/>
      </c>
      <c r="EB134" s="179">
        <f>SUMPRODUCT(--(MOD(COLUMN($BN134:$DU134),5)=MOD(COLUMN($BN134)+3,5)),$BN134:$DU134)</f>
        <v/>
      </c>
      <c r="EC134" s="258">
        <f>Автовик_разбивка[[#This Row],[Цена, 
юань, без НДС 1]]*EB134</f>
        <v/>
      </c>
    </row>
    <row r="135">
      <c r="A135" s="256" t="n">
        <v>22</v>
      </c>
      <c r="B135" s="172" t="inlineStr">
        <is>
          <t>Хартунг</t>
        </is>
      </c>
      <c r="C135" s="132" t="n"/>
      <c r="D135" s="132" t="n"/>
      <c r="E135" s="229" t="n"/>
      <c r="F135" s="229" t="n"/>
      <c r="G135" s="229" t="n"/>
      <c r="H135" s="230" t="n"/>
      <c r="I135" s="231" t="inlineStr">
        <is>
          <t>Итого</t>
        </is>
      </c>
      <c r="J135" s="914" t="n"/>
      <c r="K135" s="914" t="n"/>
      <c r="L135" s="233" t="n"/>
      <c r="M135" s="234" t="n"/>
      <c r="N135" s="235" t="n"/>
      <c r="O135" s="234" t="n"/>
      <c r="P135" s="233" t="n"/>
      <c r="Q135" s="234" t="n"/>
      <c r="R135" s="235" t="n"/>
      <c r="S135" s="234" t="n"/>
      <c r="T135" s="233" t="n"/>
      <c r="U135" s="234" t="n"/>
      <c r="V135" s="235" t="n"/>
      <c r="W135" s="234" t="n"/>
      <c r="X135" s="233" t="n"/>
      <c r="Y135" s="234" t="n"/>
      <c r="Z135" s="235" t="n"/>
      <c r="AA135" s="234" t="n"/>
      <c r="AB135" s="233" t="n"/>
      <c r="AC135" s="234" t="n"/>
      <c r="AD135" s="235" t="n"/>
      <c r="AE135" s="234" t="n"/>
      <c r="AF135" s="233" t="n"/>
      <c r="AG135" s="234" t="n"/>
      <c r="AH135" s="235" t="n"/>
      <c r="AI135" s="234" t="n"/>
      <c r="AJ135" s="233" t="n"/>
      <c r="AK135" s="234" t="n"/>
      <c r="AL135" s="235" t="n"/>
      <c r="AM135" s="234" t="n"/>
      <c r="AN135" s="233" t="n"/>
      <c r="AO135" s="234" t="n"/>
      <c r="AP135" s="235" t="n"/>
      <c r="AQ135" s="234" t="n"/>
      <c r="AR135" s="233" t="n"/>
      <c r="AS135" s="234" t="n"/>
      <c r="AT135" s="235" t="n"/>
      <c r="AU135" s="234" t="n"/>
      <c r="AV135" s="233" t="n"/>
      <c r="AW135" s="234" t="n"/>
      <c r="AX135" s="235" t="n"/>
      <c r="AY135" s="234" t="n"/>
      <c r="AZ135" s="233" t="n"/>
      <c r="BA135" s="234" t="n"/>
      <c r="BB135" s="235" t="n"/>
      <c r="BC135" s="234" t="n"/>
      <c r="BD135" s="233" t="n"/>
      <c r="BE135" s="234" t="n"/>
      <c r="BF135" s="235" t="n"/>
      <c r="BG135" s="234" t="n"/>
      <c r="BH135" s="233">
        <f>SUMPRODUCT(--(MOD(COLUMN($L135:$BG135),4)=MOD(COLUMN($L135),4)),$L135:$BG135)</f>
        <v/>
      </c>
      <c r="BI135" s="238">
        <f>Автовик_разбивка[[#This Row],[Цена, 
юань, без НДС 1]]*BH135</f>
        <v/>
      </c>
      <c r="BJ135" s="234">
        <f>SUMPRODUCT(--(MOD(COLUMN($L135:$BG135),4)=MOD(COLUMN($L135)+1,4)),$L135:$BG135)</f>
        <v/>
      </c>
      <c r="BK135" s="253">
        <f>Автовик_разбивка[[#This Row],[Цена, 
юань, без НДС 1]]*BJ135</f>
        <v/>
      </c>
      <c r="BL135" s="235">
        <f>SUMPRODUCT(--(MOD(COLUMN($L135:$BG135),4)=MOD(COLUMN($L135)+2,4)),$L135:$BG135)</f>
        <v/>
      </c>
      <c r="BM135" s="254">
        <f>Автовик_разбивка[[#This Row],[Цена, 
юань, без НДС 1]]*BL135</f>
        <v/>
      </c>
      <c r="BN135" s="233" t="n"/>
      <c r="BO135" s="241" t="n"/>
      <c r="BP135" s="234" t="n"/>
      <c r="BQ135" s="235" t="n"/>
      <c r="BR135" s="234" t="n"/>
      <c r="BS135" s="233" t="n"/>
      <c r="BT135" s="241" t="n"/>
      <c r="BU135" s="234" t="n"/>
      <c r="BV135" s="235" t="n"/>
      <c r="BW135" s="234" t="n"/>
      <c r="BX135" s="233" t="n"/>
      <c r="BY135" s="241" t="n"/>
      <c r="BZ135" s="234" t="n"/>
      <c r="CA135" s="235" t="n"/>
      <c r="CB135" s="234" t="n"/>
      <c r="CC135" s="233" t="n"/>
      <c r="CD135" s="241" t="n"/>
      <c r="CE135" s="234" t="n"/>
      <c r="CF135" s="235" t="n"/>
      <c r="CG135" s="234" t="n"/>
      <c r="CH135" s="233" t="n"/>
      <c r="CI135" s="241" t="n"/>
      <c r="CJ135" s="234" t="n"/>
      <c r="CK135" s="235" t="n"/>
      <c r="CL135" s="234" t="n"/>
      <c r="CM135" s="233" t="n"/>
      <c r="CN135" s="241" t="n"/>
      <c r="CO135" s="234" t="n"/>
      <c r="CP135" s="235" t="n"/>
      <c r="CQ135" s="234" t="n"/>
      <c r="CR135" s="233" t="n"/>
      <c r="CS135" s="241" t="n"/>
      <c r="CT135" s="234" t="n"/>
      <c r="CU135" s="235" t="n"/>
      <c r="CV135" s="234" t="n"/>
      <c r="CW135" s="233" t="n"/>
      <c r="CX135" s="241" t="n"/>
      <c r="CY135" s="234" t="n"/>
      <c r="CZ135" s="235" t="n"/>
      <c r="DA135" s="234" t="n"/>
      <c r="DB135" s="233" t="n"/>
      <c r="DC135" s="241" t="n"/>
      <c r="DD135" s="234" t="n"/>
      <c r="DE135" s="235" t="n"/>
      <c r="DF135" s="234" t="n"/>
      <c r="DG135" s="233" t="n"/>
      <c r="DH135" s="241" t="n"/>
      <c r="DI135" s="234" t="n"/>
      <c r="DJ135" s="235" t="n"/>
      <c r="DK135" s="234" t="n"/>
      <c r="DL135" s="233" t="n"/>
      <c r="DM135" s="241" t="n"/>
      <c r="DN135" s="234" t="n"/>
      <c r="DO135" s="235" t="n"/>
      <c r="DP135" s="234" t="n"/>
      <c r="DQ135" s="233" t="n"/>
      <c r="DR135" s="241" t="n"/>
      <c r="DS135" s="234" t="n"/>
      <c r="DT135" s="235" t="n"/>
      <c r="DU135" s="234" t="n"/>
      <c r="DV135" s="233">
        <f>SUMPRODUCT(--(MOD(COLUMN($BN135:$DU135),5)=MOD(COLUMN($BN135),5)),$BN135:$DU135)</f>
        <v/>
      </c>
      <c r="DW135" s="238">
        <f>Автовик_разбивка[[#This Row],[Цена, 
юань, без НДС 1]]*DV135</f>
        <v/>
      </c>
      <c r="DX135" s="242">
        <f>SUMPRODUCT(--(MOD(COLUMN($BN135:$DU135),5)=MOD(COLUMN($BN135)+1,5)),$BN135:$DU135)</f>
        <v/>
      </c>
      <c r="DY135" s="242">
        <f>Автовик_разбивка[[#This Row],[Цена, 
юань, без НДС 1]]*DX135</f>
        <v/>
      </c>
      <c r="DZ135" s="234">
        <f>SUMPRODUCT(--(MOD(COLUMN($BN135:$DU135),5)=MOD(COLUMN($BN135)+2,5)),$BN135:$DU135)</f>
        <v/>
      </c>
      <c r="EA135" s="253">
        <f>Автовик_разбивка[[#This Row],[Цена, 
юань, без НДС 1]]*DZ135</f>
        <v/>
      </c>
      <c r="EB135" s="235">
        <f>SUMPRODUCT(--(MOD(COLUMN($BN135:$DU135),5)=MOD(COLUMN($BN135)+3,5)),$BN135:$DU135)</f>
        <v/>
      </c>
      <c r="EC135" s="254">
        <f>Автовик_разбивка[[#This Row],[Цена, 
юань, без НДС 1]]*EB135</f>
        <v/>
      </c>
    </row>
    <row r="136">
      <c r="A136" s="256" t="n">
        <v>22</v>
      </c>
      <c r="B136" s="243" t="inlineStr">
        <is>
          <t>Хартунг</t>
        </is>
      </c>
      <c r="C136" s="244" t="n"/>
      <c r="D136" s="244" t="n"/>
      <c r="E136" s="245" t="n"/>
      <c r="F136" s="245" t="n"/>
      <c r="G136" s="245" t="n"/>
      <c r="H136" s="246" t="n"/>
      <c r="I136" s="247" t="n"/>
      <c r="J136" s="915" t="n"/>
      <c r="K136" s="915" t="n"/>
      <c r="L136" s="249" t="n"/>
      <c r="M136" s="249" t="n"/>
      <c r="N136" s="249" t="n"/>
      <c r="O136" s="249" t="n"/>
      <c r="P136" s="249" t="n"/>
      <c r="Q136" s="249" t="n"/>
      <c r="R136" s="249" t="n"/>
      <c r="S136" s="249" t="n"/>
      <c r="T136" s="249" t="n"/>
      <c r="U136" s="249" t="n"/>
      <c r="V136" s="249" t="n"/>
      <c r="W136" s="249" t="n"/>
      <c r="X136" s="249" t="n"/>
      <c r="Y136" s="249" t="n"/>
      <c r="Z136" s="249" t="n"/>
      <c r="AA136" s="249" t="n"/>
      <c r="AB136" s="249" t="n"/>
      <c r="AC136" s="249" t="n"/>
      <c r="AD136" s="249" t="n"/>
      <c r="AE136" s="249" t="n"/>
      <c r="AF136" s="249" t="n"/>
      <c r="AG136" s="249" t="n"/>
      <c r="AH136" s="249" t="n"/>
      <c r="AI136" s="249" t="n"/>
      <c r="AJ136" s="249" t="n"/>
      <c r="AK136" s="249" t="n"/>
      <c r="AL136" s="249" t="n"/>
      <c r="AM136" s="249" t="n"/>
      <c r="AN136" s="249" t="n"/>
      <c r="AO136" s="249" t="n"/>
      <c r="AP136" s="249" t="n"/>
      <c r="AQ136" s="249" t="n"/>
      <c r="AR136" s="249" t="n"/>
      <c r="AS136" s="249" t="n"/>
      <c r="AT136" s="249" t="n"/>
      <c r="AU136" s="249" t="n"/>
      <c r="AV136" s="249" t="n"/>
      <c r="AW136" s="249" t="n"/>
      <c r="AX136" s="250" t="n"/>
      <c r="AY136" s="249" t="n"/>
      <c r="AZ136" s="250" t="n"/>
      <c r="BA136" s="250" t="n"/>
      <c r="BB136" s="250" t="n"/>
      <c r="BC136" s="249" t="n"/>
      <c r="BD136" s="250" t="n"/>
      <c r="BE136" s="250" t="n"/>
      <c r="BF136" s="250" t="n"/>
      <c r="BG136" s="249" t="n"/>
      <c r="BH136" s="250">
        <f>SUMPRODUCT(--(MOD(COLUMN($L136:$BG136),4)=MOD(COLUMN($L136),4)),$L136:$BG136)</f>
        <v/>
      </c>
      <c r="BI136" s="251">
        <f>Автовик_разбивка[[#This Row],[Цена, 
юань, без НДС 1]]*BH136</f>
        <v/>
      </c>
      <c r="BJ136" s="250">
        <f>SUMPRODUCT(--(MOD(COLUMN($L136:$BG136),4)=MOD(COLUMN($L136)+1,4)),$L136:$BG136)</f>
        <v/>
      </c>
      <c r="BK136" s="251">
        <f>Автовик_разбивка[[#This Row],[Цена, 
юань, без НДС 1]]*BJ136</f>
        <v/>
      </c>
      <c r="BL136" s="250">
        <f>SUMPRODUCT(--(MOD(COLUMN($L136:$BG136),4)=MOD(COLUMN($L136)+2,4)),$L136:$BG136)</f>
        <v/>
      </c>
      <c r="BM136" s="251">
        <f>Автовик_разбивка[[#This Row],[Цена, 
юань, без НДС 1]]*BL136</f>
        <v/>
      </c>
      <c r="BN136" s="249" t="n"/>
      <c r="BO136" s="249" t="n"/>
      <c r="BP136" s="249" t="n"/>
      <c r="BQ136" s="249" t="n"/>
      <c r="BR136" s="249" t="n"/>
      <c r="BS136" s="249" t="n"/>
      <c r="BT136" s="249" t="n"/>
      <c r="BU136" s="249" t="n"/>
      <c r="BV136" s="249" t="n"/>
      <c r="BW136" s="249" t="n"/>
      <c r="BX136" s="249" t="n"/>
      <c r="BY136" s="249" t="n"/>
      <c r="BZ136" s="249" t="n"/>
      <c r="CA136" s="249" t="n"/>
      <c r="CB136" s="249" t="n"/>
      <c r="CC136" s="249" t="n"/>
      <c r="CD136" s="249" t="n"/>
      <c r="CE136" s="249" t="n"/>
      <c r="CF136" s="249" t="n"/>
      <c r="CG136" s="249" t="n"/>
      <c r="CH136" s="249" t="n"/>
      <c r="CI136" s="249" t="n"/>
      <c r="CJ136" s="249" t="n"/>
      <c r="CK136" s="249" t="n"/>
      <c r="CL136" s="249" t="n"/>
      <c r="CM136" s="249" t="n"/>
      <c r="CN136" s="249" t="n"/>
      <c r="CO136" s="249" t="n"/>
      <c r="CP136" s="249" t="n"/>
      <c r="CQ136" s="249" t="n"/>
      <c r="CR136" s="249" t="n"/>
      <c r="CS136" s="249" t="n"/>
      <c r="CT136" s="249" t="n"/>
      <c r="CU136" s="249" t="n"/>
      <c r="CV136" s="249" t="n"/>
      <c r="CW136" s="249" t="n"/>
      <c r="CX136" s="249" t="n"/>
      <c r="CY136" s="249" t="n"/>
      <c r="CZ136" s="249" t="n"/>
      <c r="DA136" s="249" t="n"/>
      <c r="DB136" s="249" t="n"/>
      <c r="DC136" s="249" t="n"/>
      <c r="DD136" s="249" t="n"/>
      <c r="DE136" s="249" t="n"/>
      <c r="DF136" s="249" t="n"/>
      <c r="DG136" s="249" t="n"/>
      <c r="DH136" s="249" t="n"/>
      <c r="DI136" s="249" t="n"/>
      <c r="DJ136" s="250" t="n"/>
      <c r="DK136" s="249" t="n"/>
      <c r="DL136" s="250" t="n"/>
      <c r="DM136" s="250" t="n"/>
      <c r="DN136" s="250" t="n"/>
      <c r="DO136" s="250" t="n"/>
      <c r="DP136" s="249" t="n"/>
      <c r="DQ136" s="250" t="n"/>
      <c r="DR136" s="250" t="n"/>
      <c r="DS136" s="250" t="n"/>
      <c r="DT136" s="250" t="n"/>
      <c r="DU136" s="249" t="n"/>
      <c r="DV136" s="250">
        <f>SUMPRODUCT(--(MOD(COLUMN($BN136:$DU136),5)=MOD(COLUMN($BN136),5)),$BN136:$DU136)</f>
        <v/>
      </c>
      <c r="DW136" s="251">
        <f>Автовик_разбивка[[#This Row],[Цена, 
юань, без НДС 1]]*DV136</f>
        <v/>
      </c>
      <c r="DX136" s="251">
        <f>SUMPRODUCT(--(MOD(COLUMN($BN136:$DU136),5)=MOD(COLUMN($BN136)+1,5)),$BN136:$DU136)</f>
        <v/>
      </c>
      <c r="DY136" s="251">
        <f>Автовик_разбивка[[#This Row],[Цена, 
юань, без НДС 1]]*DX136</f>
        <v/>
      </c>
      <c r="DZ136" s="250">
        <f>SUMPRODUCT(--(MOD(COLUMN($BN136:$DU136),5)=MOD(COLUMN($BN136)+2,5)),$BN136:$DU136)</f>
        <v/>
      </c>
      <c r="EA136" s="251">
        <f>Автовик_разбивка[[#This Row],[Цена, 
юань, без НДС 1]]*DZ136</f>
        <v/>
      </c>
      <c r="EB136" s="250">
        <f>SUMPRODUCT(--(MOD(COLUMN($BN136:$DU136),5)=MOD(COLUMN($BN136)+3,5)),$BN136:$DU136)</f>
        <v/>
      </c>
      <c r="EC136" s="251">
        <f>Автовик_разбивка[[#This Row],[Цена, 
юань, без НДС 1]]*EB136</f>
        <v/>
      </c>
    </row>
    <row r="137">
      <c r="A137" s="256" t="n">
        <v>22</v>
      </c>
      <c r="B137" s="172" t="inlineStr">
        <is>
          <t>ЧКПЗ</t>
        </is>
      </c>
      <c r="C137" s="173" t="inlineStr">
        <is>
          <t>TEBS</t>
        </is>
      </c>
      <c r="D137" s="173" t="inlineStr">
        <is>
          <t>TEBS 2s/2m 
15м</t>
        </is>
      </c>
      <c r="E137" s="174" t="n">
        <v>1</v>
      </c>
      <c r="F137" s="174" t="n"/>
      <c r="G137" s="174" t="n"/>
      <c r="H137" s="175" t="n">
        <v>4334010030</v>
      </c>
      <c r="I137" s="176" t="inlineStr">
        <is>
          <t>Упругий элемент</t>
        </is>
      </c>
      <c r="J137" s="911" t="n"/>
      <c r="K137" s="913" t="n"/>
      <c r="L137" s="178" t="n"/>
      <c r="M137" s="130" t="n"/>
      <c r="N137" s="179" t="n"/>
      <c r="O137" s="130" t="n"/>
      <c r="P137" s="178" t="n"/>
      <c r="Q137" s="130" t="n"/>
      <c r="R137" s="179" t="n"/>
      <c r="S137" s="130" t="n"/>
      <c r="T137" s="178" t="n"/>
      <c r="U137" s="130" t="n"/>
      <c r="V137" s="179" t="n"/>
      <c r="W137" s="130" t="n"/>
      <c r="X137" s="178" t="n"/>
      <c r="Y137" s="130" t="n"/>
      <c r="Z137" s="179" t="n"/>
      <c r="AA137" s="130" t="n"/>
      <c r="AB137" s="178" t="n"/>
      <c r="AC137" s="130" t="n"/>
      <c r="AD137" s="109" t="n"/>
      <c r="AE137" s="252" t="n"/>
      <c r="AF137" s="178" t="n"/>
      <c r="AG137" s="130" t="n"/>
      <c r="AH137" s="109" t="n"/>
      <c r="AI137" s="252" t="n"/>
      <c r="AJ137" s="178" t="n"/>
      <c r="AK137" s="130" t="n"/>
      <c r="AL137" s="109" t="n"/>
      <c r="AM137" s="252" t="n"/>
      <c r="AN137" s="178" t="n"/>
      <c r="AO137" s="130" t="n"/>
      <c r="AP137" s="109" t="n"/>
      <c r="AQ137" s="252" t="n"/>
      <c r="AR137" s="178" t="n"/>
      <c r="AS137" s="130" t="n"/>
      <c r="AT137" s="109" t="n"/>
      <c r="AU137" s="252" t="n"/>
      <c r="AV137" s="178" t="n"/>
      <c r="AW137" s="130">
        <f>$E137*5</f>
        <v/>
      </c>
      <c r="AX137" s="109" t="n"/>
      <c r="AY137" s="252" t="n"/>
      <c r="AZ137" s="178" t="n"/>
      <c r="BA137" s="130" t="n"/>
      <c r="BB137" s="194" t="n"/>
      <c r="BC137" s="252" t="n"/>
      <c r="BD137" s="178" t="n"/>
      <c r="BE137" s="130" t="n"/>
      <c r="BF137" s="109" t="n"/>
      <c r="BG137" s="252" t="n"/>
      <c r="BH137" s="180">
        <f>SUMPRODUCT(--(MOD(COLUMN($L137:$BG137),4)=MOD(COLUMN($L137),4)),$L137:$BG137)</f>
        <v/>
      </c>
      <c r="BI137" s="181">
        <f>Автовик_разбивка[[#This Row],[Цена, 
юань, без НДС 1]]*BH137</f>
        <v/>
      </c>
      <c r="BJ137" s="130">
        <f>SUMPRODUCT(--(MOD(COLUMN($L137:$BG137),4)=MOD(COLUMN($L137)+1,4)),$L137:$BG137)</f>
        <v/>
      </c>
      <c r="BK137" s="187">
        <f>Автовик_разбивка[[#This Row],[Цена, 
юань, без НДС 1]]*BJ137</f>
        <v/>
      </c>
      <c r="BL137" s="109">
        <f>SUMPRODUCT(--(MOD(COLUMN($L137:$BG137),4)=MOD(COLUMN($L137)+2,4)),$L137:$BG137)</f>
        <v/>
      </c>
      <c r="BM137" s="224">
        <f>Автовик_разбивка[[#This Row],[Цена, 
юань, без НДС 1]]*BL137</f>
        <v/>
      </c>
      <c r="BN137" s="178" t="n"/>
      <c r="BO137" s="184" t="n"/>
      <c r="BP137" s="130" t="n"/>
      <c r="BQ137" s="179" t="n"/>
      <c r="BR137" s="130" t="n"/>
      <c r="BS137" s="178" t="n"/>
      <c r="BT137" s="184" t="n"/>
      <c r="BU137" s="130" t="n"/>
      <c r="BV137" s="179" t="n"/>
      <c r="BW137" s="130" t="n"/>
      <c r="BX137" s="178" t="n"/>
      <c r="BY137" s="184" t="n"/>
      <c r="BZ137" s="130" t="n"/>
      <c r="CA137" s="179" t="n"/>
      <c r="CB137" s="130" t="n"/>
      <c r="CC137" s="178" t="n"/>
      <c r="CD137" s="184" t="n"/>
      <c r="CE137" s="130" t="n"/>
      <c r="CF137" s="179" t="n"/>
      <c r="CG137" s="130" t="n"/>
      <c r="CH137" s="178" t="n"/>
      <c r="CI137" s="184" t="n"/>
      <c r="CJ137" s="130" t="n"/>
      <c r="CK137" s="109" t="n"/>
      <c r="CL137" s="252" t="n"/>
      <c r="CM137" s="178" t="n"/>
      <c r="CN137" s="184" t="n"/>
      <c r="CO137" s="130" t="n"/>
      <c r="CP137" s="109" t="n"/>
      <c r="CQ137" s="252" t="n"/>
      <c r="CR137" s="178" t="n"/>
      <c r="CS137" s="184" t="n"/>
      <c r="CT137" s="130" t="n"/>
      <c r="CU137" s="109" t="n"/>
      <c r="CV137" s="252" t="n"/>
      <c r="CW137" s="178" t="n"/>
      <c r="CX137" s="184" t="n"/>
      <c r="CY137" s="130" t="n"/>
      <c r="CZ137" s="109" t="n"/>
      <c r="DA137" s="252" t="n"/>
      <c r="DB137" s="178" t="n"/>
      <c r="DC137" s="184" t="n"/>
      <c r="DD137" s="130" t="n"/>
      <c r="DE137" s="109" t="n"/>
      <c r="DF137" s="252" t="n"/>
      <c r="DG137" s="178" t="n"/>
      <c r="DH137" s="184" t="n"/>
      <c r="DI137" s="130" t="n"/>
      <c r="DJ137" s="109" t="n"/>
      <c r="DK137" s="252" t="n"/>
      <c r="DL137" s="178" t="n"/>
      <c r="DM137" s="184" t="n"/>
      <c r="DN137" s="130" t="n"/>
      <c r="DO137" s="194" t="n"/>
      <c r="DP137" s="252" t="n"/>
      <c r="DQ137" s="178" t="n"/>
      <c r="DR137" s="184" t="n"/>
      <c r="DS137" s="130" t="n"/>
      <c r="DT137" s="109" t="n"/>
      <c r="DU137" s="252" t="n"/>
      <c r="DV137" s="180">
        <f>SUMPRODUCT(--(MOD(COLUMN($BN137:$DU137),5)=MOD(COLUMN($BN137),5)),$BN137:$DU137)</f>
        <v/>
      </c>
      <c r="DW137" s="181">
        <f>Автовик_разбивка[[#This Row],[Цена, 
юань, без НДС 1]]*DV137</f>
        <v/>
      </c>
      <c r="DX137" s="186">
        <f>SUMPRODUCT(--(MOD(COLUMN($BN137:$DU137),5)=MOD(COLUMN($BN137)+1,5)),$BN137:$DU137)</f>
        <v/>
      </c>
      <c r="DY137" s="186">
        <f>Автовик_разбивка[[#This Row],[Цена, 
юань, без НДС 1]]*DX137</f>
        <v/>
      </c>
      <c r="DZ137" s="130">
        <f>SUMPRODUCT(--(MOD(COLUMN($BN137:$DU137),5)=MOD(COLUMN($BN137)+2,5)),$BN137:$DU137)</f>
        <v/>
      </c>
      <c r="EA137" s="187">
        <f>Автовик_разбивка[[#This Row],[Цена, 
юань, без НДС 1]]*DZ137</f>
        <v/>
      </c>
      <c r="EB137" s="109">
        <f>SUMPRODUCT(--(MOD(COLUMN($BN137:$DU137),5)=MOD(COLUMN($BN137)+3,5)),$BN137:$DU137)</f>
        <v/>
      </c>
      <c r="EC137" s="224">
        <f>Автовик_разбивка[[#This Row],[Цена, 
юань, без НДС 1]]*EB137</f>
        <v/>
      </c>
    </row>
    <row r="138">
      <c r="A138" s="256" t="n">
        <v>22</v>
      </c>
      <c r="B138" s="172" t="inlineStr">
        <is>
          <t>ЧКПЗ</t>
        </is>
      </c>
      <c r="C138" s="173" t="inlineStr">
        <is>
          <t>TEBS</t>
        </is>
      </c>
      <c r="D138" s="173" t="inlineStr">
        <is>
          <t>TEBS 2s/2m 
15м</t>
        </is>
      </c>
      <c r="E138" s="174" t="n">
        <v>1</v>
      </c>
      <c r="F138" s="174" t="n"/>
      <c r="G138" s="174" t="n"/>
      <c r="H138" s="175" t="n">
        <v>4491731500</v>
      </c>
      <c r="I138" s="176" t="inlineStr">
        <is>
          <t>Кабель питания, 15 м</t>
        </is>
      </c>
      <c r="J138" s="911" t="n"/>
      <c r="K138" s="913" t="n"/>
      <c r="L138" s="178" t="n"/>
      <c r="M138" s="130" t="n"/>
      <c r="N138" s="179" t="n"/>
      <c r="O138" s="130" t="n"/>
      <c r="P138" s="178" t="n"/>
      <c r="Q138" s="130" t="n"/>
      <c r="R138" s="179" t="n"/>
      <c r="S138" s="130" t="n"/>
      <c r="T138" s="178" t="n"/>
      <c r="U138" s="130" t="n"/>
      <c r="V138" s="179" t="n"/>
      <c r="W138" s="130" t="n"/>
      <c r="X138" s="178" t="n"/>
      <c r="Y138" s="130" t="n"/>
      <c r="Z138" s="179" t="n"/>
      <c r="AA138" s="130" t="n"/>
      <c r="AB138" s="178" t="n"/>
      <c r="AC138" s="130" t="n"/>
      <c r="AD138" s="109" t="n"/>
      <c r="AE138" s="252" t="n"/>
      <c r="AF138" s="178" t="n"/>
      <c r="AG138" s="130" t="n"/>
      <c r="AH138" s="109" t="n"/>
      <c r="AI138" s="252" t="n"/>
      <c r="AJ138" s="178" t="n"/>
      <c r="AK138" s="130" t="n"/>
      <c r="AL138" s="109" t="n"/>
      <c r="AM138" s="252" t="n"/>
      <c r="AN138" s="178" t="n"/>
      <c r="AO138" s="130" t="n"/>
      <c r="AP138" s="109" t="n"/>
      <c r="AQ138" s="252" t="n"/>
      <c r="AR138" s="178" t="n"/>
      <c r="AS138" s="130" t="n"/>
      <c r="AT138" s="109" t="n"/>
      <c r="AU138" s="252" t="n"/>
      <c r="AV138" s="178" t="n"/>
      <c r="AW138" s="130">
        <f>$E138*5</f>
        <v/>
      </c>
      <c r="AX138" s="109" t="n"/>
      <c r="AY138" s="252" t="n"/>
      <c r="AZ138" s="178" t="n"/>
      <c r="BA138" s="130" t="n"/>
      <c r="BB138" s="194" t="n"/>
      <c r="BC138" s="252" t="n"/>
      <c r="BD138" s="178" t="n"/>
      <c r="BE138" s="130" t="n"/>
      <c r="BF138" s="109" t="n"/>
      <c r="BG138" s="252" t="n"/>
      <c r="BH138" s="180">
        <f>SUMPRODUCT(--(MOD(COLUMN($L138:$BG138),4)=MOD(COLUMN($L138),4)),$L138:$BG138)</f>
        <v/>
      </c>
      <c r="BI138" s="181">
        <f>Автовик_разбивка[[#This Row],[Цена, 
юань, без НДС 1]]*BH138</f>
        <v/>
      </c>
      <c r="BJ138" s="130">
        <f>SUMPRODUCT(--(MOD(COLUMN($L138:$BG138),4)=MOD(COLUMN($L138)+1,4)),$L138:$BG138)</f>
        <v/>
      </c>
      <c r="BK138" s="187">
        <f>Автовик_разбивка[[#This Row],[Цена, 
юань, без НДС 1]]*BJ138</f>
        <v/>
      </c>
      <c r="BL138" s="109">
        <f>SUMPRODUCT(--(MOD(COLUMN($L138:$BG138),4)=MOD(COLUMN($L138)+2,4)),$L138:$BG138)</f>
        <v/>
      </c>
      <c r="BM138" s="224">
        <f>Автовик_разбивка[[#This Row],[Цена, 
юань, без НДС 1]]*BL138</f>
        <v/>
      </c>
      <c r="BN138" s="178" t="n"/>
      <c r="BO138" s="184" t="n"/>
      <c r="BP138" s="130" t="n"/>
      <c r="BQ138" s="179" t="n"/>
      <c r="BR138" s="130" t="n"/>
      <c r="BS138" s="178" t="n"/>
      <c r="BT138" s="184" t="n"/>
      <c r="BU138" s="130" t="n"/>
      <c r="BV138" s="179" t="n"/>
      <c r="BW138" s="130" t="n"/>
      <c r="BX138" s="178" t="n"/>
      <c r="BY138" s="184" t="n"/>
      <c r="BZ138" s="130" t="n"/>
      <c r="CA138" s="179" t="n"/>
      <c r="CB138" s="130" t="n"/>
      <c r="CC138" s="178" t="n"/>
      <c r="CD138" s="184" t="n"/>
      <c r="CE138" s="130" t="n"/>
      <c r="CF138" s="179" t="n"/>
      <c r="CG138" s="130" t="n"/>
      <c r="CH138" s="178" t="n"/>
      <c r="CI138" s="184" t="n"/>
      <c r="CJ138" s="130" t="n"/>
      <c r="CK138" s="109" t="n"/>
      <c r="CL138" s="252" t="n"/>
      <c r="CM138" s="178" t="n"/>
      <c r="CN138" s="184" t="n"/>
      <c r="CO138" s="130" t="n"/>
      <c r="CP138" s="109" t="n"/>
      <c r="CQ138" s="252" t="n"/>
      <c r="CR138" s="178" t="n"/>
      <c r="CS138" s="184" t="n"/>
      <c r="CT138" s="130" t="n"/>
      <c r="CU138" s="109" t="n"/>
      <c r="CV138" s="252" t="n"/>
      <c r="CW138" s="178" t="n"/>
      <c r="CX138" s="184" t="n"/>
      <c r="CY138" s="130" t="n"/>
      <c r="CZ138" s="109" t="n"/>
      <c r="DA138" s="252" t="n"/>
      <c r="DB138" s="178" t="n"/>
      <c r="DC138" s="184" t="n"/>
      <c r="DD138" s="130" t="n"/>
      <c r="DE138" s="109" t="n"/>
      <c r="DF138" s="252" t="n"/>
      <c r="DG138" s="178" t="n"/>
      <c r="DH138" s="184" t="n"/>
      <c r="DI138" s="130" t="n"/>
      <c r="DJ138" s="109" t="n"/>
      <c r="DK138" s="252" t="n"/>
      <c r="DL138" s="178" t="n"/>
      <c r="DM138" s="184" t="n"/>
      <c r="DN138" s="130" t="n"/>
      <c r="DO138" s="194" t="n"/>
      <c r="DP138" s="252" t="n"/>
      <c r="DQ138" s="178" t="n"/>
      <c r="DR138" s="184" t="n"/>
      <c r="DS138" s="130" t="n"/>
      <c r="DT138" s="109" t="n"/>
      <c r="DU138" s="252" t="n"/>
      <c r="DV138" s="180">
        <f>SUMPRODUCT(--(MOD(COLUMN($BN138:$DU138),5)=MOD(COLUMN($BN138),5)),$BN138:$DU138)</f>
        <v/>
      </c>
      <c r="DW138" s="181">
        <f>Автовик_разбивка[[#This Row],[Цена, 
юань, без НДС 1]]*DV138</f>
        <v/>
      </c>
      <c r="DX138" s="186">
        <f>SUMPRODUCT(--(MOD(COLUMN($BN138:$DU138),5)=MOD(COLUMN($BN138)+1,5)),$BN138:$DU138)</f>
        <v/>
      </c>
      <c r="DY138" s="186">
        <f>Автовик_разбивка[[#This Row],[Цена, 
юань, без НДС 1]]*DX138</f>
        <v/>
      </c>
      <c r="DZ138" s="130">
        <f>SUMPRODUCT(--(MOD(COLUMN($BN138:$DU138),5)=MOD(COLUMN($BN138)+2,5)),$BN138:$DU138)</f>
        <v/>
      </c>
      <c r="EA138" s="187">
        <f>Автовик_разбивка[[#This Row],[Цена, 
юань, без НДС 1]]*DZ138</f>
        <v/>
      </c>
      <c r="EB138" s="109">
        <f>SUMPRODUCT(--(MOD(COLUMN($BN138:$DU138),5)=MOD(COLUMN($BN138)+3,5)),$BN138:$DU138)</f>
        <v/>
      </c>
      <c r="EC138" s="224">
        <f>Автовик_разбивка[[#This Row],[Цена, 
юань, без НДС 1]]*EB138</f>
        <v/>
      </c>
    </row>
    <row r="139">
      <c r="A139" s="256" t="n">
        <v>22</v>
      </c>
      <c r="B139" s="172" t="inlineStr">
        <is>
          <t>ЧКПЗ</t>
        </is>
      </c>
      <c r="C139" s="173" t="inlineStr">
        <is>
          <t>TEBS</t>
        </is>
      </c>
      <c r="D139" s="173" t="inlineStr">
        <is>
          <t>TEBS 2s/2m 
15м</t>
        </is>
      </c>
      <c r="E139" s="174" t="n">
        <v>2</v>
      </c>
      <c r="F139" s="174" t="n"/>
      <c r="G139" s="174" t="n"/>
      <c r="H139" s="175" t="n">
        <v>4497230500</v>
      </c>
      <c r="I139" s="176" t="inlineStr">
        <is>
          <t>Кабель датчика, 5 м</t>
        </is>
      </c>
      <c r="J139" s="911" t="n"/>
      <c r="K139" s="913" t="n"/>
      <c r="L139" s="178" t="n"/>
      <c r="M139" s="130" t="n"/>
      <c r="N139" s="179" t="n"/>
      <c r="O139" s="130" t="n"/>
      <c r="P139" s="178" t="n"/>
      <c r="Q139" s="130" t="n"/>
      <c r="R139" s="179" t="n"/>
      <c r="S139" s="130" t="n"/>
      <c r="T139" s="178" t="n"/>
      <c r="U139" s="130" t="n"/>
      <c r="V139" s="179" t="n"/>
      <c r="W139" s="130" t="n"/>
      <c r="X139" s="178" t="n"/>
      <c r="Y139" s="130" t="n"/>
      <c r="Z139" s="179" t="n"/>
      <c r="AA139" s="130" t="n"/>
      <c r="AB139" s="178" t="n"/>
      <c r="AC139" s="130" t="n"/>
      <c r="AD139" s="109" t="n"/>
      <c r="AE139" s="252" t="n"/>
      <c r="AF139" s="178" t="n"/>
      <c r="AG139" s="130" t="n"/>
      <c r="AH139" s="109" t="n"/>
      <c r="AI139" s="252" t="n"/>
      <c r="AJ139" s="178" t="n"/>
      <c r="AK139" s="130" t="n"/>
      <c r="AL139" s="109" t="n"/>
      <c r="AM139" s="252" t="n"/>
      <c r="AN139" s="178" t="n"/>
      <c r="AO139" s="130" t="n"/>
      <c r="AP139" s="109" t="n"/>
      <c r="AQ139" s="252" t="n"/>
      <c r="AR139" s="178" t="n"/>
      <c r="AS139" s="130" t="n"/>
      <c r="AT139" s="109" t="n"/>
      <c r="AU139" s="252" t="n"/>
      <c r="AV139" s="178" t="n"/>
      <c r="AW139" s="130">
        <f>$E139*5</f>
        <v/>
      </c>
      <c r="AX139" s="109" t="n"/>
      <c r="AY139" s="252" t="n"/>
      <c r="AZ139" s="178" t="n"/>
      <c r="BA139" s="130" t="n"/>
      <c r="BB139" s="194" t="n"/>
      <c r="BC139" s="252" t="n"/>
      <c r="BD139" s="178" t="n"/>
      <c r="BE139" s="130" t="n"/>
      <c r="BF139" s="109" t="n"/>
      <c r="BG139" s="252" t="n"/>
      <c r="BH139" s="180">
        <f>SUMPRODUCT(--(MOD(COLUMN($L139:$BG139),4)=MOD(COLUMN($L139),4)),$L139:$BG139)</f>
        <v/>
      </c>
      <c r="BI139" s="181">
        <f>Автовик_разбивка[[#This Row],[Цена, 
юань, без НДС 1]]*BH139</f>
        <v/>
      </c>
      <c r="BJ139" s="130">
        <f>SUMPRODUCT(--(MOD(COLUMN($L139:$BG139),4)=MOD(COLUMN($L139)+1,4)),$L139:$BG139)</f>
        <v/>
      </c>
      <c r="BK139" s="187">
        <f>Автовик_разбивка[[#This Row],[Цена, 
юань, без НДС 1]]*BJ139</f>
        <v/>
      </c>
      <c r="BL139" s="109">
        <f>SUMPRODUCT(--(MOD(COLUMN($L139:$BG139),4)=MOD(COLUMN($L139)+2,4)),$L139:$BG139)</f>
        <v/>
      </c>
      <c r="BM139" s="224">
        <f>Автовик_разбивка[[#This Row],[Цена, 
юань, без НДС 1]]*BL139</f>
        <v/>
      </c>
      <c r="BN139" s="178" t="n"/>
      <c r="BO139" s="184" t="n"/>
      <c r="BP139" s="130" t="n"/>
      <c r="BQ139" s="179" t="n"/>
      <c r="BR139" s="130" t="n"/>
      <c r="BS139" s="178" t="n"/>
      <c r="BT139" s="184" t="n"/>
      <c r="BU139" s="130" t="n"/>
      <c r="BV139" s="179" t="n"/>
      <c r="BW139" s="130" t="n"/>
      <c r="BX139" s="178" t="n"/>
      <c r="BY139" s="184" t="n"/>
      <c r="BZ139" s="130" t="n"/>
      <c r="CA139" s="179" t="n"/>
      <c r="CB139" s="130" t="n"/>
      <c r="CC139" s="178" t="n"/>
      <c r="CD139" s="184" t="n"/>
      <c r="CE139" s="130" t="n"/>
      <c r="CF139" s="179" t="n"/>
      <c r="CG139" s="130" t="n"/>
      <c r="CH139" s="178" t="n"/>
      <c r="CI139" s="184" t="n"/>
      <c r="CJ139" s="130" t="n"/>
      <c r="CK139" s="109" t="n"/>
      <c r="CL139" s="252" t="n"/>
      <c r="CM139" s="178" t="n"/>
      <c r="CN139" s="184" t="n"/>
      <c r="CO139" s="130" t="n"/>
      <c r="CP139" s="109" t="n"/>
      <c r="CQ139" s="252" t="n"/>
      <c r="CR139" s="178" t="n"/>
      <c r="CS139" s="184" t="n"/>
      <c r="CT139" s="130" t="n"/>
      <c r="CU139" s="109" t="n"/>
      <c r="CV139" s="252" t="n"/>
      <c r="CW139" s="178" t="n"/>
      <c r="CX139" s="184" t="n"/>
      <c r="CY139" s="130" t="n"/>
      <c r="CZ139" s="109" t="n"/>
      <c r="DA139" s="252" t="n"/>
      <c r="DB139" s="178" t="n"/>
      <c r="DC139" s="184" t="n"/>
      <c r="DD139" s="130" t="n"/>
      <c r="DE139" s="109" t="n"/>
      <c r="DF139" s="252" t="n"/>
      <c r="DG139" s="178" t="n"/>
      <c r="DH139" s="184" t="n"/>
      <c r="DI139" s="130" t="n"/>
      <c r="DJ139" s="109" t="n"/>
      <c r="DK139" s="252" t="n"/>
      <c r="DL139" s="178" t="n"/>
      <c r="DM139" s="184" t="n"/>
      <c r="DN139" s="130" t="n"/>
      <c r="DO139" s="194" t="n"/>
      <c r="DP139" s="252" t="n"/>
      <c r="DQ139" s="178" t="n"/>
      <c r="DR139" s="184" t="n"/>
      <c r="DS139" s="130" t="n"/>
      <c r="DT139" s="109" t="n"/>
      <c r="DU139" s="252" t="n"/>
      <c r="DV139" s="180">
        <f>SUMPRODUCT(--(MOD(COLUMN($BN139:$DU139),5)=MOD(COLUMN($BN139),5)),$BN139:$DU139)</f>
        <v/>
      </c>
      <c r="DW139" s="181">
        <f>Автовик_разбивка[[#This Row],[Цена, 
юань, без НДС 1]]*DV139</f>
        <v/>
      </c>
      <c r="DX139" s="186">
        <f>SUMPRODUCT(--(MOD(COLUMN($BN139:$DU139),5)=MOD(COLUMN($BN139)+1,5)),$BN139:$DU139)</f>
        <v/>
      </c>
      <c r="DY139" s="186">
        <f>Автовик_разбивка[[#This Row],[Цена, 
юань, без НДС 1]]*DX139</f>
        <v/>
      </c>
      <c r="DZ139" s="130">
        <f>SUMPRODUCT(--(MOD(COLUMN($BN139:$DU139),5)=MOD(COLUMN($BN139)+2,5)),$BN139:$DU139)</f>
        <v/>
      </c>
      <c r="EA139" s="187">
        <f>Автовик_разбивка[[#This Row],[Цена, 
юань, без НДС 1]]*DZ139</f>
        <v/>
      </c>
      <c r="EB139" s="109">
        <f>SUMPRODUCT(--(MOD(COLUMN($BN139:$DU139),5)=MOD(COLUMN($BN139)+3,5)),$BN139:$DU139)</f>
        <v/>
      </c>
      <c r="EC139" s="224">
        <f>Автовик_разбивка[[#This Row],[Цена, 
юань, без НДС 1]]*EB139</f>
        <v/>
      </c>
    </row>
    <row r="140">
      <c r="A140" s="256" t="n">
        <v>22</v>
      </c>
      <c r="B140" s="172" t="inlineStr">
        <is>
          <t>ЧКПЗ</t>
        </is>
      </c>
      <c r="C140" s="173" t="inlineStr">
        <is>
          <t>TEBS</t>
        </is>
      </c>
      <c r="D140" s="173" t="inlineStr">
        <is>
          <t>TEBS 2s/2m 
15м</t>
        </is>
      </c>
      <c r="E140" s="174" t="n">
        <v>1</v>
      </c>
      <c r="F140" s="174" t="n"/>
      <c r="G140" s="174" t="n"/>
      <c r="H140" s="175" t="n">
        <v>4630320200</v>
      </c>
      <c r="I140" s="176" t="inlineStr">
        <is>
          <t>Кран ручного управления</t>
        </is>
      </c>
      <c r="J140" s="911" t="n"/>
      <c r="K140" s="913" t="n"/>
      <c r="L140" s="178" t="n"/>
      <c r="M140" s="130" t="n"/>
      <c r="N140" s="179" t="n"/>
      <c r="O140" s="130" t="n"/>
      <c r="P140" s="178" t="n"/>
      <c r="Q140" s="130" t="n"/>
      <c r="R140" s="179" t="n"/>
      <c r="S140" s="130" t="n"/>
      <c r="T140" s="178" t="n"/>
      <c r="U140" s="130" t="n"/>
      <c r="V140" s="179" t="n"/>
      <c r="W140" s="130" t="n"/>
      <c r="X140" s="178" t="n"/>
      <c r="Y140" s="130" t="n"/>
      <c r="Z140" s="179" t="n"/>
      <c r="AA140" s="130" t="n"/>
      <c r="AB140" s="178" t="n"/>
      <c r="AC140" s="130" t="n"/>
      <c r="AD140" s="109" t="n"/>
      <c r="AE140" s="252" t="n"/>
      <c r="AF140" s="178" t="n"/>
      <c r="AG140" s="130" t="n"/>
      <c r="AH140" s="109" t="n"/>
      <c r="AI140" s="252" t="n"/>
      <c r="AJ140" s="178" t="n"/>
      <c r="AK140" s="130" t="n"/>
      <c r="AL140" s="109" t="n"/>
      <c r="AM140" s="252" t="n"/>
      <c r="AN140" s="178" t="n"/>
      <c r="AO140" s="130" t="n"/>
      <c r="AP140" s="109" t="n"/>
      <c r="AQ140" s="252" t="n"/>
      <c r="AR140" s="178" t="n"/>
      <c r="AS140" s="130" t="n"/>
      <c r="AT140" s="109" t="n"/>
      <c r="AU140" s="252" t="n"/>
      <c r="AV140" s="178" t="n"/>
      <c r="AW140" s="130">
        <f>$E140*5</f>
        <v/>
      </c>
      <c r="AX140" s="109" t="n"/>
      <c r="AY140" s="252" t="n"/>
      <c r="AZ140" s="178" t="n"/>
      <c r="BA140" s="130" t="n"/>
      <c r="BB140" s="194" t="n"/>
      <c r="BC140" s="252" t="n"/>
      <c r="BD140" s="178" t="n"/>
      <c r="BE140" s="130" t="n"/>
      <c r="BF140" s="109" t="n"/>
      <c r="BG140" s="252" t="n"/>
      <c r="BH140" s="180">
        <f>SUMPRODUCT(--(MOD(COLUMN($L140:$BG140),4)=MOD(COLUMN($L140),4)),$L140:$BG140)</f>
        <v/>
      </c>
      <c r="BI140" s="181">
        <f>Автовик_разбивка[[#This Row],[Цена, 
юань, без НДС 1]]*BH140</f>
        <v/>
      </c>
      <c r="BJ140" s="130">
        <f>SUMPRODUCT(--(MOD(COLUMN($L140:$BG140),4)=MOD(COLUMN($L140)+1,4)),$L140:$BG140)</f>
        <v/>
      </c>
      <c r="BK140" s="187">
        <f>Автовик_разбивка[[#This Row],[Цена, 
юань, без НДС 1]]*BJ140</f>
        <v/>
      </c>
      <c r="BL140" s="109">
        <f>SUMPRODUCT(--(MOD(COLUMN($L140:$BG140),4)=MOD(COLUMN($L140)+2,4)),$L140:$BG140)</f>
        <v/>
      </c>
      <c r="BM140" s="224">
        <f>Автовик_разбивка[[#This Row],[Цена, 
юань, без НДС 1]]*BL140</f>
        <v/>
      </c>
      <c r="BN140" s="178" t="n"/>
      <c r="BO140" s="184" t="n"/>
      <c r="BP140" s="130" t="n"/>
      <c r="BQ140" s="179" t="n"/>
      <c r="BR140" s="130" t="n"/>
      <c r="BS140" s="178" t="n"/>
      <c r="BT140" s="184" t="n"/>
      <c r="BU140" s="130" t="n"/>
      <c r="BV140" s="179" t="n"/>
      <c r="BW140" s="130" t="n"/>
      <c r="BX140" s="178" t="n"/>
      <c r="BY140" s="184" t="n"/>
      <c r="BZ140" s="130" t="n"/>
      <c r="CA140" s="179" t="n"/>
      <c r="CB140" s="130" t="n"/>
      <c r="CC140" s="178" t="n"/>
      <c r="CD140" s="184" t="n"/>
      <c r="CE140" s="130" t="n"/>
      <c r="CF140" s="179" t="n"/>
      <c r="CG140" s="130" t="n"/>
      <c r="CH140" s="178" t="n"/>
      <c r="CI140" s="184" t="n"/>
      <c r="CJ140" s="130" t="n"/>
      <c r="CK140" s="109" t="n"/>
      <c r="CL140" s="252" t="n"/>
      <c r="CM140" s="178" t="n"/>
      <c r="CN140" s="184" t="n"/>
      <c r="CO140" s="130" t="n"/>
      <c r="CP140" s="109" t="n"/>
      <c r="CQ140" s="252" t="n"/>
      <c r="CR140" s="178" t="n"/>
      <c r="CS140" s="184" t="n"/>
      <c r="CT140" s="130" t="n"/>
      <c r="CU140" s="109" t="n"/>
      <c r="CV140" s="252" t="n"/>
      <c r="CW140" s="178" t="n"/>
      <c r="CX140" s="184" t="n"/>
      <c r="CY140" s="130" t="n"/>
      <c r="CZ140" s="109" t="n"/>
      <c r="DA140" s="252" t="n"/>
      <c r="DB140" s="178" t="n"/>
      <c r="DC140" s="184" t="n"/>
      <c r="DD140" s="130" t="n"/>
      <c r="DE140" s="109" t="n"/>
      <c r="DF140" s="252" t="n"/>
      <c r="DG140" s="178" t="n"/>
      <c r="DH140" s="184" t="n"/>
      <c r="DI140" s="130" t="n"/>
      <c r="DJ140" s="109" t="n"/>
      <c r="DK140" s="252" t="n"/>
      <c r="DL140" s="178" t="n"/>
      <c r="DM140" s="184" t="n"/>
      <c r="DN140" s="130" t="n"/>
      <c r="DO140" s="194" t="n"/>
      <c r="DP140" s="252" t="n"/>
      <c r="DQ140" s="178" t="n"/>
      <c r="DR140" s="184" t="n"/>
      <c r="DS140" s="130" t="n"/>
      <c r="DT140" s="109" t="n"/>
      <c r="DU140" s="252" t="n"/>
      <c r="DV140" s="180">
        <f>SUMPRODUCT(--(MOD(COLUMN($BN140:$DU140),5)=MOD(COLUMN($BN140),5)),$BN140:$DU140)</f>
        <v/>
      </c>
      <c r="DW140" s="181">
        <f>Автовик_разбивка[[#This Row],[Цена, 
юань, без НДС 1]]*DV140</f>
        <v/>
      </c>
      <c r="DX140" s="186">
        <f>SUMPRODUCT(--(MOD(COLUMN($BN140:$DU140),5)=MOD(COLUMN($BN140)+1,5)),$BN140:$DU140)</f>
        <v/>
      </c>
      <c r="DY140" s="186">
        <f>Автовик_разбивка[[#This Row],[Цена, 
юань, без НДС 1]]*DX140</f>
        <v/>
      </c>
      <c r="DZ140" s="130">
        <f>SUMPRODUCT(--(MOD(COLUMN($BN140:$DU140),5)=MOD(COLUMN($BN140)+2,5)),$BN140:$DU140)</f>
        <v/>
      </c>
      <c r="EA140" s="187">
        <f>Автовик_разбивка[[#This Row],[Цена, 
юань, без НДС 1]]*DZ140</f>
        <v/>
      </c>
      <c r="EB140" s="109">
        <f>SUMPRODUCT(--(MOD(COLUMN($BN140:$DU140),5)=MOD(COLUMN($BN140)+3,5)),$BN140:$DU140)</f>
        <v/>
      </c>
      <c r="EC140" s="224">
        <f>Автовик_разбивка[[#This Row],[Цена, 
юань, без НДС 1]]*EB140</f>
        <v/>
      </c>
    </row>
    <row r="141">
      <c r="A141" s="256" t="n">
        <v>22</v>
      </c>
      <c r="B141" s="172" t="inlineStr">
        <is>
          <t>ЧКПЗ</t>
        </is>
      </c>
      <c r="C141" s="173" t="inlineStr">
        <is>
          <t>TEBS</t>
        </is>
      </c>
      <c r="D141" s="173" t="inlineStr">
        <is>
          <t>TEBS 2s/2m 
15м</t>
        </is>
      </c>
      <c r="E141" s="174" t="n">
        <v>1</v>
      </c>
      <c r="F141" s="174" t="n"/>
      <c r="G141" s="174" t="n"/>
      <c r="H141" s="175" t="n">
        <v>4640061000</v>
      </c>
      <c r="I141" s="176" t="inlineStr">
        <is>
          <t>Кран уровня пола, 5-ти портовый</t>
        </is>
      </c>
      <c r="J141" s="911" t="n"/>
      <c r="K141" s="913" t="n"/>
      <c r="L141" s="178" t="n"/>
      <c r="M141" s="130" t="n"/>
      <c r="N141" s="179" t="n"/>
      <c r="O141" s="130" t="n"/>
      <c r="P141" s="178" t="n"/>
      <c r="Q141" s="130" t="n"/>
      <c r="R141" s="179" t="n"/>
      <c r="S141" s="130" t="n"/>
      <c r="T141" s="178" t="n"/>
      <c r="U141" s="130" t="n"/>
      <c r="V141" s="179" t="n"/>
      <c r="W141" s="130" t="n"/>
      <c r="X141" s="178" t="n"/>
      <c r="Y141" s="130" t="n"/>
      <c r="Z141" s="179" t="n"/>
      <c r="AA141" s="130" t="n"/>
      <c r="AB141" s="178" t="n"/>
      <c r="AC141" s="130" t="n"/>
      <c r="AD141" s="109" t="n"/>
      <c r="AE141" s="252" t="n"/>
      <c r="AF141" s="178" t="n"/>
      <c r="AG141" s="130" t="n"/>
      <c r="AH141" s="109" t="n"/>
      <c r="AI141" s="252" t="n"/>
      <c r="AJ141" s="178" t="n"/>
      <c r="AK141" s="130" t="n"/>
      <c r="AL141" s="109" t="n"/>
      <c r="AM141" s="252" t="n"/>
      <c r="AN141" s="178" t="n"/>
      <c r="AO141" s="130" t="n"/>
      <c r="AP141" s="109" t="n"/>
      <c r="AQ141" s="252" t="n"/>
      <c r="AR141" s="178" t="n"/>
      <c r="AS141" s="130" t="n"/>
      <c r="AT141" s="109" t="n"/>
      <c r="AU141" s="252" t="n"/>
      <c r="AV141" s="178" t="n"/>
      <c r="AW141" s="130">
        <f>$E141*5</f>
        <v/>
      </c>
      <c r="AX141" s="109" t="n"/>
      <c r="AY141" s="252" t="n"/>
      <c r="AZ141" s="178" t="n"/>
      <c r="BA141" s="130" t="n"/>
      <c r="BB141" s="194" t="n"/>
      <c r="BC141" s="252" t="n"/>
      <c r="BD141" s="178" t="n"/>
      <c r="BE141" s="130" t="n"/>
      <c r="BF141" s="109" t="n"/>
      <c r="BG141" s="252" t="n"/>
      <c r="BH141" s="180">
        <f>SUMPRODUCT(--(MOD(COLUMN($L141:$BG141),4)=MOD(COLUMN($L141),4)),$L141:$BG141)</f>
        <v/>
      </c>
      <c r="BI141" s="181">
        <f>Автовик_разбивка[[#This Row],[Цена, 
юань, без НДС 1]]*BH141</f>
        <v/>
      </c>
      <c r="BJ141" s="130">
        <f>SUMPRODUCT(--(MOD(COLUMN($L141:$BG141),4)=MOD(COLUMN($L141)+1,4)),$L141:$BG141)</f>
        <v/>
      </c>
      <c r="BK141" s="187">
        <f>Автовик_разбивка[[#This Row],[Цена, 
юань, без НДС 1]]*BJ141</f>
        <v/>
      </c>
      <c r="BL141" s="109">
        <f>SUMPRODUCT(--(MOD(COLUMN($L141:$BG141),4)=MOD(COLUMN($L141)+2,4)),$L141:$BG141)</f>
        <v/>
      </c>
      <c r="BM141" s="224">
        <f>Автовик_разбивка[[#This Row],[Цена, 
юань, без НДС 1]]*BL141</f>
        <v/>
      </c>
      <c r="BN141" s="178" t="n"/>
      <c r="BO141" s="184" t="n"/>
      <c r="BP141" s="130" t="n"/>
      <c r="BQ141" s="179" t="n"/>
      <c r="BR141" s="130" t="n"/>
      <c r="BS141" s="178" t="n"/>
      <c r="BT141" s="184" t="n"/>
      <c r="BU141" s="130" t="n"/>
      <c r="BV141" s="179" t="n"/>
      <c r="BW141" s="130" t="n"/>
      <c r="BX141" s="178" t="n"/>
      <c r="BY141" s="184" t="n"/>
      <c r="BZ141" s="130" t="n"/>
      <c r="CA141" s="179" t="n"/>
      <c r="CB141" s="130" t="n"/>
      <c r="CC141" s="178" t="n"/>
      <c r="CD141" s="184" t="n"/>
      <c r="CE141" s="130" t="n"/>
      <c r="CF141" s="179" t="n"/>
      <c r="CG141" s="130" t="n"/>
      <c r="CH141" s="178" t="n"/>
      <c r="CI141" s="184" t="n"/>
      <c r="CJ141" s="130" t="n"/>
      <c r="CK141" s="109" t="n"/>
      <c r="CL141" s="252" t="n"/>
      <c r="CM141" s="178" t="n"/>
      <c r="CN141" s="184" t="n"/>
      <c r="CO141" s="130" t="n"/>
      <c r="CP141" s="109" t="n"/>
      <c r="CQ141" s="252" t="n"/>
      <c r="CR141" s="178" t="n"/>
      <c r="CS141" s="184" t="n"/>
      <c r="CT141" s="130" t="n"/>
      <c r="CU141" s="109" t="n"/>
      <c r="CV141" s="252" t="n"/>
      <c r="CW141" s="178" t="n"/>
      <c r="CX141" s="184" t="n"/>
      <c r="CY141" s="130" t="n"/>
      <c r="CZ141" s="109" t="n"/>
      <c r="DA141" s="252" t="n"/>
      <c r="DB141" s="178" t="n"/>
      <c r="DC141" s="184" t="n"/>
      <c r="DD141" s="130" t="n"/>
      <c r="DE141" s="109" t="n"/>
      <c r="DF141" s="252" t="n"/>
      <c r="DG141" s="178" t="n"/>
      <c r="DH141" s="184" t="n"/>
      <c r="DI141" s="130" t="n"/>
      <c r="DJ141" s="109" t="n"/>
      <c r="DK141" s="252" t="n"/>
      <c r="DL141" s="178" t="n"/>
      <c r="DM141" s="184" t="n"/>
      <c r="DN141" s="130" t="n"/>
      <c r="DO141" s="194" t="n"/>
      <c r="DP141" s="252" t="n"/>
      <c r="DQ141" s="178" t="n"/>
      <c r="DR141" s="184" t="n"/>
      <c r="DS141" s="130" t="n"/>
      <c r="DT141" s="109" t="n"/>
      <c r="DU141" s="252" t="n"/>
      <c r="DV141" s="180">
        <f>SUMPRODUCT(--(MOD(COLUMN($BN141:$DU141),5)=MOD(COLUMN($BN141),5)),$BN141:$DU141)</f>
        <v/>
      </c>
      <c r="DW141" s="181">
        <f>Автовик_разбивка[[#This Row],[Цена, 
юань, без НДС 1]]*DV141</f>
        <v/>
      </c>
      <c r="DX141" s="186">
        <f>SUMPRODUCT(--(MOD(COLUMN($BN141:$DU141),5)=MOD(COLUMN($BN141)+1,5)),$BN141:$DU141)</f>
        <v/>
      </c>
      <c r="DY141" s="186">
        <f>Автовик_разбивка[[#This Row],[Цена, 
юань, без НДС 1]]*DX141</f>
        <v/>
      </c>
      <c r="DZ141" s="130">
        <f>SUMPRODUCT(--(MOD(COLUMN($BN141:$DU141),5)=MOD(COLUMN($BN141)+2,5)),$BN141:$DU141)</f>
        <v/>
      </c>
      <c r="EA141" s="187">
        <f>Автовик_разбивка[[#This Row],[Цена, 
юань, без НДС 1]]*DZ141</f>
        <v/>
      </c>
      <c r="EB141" s="109">
        <f>SUMPRODUCT(--(MOD(COLUMN($BN141:$DU141),5)=MOD(COLUMN($BN141)+3,5)),$BN141:$DU141)</f>
        <v/>
      </c>
      <c r="EC141" s="224">
        <f>Автовик_разбивка[[#This Row],[Цена, 
юань, без НДС 1]]*EB141</f>
        <v/>
      </c>
    </row>
    <row r="142">
      <c r="A142" s="256" t="n">
        <v>22</v>
      </c>
      <c r="B142" s="172" t="inlineStr">
        <is>
          <t>ЧКПЗ</t>
        </is>
      </c>
      <c r="C142" s="173" t="inlineStr">
        <is>
          <t>TEBS</t>
        </is>
      </c>
      <c r="D142" s="173" t="inlineStr">
        <is>
          <t>TEBS 2s/2m 
15м</t>
        </is>
      </c>
      <c r="E142" s="174" t="n">
        <v>1</v>
      </c>
      <c r="F142" s="174" t="n"/>
      <c r="G142" s="174" t="n"/>
      <c r="H142" s="175" t="n">
        <v>4801020640</v>
      </c>
      <c r="I142" s="176" t="inlineStr">
        <is>
          <t>Модулятор EBS, с PEM, без фит.</t>
        </is>
      </c>
      <c r="J142" s="911" t="n"/>
      <c r="K142" s="913" t="n"/>
      <c r="L142" s="178" t="n"/>
      <c r="M142" s="130" t="n"/>
      <c r="N142" s="179" t="n"/>
      <c r="O142" s="130" t="n"/>
      <c r="P142" s="178" t="n"/>
      <c r="Q142" s="130" t="n"/>
      <c r="R142" s="179" t="n"/>
      <c r="S142" s="130" t="n"/>
      <c r="T142" s="178" t="n"/>
      <c r="U142" s="130" t="n"/>
      <c r="V142" s="179" t="n"/>
      <c r="W142" s="130" t="n"/>
      <c r="X142" s="178" t="n"/>
      <c r="Y142" s="130" t="n"/>
      <c r="Z142" s="179" t="n"/>
      <c r="AA142" s="130" t="n"/>
      <c r="AB142" s="178" t="n"/>
      <c r="AC142" s="130" t="n"/>
      <c r="AD142" s="109" t="n"/>
      <c r="AE142" s="252" t="n"/>
      <c r="AF142" s="178" t="n"/>
      <c r="AG142" s="130" t="n"/>
      <c r="AH142" s="109" t="n"/>
      <c r="AI142" s="252" t="n"/>
      <c r="AJ142" s="178" t="n"/>
      <c r="AK142" s="130" t="n"/>
      <c r="AL142" s="109" t="n"/>
      <c r="AM142" s="252" t="n"/>
      <c r="AN142" s="178" t="n"/>
      <c r="AO142" s="130" t="n"/>
      <c r="AP142" s="109" t="n"/>
      <c r="AQ142" s="252" t="n"/>
      <c r="AR142" s="178" t="n"/>
      <c r="AS142" s="130" t="n"/>
      <c r="AT142" s="109" t="n"/>
      <c r="AU142" s="252" t="n"/>
      <c r="AV142" s="178" t="n"/>
      <c r="AW142" s="130">
        <f>$E142*5</f>
        <v/>
      </c>
      <c r="AX142" s="109" t="n"/>
      <c r="AY142" s="252" t="n"/>
      <c r="AZ142" s="178" t="n"/>
      <c r="BA142" s="130" t="n"/>
      <c r="BB142" s="194" t="n"/>
      <c r="BC142" s="252" t="n"/>
      <c r="BD142" s="178" t="n"/>
      <c r="BE142" s="130" t="n"/>
      <c r="BF142" s="109" t="n"/>
      <c r="BG142" s="252" t="n"/>
      <c r="BH142" s="180">
        <f>SUMPRODUCT(--(MOD(COLUMN($L142:$BG142),4)=MOD(COLUMN($L142),4)),$L142:$BG142)</f>
        <v/>
      </c>
      <c r="BI142" s="181">
        <f>Автовик_разбивка[[#This Row],[Цена, 
юань, без НДС 1]]*BH142</f>
        <v/>
      </c>
      <c r="BJ142" s="130">
        <f>SUMPRODUCT(--(MOD(COLUMN($L142:$BG142),4)=MOD(COLUMN($L142)+1,4)),$L142:$BG142)</f>
        <v/>
      </c>
      <c r="BK142" s="187">
        <f>Автовик_разбивка[[#This Row],[Цена, 
юань, без НДС 1]]*BJ142</f>
        <v/>
      </c>
      <c r="BL142" s="109">
        <f>SUMPRODUCT(--(MOD(COLUMN($L142:$BG142),4)=MOD(COLUMN($L142)+2,4)),$L142:$BG142)</f>
        <v/>
      </c>
      <c r="BM142" s="224">
        <f>Автовик_разбивка[[#This Row],[Цена, 
юань, без НДС 1]]*BL142</f>
        <v/>
      </c>
      <c r="BN142" s="178" t="n"/>
      <c r="BO142" s="184" t="n"/>
      <c r="BP142" s="130" t="n"/>
      <c r="BQ142" s="179" t="n"/>
      <c r="BR142" s="130" t="n"/>
      <c r="BS142" s="178" t="n"/>
      <c r="BT142" s="184" t="n"/>
      <c r="BU142" s="130" t="n"/>
      <c r="BV142" s="179" t="n"/>
      <c r="BW142" s="130" t="n"/>
      <c r="BX142" s="178" t="n"/>
      <c r="BY142" s="184" t="n"/>
      <c r="BZ142" s="130" t="n"/>
      <c r="CA142" s="179" t="n"/>
      <c r="CB142" s="130" t="n"/>
      <c r="CC142" s="178" t="n"/>
      <c r="CD142" s="184" t="n"/>
      <c r="CE142" s="130" t="n"/>
      <c r="CF142" s="179" t="n"/>
      <c r="CG142" s="130" t="n"/>
      <c r="CH142" s="178" t="n"/>
      <c r="CI142" s="184" t="n"/>
      <c r="CJ142" s="130" t="n"/>
      <c r="CK142" s="109" t="n"/>
      <c r="CL142" s="252" t="n"/>
      <c r="CM142" s="178" t="n"/>
      <c r="CN142" s="184" t="n"/>
      <c r="CO142" s="130" t="n"/>
      <c r="CP142" s="109" t="n"/>
      <c r="CQ142" s="252" t="n"/>
      <c r="CR142" s="178" t="n"/>
      <c r="CS142" s="184" t="n"/>
      <c r="CT142" s="130" t="n"/>
      <c r="CU142" s="109" t="n"/>
      <c r="CV142" s="252" t="n"/>
      <c r="CW142" s="178" t="n"/>
      <c r="CX142" s="184" t="n"/>
      <c r="CY142" s="130" t="n"/>
      <c r="CZ142" s="109" t="n"/>
      <c r="DA142" s="252" t="n"/>
      <c r="DB142" s="178" t="n"/>
      <c r="DC142" s="184" t="n"/>
      <c r="DD142" s="130" t="n"/>
      <c r="DE142" s="109" t="n"/>
      <c r="DF142" s="252" t="n"/>
      <c r="DG142" s="178" t="n"/>
      <c r="DH142" s="184" t="n"/>
      <c r="DI142" s="130" t="n"/>
      <c r="DJ142" s="109" t="n"/>
      <c r="DK142" s="252" t="n"/>
      <c r="DL142" s="178" t="n"/>
      <c r="DM142" s="184" t="n"/>
      <c r="DN142" s="130" t="n"/>
      <c r="DO142" s="194" t="n"/>
      <c r="DP142" s="252" t="n"/>
      <c r="DQ142" s="178" t="n"/>
      <c r="DR142" s="184" t="n"/>
      <c r="DS142" s="130" t="n"/>
      <c r="DT142" s="109" t="n"/>
      <c r="DU142" s="252" t="n"/>
      <c r="DV142" s="180">
        <f>SUMPRODUCT(--(MOD(COLUMN($BN142:$DU142),5)=MOD(COLUMN($BN142),5)),$BN142:$DU142)</f>
        <v/>
      </c>
      <c r="DW142" s="181">
        <f>Автовик_разбивка[[#This Row],[Цена, 
юань, без НДС 1]]*DV142</f>
        <v/>
      </c>
      <c r="DX142" s="186">
        <f>SUMPRODUCT(--(MOD(COLUMN($BN142:$DU142),5)=MOD(COLUMN($BN142)+1,5)),$BN142:$DU142)</f>
        <v/>
      </c>
      <c r="DY142" s="186">
        <f>Автовик_разбивка[[#This Row],[Цена, 
юань, без НДС 1]]*DX142</f>
        <v/>
      </c>
      <c r="DZ142" s="130">
        <f>SUMPRODUCT(--(MOD(COLUMN($BN142:$DU142),5)=MOD(COLUMN($BN142)+2,5)),$BN142:$DU142)</f>
        <v/>
      </c>
      <c r="EA142" s="187">
        <f>Автовик_разбивка[[#This Row],[Цена, 
юань, без НДС 1]]*DZ142</f>
        <v/>
      </c>
      <c r="EB142" s="109">
        <f>SUMPRODUCT(--(MOD(COLUMN($BN142:$DU142),5)=MOD(COLUMN($BN142)+3,5)),$BN142:$DU142)</f>
        <v/>
      </c>
      <c r="EC142" s="224">
        <f>Автовик_разбивка[[#This Row],[Цена, 
юань, без НДС 1]]*EB142</f>
        <v/>
      </c>
    </row>
    <row r="143">
      <c r="A143" s="256" t="n">
        <v>22</v>
      </c>
      <c r="B143" s="172" t="inlineStr">
        <is>
          <t>ЧКПЗ</t>
        </is>
      </c>
      <c r="C143" s="173" t="inlineStr">
        <is>
          <t>TEBS</t>
        </is>
      </c>
      <c r="D143" s="173" t="inlineStr">
        <is>
          <t>TEBS 2s/2m 
15м</t>
        </is>
      </c>
      <c r="E143" s="174" t="n">
        <v>1</v>
      </c>
      <c r="F143" s="174" t="n"/>
      <c r="G143" s="174" t="n"/>
      <c r="H143" s="175" t="n">
        <v>9522010010</v>
      </c>
      <c r="I143" s="176" t="inlineStr">
        <is>
          <t>Головка соединительная (управляющая)</t>
        </is>
      </c>
      <c r="J143" s="911" t="n"/>
      <c r="K143" s="913" t="n"/>
      <c r="L143" s="178" t="n"/>
      <c r="M143" s="130" t="n"/>
      <c r="N143" s="179" t="n"/>
      <c r="O143" s="130" t="n"/>
      <c r="P143" s="178" t="n"/>
      <c r="Q143" s="130" t="n"/>
      <c r="R143" s="179" t="n"/>
      <c r="S143" s="130" t="n"/>
      <c r="T143" s="178" t="n"/>
      <c r="U143" s="130" t="n"/>
      <c r="V143" s="179" t="n"/>
      <c r="W143" s="130" t="n"/>
      <c r="X143" s="178" t="n"/>
      <c r="Y143" s="130" t="n"/>
      <c r="Z143" s="179" t="n"/>
      <c r="AA143" s="130" t="n"/>
      <c r="AB143" s="178" t="n"/>
      <c r="AC143" s="130" t="n"/>
      <c r="AD143" s="109" t="n"/>
      <c r="AE143" s="252" t="n"/>
      <c r="AF143" s="178" t="n"/>
      <c r="AG143" s="130" t="n"/>
      <c r="AH143" s="109" t="n"/>
      <c r="AI143" s="252" t="n"/>
      <c r="AJ143" s="178" t="n"/>
      <c r="AK143" s="130" t="n"/>
      <c r="AL143" s="109" t="n"/>
      <c r="AM143" s="252" t="n"/>
      <c r="AN143" s="178" t="n"/>
      <c r="AO143" s="130" t="n"/>
      <c r="AP143" s="109" t="n"/>
      <c r="AQ143" s="252" t="n"/>
      <c r="AR143" s="178" t="n"/>
      <c r="AS143" s="130" t="n"/>
      <c r="AT143" s="109" t="n"/>
      <c r="AU143" s="252" t="n"/>
      <c r="AV143" s="178" t="n"/>
      <c r="AW143" s="130">
        <f>$E143*5</f>
        <v/>
      </c>
      <c r="AX143" s="109" t="n"/>
      <c r="AY143" s="252" t="n"/>
      <c r="AZ143" s="178" t="n"/>
      <c r="BA143" s="130" t="n"/>
      <c r="BB143" s="194" t="n"/>
      <c r="BC143" s="252" t="n"/>
      <c r="BD143" s="178" t="n"/>
      <c r="BE143" s="130" t="n"/>
      <c r="BF143" s="109" t="n"/>
      <c r="BG143" s="252" t="n"/>
      <c r="BH143" s="180">
        <f>SUMPRODUCT(--(MOD(COLUMN($L143:$BG143),4)=MOD(COLUMN($L143),4)),$L143:$BG143)</f>
        <v/>
      </c>
      <c r="BI143" s="181">
        <f>Автовик_разбивка[[#This Row],[Цена, 
юань, без НДС 1]]*BH143</f>
        <v/>
      </c>
      <c r="BJ143" s="130">
        <f>SUMPRODUCT(--(MOD(COLUMN($L143:$BG143),4)=MOD(COLUMN($L143)+1,4)),$L143:$BG143)</f>
        <v/>
      </c>
      <c r="BK143" s="187">
        <f>Автовик_разбивка[[#This Row],[Цена, 
юань, без НДС 1]]*BJ143</f>
        <v/>
      </c>
      <c r="BL143" s="109">
        <f>SUMPRODUCT(--(MOD(COLUMN($L143:$BG143),4)=MOD(COLUMN($L143)+2,4)),$L143:$BG143)</f>
        <v/>
      </c>
      <c r="BM143" s="224">
        <f>Автовик_разбивка[[#This Row],[Цена, 
юань, без НДС 1]]*BL143</f>
        <v/>
      </c>
      <c r="BN143" s="178" t="n"/>
      <c r="BO143" s="184" t="n"/>
      <c r="BP143" s="130" t="n"/>
      <c r="BQ143" s="179" t="n"/>
      <c r="BR143" s="130" t="n"/>
      <c r="BS143" s="178" t="n"/>
      <c r="BT143" s="184" t="n"/>
      <c r="BU143" s="130" t="n"/>
      <c r="BV143" s="179" t="n"/>
      <c r="BW143" s="130" t="n"/>
      <c r="BX143" s="178" t="n"/>
      <c r="BY143" s="184" t="n"/>
      <c r="BZ143" s="130" t="n"/>
      <c r="CA143" s="179" t="n"/>
      <c r="CB143" s="130" t="n"/>
      <c r="CC143" s="178" t="n"/>
      <c r="CD143" s="184" t="n"/>
      <c r="CE143" s="130" t="n"/>
      <c r="CF143" s="179" t="n"/>
      <c r="CG143" s="130" t="n"/>
      <c r="CH143" s="178" t="n"/>
      <c r="CI143" s="184" t="n"/>
      <c r="CJ143" s="130" t="n"/>
      <c r="CK143" s="109" t="n"/>
      <c r="CL143" s="252" t="n"/>
      <c r="CM143" s="178" t="n"/>
      <c r="CN143" s="184" t="n"/>
      <c r="CO143" s="130" t="n"/>
      <c r="CP143" s="109" t="n"/>
      <c r="CQ143" s="252" t="n"/>
      <c r="CR143" s="178" t="n"/>
      <c r="CS143" s="184" t="n"/>
      <c r="CT143" s="130" t="n"/>
      <c r="CU143" s="109" t="n"/>
      <c r="CV143" s="252" t="n"/>
      <c r="CW143" s="178" t="n"/>
      <c r="CX143" s="184" t="n"/>
      <c r="CY143" s="130" t="n"/>
      <c r="CZ143" s="109" t="n"/>
      <c r="DA143" s="252" t="n"/>
      <c r="DB143" s="178" t="n"/>
      <c r="DC143" s="184" t="n"/>
      <c r="DD143" s="130" t="n"/>
      <c r="DE143" s="109" t="n"/>
      <c r="DF143" s="252" t="n"/>
      <c r="DG143" s="178" t="n"/>
      <c r="DH143" s="184" t="n"/>
      <c r="DI143" s="130" t="n"/>
      <c r="DJ143" s="109" t="n"/>
      <c r="DK143" s="252" t="n"/>
      <c r="DL143" s="178" t="n"/>
      <c r="DM143" s="184" t="n"/>
      <c r="DN143" s="130" t="n"/>
      <c r="DO143" s="194" t="n"/>
      <c r="DP143" s="252" t="n"/>
      <c r="DQ143" s="178" t="n"/>
      <c r="DR143" s="184" t="n"/>
      <c r="DS143" s="130" t="n"/>
      <c r="DT143" s="109" t="n"/>
      <c r="DU143" s="252" t="n"/>
      <c r="DV143" s="180">
        <f>SUMPRODUCT(--(MOD(COLUMN($BN143:$DU143),5)=MOD(COLUMN($BN143),5)),$BN143:$DU143)</f>
        <v/>
      </c>
      <c r="DW143" s="181">
        <f>Автовик_разбивка[[#This Row],[Цена, 
юань, без НДС 1]]*DV143</f>
        <v/>
      </c>
      <c r="DX143" s="186">
        <f>SUMPRODUCT(--(MOD(COLUMN($BN143:$DU143),5)=MOD(COLUMN($BN143)+1,5)),$BN143:$DU143)</f>
        <v/>
      </c>
      <c r="DY143" s="186">
        <f>Автовик_разбивка[[#This Row],[Цена, 
юань, без НДС 1]]*DX143</f>
        <v/>
      </c>
      <c r="DZ143" s="130">
        <f>SUMPRODUCT(--(MOD(COLUMN($BN143:$DU143),5)=MOD(COLUMN($BN143)+2,5)),$BN143:$DU143)</f>
        <v/>
      </c>
      <c r="EA143" s="187">
        <f>Автовик_разбивка[[#This Row],[Цена, 
юань, без НДС 1]]*DZ143</f>
        <v/>
      </c>
      <c r="EB143" s="109">
        <f>SUMPRODUCT(--(MOD(COLUMN($BN143:$DU143),5)=MOD(COLUMN($BN143)+3,5)),$BN143:$DU143)</f>
        <v/>
      </c>
      <c r="EC143" s="224">
        <f>Автовик_разбивка[[#This Row],[Цена, 
юань, без НДС 1]]*EB143</f>
        <v/>
      </c>
    </row>
    <row r="144">
      <c r="A144" s="256" t="n">
        <v>22</v>
      </c>
      <c r="B144" s="172" t="inlineStr">
        <is>
          <t>ЧКПЗ</t>
        </is>
      </c>
      <c r="C144" s="173" t="inlineStr">
        <is>
          <t>TEBS</t>
        </is>
      </c>
      <c r="D144" s="173" t="inlineStr">
        <is>
          <t>TEBS 2s/2m 
15м</t>
        </is>
      </c>
      <c r="E144" s="174" t="n">
        <v>1</v>
      </c>
      <c r="F144" s="174" t="n"/>
      <c r="G144" s="174" t="n"/>
      <c r="H144" s="175" t="n">
        <v>9522010020</v>
      </c>
      <c r="I144" s="176" t="inlineStr">
        <is>
          <t>Головка соединительная (питающая)</t>
        </is>
      </c>
      <c r="J144" s="911" t="n"/>
      <c r="K144" s="913" t="n"/>
      <c r="L144" s="178" t="n"/>
      <c r="M144" s="130" t="n"/>
      <c r="N144" s="179" t="n"/>
      <c r="O144" s="130" t="n"/>
      <c r="P144" s="178" t="n"/>
      <c r="Q144" s="130" t="n"/>
      <c r="R144" s="179" t="n"/>
      <c r="S144" s="130" t="n"/>
      <c r="T144" s="178" t="n"/>
      <c r="U144" s="130" t="n"/>
      <c r="V144" s="179" t="n"/>
      <c r="W144" s="130" t="n"/>
      <c r="X144" s="178" t="n"/>
      <c r="Y144" s="130" t="n"/>
      <c r="Z144" s="179" t="n"/>
      <c r="AA144" s="130" t="n"/>
      <c r="AB144" s="178" t="n"/>
      <c r="AC144" s="130" t="n"/>
      <c r="AD144" s="109" t="n"/>
      <c r="AE144" s="252" t="n"/>
      <c r="AF144" s="178" t="n"/>
      <c r="AG144" s="130" t="n"/>
      <c r="AH144" s="109" t="n"/>
      <c r="AI144" s="252" t="n"/>
      <c r="AJ144" s="178" t="n"/>
      <c r="AK144" s="130" t="n"/>
      <c r="AL144" s="109" t="n"/>
      <c r="AM144" s="252" t="n"/>
      <c r="AN144" s="178" t="n"/>
      <c r="AO144" s="130" t="n"/>
      <c r="AP144" s="109" t="n"/>
      <c r="AQ144" s="252" t="n"/>
      <c r="AR144" s="178" t="n"/>
      <c r="AS144" s="130" t="n"/>
      <c r="AT144" s="109" t="n"/>
      <c r="AU144" s="252" t="n"/>
      <c r="AV144" s="178" t="n"/>
      <c r="AW144" s="130">
        <f>$E144*5</f>
        <v/>
      </c>
      <c r="AX144" s="109" t="n"/>
      <c r="AY144" s="252" t="n"/>
      <c r="AZ144" s="178" t="n"/>
      <c r="BA144" s="130" t="n"/>
      <c r="BB144" s="194" t="n"/>
      <c r="BC144" s="252" t="n"/>
      <c r="BD144" s="178" t="n"/>
      <c r="BE144" s="130" t="n"/>
      <c r="BF144" s="109" t="n"/>
      <c r="BG144" s="252" t="n"/>
      <c r="BH144" s="180">
        <f>SUMPRODUCT(--(MOD(COLUMN($L144:$BG144),4)=MOD(COLUMN($L144),4)),$L144:$BG144)</f>
        <v/>
      </c>
      <c r="BI144" s="181">
        <f>Автовик_разбивка[[#This Row],[Цена, 
юань, без НДС 1]]*BH144</f>
        <v/>
      </c>
      <c r="BJ144" s="130">
        <f>SUMPRODUCT(--(MOD(COLUMN($L144:$BG144),4)=MOD(COLUMN($L144)+1,4)),$L144:$BG144)</f>
        <v/>
      </c>
      <c r="BK144" s="187">
        <f>Автовик_разбивка[[#This Row],[Цена, 
юань, без НДС 1]]*BJ144</f>
        <v/>
      </c>
      <c r="BL144" s="109">
        <f>SUMPRODUCT(--(MOD(COLUMN($L144:$BG144),4)=MOD(COLUMN($L144)+2,4)),$L144:$BG144)</f>
        <v/>
      </c>
      <c r="BM144" s="224">
        <f>Автовик_разбивка[[#This Row],[Цена, 
юань, без НДС 1]]*BL144</f>
        <v/>
      </c>
      <c r="BN144" s="178" t="n"/>
      <c r="BO144" s="184" t="n"/>
      <c r="BP144" s="130" t="n"/>
      <c r="BQ144" s="179" t="n"/>
      <c r="BR144" s="130" t="n"/>
      <c r="BS144" s="178" t="n"/>
      <c r="BT144" s="184" t="n"/>
      <c r="BU144" s="130" t="n"/>
      <c r="BV144" s="179" t="n"/>
      <c r="BW144" s="130" t="n"/>
      <c r="BX144" s="178" t="n"/>
      <c r="BY144" s="184" t="n"/>
      <c r="BZ144" s="130" t="n"/>
      <c r="CA144" s="179" t="n"/>
      <c r="CB144" s="130" t="n"/>
      <c r="CC144" s="178" t="n"/>
      <c r="CD144" s="184" t="n"/>
      <c r="CE144" s="130" t="n"/>
      <c r="CF144" s="179" t="n"/>
      <c r="CG144" s="130" t="n"/>
      <c r="CH144" s="178" t="n"/>
      <c r="CI144" s="184" t="n"/>
      <c r="CJ144" s="130" t="n"/>
      <c r="CK144" s="109" t="n"/>
      <c r="CL144" s="252" t="n"/>
      <c r="CM144" s="178" t="n"/>
      <c r="CN144" s="184" t="n"/>
      <c r="CO144" s="130" t="n"/>
      <c r="CP144" s="109" t="n"/>
      <c r="CQ144" s="252" t="n"/>
      <c r="CR144" s="178" t="n"/>
      <c r="CS144" s="184" t="n"/>
      <c r="CT144" s="130" t="n"/>
      <c r="CU144" s="109" t="n"/>
      <c r="CV144" s="252" t="n"/>
      <c r="CW144" s="178" t="n"/>
      <c r="CX144" s="184" t="n"/>
      <c r="CY144" s="130" t="n"/>
      <c r="CZ144" s="109" t="n"/>
      <c r="DA144" s="252" t="n"/>
      <c r="DB144" s="178" t="n"/>
      <c r="DC144" s="184" t="n"/>
      <c r="DD144" s="130" t="n"/>
      <c r="DE144" s="109" t="n"/>
      <c r="DF144" s="252" t="n"/>
      <c r="DG144" s="178" t="n"/>
      <c r="DH144" s="184" t="n"/>
      <c r="DI144" s="130" t="n"/>
      <c r="DJ144" s="109" t="n"/>
      <c r="DK144" s="252" t="n"/>
      <c r="DL144" s="178" t="n"/>
      <c r="DM144" s="184" t="n"/>
      <c r="DN144" s="130" t="n"/>
      <c r="DO144" s="194" t="n"/>
      <c r="DP144" s="252" t="n"/>
      <c r="DQ144" s="178" t="n"/>
      <c r="DR144" s="184" t="n"/>
      <c r="DS144" s="130" t="n"/>
      <c r="DT144" s="109" t="n"/>
      <c r="DU144" s="252" t="n"/>
      <c r="DV144" s="180">
        <f>SUMPRODUCT(--(MOD(COLUMN($BN144:$DU144),5)=MOD(COLUMN($BN144),5)),$BN144:$DU144)</f>
        <v/>
      </c>
      <c r="DW144" s="181">
        <f>Автовик_разбивка[[#This Row],[Цена, 
юань, без НДС 1]]*DV144</f>
        <v/>
      </c>
      <c r="DX144" s="186">
        <f>SUMPRODUCT(--(MOD(COLUMN($BN144:$DU144),5)=MOD(COLUMN($BN144)+1,5)),$BN144:$DU144)</f>
        <v/>
      </c>
      <c r="DY144" s="186">
        <f>Автовик_разбивка[[#This Row],[Цена, 
юань, без НДС 1]]*DX144</f>
        <v/>
      </c>
      <c r="DZ144" s="130">
        <f>SUMPRODUCT(--(MOD(COLUMN($BN144:$DU144),5)=MOD(COLUMN($BN144)+2,5)),$BN144:$DU144)</f>
        <v/>
      </c>
      <c r="EA144" s="187">
        <f>Автовик_разбивка[[#This Row],[Цена, 
юань, без НДС 1]]*DZ144</f>
        <v/>
      </c>
      <c r="EB144" s="109">
        <f>SUMPRODUCT(--(MOD(COLUMN($BN144:$DU144),5)=MOD(COLUMN($BN144)+3,5)),$BN144:$DU144)</f>
        <v/>
      </c>
      <c r="EC144" s="224">
        <f>Автовик_разбивка[[#This Row],[Цена, 
юань, без НДС 1]]*EB144</f>
        <v/>
      </c>
    </row>
    <row r="145">
      <c r="A145" s="256" t="n">
        <v>22</v>
      </c>
      <c r="B145" s="172" t="inlineStr">
        <is>
          <t>ЧКПЗ</t>
        </is>
      </c>
      <c r="C145" s="173" t="inlineStr">
        <is>
          <t>TEBS</t>
        </is>
      </c>
      <c r="D145" s="173" t="inlineStr">
        <is>
          <t>TEBS 2s/2m 
15м</t>
        </is>
      </c>
      <c r="E145" s="174" t="n">
        <v>1</v>
      </c>
      <c r="F145" s="174" t="n"/>
      <c r="G145" s="174" t="n"/>
      <c r="H145" s="175" t="n">
        <v>9710029000</v>
      </c>
      <c r="I145" s="176" t="inlineStr">
        <is>
          <t>Воздухораспределитель с клапаном растормаживания</t>
        </is>
      </c>
      <c r="J145" s="911" t="n"/>
      <c r="K145" s="913" t="n"/>
      <c r="L145" s="178" t="n"/>
      <c r="M145" s="130" t="n"/>
      <c r="N145" s="179" t="n"/>
      <c r="O145" s="130" t="n"/>
      <c r="P145" s="178" t="n"/>
      <c r="Q145" s="130" t="n"/>
      <c r="R145" s="179" t="n"/>
      <c r="S145" s="130" t="n"/>
      <c r="T145" s="178" t="n"/>
      <c r="U145" s="130" t="n"/>
      <c r="V145" s="179" t="n"/>
      <c r="W145" s="130" t="n"/>
      <c r="X145" s="178" t="n"/>
      <c r="Y145" s="130" t="n"/>
      <c r="Z145" s="179" t="n"/>
      <c r="AA145" s="130" t="n"/>
      <c r="AB145" s="178" t="n"/>
      <c r="AC145" s="130" t="n"/>
      <c r="AD145" s="109" t="n"/>
      <c r="AE145" s="252" t="n"/>
      <c r="AF145" s="178" t="n"/>
      <c r="AG145" s="130" t="n"/>
      <c r="AH145" s="109" t="n"/>
      <c r="AI145" s="252" t="n"/>
      <c r="AJ145" s="178" t="n"/>
      <c r="AK145" s="130" t="n"/>
      <c r="AL145" s="109" t="n"/>
      <c r="AM145" s="252" t="n"/>
      <c r="AN145" s="178" t="n"/>
      <c r="AO145" s="130" t="n"/>
      <c r="AP145" s="109" t="n"/>
      <c r="AQ145" s="252" t="n"/>
      <c r="AR145" s="178" t="n"/>
      <c r="AS145" s="130" t="n"/>
      <c r="AT145" s="109" t="n"/>
      <c r="AU145" s="252" t="n"/>
      <c r="AV145" s="178" t="n"/>
      <c r="AW145" s="130">
        <f>$E145*5</f>
        <v/>
      </c>
      <c r="AX145" s="109" t="n"/>
      <c r="AY145" s="252" t="n"/>
      <c r="AZ145" s="178" t="n"/>
      <c r="BA145" s="130" t="n"/>
      <c r="BB145" s="194" t="n"/>
      <c r="BC145" s="252" t="n"/>
      <c r="BD145" s="178" t="n"/>
      <c r="BE145" s="130" t="n"/>
      <c r="BF145" s="109" t="n"/>
      <c r="BG145" s="252" t="n"/>
      <c r="BH145" s="180">
        <f>SUMPRODUCT(--(MOD(COLUMN($L145:$BG145),4)=MOD(COLUMN($L145),4)),$L145:$BG145)</f>
        <v/>
      </c>
      <c r="BI145" s="181">
        <f>Автовик_разбивка[[#This Row],[Цена, 
юань, без НДС 1]]*BH145</f>
        <v/>
      </c>
      <c r="BJ145" s="130">
        <f>SUMPRODUCT(--(MOD(COLUMN($L145:$BG145),4)=MOD(COLUMN($L145)+1,4)),$L145:$BG145)</f>
        <v/>
      </c>
      <c r="BK145" s="187">
        <f>Автовик_разбивка[[#This Row],[Цена, 
юань, без НДС 1]]*BJ145</f>
        <v/>
      </c>
      <c r="BL145" s="109">
        <f>SUMPRODUCT(--(MOD(COLUMN($L145:$BG145),4)=MOD(COLUMN($L145)+2,4)),$L145:$BG145)</f>
        <v/>
      </c>
      <c r="BM145" s="224">
        <f>Автовик_разбивка[[#This Row],[Цена, 
юань, без НДС 1]]*BL145</f>
        <v/>
      </c>
      <c r="BN145" s="178" t="n"/>
      <c r="BO145" s="184" t="n"/>
      <c r="BP145" s="130" t="n"/>
      <c r="BQ145" s="179" t="n"/>
      <c r="BR145" s="130" t="n"/>
      <c r="BS145" s="178" t="n"/>
      <c r="BT145" s="184" t="n"/>
      <c r="BU145" s="130" t="n"/>
      <c r="BV145" s="179" t="n"/>
      <c r="BW145" s="130" t="n"/>
      <c r="BX145" s="178" t="n"/>
      <c r="BY145" s="184" t="n"/>
      <c r="BZ145" s="130" t="n"/>
      <c r="CA145" s="179" t="n"/>
      <c r="CB145" s="130" t="n"/>
      <c r="CC145" s="178" t="n"/>
      <c r="CD145" s="184" t="n"/>
      <c r="CE145" s="130" t="n"/>
      <c r="CF145" s="179" t="n"/>
      <c r="CG145" s="130" t="n"/>
      <c r="CH145" s="178" t="n"/>
      <c r="CI145" s="184" t="n"/>
      <c r="CJ145" s="130" t="n"/>
      <c r="CK145" s="109" t="n"/>
      <c r="CL145" s="252" t="n"/>
      <c r="CM145" s="178" t="n"/>
      <c r="CN145" s="184" t="n"/>
      <c r="CO145" s="130" t="n"/>
      <c r="CP145" s="109" t="n"/>
      <c r="CQ145" s="252" t="n"/>
      <c r="CR145" s="178" t="n"/>
      <c r="CS145" s="184" t="n"/>
      <c r="CT145" s="130" t="n"/>
      <c r="CU145" s="109" t="n"/>
      <c r="CV145" s="252" t="n"/>
      <c r="CW145" s="178" t="n"/>
      <c r="CX145" s="184" t="n"/>
      <c r="CY145" s="130" t="n"/>
      <c r="CZ145" s="109" t="n"/>
      <c r="DA145" s="252" t="n"/>
      <c r="DB145" s="178" t="n"/>
      <c r="DC145" s="184" t="n"/>
      <c r="DD145" s="130" t="n"/>
      <c r="DE145" s="109" t="n"/>
      <c r="DF145" s="252" t="n"/>
      <c r="DG145" s="178" t="n"/>
      <c r="DH145" s="184" t="n"/>
      <c r="DI145" s="130" t="n"/>
      <c r="DJ145" s="109" t="n"/>
      <c r="DK145" s="252" t="n"/>
      <c r="DL145" s="178" t="n"/>
      <c r="DM145" s="184" t="n"/>
      <c r="DN145" s="130" t="n"/>
      <c r="DO145" s="194" t="n"/>
      <c r="DP145" s="252" t="n"/>
      <c r="DQ145" s="178" t="n"/>
      <c r="DR145" s="184" t="n"/>
      <c r="DS145" s="130" t="n"/>
      <c r="DT145" s="109" t="n"/>
      <c r="DU145" s="252" t="n"/>
      <c r="DV145" s="180">
        <f>SUMPRODUCT(--(MOD(COLUMN($BN145:$DU145),5)=MOD(COLUMN($BN145),5)),$BN145:$DU145)</f>
        <v/>
      </c>
      <c r="DW145" s="181">
        <f>Автовик_разбивка[[#This Row],[Цена, 
юань, без НДС 1]]*DV145</f>
        <v/>
      </c>
      <c r="DX145" s="186">
        <f>SUMPRODUCT(--(MOD(COLUMN($BN145:$DU145),5)=MOD(COLUMN($BN145)+1,5)),$BN145:$DU145)</f>
        <v/>
      </c>
      <c r="DY145" s="186">
        <f>Автовик_разбивка[[#This Row],[Цена, 
юань, без НДС 1]]*DX145</f>
        <v/>
      </c>
      <c r="DZ145" s="130">
        <f>SUMPRODUCT(--(MOD(COLUMN($BN145:$DU145),5)=MOD(COLUMN($BN145)+2,5)),$BN145:$DU145)</f>
        <v/>
      </c>
      <c r="EA145" s="187">
        <f>Автовик_разбивка[[#This Row],[Цена, 
юань, без НДС 1]]*DZ145</f>
        <v/>
      </c>
      <c r="EB145" s="109">
        <f>SUMPRODUCT(--(MOD(COLUMN($BN145:$DU145),5)=MOD(COLUMN($BN145)+3,5)),$BN145:$DU145)</f>
        <v/>
      </c>
      <c r="EC145" s="224">
        <f>Автовик_разбивка[[#This Row],[Цена, 
юань, без НДС 1]]*EB145</f>
        <v/>
      </c>
    </row>
    <row r="146">
      <c r="A146" s="256" t="n">
        <v>22</v>
      </c>
      <c r="B146" s="172" t="inlineStr">
        <is>
          <t>ЧКПЗ</t>
        </is>
      </c>
      <c r="C146" s="132" t="n"/>
      <c r="D146" s="132" t="n"/>
      <c r="E146" s="229" t="n"/>
      <c r="F146" s="229" t="n"/>
      <c r="G146" s="229" t="n"/>
      <c r="H146" s="230" t="n"/>
      <c r="I146" s="231" t="inlineStr">
        <is>
          <t>Итого</t>
        </is>
      </c>
      <c r="J146" s="914" t="n"/>
      <c r="K146" s="914" t="n"/>
      <c r="L146" s="233" t="n"/>
      <c r="M146" s="234" t="n"/>
      <c r="N146" s="235" t="n"/>
      <c r="O146" s="234" t="n"/>
      <c r="P146" s="233" t="n"/>
      <c r="Q146" s="234" t="n"/>
      <c r="R146" s="235" t="n"/>
      <c r="S146" s="234" t="n"/>
      <c r="T146" s="233" t="n"/>
      <c r="U146" s="234" t="n"/>
      <c r="V146" s="235" t="n"/>
      <c r="W146" s="234" t="n"/>
      <c r="X146" s="233" t="n"/>
      <c r="Y146" s="234" t="n"/>
      <c r="Z146" s="235" t="n"/>
      <c r="AA146" s="234" t="n"/>
      <c r="AB146" s="233" t="n"/>
      <c r="AC146" s="234" t="n"/>
      <c r="AD146" s="235" t="n"/>
      <c r="AE146" s="234" t="n"/>
      <c r="AF146" s="233" t="n"/>
      <c r="AG146" s="234" t="n"/>
      <c r="AH146" s="235" t="n"/>
      <c r="AI146" s="234" t="n"/>
      <c r="AJ146" s="233" t="n"/>
      <c r="AK146" s="234" t="n"/>
      <c r="AL146" s="235" t="n"/>
      <c r="AM146" s="234" t="n"/>
      <c r="AN146" s="233" t="n"/>
      <c r="AO146" s="234" t="n"/>
      <c r="AP146" s="235" t="n"/>
      <c r="AQ146" s="234" t="n"/>
      <c r="AR146" s="233" t="n"/>
      <c r="AS146" s="234" t="n"/>
      <c r="AT146" s="235" t="n"/>
      <c r="AU146" s="234" t="n"/>
      <c r="AV146" s="233" t="n"/>
      <c r="AW146" s="234" t="n"/>
      <c r="AX146" s="235" t="n"/>
      <c r="AY146" s="234" t="n"/>
      <c r="AZ146" s="233" t="n"/>
      <c r="BA146" s="234" t="n"/>
      <c r="BB146" s="235" t="n"/>
      <c r="BC146" s="234" t="n"/>
      <c r="BD146" s="233" t="n"/>
      <c r="BE146" s="234" t="n"/>
      <c r="BF146" s="235" t="n"/>
      <c r="BG146" s="234" t="n"/>
      <c r="BH146" s="233">
        <f>SUMPRODUCT(--(MOD(COLUMN($L146:$BG146),4)=MOD(COLUMN($L146),4)),$L146:$BG146)</f>
        <v/>
      </c>
      <c r="BI146" s="238">
        <f>Автовик_разбивка[[#This Row],[Цена, 
юань, без НДС 1]]*BH146</f>
        <v/>
      </c>
      <c r="BJ146" s="234">
        <f>SUMPRODUCT(--(MOD(COLUMN($L146:$BG146),4)=MOD(COLUMN($L146)+1,4)),$L146:$BG146)</f>
        <v/>
      </c>
      <c r="BK146" s="253">
        <f>Автовик_разбивка[[#This Row],[Цена, 
юань, без НДС 1]]*BJ146</f>
        <v/>
      </c>
      <c r="BL146" s="235">
        <f>SUMPRODUCT(--(MOD(COLUMN($L146:$BG146),4)=MOD(COLUMN($L146)+2,4)),$L146:$BG146)</f>
        <v/>
      </c>
      <c r="BM146" s="254">
        <f>Автовик_разбивка[[#This Row],[Цена, 
юань, без НДС 1]]*BL146</f>
        <v/>
      </c>
      <c r="BN146" s="233" t="n"/>
      <c r="BO146" s="241" t="n"/>
      <c r="BP146" s="234" t="n"/>
      <c r="BQ146" s="235" t="n"/>
      <c r="BR146" s="234" t="n"/>
      <c r="BS146" s="233" t="n"/>
      <c r="BT146" s="241" t="n"/>
      <c r="BU146" s="234" t="n"/>
      <c r="BV146" s="235" t="n"/>
      <c r="BW146" s="234" t="n"/>
      <c r="BX146" s="233" t="n"/>
      <c r="BY146" s="241" t="n"/>
      <c r="BZ146" s="234" t="n"/>
      <c r="CA146" s="235" t="n"/>
      <c r="CB146" s="234" t="n"/>
      <c r="CC146" s="233" t="n"/>
      <c r="CD146" s="241" t="n"/>
      <c r="CE146" s="234" t="n"/>
      <c r="CF146" s="235" t="n"/>
      <c r="CG146" s="234" t="n"/>
      <c r="CH146" s="233" t="n"/>
      <c r="CI146" s="241" t="n"/>
      <c r="CJ146" s="234" t="n"/>
      <c r="CK146" s="235" t="n"/>
      <c r="CL146" s="234" t="n"/>
      <c r="CM146" s="233" t="n"/>
      <c r="CN146" s="241" t="n"/>
      <c r="CO146" s="234" t="n"/>
      <c r="CP146" s="235" t="n"/>
      <c r="CQ146" s="234" t="n"/>
      <c r="CR146" s="233" t="n"/>
      <c r="CS146" s="241" t="n"/>
      <c r="CT146" s="234" t="n"/>
      <c r="CU146" s="235" t="n"/>
      <c r="CV146" s="234" t="n"/>
      <c r="CW146" s="233" t="n"/>
      <c r="CX146" s="241" t="n"/>
      <c r="CY146" s="234" t="n"/>
      <c r="CZ146" s="235" t="n"/>
      <c r="DA146" s="234" t="n"/>
      <c r="DB146" s="233" t="n"/>
      <c r="DC146" s="241" t="n"/>
      <c r="DD146" s="234" t="n"/>
      <c r="DE146" s="235" t="n"/>
      <c r="DF146" s="234" t="n"/>
      <c r="DG146" s="233" t="n"/>
      <c r="DH146" s="241" t="n"/>
      <c r="DI146" s="234" t="n"/>
      <c r="DJ146" s="235" t="n"/>
      <c r="DK146" s="234" t="n"/>
      <c r="DL146" s="233" t="n"/>
      <c r="DM146" s="241" t="n"/>
      <c r="DN146" s="234" t="n"/>
      <c r="DO146" s="235" t="n"/>
      <c r="DP146" s="234" t="n"/>
      <c r="DQ146" s="233" t="n"/>
      <c r="DR146" s="241" t="n"/>
      <c r="DS146" s="234" t="n"/>
      <c r="DT146" s="235" t="n"/>
      <c r="DU146" s="234" t="n"/>
      <c r="DV146" s="233">
        <f>SUMPRODUCT(--(MOD(COLUMN($BN146:$DU146),5)=MOD(COLUMN($BN146),5)),$BN146:$DU146)</f>
        <v/>
      </c>
      <c r="DW146" s="238">
        <f>Автовик_разбивка[[#This Row],[Цена, 
юань, без НДС 1]]*DV146</f>
        <v/>
      </c>
      <c r="DX146" s="242">
        <f>SUMPRODUCT(--(MOD(COLUMN($BN146:$DU146),5)=MOD(COLUMN($BN146)+1,5)),$BN146:$DU146)</f>
        <v/>
      </c>
      <c r="DY146" s="242">
        <f>Автовик_разбивка[[#This Row],[Цена, 
юань, без НДС 1]]*DX146</f>
        <v/>
      </c>
      <c r="DZ146" s="234">
        <f>SUMPRODUCT(--(MOD(COLUMN($BN146:$DU146),5)=MOD(COLUMN($BN146)+2,5)),$BN146:$DU146)</f>
        <v/>
      </c>
      <c r="EA146" s="253">
        <f>Автовик_разбивка[[#This Row],[Цена, 
юань, без НДС 1]]*DZ146</f>
        <v/>
      </c>
      <c r="EB146" s="235">
        <f>SUMPRODUCT(--(MOD(COLUMN($BN146:$DU146),5)=MOD(COLUMN($BN146)+3,5)),$BN146:$DU146)</f>
        <v/>
      </c>
      <c r="EC146" s="254">
        <f>Автовик_разбивка[[#This Row],[Цена, 
юань, без НДС 1]]*EB146</f>
        <v/>
      </c>
    </row>
    <row r="147">
      <c r="A147" s="256" t="n">
        <v>22</v>
      </c>
      <c r="B147" s="243" t="inlineStr">
        <is>
          <t>ЧКПЗ</t>
        </is>
      </c>
      <c r="C147" s="244" t="n"/>
      <c r="D147" s="244" t="n"/>
      <c r="E147" s="245" t="n"/>
      <c r="F147" s="245" t="n"/>
      <c r="G147" s="245" t="n"/>
      <c r="H147" s="246" t="n"/>
      <c r="I147" s="247" t="n"/>
      <c r="J147" s="915" t="n"/>
      <c r="K147" s="915" t="n"/>
      <c r="L147" s="249" t="n"/>
      <c r="M147" s="249" t="n"/>
      <c r="N147" s="249" t="n"/>
      <c r="O147" s="249" t="n"/>
      <c r="P147" s="249" t="n"/>
      <c r="Q147" s="249" t="n"/>
      <c r="R147" s="249" t="n"/>
      <c r="S147" s="249" t="n"/>
      <c r="T147" s="249" t="n"/>
      <c r="U147" s="249" t="n"/>
      <c r="V147" s="249" t="n"/>
      <c r="W147" s="249" t="n"/>
      <c r="X147" s="249" t="n"/>
      <c r="Y147" s="249" t="n"/>
      <c r="Z147" s="249" t="n"/>
      <c r="AA147" s="249" t="n"/>
      <c r="AB147" s="249" t="n"/>
      <c r="AC147" s="249" t="n"/>
      <c r="AD147" s="249" t="n"/>
      <c r="AE147" s="249" t="n"/>
      <c r="AF147" s="249" t="n"/>
      <c r="AG147" s="249" t="n"/>
      <c r="AH147" s="249" t="n"/>
      <c r="AI147" s="249" t="n"/>
      <c r="AJ147" s="249" t="n"/>
      <c r="AK147" s="249" t="n"/>
      <c r="AL147" s="249" t="n"/>
      <c r="AM147" s="249" t="n"/>
      <c r="AN147" s="249" t="n"/>
      <c r="AO147" s="249" t="n"/>
      <c r="AP147" s="249" t="n"/>
      <c r="AQ147" s="249" t="n"/>
      <c r="AR147" s="249" t="n"/>
      <c r="AS147" s="249" t="n"/>
      <c r="AT147" s="249" t="n"/>
      <c r="AU147" s="249" t="n"/>
      <c r="AV147" s="249" t="n"/>
      <c r="AW147" s="249" t="n"/>
      <c r="AX147" s="250" t="n"/>
      <c r="AY147" s="249" t="n"/>
      <c r="AZ147" s="250" t="n"/>
      <c r="BA147" s="250" t="n"/>
      <c r="BB147" s="250" t="n"/>
      <c r="BC147" s="249" t="n"/>
      <c r="BD147" s="250" t="n"/>
      <c r="BE147" s="250" t="n"/>
      <c r="BF147" s="250" t="n"/>
      <c r="BG147" s="249" t="n"/>
      <c r="BH147" s="250">
        <f>SUMPRODUCT(--(MOD(COLUMN($L147:$BG147),4)=MOD(COLUMN($L147),4)),$L147:$BG147)</f>
        <v/>
      </c>
      <c r="BI147" s="251">
        <f>Автовик_разбивка[[#This Row],[Цена, 
юань, без НДС 1]]*BH147</f>
        <v/>
      </c>
      <c r="BJ147" s="250">
        <f>SUMPRODUCT(--(MOD(COLUMN($L147:$BG147),4)=MOD(COLUMN($L147)+1,4)),$L147:$BG147)</f>
        <v/>
      </c>
      <c r="BK147" s="251">
        <f>Автовик_разбивка[[#This Row],[Цена, 
юань, без НДС 1]]*BJ147</f>
        <v/>
      </c>
      <c r="BL147" s="250">
        <f>SUMPRODUCT(--(MOD(COLUMN($L147:$BG147),4)=MOD(COLUMN($L147)+2,4)),$L147:$BG147)</f>
        <v/>
      </c>
      <c r="BM147" s="251">
        <f>Автовик_разбивка[[#This Row],[Цена, 
юань, без НДС 1]]*BL147</f>
        <v/>
      </c>
      <c r="BN147" s="249" t="n"/>
      <c r="BO147" s="249" t="n"/>
      <c r="BP147" s="249" t="n"/>
      <c r="BQ147" s="249" t="n"/>
      <c r="BR147" s="249" t="n"/>
      <c r="BS147" s="249" t="n"/>
      <c r="BT147" s="249" t="n"/>
      <c r="BU147" s="249" t="n"/>
      <c r="BV147" s="249" t="n"/>
      <c r="BW147" s="249" t="n"/>
      <c r="BX147" s="249" t="n"/>
      <c r="BY147" s="249" t="n"/>
      <c r="BZ147" s="249" t="n"/>
      <c r="CA147" s="249" t="n"/>
      <c r="CB147" s="249" t="n"/>
      <c r="CC147" s="249" t="n"/>
      <c r="CD147" s="249" t="n"/>
      <c r="CE147" s="249" t="n"/>
      <c r="CF147" s="249" t="n"/>
      <c r="CG147" s="249" t="n"/>
      <c r="CH147" s="249" t="n"/>
      <c r="CI147" s="249" t="n"/>
      <c r="CJ147" s="249" t="n"/>
      <c r="CK147" s="249" t="n"/>
      <c r="CL147" s="249" t="n"/>
      <c r="CM147" s="249" t="n"/>
      <c r="CN147" s="249" t="n"/>
      <c r="CO147" s="249" t="n"/>
      <c r="CP147" s="249" t="n"/>
      <c r="CQ147" s="249" t="n"/>
      <c r="CR147" s="249" t="n"/>
      <c r="CS147" s="249" t="n"/>
      <c r="CT147" s="249" t="n"/>
      <c r="CU147" s="249" t="n"/>
      <c r="CV147" s="249" t="n"/>
      <c r="CW147" s="249" t="n"/>
      <c r="CX147" s="249" t="n"/>
      <c r="CY147" s="249" t="n"/>
      <c r="CZ147" s="249" t="n"/>
      <c r="DA147" s="249" t="n"/>
      <c r="DB147" s="249" t="n"/>
      <c r="DC147" s="249" t="n"/>
      <c r="DD147" s="249" t="n"/>
      <c r="DE147" s="249" t="n"/>
      <c r="DF147" s="249" t="n"/>
      <c r="DG147" s="249" t="n"/>
      <c r="DH147" s="249" t="n"/>
      <c r="DI147" s="249" t="n"/>
      <c r="DJ147" s="250" t="n"/>
      <c r="DK147" s="249" t="n"/>
      <c r="DL147" s="250" t="n"/>
      <c r="DM147" s="250" t="n"/>
      <c r="DN147" s="250" t="n"/>
      <c r="DO147" s="250" t="n"/>
      <c r="DP147" s="249" t="n"/>
      <c r="DQ147" s="250" t="n"/>
      <c r="DR147" s="250" t="n"/>
      <c r="DS147" s="250" t="n"/>
      <c r="DT147" s="250" t="n"/>
      <c r="DU147" s="249" t="n"/>
      <c r="DV147" s="250">
        <f>SUMPRODUCT(--(MOD(COLUMN($BN147:$DU147),5)=MOD(COLUMN($BN147),5)),$BN147:$DU147)</f>
        <v/>
      </c>
      <c r="DW147" s="251">
        <f>Автовик_разбивка[[#This Row],[Цена, 
юань, без НДС 1]]*DV147</f>
        <v/>
      </c>
      <c r="DX147" s="251">
        <f>SUMPRODUCT(--(MOD(COLUMN($BN147:$DU147),5)=MOD(COLUMN($BN147)+1,5)),$BN147:$DU147)</f>
        <v/>
      </c>
      <c r="DY147" s="251">
        <f>Автовик_разбивка[[#This Row],[Цена, 
юань, без НДС 1]]*DX147</f>
        <v/>
      </c>
      <c r="DZ147" s="250">
        <f>SUMPRODUCT(--(MOD(COLUMN($BN147:$DU147),5)=MOD(COLUMN($BN147)+2,5)),$BN147:$DU147)</f>
        <v/>
      </c>
      <c r="EA147" s="251">
        <f>Автовик_разбивка[[#This Row],[Цена, 
юань, без НДС 1]]*DZ147</f>
        <v/>
      </c>
      <c r="EB147" s="250">
        <f>SUMPRODUCT(--(MOD(COLUMN($BN147:$DU147),5)=MOD(COLUMN($BN147)+3,5)),$BN147:$DU147)</f>
        <v/>
      </c>
      <c r="EC147" s="251">
        <f>Автовик_разбивка[[#This Row],[Цена, 
юань, без НДС 1]]*EB147</f>
        <v/>
      </c>
    </row>
    <row r="148">
      <c r="A148" s="256" t="n">
        <v>22</v>
      </c>
      <c r="B148" s="172" t="inlineStr">
        <is>
          <t>Ютерборг</t>
        </is>
      </c>
      <c r="C148" s="173" t="inlineStr">
        <is>
          <t>TEBS</t>
        </is>
      </c>
      <c r="D148" s="173" t="inlineStr">
        <is>
          <t>LACV</t>
        </is>
      </c>
      <c r="E148" s="174" t="n">
        <v>1</v>
      </c>
      <c r="F148" s="174" t="n"/>
      <c r="G148" s="174" t="n"/>
      <c r="H148" s="175" t="n">
        <v>4494430600</v>
      </c>
      <c r="I148" s="176" t="inlineStr">
        <is>
          <t>Кабель клапана управления подъемом оси, 6 м</t>
        </is>
      </c>
      <c r="J148" s="911" t="n"/>
      <c r="K148" s="912" t="n"/>
      <c r="L148" s="178" t="n">
        <v>0</v>
      </c>
      <c r="M148" s="130">
        <f>$E148*0</f>
        <v/>
      </c>
      <c r="N148" s="179" t="n">
        <v>0</v>
      </c>
      <c r="O148" s="130" t="n"/>
      <c r="P148" s="178" t="n">
        <v>0</v>
      </c>
      <c r="Q148" s="130">
        <f>$E148*0</f>
        <v/>
      </c>
      <c r="R148" s="179" t="n">
        <v>0</v>
      </c>
      <c r="S148" s="130" t="n"/>
      <c r="T148" s="178" t="n">
        <v>0</v>
      </c>
      <c r="U148" s="130">
        <f>$E148*0</f>
        <v/>
      </c>
      <c r="V148" s="179" t="n">
        <v>0</v>
      </c>
      <c r="W148" s="130" t="n"/>
      <c r="X148" s="178" t="n">
        <v>5</v>
      </c>
      <c r="Y148" s="130">
        <f>$E148*0</f>
        <v/>
      </c>
      <c r="Z148" s="179" t="n">
        <v>0</v>
      </c>
      <c r="AA148" s="130" t="n"/>
      <c r="AB148" s="178" t="n">
        <v>5</v>
      </c>
      <c r="AC148" s="130">
        <f>$E148*0</f>
        <v/>
      </c>
      <c r="AD148" s="179" t="n"/>
      <c r="AE148" s="130" t="n"/>
      <c r="AF148" s="178" t="n">
        <v>5</v>
      </c>
      <c r="AG148" s="130">
        <f>$E148*0</f>
        <v/>
      </c>
      <c r="AH148" s="179" t="n"/>
      <c r="AI148" s="130" t="n"/>
      <c r="AJ148" s="178" t="n">
        <v>5</v>
      </c>
      <c r="AK148" s="130">
        <f>$E148*5</f>
        <v/>
      </c>
      <c r="AL148" s="179" t="n"/>
      <c r="AM148" s="130" t="n"/>
      <c r="AN148" s="178" t="n">
        <v>5</v>
      </c>
      <c r="AO148" s="130">
        <f>$E148*5</f>
        <v/>
      </c>
      <c r="AP148" s="179" t="n"/>
      <c r="AQ148" s="130" t="n"/>
      <c r="AR148" s="178" t="n">
        <v>5</v>
      </c>
      <c r="AS148" s="130">
        <f>$E148*0</f>
        <v/>
      </c>
      <c r="AT148" s="179" t="n"/>
      <c r="AU148" s="130" t="n"/>
      <c r="AV148" s="178" t="n">
        <v>5</v>
      </c>
      <c r="AW148" s="130">
        <f>$E148*0</f>
        <v/>
      </c>
      <c r="AX148" s="179" t="n"/>
      <c r="AY148" s="130" t="n"/>
      <c r="AZ148" s="178" t="n">
        <v>5</v>
      </c>
      <c r="BA148" s="130" t="n"/>
      <c r="BB148" s="194" t="n"/>
      <c r="BC148" s="130" t="n"/>
      <c r="BD148" s="178" t="n">
        <v>5</v>
      </c>
      <c r="BE148" s="130" t="n"/>
      <c r="BF148" s="109" t="n"/>
      <c r="BG148" s="130" t="n"/>
      <c r="BH148" s="180">
        <f>SUMPRODUCT(--(MOD(COLUMN($L148:$BG148),4)=MOD(COLUMN($L148),4)),$L148:$BG148)</f>
        <v/>
      </c>
      <c r="BI148" s="181">
        <f>Автовик_разбивка[[#This Row],[Цена, 
юань, без НДС 1]]*BH148</f>
        <v/>
      </c>
      <c r="BJ148" s="130">
        <f>SUMPRODUCT(--(MOD(COLUMN($L148:$BG148),4)=MOD(COLUMN($L148)+1,4)),$L148:$BG148)</f>
        <v/>
      </c>
      <c r="BK148" s="187">
        <f>Автовик_разбивка[[#This Row],[Цена, 
юань, без НДС 1]]*BJ148</f>
        <v/>
      </c>
      <c r="BL148" s="109">
        <f>SUMPRODUCT(--(MOD(COLUMN($L148:$BG148),4)=MOD(COLUMN($L148)+2,4)),$L148:$BG148)</f>
        <v/>
      </c>
      <c r="BM148" s="224">
        <f>Автовик_разбивка[[#This Row],[Цена, 
юань, без НДС 1]]*BL148</f>
        <v/>
      </c>
      <c r="BN148" s="178" t="n"/>
      <c r="BO148" s="184" t="n"/>
      <c r="BP148" s="130" t="n"/>
      <c r="BQ148" s="179" t="n"/>
      <c r="BR148" s="130" t="n"/>
      <c r="BS148" s="178" t="n"/>
      <c r="BT148" s="184" t="n"/>
      <c r="BU148" s="130" t="n"/>
      <c r="BV148" s="179" t="n"/>
      <c r="BW148" s="130" t="n"/>
      <c r="BX148" s="178" t="n"/>
      <c r="BY148" s="184" t="n"/>
      <c r="BZ148" s="130">
        <f>$E148*5</f>
        <v/>
      </c>
      <c r="CA148" s="179" t="n"/>
      <c r="CB148" s="130" t="n"/>
      <c r="CC148" s="178" t="n"/>
      <c r="CD148" s="184" t="n"/>
      <c r="CE148" s="130">
        <f>$E148*5</f>
        <v/>
      </c>
      <c r="CF148" s="179" t="n"/>
      <c r="CG148" s="130" t="n"/>
      <c r="CH148" s="178" t="n"/>
      <c r="CI148" s="184" t="n"/>
      <c r="CJ148" s="130">
        <f>$E148*5</f>
        <v/>
      </c>
      <c r="CK148" s="179" t="n"/>
      <c r="CL148" s="130" t="n"/>
      <c r="CM148" s="178" t="n"/>
      <c r="CN148" s="184" t="n"/>
      <c r="CO148" s="130">
        <f>$E148*5</f>
        <v/>
      </c>
      <c r="CP148" s="179" t="n"/>
      <c r="CQ148" s="130" t="n"/>
      <c r="CR148" s="178" t="n"/>
      <c r="CS148" s="184" t="n"/>
      <c r="CT148" s="130">
        <f>$E148*5</f>
        <v/>
      </c>
      <c r="CU148" s="179" t="n"/>
      <c r="CV148" s="130" t="n"/>
      <c r="CW148" s="178" t="n"/>
      <c r="CX148" s="184" t="n"/>
      <c r="CY148" s="130">
        <f>$E148*5</f>
        <v/>
      </c>
      <c r="CZ148" s="179" t="n"/>
      <c r="DA148" s="130" t="n"/>
      <c r="DB148" s="178" t="n"/>
      <c r="DC148" s="184" t="n"/>
      <c r="DD148" s="130">
        <f>$E148*5</f>
        <v/>
      </c>
      <c r="DE148" s="179" t="n"/>
      <c r="DF148" s="130" t="n"/>
      <c r="DG148" s="178" t="n"/>
      <c r="DH148" s="184" t="n"/>
      <c r="DI148" s="130">
        <f>$E148*5</f>
        <v/>
      </c>
      <c r="DJ148" s="179" t="n"/>
      <c r="DK148" s="130" t="n"/>
      <c r="DL148" s="178" t="n"/>
      <c r="DM148" s="184" t="n"/>
      <c r="DN148" s="130">
        <f>$E148*5</f>
        <v/>
      </c>
      <c r="DO148" s="194" t="n"/>
      <c r="DP148" s="130" t="n"/>
      <c r="DQ148" s="178" t="n"/>
      <c r="DR148" s="184" t="n"/>
      <c r="DS148" s="130">
        <f>$E148*5</f>
        <v/>
      </c>
      <c r="DT148" s="109" t="n"/>
      <c r="DU148" s="130" t="n"/>
      <c r="DV148" s="180">
        <f>SUMPRODUCT(--(MOD(COLUMN($BN148:$DU148),5)=MOD(COLUMN($BN148),5)),$BN148:$DU148)</f>
        <v/>
      </c>
      <c r="DW148" s="181">
        <f>Автовик_разбивка[[#This Row],[Цена, 
юань, без НДС 1]]*DV148</f>
        <v/>
      </c>
      <c r="DX148" s="186">
        <f>SUMPRODUCT(--(MOD(COLUMN($BN148:$DU148),5)=MOD(COLUMN($BN148)+1,5)),$BN148:$DU148)</f>
        <v/>
      </c>
      <c r="DY148" s="186">
        <f>Автовик_разбивка[[#This Row],[Цена, 
юань, без НДС 1]]*DX148</f>
        <v/>
      </c>
      <c r="DZ148" s="130">
        <f>SUMPRODUCT(--(MOD(COLUMN($BN148:$DU148),5)=MOD(COLUMN($BN148)+2,5)),$BN148:$DU148)</f>
        <v/>
      </c>
      <c r="EA148" s="187">
        <f>Автовик_разбивка[[#This Row],[Цена, 
юань, без НДС 1]]*DZ148</f>
        <v/>
      </c>
      <c r="EB148" s="109">
        <f>SUMPRODUCT(--(MOD(COLUMN($BN148:$DU148),5)=MOD(COLUMN($BN148)+3,5)),$BN148:$DU148)</f>
        <v/>
      </c>
      <c r="EC148" s="224">
        <f>Автовик_разбивка[[#This Row],[Цена, 
юань, без НДС 1]]*EB148</f>
        <v/>
      </c>
    </row>
    <row r="149">
      <c r="A149" s="256" t="n">
        <v>22</v>
      </c>
      <c r="B149" s="172" t="inlineStr">
        <is>
          <t>Ютерборг</t>
        </is>
      </c>
      <c r="C149" s="173" t="inlineStr">
        <is>
          <t>TEBS</t>
        </is>
      </c>
      <c r="D149" s="173" t="inlineStr">
        <is>
          <t>LACV</t>
        </is>
      </c>
      <c r="E149" s="174" t="n">
        <v>1</v>
      </c>
      <c r="F149" s="174" t="n"/>
      <c r="G149" s="174" t="n"/>
      <c r="H149" s="175" t="n">
        <v>4630840310</v>
      </c>
      <c r="I149" s="176" t="inlineStr">
        <is>
          <t>Клапан управления подъемом оси (LACV)</t>
        </is>
      </c>
      <c r="J149" s="911" t="n"/>
      <c r="K149" s="912" t="n"/>
      <c r="L149" s="178" t="n">
        <v>0</v>
      </c>
      <c r="M149" s="130">
        <f>$E149*0</f>
        <v/>
      </c>
      <c r="N149" s="179" t="n">
        <v>0</v>
      </c>
      <c r="O149" s="130" t="n"/>
      <c r="P149" s="178" t="n">
        <v>0</v>
      </c>
      <c r="Q149" s="130">
        <f>$E149*0</f>
        <v/>
      </c>
      <c r="R149" s="179" t="n">
        <v>0</v>
      </c>
      <c r="S149" s="130" t="n"/>
      <c r="T149" s="178" t="n">
        <v>0</v>
      </c>
      <c r="U149" s="130">
        <f>$E149*0</f>
        <v/>
      </c>
      <c r="V149" s="179" t="n">
        <v>0</v>
      </c>
      <c r="W149" s="130" t="n"/>
      <c r="X149" s="178" t="n">
        <v>5</v>
      </c>
      <c r="Y149" s="130">
        <f>$E149*0</f>
        <v/>
      </c>
      <c r="Z149" s="179" t="n">
        <v>0</v>
      </c>
      <c r="AA149" s="130" t="n"/>
      <c r="AB149" s="178" t="n">
        <v>5</v>
      </c>
      <c r="AC149" s="130">
        <f>$E149*0</f>
        <v/>
      </c>
      <c r="AD149" s="179" t="n"/>
      <c r="AE149" s="130" t="n"/>
      <c r="AF149" s="178" t="n">
        <v>5</v>
      </c>
      <c r="AG149" s="130">
        <f>$E149*0</f>
        <v/>
      </c>
      <c r="AH149" s="179" t="n"/>
      <c r="AI149" s="130" t="n"/>
      <c r="AJ149" s="178" t="n">
        <v>5</v>
      </c>
      <c r="AK149" s="130">
        <f>$E149*5</f>
        <v/>
      </c>
      <c r="AL149" s="179" t="n"/>
      <c r="AM149" s="130" t="n"/>
      <c r="AN149" s="178" t="n">
        <v>5</v>
      </c>
      <c r="AO149" s="130">
        <f>$E149*5</f>
        <v/>
      </c>
      <c r="AP149" s="179" t="n"/>
      <c r="AQ149" s="130" t="n"/>
      <c r="AR149" s="178" t="n">
        <v>5</v>
      </c>
      <c r="AS149" s="130">
        <f>$E149*0</f>
        <v/>
      </c>
      <c r="AT149" s="179" t="n"/>
      <c r="AU149" s="130" t="n"/>
      <c r="AV149" s="178" t="n">
        <v>5</v>
      </c>
      <c r="AW149" s="130">
        <f>$E149*0</f>
        <v/>
      </c>
      <c r="AX149" s="179" t="n"/>
      <c r="AY149" s="130" t="n"/>
      <c r="AZ149" s="178" t="n">
        <v>5</v>
      </c>
      <c r="BA149" s="130" t="n"/>
      <c r="BB149" s="194" t="n"/>
      <c r="BC149" s="130" t="n"/>
      <c r="BD149" s="178" t="n">
        <v>5</v>
      </c>
      <c r="BE149" s="130" t="n"/>
      <c r="BF149" s="109" t="n"/>
      <c r="BG149" s="130" t="n"/>
      <c r="BH149" s="180">
        <f>SUMPRODUCT(--(MOD(COLUMN($L149:$BG149),4)=MOD(COLUMN($L149),4)),$L149:$BG149)</f>
        <v/>
      </c>
      <c r="BI149" s="181">
        <f>Автовик_разбивка[[#This Row],[Цена, 
юань, без НДС 1]]*BH149</f>
        <v/>
      </c>
      <c r="BJ149" s="130">
        <f>SUMPRODUCT(--(MOD(COLUMN($L149:$BG149),4)=MOD(COLUMN($L149)+1,4)),$L149:$BG149)</f>
        <v/>
      </c>
      <c r="BK149" s="187">
        <f>Автовик_разбивка[[#This Row],[Цена, 
юань, без НДС 1]]*BJ149</f>
        <v/>
      </c>
      <c r="BL149" s="109">
        <f>SUMPRODUCT(--(MOD(COLUMN($L149:$BG149),4)=MOD(COLUMN($L149)+2,4)),$L149:$BG149)</f>
        <v/>
      </c>
      <c r="BM149" s="224">
        <f>Автовик_разбивка[[#This Row],[Цена, 
юань, без НДС 1]]*BL149</f>
        <v/>
      </c>
      <c r="BN149" s="178" t="n"/>
      <c r="BO149" s="184" t="n"/>
      <c r="BP149" s="130" t="n"/>
      <c r="BQ149" s="179" t="n"/>
      <c r="BR149" s="130" t="n"/>
      <c r="BS149" s="178" t="n"/>
      <c r="BT149" s="184" t="n"/>
      <c r="BU149" s="130" t="n"/>
      <c r="BV149" s="179" t="n"/>
      <c r="BW149" s="130" t="n"/>
      <c r="BX149" s="178" t="n"/>
      <c r="BY149" s="184" t="n"/>
      <c r="BZ149" s="130">
        <f>$E149*5</f>
        <v/>
      </c>
      <c r="CA149" s="179" t="n"/>
      <c r="CB149" s="130" t="n"/>
      <c r="CC149" s="178" t="n"/>
      <c r="CD149" s="184" t="n"/>
      <c r="CE149" s="130">
        <f>$E149*5</f>
        <v/>
      </c>
      <c r="CF149" s="179" t="n"/>
      <c r="CG149" s="130" t="n"/>
      <c r="CH149" s="178" t="n"/>
      <c r="CI149" s="184" t="n"/>
      <c r="CJ149" s="130">
        <f>$E149*5</f>
        <v/>
      </c>
      <c r="CK149" s="179" t="n"/>
      <c r="CL149" s="130" t="n"/>
      <c r="CM149" s="178" t="n"/>
      <c r="CN149" s="184" t="n"/>
      <c r="CO149" s="130">
        <f>$E149*5</f>
        <v/>
      </c>
      <c r="CP149" s="179" t="n"/>
      <c r="CQ149" s="130" t="n"/>
      <c r="CR149" s="178" t="n"/>
      <c r="CS149" s="184" t="n"/>
      <c r="CT149" s="130">
        <f>$E149*5</f>
        <v/>
      </c>
      <c r="CU149" s="179" t="n"/>
      <c r="CV149" s="130" t="n"/>
      <c r="CW149" s="178" t="n"/>
      <c r="CX149" s="184" t="n"/>
      <c r="CY149" s="130">
        <f>$E149*5</f>
        <v/>
      </c>
      <c r="CZ149" s="179" t="n"/>
      <c r="DA149" s="130" t="n"/>
      <c r="DB149" s="178" t="n"/>
      <c r="DC149" s="184" t="n"/>
      <c r="DD149" s="130">
        <f>$E149*5</f>
        <v/>
      </c>
      <c r="DE149" s="179" t="n"/>
      <c r="DF149" s="130" t="n"/>
      <c r="DG149" s="178" t="n"/>
      <c r="DH149" s="184" t="n"/>
      <c r="DI149" s="130">
        <f>$E149*5</f>
        <v/>
      </c>
      <c r="DJ149" s="179" t="n"/>
      <c r="DK149" s="130" t="n"/>
      <c r="DL149" s="178" t="n"/>
      <c r="DM149" s="184" t="n"/>
      <c r="DN149" s="130">
        <f>$E149*5</f>
        <v/>
      </c>
      <c r="DO149" s="194" t="n"/>
      <c r="DP149" s="130" t="n"/>
      <c r="DQ149" s="178" t="n"/>
      <c r="DR149" s="184" t="n"/>
      <c r="DS149" s="130">
        <f>$E149*5</f>
        <v/>
      </c>
      <c r="DT149" s="109" t="n"/>
      <c r="DU149" s="130" t="n"/>
      <c r="DV149" s="180">
        <f>SUMPRODUCT(--(MOD(COLUMN($BN149:$DU149),5)=MOD(COLUMN($BN149),5)),$BN149:$DU149)</f>
        <v/>
      </c>
      <c r="DW149" s="181">
        <f>Автовик_разбивка[[#This Row],[Цена, 
юань, без НДС 1]]*DV149</f>
        <v/>
      </c>
      <c r="DX149" s="186">
        <f>SUMPRODUCT(--(MOD(COLUMN($BN149:$DU149),5)=MOD(COLUMN($BN149)+1,5)),$BN149:$DU149)</f>
        <v/>
      </c>
      <c r="DY149" s="186">
        <f>Автовик_разбивка[[#This Row],[Цена, 
юань, без НДС 1]]*DX149</f>
        <v/>
      </c>
      <c r="DZ149" s="130">
        <f>SUMPRODUCT(--(MOD(COLUMN($BN149:$DU149),5)=MOD(COLUMN($BN149)+2,5)),$BN149:$DU149)</f>
        <v/>
      </c>
      <c r="EA149" s="187">
        <f>Автовик_разбивка[[#This Row],[Цена, 
юань, без НДС 1]]*DZ149</f>
        <v/>
      </c>
      <c r="EB149" s="109">
        <f>SUMPRODUCT(--(MOD(COLUMN($BN149:$DU149),5)=MOD(COLUMN($BN149)+3,5)),$BN149:$DU149)</f>
        <v/>
      </c>
      <c r="EC149" s="224">
        <f>Автовик_разбивка[[#This Row],[Цена, 
юань, без НДС 1]]*EB149</f>
        <v/>
      </c>
    </row>
    <row r="150">
      <c r="A150" s="256" t="n">
        <v>22</v>
      </c>
      <c r="B150" s="172" t="inlineStr">
        <is>
          <t>Ютерборг</t>
        </is>
      </c>
      <c r="C150" s="173" t="inlineStr">
        <is>
          <t>TEBS</t>
        </is>
      </c>
      <c r="D150" s="173" t="inlineStr">
        <is>
          <t xml:space="preserve">TEBS 2s/2m 
15м </t>
        </is>
      </c>
      <c r="E150" s="174" t="n">
        <v>1</v>
      </c>
      <c r="F150" s="174" t="n"/>
      <c r="G150" s="174" t="n"/>
      <c r="H150" s="175" t="n">
        <v>4334010030</v>
      </c>
      <c r="I150" s="176" t="inlineStr">
        <is>
          <t>Упругий элемент</t>
        </is>
      </c>
      <c r="J150" s="911" t="n"/>
      <c r="K150" s="913" t="n"/>
      <c r="L150" s="178" t="n">
        <v>0</v>
      </c>
      <c r="M150" s="130">
        <f>$E150*0</f>
        <v/>
      </c>
      <c r="N150" s="179" t="n">
        <v>0</v>
      </c>
      <c r="O150" s="130" t="n"/>
      <c r="P150" s="178" t="n">
        <v>0</v>
      </c>
      <c r="Q150" s="130">
        <f>$E150*0</f>
        <v/>
      </c>
      <c r="R150" s="179" t="n">
        <v>0</v>
      </c>
      <c r="S150" s="130" t="n"/>
      <c r="T150" s="178" t="n">
        <v>0</v>
      </c>
      <c r="U150" s="130">
        <f>$E150*0</f>
        <v/>
      </c>
      <c r="V150" s="179" t="n">
        <v>0</v>
      </c>
      <c r="W150" s="130" t="n"/>
      <c r="X150" s="178" t="n">
        <v>5</v>
      </c>
      <c r="Y150" s="130">
        <f>$E150*0</f>
        <v/>
      </c>
      <c r="Z150" s="179" t="n">
        <v>0</v>
      </c>
      <c r="AA150" s="130" t="n"/>
      <c r="AB150" s="178" t="n">
        <v>5</v>
      </c>
      <c r="AC150" s="130">
        <f>$E150*0</f>
        <v/>
      </c>
      <c r="AD150" s="109" t="n"/>
      <c r="AE150" s="252" t="n"/>
      <c r="AF150" s="178" t="n">
        <v>5</v>
      </c>
      <c r="AG150" s="130">
        <f>$E150*0</f>
        <v/>
      </c>
      <c r="AH150" s="109" t="n"/>
      <c r="AI150" s="252" t="n"/>
      <c r="AJ150" s="178" t="n">
        <v>5</v>
      </c>
      <c r="AK150" s="130">
        <f>$E150*5</f>
        <v/>
      </c>
      <c r="AL150" s="109" t="n"/>
      <c r="AM150" s="252" t="n"/>
      <c r="AN150" s="178" t="n">
        <v>5</v>
      </c>
      <c r="AO150" s="130">
        <f>$E150*5</f>
        <v/>
      </c>
      <c r="AP150" s="109" t="n"/>
      <c r="AQ150" s="252" t="n"/>
      <c r="AR150" s="178" t="n">
        <v>5</v>
      </c>
      <c r="AS150" s="130">
        <f>$E150*0</f>
        <v/>
      </c>
      <c r="AT150" s="109" t="n"/>
      <c r="AU150" s="252" t="n"/>
      <c r="AV150" s="178" t="n">
        <v>5</v>
      </c>
      <c r="AW150" s="130">
        <f>$E150*0</f>
        <v/>
      </c>
      <c r="AX150" s="109" t="n"/>
      <c r="AY150" s="252" t="n"/>
      <c r="AZ150" s="178" t="n">
        <v>5</v>
      </c>
      <c r="BA150" s="130" t="n"/>
      <c r="BB150" s="194" t="n"/>
      <c r="BC150" s="252" t="n"/>
      <c r="BD150" s="178" t="n">
        <v>5</v>
      </c>
      <c r="BE150" s="130" t="n"/>
      <c r="BF150" s="109" t="n"/>
      <c r="BG150" s="252" t="n"/>
      <c r="BH150" s="180">
        <f>SUMPRODUCT(--(MOD(COLUMN($L150:$BG150),4)=MOD(COLUMN($L150),4)),$L150:$BG150)</f>
        <v/>
      </c>
      <c r="BI150" s="181">
        <f>Автовик_разбивка[[#This Row],[Цена, 
юань, без НДС 1]]*BH150</f>
        <v/>
      </c>
      <c r="BJ150" s="130">
        <f>SUMPRODUCT(--(MOD(COLUMN($L150:$BG150),4)=MOD(COLUMN($L150)+1,4)),$L150:$BG150)</f>
        <v/>
      </c>
      <c r="BK150" s="187">
        <f>Автовик_разбивка[[#This Row],[Цена, 
юань, без НДС 1]]*BJ150</f>
        <v/>
      </c>
      <c r="BL150" s="109">
        <f>SUMPRODUCT(--(MOD(COLUMN($L150:$BG150),4)=MOD(COLUMN($L150)+2,4)),$L150:$BG150)</f>
        <v/>
      </c>
      <c r="BM150" s="224">
        <f>Автовик_разбивка[[#This Row],[Цена, 
юань, без НДС 1]]*BL150</f>
        <v/>
      </c>
      <c r="BN150" s="178" t="n"/>
      <c r="BO150" s="184" t="n"/>
      <c r="BP150" s="130" t="n"/>
      <c r="BQ150" s="179" t="n"/>
      <c r="BR150" s="130" t="n"/>
      <c r="BS150" s="178" t="n"/>
      <c r="BT150" s="184" t="n"/>
      <c r="BU150" s="130" t="n"/>
      <c r="BV150" s="179" t="n"/>
      <c r="BW150" s="130" t="n"/>
      <c r="BX150" s="178" t="n"/>
      <c r="BY150" s="184" t="n"/>
      <c r="BZ150" s="130">
        <f>$E150*5</f>
        <v/>
      </c>
      <c r="CA150" s="179" t="n"/>
      <c r="CB150" s="130" t="n"/>
      <c r="CC150" s="178" t="n"/>
      <c r="CD150" s="184" t="n"/>
      <c r="CE150" s="130">
        <f>$E150*5</f>
        <v/>
      </c>
      <c r="CF150" s="179" t="n"/>
      <c r="CG150" s="130" t="n"/>
      <c r="CH150" s="178" t="n"/>
      <c r="CI150" s="184" t="n"/>
      <c r="CJ150" s="130">
        <f>$E150*5</f>
        <v/>
      </c>
      <c r="CK150" s="109" t="n"/>
      <c r="CL150" s="252" t="n"/>
      <c r="CM150" s="178" t="n"/>
      <c r="CN150" s="184" t="n"/>
      <c r="CO150" s="130">
        <f>$E150*5</f>
        <v/>
      </c>
      <c r="CP150" s="109" t="n"/>
      <c r="CQ150" s="252" t="n"/>
      <c r="CR150" s="178" t="n"/>
      <c r="CS150" s="184" t="n"/>
      <c r="CT150" s="130">
        <f>$E150*5</f>
        <v/>
      </c>
      <c r="CU150" s="109" t="n"/>
      <c r="CV150" s="252" t="n"/>
      <c r="CW150" s="178" t="n"/>
      <c r="CX150" s="184" t="n"/>
      <c r="CY150" s="130">
        <f>$E150*5</f>
        <v/>
      </c>
      <c r="CZ150" s="109" t="n"/>
      <c r="DA150" s="252" t="n"/>
      <c r="DB150" s="178" t="n"/>
      <c r="DC150" s="184" t="n"/>
      <c r="DD150" s="130">
        <f>$E150*5</f>
        <v/>
      </c>
      <c r="DE150" s="109" t="n"/>
      <c r="DF150" s="252" t="n"/>
      <c r="DG150" s="178" t="n"/>
      <c r="DH150" s="184" t="n"/>
      <c r="DI150" s="130">
        <f>$E150*5</f>
        <v/>
      </c>
      <c r="DJ150" s="109" t="n"/>
      <c r="DK150" s="252" t="n"/>
      <c r="DL150" s="178" t="n"/>
      <c r="DM150" s="184" t="n"/>
      <c r="DN150" s="130">
        <f>$E150*5</f>
        <v/>
      </c>
      <c r="DO150" s="194" t="n"/>
      <c r="DP150" s="252" t="n"/>
      <c r="DQ150" s="178" t="n"/>
      <c r="DR150" s="184" t="n"/>
      <c r="DS150" s="130">
        <f>$E150*5</f>
        <v/>
      </c>
      <c r="DT150" s="109" t="n"/>
      <c r="DU150" s="252" t="n"/>
      <c r="DV150" s="180">
        <f>SUMPRODUCT(--(MOD(COLUMN($BN150:$DU150),5)=MOD(COLUMN($BN150),5)),$BN150:$DU150)</f>
        <v/>
      </c>
      <c r="DW150" s="181">
        <f>Автовик_разбивка[[#This Row],[Цена, 
юань, без НДС 1]]*DV150</f>
        <v/>
      </c>
      <c r="DX150" s="186">
        <f>SUMPRODUCT(--(MOD(COLUMN($BN150:$DU150),5)=MOD(COLUMN($BN150)+1,5)),$BN150:$DU150)</f>
        <v/>
      </c>
      <c r="DY150" s="186">
        <f>Автовик_разбивка[[#This Row],[Цена, 
юань, без НДС 1]]*DX150</f>
        <v/>
      </c>
      <c r="DZ150" s="130">
        <f>SUMPRODUCT(--(MOD(COLUMN($BN150:$DU150),5)=MOD(COLUMN($BN150)+2,5)),$BN150:$DU150)</f>
        <v/>
      </c>
      <c r="EA150" s="187">
        <f>Автовик_разбивка[[#This Row],[Цена, 
юань, без НДС 1]]*DZ150</f>
        <v/>
      </c>
      <c r="EB150" s="109">
        <f>SUMPRODUCT(--(MOD(COLUMN($BN150:$DU150),5)=MOD(COLUMN($BN150)+3,5)),$BN150:$DU150)</f>
        <v/>
      </c>
      <c r="EC150" s="224">
        <f>Автовик_разбивка[[#This Row],[Цена, 
юань, без НДС 1]]*EB150</f>
        <v/>
      </c>
    </row>
    <row r="151">
      <c r="A151" s="256" t="n">
        <v>22</v>
      </c>
      <c r="B151" s="172" t="inlineStr">
        <is>
          <t>Ютерборг</t>
        </is>
      </c>
      <c r="C151" s="173" t="inlineStr">
        <is>
          <t>TEBS</t>
        </is>
      </c>
      <c r="D151" s="173" t="inlineStr">
        <is>
          <t xml:space="preserve">TEBS 2s/2m 
15м </t>
        </is>
      </c>
      <c r="E151" s="174" t="n">
        <v>1</v>
      </c>
      <c r="F151" s="174" t="n"/>
      <c r="G151" s="174" t="n"/>
      <c r="H151" s="175" t="n">
        <v>4491731500</v>
      </c>
      <c r="I151" s="176" t="inlineStr">
        <is>
          <t>Кабель питания, 15 м</t>
        </is>
      </c>
      <c r="J151" s="911" t="n"/>
      <c r="K151" s="912" t="n"/>
      <c r="L151" s="178" t="n">
        <v>0</v>
      </c>
      <c r="M151" s="130">
        <f>$E151*0</f>
        <v/>
      </c>
      <c r="N151" s="179" t="n">
        <v>0</v>
      </c>
      <c r="O151" s="130" t="n"/>
      <c r="P151" s="178" t="n">
        <v>0</v>
      </c>
      <c r="Q151" s="130">
        <f>$E151*0</f>
        <v/>
      </c>
      <c r="R151" s="179" t="n">
        <v>0</v>
      </c>
      <c r="S151" s="130" t="n"/>
      <c r="T151" s="178" t="n">
        <v>0</v>
      </c>
      <c r="U151" s="130">
        <f>$E151*0</f>
        <v/>
      </c>
      <c r="V151" s="179" t="n">
        <v>0</v>
      </c>
      <c r="W151" s="130" t="n"/>
      <c r="X151" s="178" t="n">
        <v>5</v>
      </c>
      <c r="Y151" s="130">
        <f>$E151*0</f>
        <v/>
      </c>
      <c r="Z151" s="179" t="n">
        <v>0</v>
      </c>
      <c r="AA151" s="130" t="n"/>
      <c r="AB151" s="178" t="n">
        <v>5</v>
      </c>
      <c r="AC151" s="130">
        <f>$E151*0</f>
        <v/>
      </c>
      <c r="AD151" s="109" t="n"/>
      <c r="AE151" s="252" t="n"/>
      <c r="AF151" s="178" t="n">
        <v>5</v>
      </c>
      <c r="AG151" s="130">
        <f>$E151*0</f>
        <v/>
      </c>
      <c r="AH151" s="109" t="n"/>
      <c r="AI151" s="252" t="n"/>
      <c r="AJ151" s="178" t="n">
        <v>5</v>
      </c>
      <c r="AK151" s="130">
        <f>$E151*5</f>
        <v/>
      </c>
      <c r="AL151" s="109" t="n"/>
      <c r="AM151" s="252" t="n"/>
      <c r="AN151" s="178" t="n">
        <v>5</v>
      </c>
      <c r="AO151" s="130">
        <f>$E151*5</f>
        <v/>
      </c>
      <c r="AP151" s="109" t="n"/>
      <c r="AQ151" s="252" t="n"/>
      <c r="AR151" s="178" t="n">
        <v>5</v>
      </c>
      <c r="AS151" s="130">
        <f>$E151*0</f>
        <v/>
      </c>
      <c r="AT151" s="109" t="n"/>
      <c r="AU151" s="252" t="n"/>
      <c r="AV151" s="178" t="n">
        <v>5</v>
      </c>
      <c r="AW151" s="130">
        <f>$E151*0</f>
        <v/>
      </c>
      <c r="AX151" s="109" t="n"/>
      <c r="AY151" s="252" t="n"/>
      <c r="AZ151" s="178" t="n">
        <v>5</v>
      </c>
      <c r="BA151" s="130" t="n"/>
      <c r="BB151" s="193" t="n"/>
      <c r="BC151" s="252" t="n"/>
      <c r="BD151" s="178" t="n">
        <v>5</v>
      </c>
      <c r="BE151" s="130" t="n"/>
      <c r="BF151" s="109" t="n"/>
      <c r="BG151" s="252" t="n"/>
      <c r="BH151" s="180">
        <f>SUMPRODUCT(--(MOD(COLUMN($L151:$BG151),4)=MOD(COLUMN($L151),4)),$L151:$BG151)</f>
        <v/>
      </c>
      <c r="BI151" s="181">
        <f>Автовик_разбивка[[#This Row],[Цена, 
юань, без НДС 1]]*BH151</f>
        <v/>
      </c>
      <c r="BJ151" s="130">
        <f>SUMPRODUCT(--(MOD(COLUMN($L151:$BG151),4)=MOD(COLUMN($L151)+1,4)),$L151:$BG151)</f>
        <v/>
      </c>
      <c r="BK151" s="187">
        <f>Автовик_разбивка[[#This Row],[Цена, 
юань, без НДС 1]]*BJ151</f>
        <v/>
      </c>
      <c r="BL151" s="109">
        <f>SUMPRODUCT(--(MOD(COLUMN($L151:$BG151),4)=MOD(COLUMN($L151)+2,4)),$L151:$BG151)</f>
        <v/>
      </c>
      <c r="BM151" s="224">
        <f>Автовик_разбивка[[#This Row],[Цена, 
юань, без НДС 1]]*BL151</f>
        <v/>
      </c>
      <c r="BN151" s="178" t="n"/>
      <c r="BO151" s="184" t="n"/>
      <c r="BP151" s="130" t="n"/>
      <c r="BQ151" s="179" t="n"/>
      <c r="BR151" s="130" t="n"/>
      <c r="BS151" s="178" t="n"/>
      <c r="BT151" s="184" t="n"/>
      <c r="BU151" s="130" t="n"/>
      <c r="BV151" s="179" t="n"/>
      <c r="BW151" s="130" t="n"/>
      <c r="BX151" s="178" t="n"/>
      <c r="BY151" s="184" t="n"/>
      <c r="BZ151" s="130">
        <f>$E151*5</f>
        <v/>
      </c>
      <c r="CA151" s="179" t="n"/>
      <c r="CB151" s="130" t="n"/>
      <c r="CC151" s="178" t="n"/>
      <c r="CD151" s="184" t="n"/>
      <c r="CE151" s="130">
        <f>$E151*5</f>
        <v/>
      </c>
      <c r="CF151" s="179" t="n"/>
      <c r="CG151" s="130" t="n"/>
      <c r="CH151" s="178" t="n"/>
      <c r="CI151" s="184" t="n"/>
      <c r="CJ151" s="130">
        <f>$E151*5</f>
        <v/>
      </c>
      <c r="CK151" s="109" t="n"/>
      <c r="CL151" s="252" t="n"/>
      <c r="CM151" s="178" t="n"/>
      <c r="CN151" s="184" t="n"/>
      <c r="CO151" s="130">
        <f>$E151*5</f>
        <v/>
      </c>
      <c r="CP151" s="109" t="n"/>
      <c r="CQ151" s="252" t="n"/>
      <c r="CR151" s="178" t="n"/>
      <c r="CS151" s="184" t="n"/>
      <c r="CT151" s="130">
        <f>$E151*5</f>
        <v/>
      </c>
      <c r="CU151" s="109" t="n"/>
      <c r="CV151" s="252" t="n"/>
      <c r="CW151" s="178" t="n"/>
      <c r="CX151" s="184" t="n"/>
      <c r="CY151" s="130">
        <f>$E151*5</f>
        <v/>
      </c>
      <c r="CZ151" s="109" t="n"/>
      <c r="DA151" s="252" t="n"/>
      <c r="DB151" s="178" t="n"/>
      <c r="DC151" s="184" t="n"/>
      <c r="DD151" s="130">
        <f>$E151*5</f>
        <v/>
      </c>
      <c r="DE151" s="109" t="n"/>
      <c r="DF151" s="252" t="n"/>
      <c r="DG151" s="178" t="n"/>
      <c r="DH151" s="184" t="n"/>
      <c r="DI151" s="130">
        <f>$E151*5</f>
        <v/>
      </c>
      <c r="DJ151" s="109" t="n"/>
      <c r="DK151" s="252" t="n"/>
      <c r="DL151" s="178" t="n"/>
      <c r="DM151" s="184" t="n"/>
      <c r="DN151" s="130">
        <f>$E151*5</f>
        <v/>
      </c>
      <c r="DO151" s="193" t="n"/>
      <c r="DP151" s="252" t="n"/>
      <c r="DQ151" s="178" t="n"/>
      <c r="DR151" s="184" t="n"/>
      <c r="DS151" s="130">
        <f>$E151*5</f>
        <v/>
      </c>
      <c r="DT151" s="109" t="n"/>
      <c r="DU151" s="252" t="n"/>
      <c r="DV151" s="180">
        <f>SUMPRODUCT(--(MOD(COLUMN($BN151:$DU151),5)=MOD(COLUMN($BN151),5)),$BN151:$DU151)</f>
        <v/>
      </c>
      <c r="DW151" s="181">
        <f>Автовик_разбивка[[#This Row],[Цена, 
юань, без НДС 1]]*DV151</f>
        <v/>
      </c>
      <c r="DX151" s="186">
        <f>SUMPRODUCT(--(MOD(COLUMN($BN151:$DU151),5)=MOD(COLUMN($BN151)+1,5)),$BN151:$DU151)</f>
        <v/>
      </c>
      <c r="DY151" s="186">
        <f>Автовик_разбивка[[#This Row],[Цена, 
юань, без НДС 1]]*DX151</f>
        <v/>
      </c>
      <c r="DZ151" s="130">
        <f>SUMPRODUCT(--(MOD(COLUMN($BN151:$DU151),5)=MOD(COLUMN($BN151)+2,5)),$BN151:$DU151)</f>
        <v/>
      </c>
      <c r="EA151" s="187">
        <f>Автовик_разбивка[[#This Row],[Цена, 
юань, без НДС 1]]*DZ151</f>
        <v/>
      </c>
      <c r="EB151" s="109">
        <f>SUMPRODUCT(--(MOD(COLUMN($BN151:$DU151),5)=MOD(COLUMN($BN151)+3,5)),$BN151:$DU151)</f>
        <v/>
      </c>
      <c r="EC151" s="224">
        <f>Автовик_разбивка[[#This Row],[Цена, 
юань, без НДС 1]]*EB151</f>
        <v/>
      </c>
    </row>
    <row r="152">
      <c r="A152" s="256" t="n">
        <v>22</v>
      </c>
      <c r="B152" s="172" t="inlineStr">
        <is>
          <t>Ютерборг</t>
        </is>
      </c>
      <c r="C152" s="173" t="inlineStr">
        <is>
          <t>TEBS</t>
        </is>
      </c>
      <c r="D152" s="173" t="inlineStr">
        <is>
          <t xml:space="preserve">TEBS 2s/2m 
15м </t>
        </is>
      </c>
      <c r="E152" s="174" t="n">
        <v>2</v>
      </c>
      <c r="F152" s="174" t="n"/>
      <c r="G152" s="174" t="n"/>
      <c r="H152" s="175" t="n">
        <v>4497230500</v>
      </c>
      <c r="I152" s="176" t="inlineStr">
        <is>
          <t>Кабель датчика, 5 м</t>
        </is>
      </c>
      <c r="J152" s="911" t="n"/>
      <c r="K152" s="912" t="n"/>
      <c r="L152" s="178" t="n">
        <v>0</v>
      </c>
      <c r="M152" s="130">
        <f>$E152*0</f>
        <v/>
      </c>
      <c r="N152" s="179" t="n">
        <v>0</v>
      </c>
      <c r="O152" s="130" t="n"/>
      <c r="P152" s="178" t="n">
        <v>0</v>
      </c>
      <c r="Q152" s="130">
        <f>$E152*0</f>
        <v/>
      </c>
      <c r="R152" s="179" t="n">
        <v>0</v>
      </c>
      <c r="S152" s="130" t="n"/>
      <c r="T152" s="178" t="n">
        <v>0</v>
      </c>
      <c r="U152" s="130">
        <f>$E152*0</f>
        <v/>
      </c>
      <c r="V152" s="179" t="n">
        <v>0</v>
      </c>
      <c r="W152" s="130" t="n"/>
      <c r="X152" s="178" t="n">
        <v>10</v>
      </c>
      <c r="Y152" s="130">
        <f>$E152*0</f>
        <v/>
      </c>
      <c r="Z152" s="179" t="n">
        <v>0</v>
      </c>
      <c r="AA152" s="130" t="n"/>
      <c r="AB152" s="178" t="n">
        <v>10</v>
      </c>
      <c r="AC152" s="130">
        <f>$E152*0</f>
        <v/>
      </c>
      <c r="AD152" s="109" t="n"/>
      <c r="AE152" s="252" t="n"/>
      <c r="AF152" s="178" t="n">
        <v>10</v>
      </c>
      <c r="AG152" s="130">
        <f>$E152*0</f>
        <v/>
      </c>
      <c r="AH152" s="109" t="n"/>
      <c r="AI152" s="252" t="n"/>
      <c r="AJ152" s="178" t="n">
        <v>10</v>
      </c>
      <c r="AK152" s="130">
        <f>$E152*5</f>
        <v/>
      </c>
      <c r="AL152" s="109" t="n"/>
      <c r="AM152" s="252" t="n"/>
      <c r="AN152" s="178" t="n">
        <v>10</v>
      </c>
      <c r="AO152" s="130">
        <f>$E152*5</f>
        <v/>
      </c>
      <c r="AP152" s="109" t="n"/>
      <c r="AQ152" s="252" t="n"/>
      <c r="AR152" s="178" t="n">
        <v>10</v>
      </c>
      <c r="AS152" s="130">
        <f>$E152*0</f>
        <v/>
      </c>
      <c r="AT152" s="109" t="n"/>
      <c r="AU152" s="252" t="n"/>
      <c r="AV152" s="178" t="n">
        <v>10</v>
      </c>
      <c r="AW152" s="130">
        <f>$E152*0</f>
        <v/>
      </c>
      <c r="AX152" s="109" t="n"/>
      <c r="AY152" s="252" t="n"/>
      <c r="AZ152" s="178" t="n">
        <v>10</v>
      </c>
      <c r="BA152" s="130" t="n"/>
      <c r="BB152" s="193" t="n"/>
      <c r="BC152" s="252" t="n"/>
      <c r="BD152" s="178" t="n">
        <v>10</v>
      </c>
      <c r="BE152" s="130" t="n"/>
      <c r="BF152" s="109" t="n"/>
      <c r="BG152" s="252" t="n"/>
      <c r="BH152" s="180">
        <f>SUMPRODUCT(--(MOD(COLUMN($L152:$BG152),4)=MOD(COLUMN($L152),4)),$L152:$BG152)</f>
        <v/>
      </c>
      <c r="BI152" s="181">
        <f>Автовик_разбивка[[#This Row],[Цена, 
юань, без НДС 1]]*BH152</f>
        <v/>
      </c>
      <c r="BJ152" s="130">
        <f>SUMPRODUCT(--(MOD(COLUMN($L152:$BG152),4)=MOD(COLUMN($L152)+1,4)),$L152:$BG152)</f>
        <v/>
      </c>
      <c r="BK152" s="187">
        <f>Автовик_разбивка[[#This Row],[Цена, 
юань, без НДС 1]]*BJ152</f>
        <v/>
      </c>
      <c r="BL152" s="109">
        <f>SUMPRODUCT(--(MOD(COLUMN($L152:$BG152),4)=MOD(COLUMN($L152)+2,4)),$L152:$BG152)</f>
        <v/>
      </c>
      <c r="BM152" s="224">
        <f>Автовик_разбивка[[#This Row],[Цена, 
юань, без НДС 1]]*BL152</f>
        <v/>
      </c>
      <c r="BN152" s="178" t="n"/>
      <c r="BO152" s="184" t="n"/>
      <c r="BP152" s="130" t="n"/>
      <c r="BQ152" s="179" t="n"/>
      <c r="BR152" s="130" t="n"/>
      <c r="BS152" s="178" t="n"/>
      <c r="BT152" s="184" t="n"/>
      <c r="BU152" s="130" t="n"/>
      <c r="BV152" s="179" t="n"/>
      <c r="BW152" s="130" t="n"/>
      <c r="BX152" s="178" t="n"/>
      <c r="BY152" s="184" t="n"/>
      <c r="BZ152" s="130">
        <f>$E152*5</f>
        <v/>
      </c>
      <c r="CA152" s="179" t="n"/>
      <c r="CB152" s="130" t="n"/>
      <c r="CC152" s="178" t="n"/>
      <c r="CD152" s="184" t="n"/>
      <c r="CE152" s="130">
        <f>$E152*5</f>
        <v/>
      </c>
      <c r="CF152" s="179" t="n"/>
      <c r="CG152" s="130" t="n"/>
      <c r="CH152" s="178" t="n"/>
      <c r="CI152" s="184" t="n"/>
      <c r="CJ152" s="130">
        <f>$E152*5</f>
        <v/>
      </c>
      <c r="CK152" s="109" t="n"/>
      <c r="CL152" s="252" t="n"/>
      <c r="CM152" s="178" t="n"/>
      <c r="CN152" s="184" t="n"/>
      <c r="CO152" s="130">
        <f>$E152*5</f>
        <v/>
      </c>
      <c r="CP152" s="109" t="n"/>
      <c r="CQ152" s="252" t="n"/>
      <c r="CR152" s="178" t="n"/>
      <c r="CS152" s="184" t="n"/>
      <c r="CT152" s="130">
        <f>$E152*5</f>
        <v/>
      </c>
      <c r="CU152" s="109" t="n"/>
      <c r="CV152" s="252" t="n"/>
      <c r="CW152" s="178" t="n"/>
      <c r="CX152" s="184" t="n"/>
      <c r="CY152" s="130">
        <f>$E152*5</f>
        <v/>
      </c>
      <c r="CZ152" s="109" t="n"/>
      <c r="DA152" s="252" t="n"/>
      <c r="DB152" s="178" t="n"/>
      <c r="DC152" s="184" t="n"/>
      <c r="DD152" s="130">
        <f>$E152*5</f>
        <v/>
      </c>
      <c r="DE152" s="109" t="n"/>
      <c r="DF152" s="252" t="n"/>
      <c r="DG152" s="178" t="n"/>
      <c r="DH152" s="184" t="n"/>
      <c r="DI152" s="130">
        <f>$E152*5</f>
        <v/>
      </c>
      <c r="DJ152" s="109" t="n"/>
      <c r="DK152" s="252" t="n"/>
      <c r="DL152" s="178" t="n"/>
      <c r="DM152" s="184" t="n"/>
      <c r="DN152" s="130">
        <f>$E152*5</f>
        <v/>
      </c>
      <c r="DO152" s="193" t="n"/>
      <c r="DP152" s="252" t="n"/>
      <c r="DQ152" s="178" t="n"/>
      <c r="DR152" s="184" t="n"/>
      <c r="DS152" s="130">
        <f>$E152*5</f>
        <v/>
      </c>
      <c r="DT152" s="109" t="n"/>
      <c r="DU152" s="252" t="n"/>
      <c r="DV152" s="180">
        <f>SUMPRODUCT(--(MOD(COLUMN($BN152:$DU152),5)=MOD(COLUMN($BN152),5)),$BN152:$DU152)</f>
        <v/>
      </c>
      <c r="DW152" s="181">
        <f>Автовик_разбивка[[#This Row],[Цена, 
юань, без НДС 1]]*DV152</f>
        <v/>
      </c>
      <c r="DX152" s="186">
        <f>SUMPRODUCT(--(MOD(COLUMN($BN152:$DU152),5)=MOD(COLUMN($BN152)+1,5)),$BN152:$DU152)</f>
        <v/>
      </c>
      <c r="DY152" s="186">
        <f>Автовик_разбивка[[#This Row],[Цена, 
юань, без НДС 1]]*DX152</f>
        <v/>
      </c>
      <c r="DZ152" s="130">
        <f>SUMPRODUCT(--(MOD(COLUMN($BN152:$DU152),5)=MOD(COLUMN($BN152)+2,5)),$BN152:$DU152)</f>
        <v/>
      </c>
      <c r="EA152" s="187">
        <f>Автовик_разбивка[[#This Row],[Цена, 
юань, без НДС 1]]*DZ152</f>
        <v/>
      </c>
      <c r="EB152" s="109">
        <f>SUMPRODUCT(--(MOD(COLUMN($BN152:$DU152),5)=MOD(COLUMN($BN152)+3,5)),$BN152:$DU152)</f>
        <v/>
      </c>
      <c r="EC152" s="224">
        <f>Автовик_разбивка[[#This Row],[Цена, 
юань, без НДС 1]]*EB152</f>
        <v/>
      </c>
    </row>
    <row r="153">
      <c r="A153" s="256" t="n">
        <v>22</v>
      </c>
      <c r="B153" s="172" t="inlineStr">
        <is>
          <t>Ютерборг</t>
        </is>
      </c>
      <c r="C153" s="173" t="inlineStr">
        <is>
          <t>TEBS</t>
        </is>
      </c>
      <c r="D153" s="173" t="inlineStr">
        <is>
          <t xml:space="preserve">TEBS 2s/2m 
15м </t>
        </is>
      </c>
      <c r="E153" s="174" t="n">
        <v>1</v>
      </c>
      <c r="F153" s="174" t="n"/>
      <c r="G153" s="174" t="n"/>
      <c r="H153" s="175" t="n">
        <v>4630320200</v>
      </c>
      <c r="I153" s="176" t="inlineStr">
        <is>
          <t>Кран ручного управления</t>
        </is>
      </c>
      <c r="J153" s="911" t="n"/>
      <c r="K153" s="913" t="n"/>
      <c r="L153" s="178" t="n">
        <v>0</v>
      </c>
      <c r="M153" s="130">
        <f>$E153*0</f>
        <v/>
      </c>
      <c r="N153" s="179" t="n">
        <v>0</v>
      </c>
      <c r="O153" s="130" t="n"/>
      <c r="P153" s="178" t="n">
        <v>0</v>
      </c>
      <c r="Q153" s="130">
        <f>$E153*0</f>
        <v/>
      </c>
      <c r="R153" s="179" t="n">
        <v>0</v>
      </c>
      <c r="S153" s="130" t="n"/>
      <c r="T153" s="178" t="n">
        <v>0</v>
      </c>
      <c r="U153" s="130">
        <f>$E153*0</f>
        <v/>
      </c>
      <c r="V153" s="179" t="n">
        <v>0</v>
      </c>
      <c r="W153" s="130" t="n"/>
      <c r="X153" s="178" t="n">
        <v>5</v>
      </c>
      <c r="Y153" s="130">
        <f>$E153*0</f>
        <v/>
      </c>
      <c r="Z153" s="179" t="n">
        <v>0</v>
      </c>
      <c r="AA153" s="130" t="n"/>
      <c r="AB153" s="178" t="n">
        <v>5</v>
      </c>
      <c r="AC153" s="130">
        <f>$E153*0</f>
        <v/>
      </c>
      <c r="AD153" s="109" t="n"/>
      <c r="AE153" s="252" t="n"/>
      <c r="AF153" s="178" t="n">
        <v>5</v>
      </c>
      <c r="AG153" s="130">
        <f>$E153*0</f>
        <v/>
      </c>
      <c r="AH153" s="109" t="n"/>
      <c r="AI153" s="252" t="n"/>
      <c r="AJ153" s="178" t="n">
        <v>5</v>
      </c>
      <c r="AK153" s="130">
        <f>$E153*5</f>
        <v/>
      </c>
      <c r="AL153" s="109" t="n"/>
      <c r="AM153" s="252" t="n"/>
      <c r="AN153" s="178" t="n">
        <v>5</v>
      </c>
      <c r="AO153" s="130">
        <f>$E153*5</f>
        <v/>
      </c>
      <c r="AP153" s="109" t="n"/>
      <c r="AQ153" s="252" t="n"/>
      <c r="AR153" s="178" t="n">
        <v>5</v>
      </c>
      <c r="AS153" s="130">
        <f>$E153*0</f>
        <v/>
      </c>
      <c r="AT153" s="109" t="n"/>
      <c r="AU153" s="252" t="n"/>
      <c r="AV153" s="178" t="n">
        <v>5</v>
      </c>
      <c r="AW153" s="130">
        <f>$E153*0</f>
        <v/>
      </c>
      <c r="AX153" s="109" t="n"/>
      <c r="AY153" s="252" t="n"/>
      <c r="AZ153" s="178" t="n">
        <v>5</v>
      </c>
      <c r="BA153" s="130" t="n"/>
      <c r="BB153" s="194" t="n"/>
      <c r="BC153" s="252" t="n"/>
      <c r="BD153" s="178" t="n">
        <v>5</v>
      </c>
      <c r="BE153" s="130" t="n"/>
      <c r="BF153" s="109" t="n"/>
      <c r="BG153" s="252" t="n"/>
      <c r="BH153" s="180">
        <f>SUMPRODUCT(--(MOD(COLUMN($L153:$BG153),4)=MOD(COLUMN($L153),4)),$L153:$BG153)</f>
        <v/>
      </c>
      <c r="BI153" s="181">
        <f>Автовик_разбивка[[#This Row],[Цена, 
юань, без НДС 1]]*BH153</f>
        <v/>
      </c>
      <c r="BJ153" s="130">
        <f>SUMPRODUCT(--(MOD(COLUMN($L153:$BG153),4)=MOD(COLUMN($L153)+1,4)),$L153:$BG153)</f>
        <v/>
      </c>
      <c r="BK153" s="187">
        <f>Автовик_разбивка[[#This Row],[Цена, 
юань, без НДС 1]]*BJ153</f>
        <v/>
      </c>
      <c r="BL153" s="109">
        <f>SUMPRODUCT(--(MOD(COLUMN($L153:$BG153),4)=MOD(COLUMN($L153)+2,4)),$L153:$BG153)</f>
        <v/>
      </c>
      <c r="BM153" s="224">
        <f>Автовик_разбивка[[#This Row],[Цена, 
юань, без НДС 1]]*BL153</f>
        <v/>
      </c>
      <c r="BN153" s="178" t="n"/>
      <c r="BO153" s="184" t="n"/>
      <c r="BP153" s="130" t="n"/>
      <c r="BQ153" s="179" t="n"/>
      <c r="BR153" s="130" t="n"/>
      <c r="BS153" s="178" t="n"/>
      <c r="BT153" s="184" t="n"/>
      <c r="BU153" s="130" t="n"/>
      <c r="BV153" s="179" t="n"/>
      <c r="BW153" s="130" t="n"/>
      <c r="BX153" s="178" t="n"/>
      <c r="BY153" s="184" t="n"/>
      <c r="BZ153" s="130">
        <f>$E153*5</f>
        <v/>
      </c>
      <c r="CA153" s="179" t="n"/>
      <c r="CB153" s="130" t="n"/>
      <c r="CC153" s="178" t="n"/>
      <c r="CD153" s="184" t="n"/>
      <c r="CE153" s="130">
        <f>$E153*5</f>
        <v/>
      </c>
      <c r="CF153" s="179" t="n"/>
      <c r="CG153" s="130" t="n"/>
      <c r="CH153" s="178" t="n"/>
      <c r="CI153" s="184" t="n"/>
      <c r="CJ153" s="130">
        <f>$E153*5</f>
        <v/>
      </c>
      <c r="CK153" s="109" t="n"/>
      <c r="CL153" s="252" t="n"/>
      <c r="CM153" s="178" t="n"/>
      <c r="CN153" s="184" t="n"/>
      <c r="CO153" s="130">
        <f>$E153*5</f>
        <v/>
      </c>
      <c r="CP153" s="109" t="n"/>
      <c r="CQ153" s="252" t="n"/>
      <c r="CR153" s="178" t="n"/>
      <c r="CS153" s="184" t="n"/>
      <c r="CT153" s="130">
        <f>$E153*5</f>
        <v/>
      </c>
      <c r="CU153" s="109" t="n"/>
      <c r="CV153" s="252" t="n"/>
      <c r="CW153" s="178" t="n"/>
      <c r="CX153" s="184" t="n"/>
      <c r="CY153" s="130">
        <f>$E153*5</f>
        <v/>
      </c>
      <c r="CZ153" s="109" t="n"/>
      <c r="DA153" s="252" t="n"/>
      <c r="DB153" s="178" t="n"/>
      <c r="DC153" s="184" t="n"/>
      <c r="DD153" s="130">
        <f>$E153*5</f>
        <v/>
      </c>
      <c r="DE153" s="109" t="n"/>
      <c r="DF153" s="252" t="n"/>
      <c r="DG153" s="178" t="n"/>
      <c r="DH153" s="184" t="n"/>
      <c r="DI153" s="130">
        <f>$E153*5</f>
        <v/>
      </c>
      <c r="DJ153" s="109" t="n"/>
      <c r="DK153" s="252" t="n"/>
      <c r="DL153" s="178" t="n"/>
      <c r="DM153" s="184" t="n"/>
      <c r="DN153" s="130">
        <f>$E153*5</f>
        <v/>
      </c>
      <c r="DO153" s="194" t="n"/>
      <c r="DP153" s="252" t="n"/>
      <c r="DQ153" s="178" t="n"/>
      <c r="DR153" s="184" t="n"/>
      <c r="DS153" s="130">
        <f>$E153*5</f>
        <v/>
      </c>
      <c r="DT153" s="109" t="n"/>
      <c r="DU153" s="252" t="n"/>
      <c r="DV153" s="180">
        <f>SUMPRODUCT(--(MOD(COLUMN($BN153:$DU153),5)=MOD(COLUMN($BN153),5)),$BN153:$DU153)</f>
        <v/>
      </c>
      <c r="DW153" s="181">
        <f>Автовик_разбивка[[#This Row],[Цена, 
юань, без НДС 1]]*DV153</f>
        <v/>
      </c>
      <c r="DX153" s="186">
        <f>SUMPRODUCT(--(MOD(COLUMN($BN153:$DU153),5)=MOD(COLUMN($BN153)+1,5)),$BN153:$DU153)</f>
        <v/>
      </c>
      <c r="DY153" s="186">
        <f>Автовик_разбивка[[#This Row],[Цена, 
юань, без НДС 1]]*DX153</f>
        <v/>
      </c>
      <c r="DZ153" s="130">
        <f>SUMPRODUCT(--(MOD(COLUMN($BN153:$DU153),5)=MOD(COLUMN($BN153)+2,5)),$BN153:$DU153)</f>
        <v/>
      </c>
      <c r="EA153" s="187">
        <f>Автовик_разбивка[[#This Row],[Цена, 
юань, без НДС 1]]*DZ153</f>
        <v/>
      </c>
      <c r="EB153" s="109">
        <f>SUMPRODUCT(--(MOD(COLUMN($BN153:$DU153),5)=MOD(COLUMN($BN153)+3,5)),$BN153:$DU153)</f>
        <v/>
      </c>
      <c r="EC153" s="224">
        <f>Автовик_разбивка[[#This Row],[Цена, 
юань, без НДС 1]]*EB153</f>
        <v/>
      </c>
    </row>
    <row r="154">
      <c r="A154" s="256" t="n">
        <v>22</v>
      </c>
      <c r="B154" s="172" t="inlineStr">
        <is>
          <t>Ютерборг</t>
        </is>
      </c>
      <c r="C154" s="173" t="inlineStr">
        <is>
          <t>TEBS</t>
        </is>
      </c>
      <c r="D154" s="173" t="inlineStr">
        <is>
          <t xml:space="preserve">TEBS 2s/2m 
15м </t>
        </is>
      </c>
      <c r="E154" s="174" t="n">
        <v>1</v>
      </c>
      <c r="F154" s="174" t="n"/>
      <c r="G154" s="174" t="n"/>
      <c r="H154" s="175" t="n">
        <v>4640061000</v>
      </c>
      <c r="I154" s="176" t="inlineStr">
        <is>
          <t>Кран уровня пола, 5-ти портовый</t>
        </is>
      </c>
      <c r="J154" s="911" t="n"/>
      <c r="K154" s="912" t="n"/>
      <c r="L154" s="178" t="n">
        <v>0</v>
      </c>
      <c r="M154" s="130">
        <f>$E154*0</f>
        <v/>
      </c>
      <c r="N154" s="179" t="n">
        <v>0</v>
      </c>
      <c r="O154" s="130" t="n"/>
      <c r="P154" s="178" t="n">
        <v>0</v>
      </c>
      <c r="Q154" s="130">
        <f>$E154*0</f>
        <v/>
      </c>
      <c r="R154" s="179" t="n">
        <v>0</v>
      </c>
      <c r="S154" s="130" t="n"/>
      <c r="T154" s="178" t="n">
        <v>0</v>
      </c>
      <c r="U154" s="130">
        <f>$E154*0</f>
        <v/>
      </c>
      <c r="V154" s="179" t="n">
        <v>0</v>
      </c>
      <c r="W154" s="130" t="n"/>
      <c r="X154" s="178" t="n">
        <v>5</v>
      </c>
      <c r="Y154" s="130">
        <f>$E154*0</f>
        <v/>
      </c>
      <c r="Z154" s="179" t="n">
        <v>0</v>
      </c>
      <c r="AA154" s="130" t="n"/>
      <c r="AB154" s="178" t="n">
        <v>5</v>
      </c>
      <c r="AC154" s="130">
        <f>$E154*0</f>
        <v/>
      </c>
      <c r="AD154" s="109" t="n"/>
      <c r="AE154" s="252" t="n"/>
      <c r="AF154" s="178" t="n">
        <v>5</v>
      </c>
      <c r="AG154" s="130">
        <f>$E154*0</f>
        <v/>
      </c>
      <c r="AH154" s="109" t="n"/>
      <c r="AI154" s="252" t="n"/>
      <c r="AJ154" s="178" t="n">
        <v>5</v>
      </c>
      <c r="AK154" s="130">
        <f>$E154*5</f>
        <v/>
      </c>
      <c r="AL154" s="109" t="n"/>
      <c r="AM154" s="252" t="n"/>
      <c r="AN154" s="178" t="n">
        <v>5</v>
      </c>
      <c r="AO154" s="130">
        <f>$E154*5</f>
        <v/>
      </c>
      <c r="AP154" s="109" t="n"/>
      <c r="AQ154" s="252" t="n"/>
      <c r="AR154" s="178" t="n">
        <v>5</v>
      </c>
      <c r="AS154" s="130">
        <f>$E154*0</f>
        <v/>
      </c>
      <c r="AT154" s="109" t="n"/>
      <c r="AU154" s="252" t="n"/>
      <c r="AV154" s="178" t="n">
        <v>5</v>
      </c>
      <c r="AW154" s="130">
        <f>$E154*0</f>
        <v/>
      </c>
      <c r="AX154" s="109" t="n"/>
      <c r="AY154" s="252" t="n"/>
      <c r="AZ154" s="178" t="n">
        <v>5</v>
      </c>
      <c r="BA154" s="130" t="n"/>
      <c r="BB154" s="179" t="n"/>
      <c r="BC154" s="252" t="n"/>
      <c r="BD154" s="178" t="n">
        <v>5</v>
      </c>
      <c r="BE154" s="130" t="n"/>
      <c r="BF154" s="109" t="n"/>
      <c r="BG154" s="252" t="n"/>
      <c r="BH154" s="180">
        <f>SUMPRODUCT(--(MOD(COLUMN($L154:$BG154),4)=MOD(COLUMN($L154),4)),$L154:$BG154)</f>
        <v/>
      </c>
      <c r="BI154" s="181">
        <f>Автовик_разбивка[[#This Row],[Цена, 
юань, без НДС 1]]*BH154</f>
        <v/>
      </c>
      <c r="BJ154" s="130">
        <f>SUMPRODUCT(--(MOD(COLUMN($L154:$BG154),4)=MOD(COLUMN($L154)+1,4)),$L154:$BG154)</f>
        <v/>
      </c>
      <c r="BK154" s="187">
        <f>Автовик_разбивка[[#This Row],[Цена, 
юань, без НДС 1]]*BJ154</f>
        <v/>
      </c>
      <c r="BL154" s="109">
        <f>SUMPRODUCT(--(MOD(COLUMN($L154:$BG154),4)=MOD(COLUMN($L154)+2,4)),$L154:$BG154)</f>
        <v/>
      </c>
      <c r="BM154" s="224">
        <f>Автовик_разбивка[[#This Row],[Цена, 
юань, без НДС 1]]*BL154</f>
        <v/>
      </c>
      <c r="BN154" s="178" t="n"/>
      <c r="BO154" s="184" t="n"/>
      <c r="BP154" s="130" t="n"/>
      <c r="BQ154" s="179" t="n"/>
      <c r="BR154" s="130" t="n"/>
      <c r="BS154" s="178" t="n"/>
      <c r="BT154" s="184" t="n"/>
      <c r="BU154" s="130" t="n"/>
      <c r="BV154" s="179" t="n"/>
      <c r="BW154" s="130" t="n"/>
      <c r="BX154" s="178" t="n"/>
      <c r="BY154" s="184" t="n"/>
      <c r="BZ154" s="130">
        <f>$E154*5</f>
        <v/>
      </c>
      <c r="CA154" s="179" t="n"/>
      <c r="CB154" s="130" t="n"/>
      <c r="CC154" s="178" t="n"/>
      <c r="CD154" s="184" t="n"/>
      <c r="CE154" s="130">
        <f>$E154*5</f>
        <v/>
      </c>
      <c r="CF154" s="179" t="n"/>
      <c r="CG154" s="130" t="n"/>
      <c r="CH154" s="178" t="n"/>
      <c r="CI154" s="184" t="n"/>
      <c r="CJ154" s="130">
        <f>$E154*5</f>
        <v/>
      </c>
      <c r="CK154" s="109" t="n"/>
      <c r="CL154" s="252" t="n"/>
      <c r="CM154" s="178" t="n"/>
      <c r="CN154" s="184" t="n"/>
      <c r="CO154" s="130">
        <f>$E154*5</f>
        <v/>
      </c>
      <c r="CP154" s="109" t="n"/>
      <c r="CQ154" s="252" t="n"/>
      <c r="CR154" s="178" t="n"/>
      <c r="CS154" s="184" t="n"/>
      <c r="CT154" s="130">
        <f>$E154*5</f>
        <v/>
      </c>
      <c r="CU154" s="109" t="n"/>
      <c r="CV154" s="252" t="n"/>
      <c r="CW154" s="178" t="n"/>
      <c r="CX154" s="184" t="n"/>
      <c r="CY154" s="130">
        <f>$E154*5</f>
        <v/>
      </c>
      <c r="CZ154" s="109" t="n"/>
      <c r="DA154" s="252" t="n"/>
      <c r="DB154" s="178" t="n"/>
      <c r="DC154" s="184" t="n"/>
      <c r="DD154" s="130">
        <f>$E154*5</f>
        <v/>
      </c>
      <c r="DE154" s="109" t="n"/>
      <c r="DF154" s="252" t="n"/>
      <c r="DG154" s="178" t="n"/>
      <c r="DH154" s="184" t="n"/>
      <c r="DI154" s="130">
        <f>$E154*5</f>
        <v/>
      </c>
      <c r="DJ154" s="109" t="n"/>
      <c r="DK154" s="252" t="n"/>
      <c r="DL154" s="178" t="n"/>
      <c r="DM154" s="184" t="n"/>
      <c r="DN154" s="130">
        <f>$E154*5</f>
        <v/>
      </c>
      <c r="DO154" s="179" t="n"/>
      <c r="DP154" s="252" t="n"/>
      <c r="DQ154" s="178" t="n"/>
      <c r="DR154" s="184" t="n"/>
      <c r="DS154" s="130">
        <f>$E154*5</f>
        <v/>
      </c>
      <c r="DT154" s="109" t="n"/>
      <c r="DU154" s="252" t="n"/>
      <c r="DV154" s="180">
        <f>SUMPRODUCT(--(MOD(COLUMN($BN154:$DU154),5)=MOD(COLUMN($BN154),5)),$BN154:$DU154)</f>
        <v/>
      </c>
      <c r="DW154" s="181">
        <f>Автовик_разбивка[[#This Row],[Цена, 
юань, без НДС 1]]*DV154</f>
        <v/>
      </c>
      <c r="DX154" s="186">
        <f>SUMPRODUCT(--(MOD(COLUMN($BN154:$DU154),5)=MOD(COLUMN($BN154)+1,5)),$BN154:$DU154)</f>
        <v/>
      </c>
      <c r="DY154" s="186">
        <f>Автовик_разбивка[[#This Row],[Цена, 
юань, без НДС 1]]*DX154</f>
        <v/>
      </c>
      <c r="DZ154" s="130">
        <f>SUMPRODUCT(--(MOD(COLUMN($BN154:$DU154),5)=MOD(COLUMN($BN154)+2,5)),$BN154:$DU154)</f>
        <v/>
      </c>
      <c r="EA154" s="187">
        <f>Автовик_разбивка[[#This Row],[Цена, 
юань, без НДС 1]]*DZ154</f>
        <v/>
      </c>
      <c r="EB154" s="109">
        <f>SUMPRODUCT(--(MOD(COLUMN($BN154:$DU154),5)=MOD(COLUMN($BN154)+3,5)),$BN154:$DU154)</f>
        <v/>
      </c>
      <c r="EC154" s="224">
        <f>Автовик_разбивка[[#This Row],[Цена, 
юань, без НДС 1]]*EB154</f>
        <v/>
      </c>
    </row>
    <row r="155">
      <c r="A155" s="256" t="n">
        <v>22</v>
      </c>
      <c r="B155" s="172" t="inlineStr">
        <is>
          <t>Ютерборг</t>
        </is>
      </c>
      <c r="C155" s="173" t="inlineStr">
        <is>
          <t>TEBS</t>
        </is>
      </c>
      <c r="D155" s="173" t="inlineStr">
        <is>
          <t xml:space="preserve">TEBS 2s/2m 
15м </t>
        </is>
      </c>
      <c r="E155" s="174" t="n">
        <v>1</v>
      </c>
      <c r="F155" s="174" t="n"/>
      <c r="G155" s="174" t="n"/>
      <c r="H155" s="175" t="n">
        <v>4801020640</v>
      </c>
      <c r="I155" s="176" t="inlineStr">
        <is>
          <t>Модулятор EBS, с PEM, без фит.</t>
        </is>
      </c>
      <c r="J155" s="911" t="n"/>
      <c r="K155" s="913" t="n"/>
      <c r="L155" s="178" t="n">
        <v>0</v>
      </c>
      <c r="M155" s="130">
        <f>$E155*0</f>
        <v/>
      </c>
      <c r="N155" s="179" t="n">
        <v>0</v>
      </c>
      <c r="O155" s="130" t="n"/>
      <c r="P155" s="178" t="n">
        <v>0</v>
      </c>
      <c r="Q155" s="130">
        <f>$E155*0</f>
        <v/>
      </c>
      <c r="R155" s="179" t="n">
        <v>0</v>
      </c>
      <c r="S155" s="130" t="n"/>
      <c r="T155" s="178" t="n">
        <v>0</v>
      </c>
      <c r="U155" s="130">
        <f>$E155*0</f>
        <v/>
      </c>
      <c r="V155" s="179" t="n">
        <v>0</v>
      </c>
      <c r="W155" s="130" t="n"/>
      <c r="X155" s="178" t="n">
        <v>5</v>
      </c>
      <c r="Y155" s="130">
        <f>$E155*0</f>
        <v/>
      </c>
      <c r="Z155" s="179" t="n">
        <v>0</v>
      </c>
      <c r="AA155" s="130" t="n"/>
      <c r="AB155" s="178" t="n">
        <v>5</v>
      </c>
      <c r="AC155" s="130">
        <f>$E155*0</f>
        <v/>
      </c>
      <c r="AD155" s="109" t="n"/>
      <c r="AE155" s="252" t="n"/>
      <c r="AF155" s="178" t="n">
        <v>5</v>
      </c>
      <c r="AG155" s="130">
        <f>$E155*0</f>
        <v/>
      </c>
      <c r="AH155" s="109" t="n"/>
      <c r="AI155" s="252" t="n"/>
      <c r="AJ155" s="178" t="n">
        <v>5</v>
      </c>
      <c r="AK155" s="130">
        <f>$E155*5</f>
        <v/>
      </c>
      <c r="AL155" s="109" t="n"/>
      <c r="AM155" s="252" t="n"/>
      <c r="AN155" s="178" t="n">
        <v>5</v>
      </c>
      <c r="AO155" s="130">
        <f>$E155*5</f>
        <v/>
      </c>
      <c r="AP155" s="109" t="n"/>
      <c r="AQ155" s="252" t="n"/>
      <c r="AR155" s="178" t="n">
        <v>5</v>
      </c>
      <c r="AS155" s="130">
        <f>$E155*0</f>
        <v/>
      </c>
      <c r="AT155" s="109" t="n"/>
      <c r="AU155" s="252" t="n"/>
      <c r="AV155" s="178" t="n">
        <v>5</v>
      </c>
      <c r="AW155" s="130">
        <f>$E155*0</f>
        <v/>
      </c>
      <c r="AX155" s="109" t="n"/>
      <c r="AY155" s="252" t="n"/>
      <c r="AZ155" s="178" t="n">
        <v>5</v>
      </c>
      <c r="BA155" s="130" t="n"/>
      <c r="BB155" s="193" t="n"/>
      <c r="BC155" s="252" t="n"/>
      <c r="BD155" s="178" t="n">
        <v>5</v>
      </c>
      <c r="BE155" s="130" t="n"/>
      <c r="BF155" s="109" t="n"/>
      <c r="BG155" s="252" t="n"/>
      <c r="BH155" s="180">
        <f>SUMPRODUCT(--(MOD(COLUMN($L155:$BG155),4)=MOD(COLUMN($L155),4)),$L155:$BG155)</f>
        <v/>
      </c>
      <c r="BI155" s="181">
        <f>Автовик_разбивка[[#This Row],[Цена, 
юань, без НДС 1]]*BH155</f>
        <v/>
      </c>
      <c r="BJ155" s="130">
        <f>SUMPRODUCT(--(MOD(COLUMN($L155:$BG155),4)=MOD(COLUMN($L155)+1,4)),$L155:$BG155)</f>
        <v/>
      </c>
      <c r="BK155" s="187">
        <f>Автовик_разбивка[[#This Row],[Цена, 
юань, без НДС 1]]*BJ155</f>
        <v/>
      </c>
      <c r="BL155" s="109">
        <f>SUMPRODUCT(--(MOD(COLUMN($L155:$BG155),4)=MOD(COLUMN($L155)+2,4)),$L155:$BG155)</f>
        <v/>
      </c>
      <c r="BM155" s="224">
        <f>Автовик_разбивка[[#This Row],[Цена, 
юань, без НДС 1]]*BL155</f>
        <v/>
      </c>
      <c r="BN155" s="178" t="n"/>
      <c r="BO155" s="184" t="n"/>
      <c r="BP155" s="130" t="n"/>
      <c r="BQ155" s="179" t="n"/>
      <c r="BR155" s="130" t="n"/>
      <c r="BS155" s="178" t="n"/>
      <c r="BT155" s="184" t="n"/>
      <c r="BU155" s="130" t="n"/>
      <c r="BV155" s="179" t="n"/>
      <c r="BW155" s="130" t="n"/>
      <c r="BX155" s="178" t="n"/>
      <c r="BY155" s="184" t="n"/>
      <c r="BZ155" s="130">
        <f>$E155*5</f>
        <v/>
      </c>
      <c r="CA155" s="179" t="n"/>
      <c r="CB155" s="130" t="n"/>
      <c r="CC155" s="178" t="n"/>
      <c r="CD155" s="184" t="n"/>
      <c r="CE155" s="130">
        <f>$E155*5</f>
        <v/>
      </c>
      <c r="CF155" s="179" t="n"/>
      <c r="CG155" s="130" t="n"/>
      <c r="CH155" s="178" t="n"/>
      <c r="CI155" s="184" t="n"/>
      <c r="CJ155" s="130">
        <f>$E155*5</f>
        <v/>
      </c>
      <c r="CK155" s="109" t="n"/>
      <c r="CL155" s="252" t="n"/>
      <c r="CM155" s="178" t="n"/>
      <c r="CN155" s="184" t="n"/>
      <c r="CO155" s="130">
        <f>$E155*5</f>
        <v/>
      </c>
      <c r="CP155" s="109" t="n"/>
      <c r="CQ155" s="252" t="n"/>
      <c r="CR155" s="178" t="n"/>
      <c r="CS155" s="184" t="n"/>
      <c r="CT155" s="130">
        <f>$E155*5</f>
        <v/>
      </c>
      <c r="CU155" s="109" t="n"/>
      <c r="CV155" s="252" t="n"/>
      <c r="CW155" s="178" t="n"/>
      <c r="CX155" s="184" t="n"/>
      <c r="CY155" s="130">
        <f>$E155*5</f>
        <v/>
      </c>
      <c r="CZ155" s="109" t="n"/>
      <c r="DA155" s="252" t="n"/>
      <c r="DB155" s="178" t="n"/>
      <c r="DC155" s="184" t="n"/>
      <c r="DD155" s="130">
        <f>$E155*5</f>
        <v/>
      </c>
      <c r="DE155" s="109" t="n"/>
      <c r="DF155" s="252" t="n"/>
      <c r="DG155" s="178" t="n"/>
      <c r="DH155" s="184" t="n"/>
      <c r="DI155" s="130">
        <f>$E155*5</f>
        <v/>
      </c>
      <c r="DJ155" s="109" t="n"/>
      <c r="DK155" s="252" t="n"/>
      <c r="DL155" s="178" t="n"/>
      <c r="DM155" s="184" t="n"/>
      <c r="DN155" s="130">
        <f>$E155*5</f>
        <v/>
      </c>
      <c r="DO155" s="193" t="n"/>
      <c r="DP155" s="252" t="n"/>
      <c r="DQ155" s="178" t="n"/>
      <c r="DR155" s="184" t="n"/>
      <c r="DS155" s="130">
        <f>$E155*5</f>
        <v/>
      </c>
      <c r="DT155" s="109" t="n"/>
      <c r="DU155" s="252" t="n"/>
      <c r="DV155" s="180">
        <f>SUMPRODUCT(--(MOD(COLUMN($BN155:$DU155),5)=MOD(COLUMN($BN155),5)),$BN155:$DU155)</f>
        <v/>
      </c>
      <c r="DW155" s="181">
        <f>Автовик_разбивка[[#This Row],[Цена, 
юань, без НДС 1]]*DV155</f>
        <v/>
      </c>
      <c r="DX155" s="186">
        <f>SUMPRODUCT(--(MOD(COLUMN($BN155:$DU155),5)=MOD(COLUMN($BN155)+1,5)),$BN155:$DU155)</f>
        <v/>
      </c>
      <c r="DY155" s="186">
        <f>Автовик_разбивка[[#This Row],[Цена, 
юань, без НДС 1]]*DX155</f>
        <v/>
      </c>
      <c r="DZ155" s="130">
        <f>SUMPRODUCT(--(MOD(COLUMN($BN155:$DU155),5)=MOD(COLUMN($BN155)+2,5)),$BN155:$DU155)</f>
        <v/>
      </c>
      <c r="EA155" s="187">
        <f>Автовик_разбивка[[#This Row],[Цена, 
юань, без НДС 1]]*DZ155</f>
        <v/>
      </c>
      <c r="EB155" s="109">
        <f>SUMPRODUCT(--(MOD(COLUMN($BN155:$DU155),5)=MOD(COLUMN($BN155)+3,5)),$BN155:$DU155)</f>
        <v/>
      </c>
      <c r="EC155" s="224">
        <f>Автовик_разбивка[[#This Row],[Цена, 
юань, без НДС 1]]*EB155</f>
        <v/>
      </c>
    </row>
    <row r="156">
      <c r="A156" s="256" t="n">
        <v>22</v>
      </c>
      <c r="B156" s="172" t="inlineStr">
        <is>
          <t>Ютерборг</t>
        </is>
      </c>
      <c r="C156" s="173" t="inlineStr">
        <is>
          <t>TEBS</t>
        </is>
      </c>
      <c r="D156" s="173" t="inlineStr">
        <is>
          <t xml:space="preserve">TEBS 2s/2m 
15м </t>
        </is>
      </c>
      <c r="E156" s="174" t="n">
        <v>1</v>
      </c>
      <c r="F156" s="174" t="n"/>
      <c r="G156" s="174" t="n"/>
      <c r="H156" s="175" t="n">
        <v>9522010010</v>
      </c>
      <c r="I156" s="176" t="inlineStr">
        <is>
          <t>Головка соединительная (управляющая)</t>
        </is>
      </c>
      <c r="J156" s="911" t="n"/>
      <c r="K156" s="913" t="n"/>
      <c r="L156" s="178" t="n">
        <v>0</v>
      </c>
      <c r="M156" s="130">
        <f>$E156*0</f>
        <v/>
      </c>
      <c r="N156" s="179" t="n">
        <v>0</v>
      </c>
      <c r="O156" s="130" t="n"/>
      <c r="P156" s="178" t="n">
        <v>0</v>
      </c>
      <c r="Q156" s="130">
        <f>$E156*0</f>
        <v/>
      </c>
      <c r="R156" s="179" t="n">
        <v>0</v>
      </c>
      <c r="S156" s="130" t="n"/>
      <c r="T156" s="178" t="n">
        <v>0</v>
      </c>
      <c r="U156" s="130">
        <f>$E156*0</f>
        <v/>
      </c>
      <c r="V156" s="179" t="n">
        <v>0</v>
      </c>
      <c r="W156" s="130" t="n"/>
      <c r="X156" s="178" t="n">
        <v>5</v>
      </c>
      <c r="Y156" s="130">
        <f>$E156*0</f>
        <v/>
      </c>
      <c r="Z156" s="179" t="n">
        <v>0</v>
      </c>
      <c r="AA156" s="130" t="n"/>
      <c r="AB156" s="178" t="n">
        <v>5</v>
      </c>
      <c r="AC156" s="130">
        <f>$E156*0</f>
        <v/>
      </c>
      <c r="AD156" s="179" t="n"/>
      <c r="AE156" s="130" t="n"/>
      <c r="AF156" s="178" t="n">
        <v>5</v>
      </c>
      <c r="AG156" s="130">
        <f>$E156*0</f>
        <v/>
      </c>
      <c r="AH156" s="179" t="n"/>
      <c r="AI156" s="130" t="n"/>
      <c r="AJ156" s="178" t="n">
        <v>5</v>
      </c>
      <c r="AK156" s="130">
        <f>$E156*5</f>
        <v/>
      </c>
      <c r="AL156" s="179" t="n"/>
      <c r="AM156" s="130" t="n"/>
      <c r="AN156" s="178" t="n">
        <v>5</v>
      </c>
      <c r="AO156" s="130">
        <f>$E156*5</f>
        <v/>
      </c>
      <c r="AP156" s="179" t="n"/>
      <c r="AQ156" s="130" t="n"/>
      <c r="AR156" s="178" t="n">
        <v>5</v>
      </c>
      <c r="AS156" s="130">
        <f>$E156*0</f>
        <v/>
      </c>
      <c r="AT156" s="179" t="n"/>
      <c r="AU156" s="130" t="n"/>
      <c r="AV156" s="178" t="n">
        <v>5</v>
      </c>
      <c r="AW156" s="130">
        <f>$E156*0</f>
        <v/>
      </c>
      <c r="AX156" s="179" t="n"/>
      <c r="AY156" s="130" t="n"/>
      <c r="AZ156" s="178" t="n">
        <v>5</v>
      </c>
      <c r="BA156" s="130" t="n"/>
      <c r="BB156" s="228" t="n"/>
      <c r="BC156" s="130" t="n"/>
      <c r="BD156" s="178" t="n">
        <v>5</v>
      </c>
      <c r="BE156" s="130" t="n"/>
      <c r="BF156" s="109" t="n"/>
      <c r="BG156" s="130" t="n"/>
      <c r="BH156" s="180">
        <f>SUMPRODUCT(--(MOD(COLUMN($L156:$BG156),4)=MOD(COLUMN($L156),4)),$L156:$BG156)</f>
        <v/>
      </c>
      <c r="BI156" s="181">
        <f>Автовик_разбивка[[#This Row],[Цена, 
юань, без НДС 1]]*BH156</f>
        <v/>
      </c>
      <c r="BJ156" s="130">
        <f>SUMPRODUCT(--(MOD(COLUMN($L156:$BG156),4)=MOD(COLUMN($L156)+1,4)),$L156:$BG156)</f>
        <v/>
      </c>
      <c r="BK156" s="187">
        <f>Автовик_разбивка[[#This Row],[Цена, 
юань, без НДС 1]]*BJ156</f>
        <v/>
      </c>
      <c r="BL156" s="109">
        <f>SUMPRODUCT(--(MOD(COLUMN($L156:$BG156),4)=MOD(COLUMN($L156)+2,4)),$L156:$BG156)</f>
        <v/>
      </c>
      <c r="BM156" s="224">
        <f>Автовик_разбивка[[#This Row],[Цена, 
юань, без НДС 1]]*BL156</f>
        <v/>
      </c>
      <c r="BN156" s="178" t="n"/>
      <c r="BO156" s="184" t="n"/>
      <c r="BP156" s="130" t="n"/>
      <c r="BQ156" s="179" t="n"/>
      <c r="BR156" s="130" t="n"/>
      <c r="BS156" s="178" t="n"/>
      <c r="BT156" s="184" t="n"/>
      <c r="BU156" s="130" t="n"/>
      <c r="BV156" s="179" t="n"/>
      <c r="BW156" s="130" t="n"/>
      <c r="BX156" s="178" t="n"/>
      <c r="BY156" s="184" t="n"/>
      <c r="BZ156" s="130">
        <f>$E156*5</f>
        <v/>
      </c>
      <c r="CA156" s="179" t="n"/>
      <c r="CB156" s="130" t="n"/>
      <c r="CC156" s="178" t="n"/>
      <c r="CD156" s="184" t="n"/>
      <c r="CE156" s="130">
        <f>$E156*5</f>
        <v/>
      </c>
      <c r="CF156" s="179" t="n"/>
      <c r="CG156" s="130" t="n"/>
      <c r="CH156" s="178" t="n"/>
      <c r="CI156" s="184" t="n"/>
      <c r="CJ156" s="130">
        <f>$E156*5</f>
        <v/>
      </c>
      <c r="CK156" s="179" t="n"/>
      <c r="CL156" s="130" t="n"/>
      <c r="CM156" s="178" t="n"/>
      <c r="CN156" s="184" t="n"/>
      <c r="CO156" s="130">
        <f>$E156*5</f>
        <v/>
      </c>
      <c r="CP156" s="179" t="n"/>
      <c r="CQ156" s="130" t="n"/>
      <c r="CR156" s="178" t="n"/>
      <c r="CS156" s="184" t="n"/>
      <c r="CT156" s="130">
        <f>$E156*5</f>
        <v/>
      </c>
      <c r="CU156" s="179" t="n"/>
      <c r="CV156" s="130" t="n"/>
      <c r="CW156" s="178" t="n"/>
      <c r="CX156" s="184" t="n"/>
      <c r="CY156" s="130">
        <f>$E156*5</f>
        <v/>
      </c>
      <c r="CZ156" s="179" t="n"/>
      <c r="DA156" s="130" t="n"/>
      <c r="DB156" s="178" t="n"/>
      <c r="DC156" s="184" t="n"/>
      <c r="DD156" s="130">
        <f>$E156*5</f>
        <v/>
      </c>
      <c r="DE156" s="179" t="n"/>
      <c r="DF156" s="130" t="n"/>
      <c r="DG156" s="178" t="n"/>
      <c r="DH156" s="184" t="n"/>
      <c r="DI156" s="130">
        <f>$E156*5</f>
        <v/>
      </c>
      <c r="DJ156" s="179" t="n"/>
      <c r="DK156" s="130" t="n"/>
      <c r="DL156" s="178" t="n"/>
      <c r="DM156" s="184" t="n"/>
      <c r="DN156" s="130">
        <f>$E156*5</f>
        <v/>
      </c>
      <c r="DO156" s="228" t="n"/>
      <c r="DP156" s="130" t="n"/>
      <c r="DQ156" s="178" t="n"/>
      <c r="DR156" s="184" t="n"/>
      <c r="DS156" s="130">
        <f>$E156*5</f>
        <v/>
      </c>
      <c r="DT156" s="109" t="n"/>
      <c r="DU156" s="130" t="n"/>
      <c r="DV156" s="180">
        <f>SUMPRODUCT(--(MOD(COLUMN($BN156:$DU156),5)=MOD(COLUMN($BN156),5)),$BN156:$DU156)</f>
        <v/>
      </c>
      <c r="DW156" s="181">
        <f>Автовик_разбивка[[#This Row],[Цена, 
юань, без НДС 1]]*DV156</f>
        <v/>
      </c>
      <c r="DX156" s="186">
        <f>SUMPRODUCT(--(MOD(COLUMN($BN156:$DU156),5)=MOD(COLUMN($BN156)+1,5)),$BN156:$DU156)</f>
        <v/>
      </c>
      <c r="DY156" s="186">
        <f>Автовик_разбивка[[#This Row],[Цена, 
юань, без НДС 1]]*DX156</f>
        <v/>
      </c>
      <c r="DZ156" s="130">
        <f>SUMPRODUCT(--(MOD(COLUMN($BN156:$DU156),5)=MOD(COLUMN($BN156)+2,5)),$BN156:$DU156)</f>
        <v/>
      </c>
      <c r="EA156" s="187">
        <f>Автовик_разбивка[[#This Row],[Цена, 
юань, без НДС 1]]*DZ156</f>
        <v/>
      </c>
      <c r="EB156" s="109">
        <f>SUMPRODUCT(--(MOD(COLUMN($BN156:$DU156),5)=MOD(COLUMN($BN156)+3,5)),$BN156:$DU156)</f>
        <v/>
      </c>
      <c r="EC156" s="224">
        <f>Автовик_разбивка[[#This Row],[Цена, 
юань, без НДС 1]]*EB156</f>
        <v/>
      </c>
    </row>
    <row r="157">
      <c r="A157" s="256" t="n">
        <v>22</v>
      </c>
      <c r="B157" s="172" t="inlineStr">
        <is>
          <t>Ютерборг</t>
        </is>
      </c>
      <c r="C157" s="173" t="inlineStr">
        <is>
          <t>TEBS</t>
        </is>
      </c>
      <c r="D157" s="173" t="inlineStr">
        <is>
          <t xml:space="preserve">TEBS 2s/2m 
15м </t>
        </is>
      </c>
      <c r="E157" s="174" t="n">
        <v>1</v>
      </c>
      <c r="F157" s="174" t="n"/>
      <c r="G157" s="174" t="n"/>
      <c r="H157" s="175" t="n">
        <v>9522010020</v>
      </c>
      <c r="I157" s="176" t="inlineStr">
        <is>
          <t>Головка соединительная (питающая)</t>
        </is>
      </c>
      <c r="J157" s="911" t="n"/>
      <c r="K157" s="913" t="n"/>
      <c r="L157" s="178" t="n">
        <v>0</v>
      </c>
      <c r="M157" s="130">
        <f>$E157*0</f>
        <v/>
      </c>
      <c r="N157" s="179" t="n">
        <v>0</v>
      </c>
      <c r="O157" s="130" t="n"/>
      <c r="P157" s="178" t="n">
        <v>0</v>
      </c>
      <c r="Q157" s="130">
        <f>$E157*0</f>
        <v/>
      </c>
      <c r="R157" s="179" t="n">
        <v>0</v>
      </c>
      <c r="S157" s="130" t="n"/>
      <c r="T157" s="178" t="n">
        <v>0</v>
      </c>
      <c r="U157" s="130">
        <f>$E157*0</f>
        <v/>
      </c>
      <c r="V157" s="179" t="n">
        <v>0</v>
      </c>
      <c r="W157" s="130" t="n"/>
      <c r="X157" s="178" t="n">
        <v>5</v>
      </c>
      <c r="Y157" s="130">
        <f>$E157*0</f>
        <v/>
      </c>
      <c r="Z157" s="179" t="n">
        <v>0</v>
      </c>
      <c r="AA157" s="130" t="n"/>
      <c r="AB157" s="178" t="n">
        <v>5</v>
      </c>
      <c r="AC157" s="130">
        <f>$E157*0</f>
        <v/>
      </c>
      <c r="AD157" s="179" t="n"/>
      <c r="AE157" s="130" t="n"/>
      <c r="AF157" s="178" t="n">
        <v>5</v>
      </c>
      <c r="AG157" s="130">
        <f>$E157*0</f>
        <v/>
      </c>
      <c r="AH157" s="179" t="n"/>
      <c r="AI157" s="130" t="n"/>
      <c r="AJ157" s="178" t="n">
        <v>5</v>
      </c>
      <c r="AK157" s="130">
        <f>$E157*5</f>
        <v/>
      </c>
      <c r="AL157" s="179" t="n"/>
      <c r="AM157" s="130" t="n"/>
      <c r="AN157" s="178" t="n">
        <v>5</v>
      </c>
      <c r="AO157" s="130">
        <f>$E157*5</f>
        <v/>
      </c>
      <c r="AP157" s="179" t="n"/>
      <c r="AQ157" s="130" t="n"/>
      <c r="AR157" s="178" t="n">
        <v>5</v>
      </c>
      <c r="AS157" s="130">
        <f>$E157*0</f>
        <v/>
      </c>
      <c r="AT157" s="179" t="n"/>
      <c r="AU157" s="130" t="n"/>
      <c r="AV157" s="178" t="n">
        <v>5</v>
      </c>
      <c r="AW157" s="130">
        <f>$E157*0</f>
        <v/>
      </c>
      <c r="AX157" s="179" t="n"/>
      <c r="AY157" s="130" t="n"/>
      <c r="AZ157" s="178" t="n">
        <v>5</v>
      </c>
      <c r="BA157" s="130" t="n"/>
      <c r="BB157" s="228" t="n"/>
      <c r="BC157" s="130" t="n"/>
      <c r="BD157" s="178" t="n">
        <v>5</v>
      </c>
      <c r="BE157" s="130" t="n"/>
      <c r="BF157" s="109" t="n"/>
      <c r="BG157" s="130" t="n"/>
      <c r="BH157" s="180">
        <f>SUMPRODUCT(--(MOD(COLUMN($L157:$BG157),4)=MOD(COLUMN($L157),4)),$L157:$BG157)</f>
        <v/>
      </c>
      <c r="BI157" s="181">
        <f>Автовик_разбивка[[#This Row],[Цена, 
юань, без НДС 1]]*BH157</f>
        <v/>
      </c>
      <c r="BJ157" s="130">
        <f>SUMPRODUCT(--(MOD(COLUMN($L157:$BG157),4)=MOD(COLUMN($L157)+1,4)),$L157:$BG157)</f>
        <v/>
      </c>
      <c r="BK157" s="187">
        <f>Автовик_разбивка[[#This Row],[Цена, 
юань, без НДС 1]]*BJ157</f>
        <v/>
      </c>
      <c r="BL157" s="109">
        <f>SUMPRODUCT(--(MOD(COLUMN($L157:$BG157),4)=MOD(COLUMN($L157)+2,4)),$L157:$BG157)</f>
        <v/>
      </c>
      <c r="BM157" s="224">
        <f>Автовик_разбивка[[#This Row],[Цена, 
юань, без НДС 1]]*BL157</f>
        <v/>
      </c>
      <c r="BN157" s="178" t="n"/>
      <c r="BO157" s="184" t="n"/>
      <c r="BP157" s="130" t="n"/>
      <c r="BQ157" s="179" t="n"/>
      <c r="BR157" s="130" t="n"/>
      <c r="BS157" s="178" t="n"/>
      <c r="BT157" s="184" t="n"/>
      <c r="BU157" s="130" t="n"/>
      <c r="BV157" s="179" t="n"/>
      <c r="BW157" s="130" t="n"/>
      <c r="BX157" s="178" t="n"/>
      <c r="BY157" s="184" t="n"/>
      <c r="BZ157" s="130">
        <f>$E157*5</f>
        <v/>
      </c>
      <c r="CA157" s="179" t="n"/>
      <c r="CB157" s="130" t="n"/>
      <c r="CC157" s="178" t="n"/>
      <c r="CD157" s="184" t="n"/>
      <c r="CE157" s="130">
        <f>$E157*5</f>
        <v/>
      </c>
      <c r="CF157" s="179" t="n"/>
      <c r="CG157" s="130" t="n"/>
      <c r="CH157" s="178" t="n"/>
      <c r="CI157" s="184" t="n"/>
      <c r="CJ157" s="130">
        <f>$E157*5</f>
        <v/>
      </c>
      <c r="CK157" s="179" t="n"/>
      <c r="CL157" s="130" t="n"/>
      <c r="CM157" s="178" t="n"/>
      <c r="CN157" s="184" t="n"/>
      <c r="CO157" s="130">
        <f>$E157*5</f>
        <v/>
      </c>
      <c r="CP157" s="179" t="n"/>
      <c r="CQ157" s="130" t="n"/>
      <c r="CR157" s="178" t="n"/>
      <c r="CS157" s="184" t="n"/>
      <c r="CT157" s="130">
        <f>$E157*5</f>
        <v/>
      </c>
      <c r="CU157" s="179" t="n"/>
      <c r="CV157" s="130" t="n"/>
      <c r="CW157" s="178" t="n"/>
      <c r="CX157" s="184" t="n"/>
      <c r="CY157" s="130">
        <f>$E157*5</f>
        <v/>
      </c>
      <c r="CZ157" s="179" t="n"/>
      <c r="DA157" s="130" t="n"/>
      <c r="DB157" s="178" t="n"/>
      <c r="DC157" s="184" t="n"/>
      <c r="DD157" s="130">
        <f>$E157*5</f>
        <v/>
      </c>
      <c r="DE157" s="179" t="n"/>
      <c r="DF157" s="130" t="n"/>
      <c r="DG157" s="178" t="n"/>
      <c r="DH157" s="184" t="n"/>
      <c r="DI157" s="130">
        <f>$E157*5</f>
        <v/>
      </c>
      <c r="DJ157" s="179" t="n"/>
      <c r="DK157" s="130" t="n"/>
      <c r="DL157" s="178" t="n"/>
      <c r="DM157" s="184" t="n"/>
      <c r="DN157" s="130">
        <f>$E157*5</f>
        <v/>
      </c>
      <c r="DO157" s="228" t="n"/>
      <c r="DP157" s="130" t="n"/>
      <c r="DQ157" s="178" t="n"/>
      <c r="DR157" s="184" t="n"/>
      <c r="DS157" s="130">
        <f>$E157*5</f>
        <v/>
      </c>
      <c r="DT157" s="109" t="n"/>
      <c r="DU157" s="130" t="n"/>
      <c r="DV157" s="180">
        <f>SUMPRODUCT(--(MOD(COLUMN($BN157:$DU157),5)=MOD(COLUMN($BN157),5)),$BN157:$DU157)</f>
        <v/>
      </c>
      <c r="DW157" s="181">
        <f>Автовик_разбивка[[#This Row],[Цена, 
юань, без НДС 1]]*DV157</f>
        <v/>
      </c>
      <c r="DX157" s="186">
        <f>SUMPRODUCT(--(MOD(COLUMN($BN157:$DU157),5)=MOD(COLUMN($BN157)+1,5)),$BN157:$DU157)</f>
        <v/>
      </c>
      <c r="DY157" s="186">
        <f>Автовик_разбивка[[#This Row],[Цена, 
юань, без НДС 1]]*DX157</f>
        <v/>
      </c>
      <c r="DZ157" s="130">
        <f>SUMPRODUCT(--(MOD(COLUMN($BN157:$DU157),5)=MOD(COLUMN($BN157)+2,5)),$BN157:$DU157)</f>
        <v/>
      </c>
      <c r="EA157" s="187">
        <f>Автовик_разбивка[[#This Row],[Цена, 
юань, без НДС 1]]*DZ157</f>
        <v/>
      </c>
      <c r="EB157" s="109">
        <f>SUMPRODUCT(--(MOD(COLUMN($BN157:$DU157),5)=MOD(COLUMN($BN157)+3,5)),$BN157:$DU157)</f>
        <v/>
      </c>
      <c r="EC157" s="224">
        <f>Автовик_разбивка[[#This Row],[Цена, 
юань, без НДС 1]]*EB157</f>
        <v/>
      </c>
    </row>
    <row r="158">
      <c r="A158" s="256" t="n">
        <v>22</v>
      </c>
      <c r="B158" s="172" t="inlineStr">
        <is>
          <t>Ютерборг</t>
        </is>
      </c>
      <c r="C158" s="173" t="inlineStr">
        <is>
          <t>TEBS</t>
        </is>
      </c>
      <c r="D158" s="173" t="inlineStr">
        <is>
          <t xml:space="preserve">TEBS 2s/2m 
15м </t>
        </is>
      </c>
      <c r="E158" s="174" t="n">
        <v>1</v>
      </c>
      <c r="F158" s="174" t="n"/>
      <c r="G158" s="174" t="n"/>
      <c r="H158" s="175" t="n">
        <v>9710029000</v>
      </c>
      <c r="I158" s="176" t="inlineStr">
        <is>
          <t>Воздухораспределитель с клапаном растормаживания</t>
        </is>
      </c>
      <c r="J158" s="911" t="n"/>
      <c r="K158" s="913" t="n"/>
      <c r="L158" s="178" t="n">
        <v>0</v>
      </c>
      <c r="M158" s="130">
        <f>$E158*0</f>
        <v/>
      </c>
      <c r="N158" s="179" t="n">
        <v>0</v>
      </c>
      <c r="O158" s="130" t="n"/>
      <c r="P158" s="178" t="n">
        <v>0</v>
      </c>
      <c r="Q158" s="130">
        <f>$E158*0</f>
        <v/>
      </c>
      <c r="R158" s="179" t="n">
        <v>0</v>
      </c>
      <c r="S158" s="130" t="n"/>
      <c r="T158" s="178" t="n">
        <v>0</v>
      </c>
      <c r="U158" s="130">
        <f>$E158*0</f>
        <v/>
      </c>
      <c r="V158" s="179" t="n">
        <v>0</v>
      </c>
      <c r="W158" s="130" t="n"/>
      <c r="X158" s="178" t="n">
        <v>5</v>
      </c>
      <c r="Y158" s="130">
        <f>$E158*0</f>
        <v/>
      </c>
      <c r="Z158" s="179" t="n">
        <v>0</v>
      </c>
      <c r="AA158" s="130" t="n"/>
      <c r="AB158" s="178" t="n">
        <v>5</v>
      </c>
      <c r="AC158" s="130">
        <f>$E158*0</f>
        <v/>
      </c>
      <c r="AD158" s="109" t="n"/>
      <c r="AE158" s="252" t="n"/>
      <c r="AF158" s="178" t="n">
        <v>5</v>
      </c>
      <c r="AG158" s="130">
        <f>$E158*0</f>
        <v/>
      </c>
      <c r="AH158" s="109" t="n"/>
      <c r="AI158" s="252" t="n"/>
      <c r="AJ158" s="178" t="n">
        <v>5</v>
      </c>
      <c r="AK158" s="130">
        <f>$E158*5</f>
        <v/>
      </c>
      <c r="AL158" s="109" t="n"/>
      <c r="AM158" s="252" t="n"/>
      <c r="AN158" s="178" t="n">
        <v>5</v>
      </c>
      <c r="AO158" s="130">
        <f>$E158*5</f>
        <v/>
      </c>
      <c r="AP158" s="109" t="n"/>
      <c r="AQ158" s="252" t="n"/>
      <c r="AR158" s="178" t="n">
        <v>5</v>
      </c>
      <c r="AS158" s="130">
        <f>$E158*0</f>
        <v/>
      </c>
      <c r="AT158" s="109" t="n"/>
      <c r="AU158" s="252" t="n"/>
      <c r="AV158" s="178" t="n">
        <v>5</v>
      </c>
      <c r="AW158" s="130">
        <f>$E158*0</f>
        <v/>
      </c>
      <c r="AX158" s="109" t="n"/>
      <c r="AY158" s="252" t="n"/>
      <c r="AZ158" s="178" t="n">
        <v>5</v>
      </c>
      <c r="BA158" s="130" t="n"/>
      <c r="BB158" s="194" t="n"/>
      <c r="BC158" s="252" t="n"/>
      <c r="BD158" s="178" t="n">
        <v>5</v>
      </c>
      <c r="BE158" s="130" t="n"/>
      <c r="BF158" s="109" t="n"/>
      <c r="BG158" s="252" t="n"/>
      <c r="BH158" s="180">
        <f>SUMPRODUCT(--(MOD(COLUMN($L158:$BG158),4)=MOD(COLUMN($L158),4)),$L158:$BG158)</f>
        <v/>
      </c>
      <c r="BI158" s="181">
        <f>Автовик_разбивка[[#This Row],[Цена, 
юань, без НДС 1]]*BH158</f>
        <v/>
      </c>
      <c r="BJ158" s="130">
        <f>SUMPRODUCT(--(MOD(COLUMN($L158:$BG158),4)=MOD(COLUMN($L158)+1,4)),$L158:$BG158)</f>
        <v/>
      </c>
      <c r="BK158" s="187">
        <f>Автовик_разбивка[[#This Row],[Цена, 
юань, без НДС 1]]*BJ158</f>
        <v/>
      </c>
      <c r="BL158" s="109">
        <f>SUMPRODUCT(--(MOD(COLUMN($L158:$BG158),4)=MOD(COLUMN($L158)+2,4)),$L158:$BG158)</f>
        <v/>
      </c>
      <c r="BM158" s="224">
        <f>Автовик_разбивка[[#This Row],[Цена, 
юань, без НДС 1]]*BL158</f>
        <v/>
      </c>
      <c r="BN158" s="178" t="n"/>
      <c r="BO158" s="184" t="n"/>
      <c r="BP158" s="130" t="n"/>
      <c r="BQ158" s="179" t="n"/>
      <c r="BR158" s="130" t="n"/>
      <c r="BS158" s="178" t="n"/>
      <c r="BT158" s="184" t="n"/>
      <c r="BU158" s="130" t="n"/>
      <c r="BV158" s="179" t="n"/>
      <c r="BW158" s="130" t="n"/>
      <c r="BX158" s="178" t="n"/>
      <c r="BY158" s="184" t="n"/>
      <c r="BZ158" s="130">
        <f>$E158*5</f>
        <v/>
      </c>
      <c r="CA158" s="179" t="n"/>
      <c r="CB158" s="130" t="n"/>
      <c r="CC158" s="178" t="n"/>
      <c r="CD158" s="184" t="n"/>
      <c r="CE158" s="130">
        <f>$E158*5</f>
        <v/>
      </c>
      <c r="CF158" s="179" t="n"/>
      <c r="CG158" s="130" t="n"/>
      <c r="CH158" s="178" t="n"/>
      <c r="CI158" s="184" t="n"/>
      <c r="CJ158" s="130">
        <f>$E158*5</f>
        <v/>
      </c>
      <c r="CK158" s="109" t="n"/>
      <c r="CL158" s="252" t="n"/>
      <c r="CM158" s="178" t="n"/>
      <c r="CN158" s="184" t="n"/>
      <c r="CO158" s="130">
        <f>$E158*5</f>
        <v/>
      </c>
      <c r="CP158" s="109" t="n"/>
      <c r="CQ158" s="252" t="n"/>
      <c r="CR158" s="178" t="n"/>
      <c r="CS158" s="184" t="n"/>
      <c r="CT158" s="130">
        <f>$E158*5</f>
        <v/>
      </c>
      <c r="CU158" s="109" t="n"/>
      <c r="CV158" s="252" t="n"/>
      <c r="CW158" s="178" t="n"/>
      <c r="CX158" s="184" t="n"/>
      <c r="CY158" s="130">
        <f>$E158*5</f>
        <v/>
      </c>
      <c r="CZ158" s="109" t="n"/>
      <c r="DA158" s="252" t="n"/>
      <c r="DB158" s="178" t="n"/>
      <c r="DC158" s="184" t="n"/>
      <c r="DD158" s="130">
        <f>$E158*5</f>
        <v/>
      </c>
      <c r="DE158" s="109" t="n"/>
      <c r="DF158" s="252" t="n"/>
      <c r="DG158" s="178" t="n"/>
      <c r="DH158" s="184" t="n"/>
      <c r="DI158" s="130">
        <f>$E158*5</f>
        <v/>
      </c>
      <c r="DJ158" s="109" t="n"/>
      <c r="DK158" s="252" t="n"/>
      <c r="DL158" s="178" t="n"/>
      <c r="DM158" s="184" t="n"/>
      <c r="DN158" s="130">
        <f>$E158*5</f>
        <v/>
      </c>
      <c r="DO158" s="194" t="n"/>
      <c r="DP158" s="252" t="n"/>
      <c r="DQ158" s="178" t="n"/>
      <c r="DR158" s="184" t="n"/>
      <c r="DS158" s="130">
        <f>$E158*5</f>
        <v/>
      </c>
      <c r="DT158" s="109" t="n"/>
      <c r="DU158" s="252" t="n"/>
      <c r="DV158" s="180">
        <f>SUMPRODUCT(--(MOD(COLUMN($BN158:$DU158),5)=MOD(COLUMN($BN158),5)),$BN158:$DU158)</f>
        <v/>
      </c>
      <c r="DW158" s="181">
        <f>Автовик_разбивка[[#This Row],[Цена, 
юань, без НДС 1]]*DV158</f>
        <v/>
      </c>
      <c r="DX158" s="186">
        <f>SUMPRODUCT(--(MOD(COLUMN($BN158:$DU158),5)=MOD(COLUMN($BN158)+1,5)),$BN158:$DU158)</f>
        <v/>
      </c>
      <c r="DY158" s="186">
        <f>Автовик_разбивка[[#This Row],[Цена, 
юань, без НДС 1]]*DX158</f>
        <v/>
      </c>
      <c r="DZ158" s="130">
        <f>SUMPRODUCT(--(MOD(COLUMN($BN158:$DU158),5)=MOD(COLUMN($BN158)+2,5)),$BN158:$DU158)</f>
        <v/>
      </c>
      <c r="EA158" s="187">
        <f>Автовик_разбивка[[#This Row],[Цена, 
юань, без НДС 1]]*DZ158</f>
        <v/>
      </c>
      <c r="EB158" s="109">
        <f>SUMPRODUCT(--(MOD(COLUMN($BN158:$DU158),5)=MOD(COLUMN($BN158)+3,5)),$BN158:$DU158)</f>
        <v/>
      </c>
      <c r="EC158" s="224">
        <f>Автовик_разбивка[[#This Row],[Цена, 
юань, без НДС 1]]*EB158</f>
        <v/>
      </c>
    </row>
    <row r="159">
      <c r="A159" s="256" t="n">
        <v>22</v>
      </c>
      <c r="B159" s="172" t="inlineStr">
        <is>
          <t>Ютерборг</t>
        </is>
      </c>
      <c r="C159" s="132" t="n"/>
      <c r="D159" s="132" t="n"/>
      <c r="E159" s="229" t="n"/>
      <c r="F159" s="229" t="n"/>
      <c r="G159" s="229" t="n"/>
      <c r="H159" s="230" t="n"/>
      <c r="I159" s="231" t="inlineStr">
        <is>
          <t>Итого</t>
        </is>
      </c>
      <c r="J159" s="914" t="n"/>
      <c r="K159" s="914" t="n"/>
      <c r="L159" s="233" t="n"/>
      <c r="M159" s="234" t="n"/>
      <c r="N159" s="235" t="n"/>
      <c r="O159" s="234" t="n"/>
      <c r="P159" s="233" t="n"/>
      <c r="Q159" s="234" t="n"/>
      <c r="R159" s="235" t="n"/>
      <c r="S159" s="234" t="n"/>
      <c r="T159" s="233" t="n"/>
      <c r="U159" s="234" t="n"/>
      <c r="V159" s="235" t="n"/>
      <c r="W159" s="234" t="n"/>
      <c r="X159" s="233" t="n"/>
      <c r="Y159" s="234" t="n"/>
      <c r="Z159" s="235" t="n"/>
      <c r="AA159" s="234" t="n"/>
      <c r="AB159" s="233" t="n"/>
      <c r="AC159" s="234" t="n"/>
      <c r="AD159" s="235" t="n"/>
      <c r="AE159" s="234" t="n"/>
      <c r="AF159" s="233" t="n"/>
      <c r="AG159" s="234" t="n"/>
      <c r="AH159" s="235" t="n"/>
      <c r="AI159" s="234" t="n"/>
      <c r="AJ159" s="233" t="n"/>
      <c r="AK159" s="234" t="n"/>
      <c r="AL159" s="235" t="n"/>
      <c r="AM159" s="234" t="n"/>
      <c r="AN159" s="233" t="n"/>
      <c r="AO159" s="234" t="n"/>
      <c r="AP159" s="235" t="n"/>
      <c r="AQ159" s="234" t="n"/>
      <c r="AR159" s="233" t="n"/>
      <c r="AS159" s="234" t="n"/>
      <c r="AT159" s="235" t="n"/>
      <c r="AU159" s="234" t="n"/>
      <c r="AV159" s="233" t="n"/>
      <c r="AW159" s="234" t="n"/>
      <c r="AX159" s="235" t="n"/>
      <c r="AY159" s="234" t="n"/>
      <c r="AZ159" s="233" t="n"/>
      <c r="BA159" s="234" t="n"/>
      <c r="BB159" s="235" t="n"/>
      <c r="BC159" s="234" t="n"/>
      <c r="BD159" s="233" t="n"/>
      <c r="BE159" s="234" t="n"/>
      <c r="BF159" s="235" t="n"/>
      <c r="BG159" s="234" t="n"/>
      <c r="BH159" s="233">
        <f>SUMPRODUCT(--(MOD(COLUMN($L159:$BG159),4)=MOD(COLUMN($L159),4)),$L159:$BG159)</f>
        <v/>
      </c>
      <c r="BI159" s="238">
        <f>Автовик_разбивка[[#This Row],[Цена, 
юань, без НДС 1]]*BH159</f>
        <v/>
      </c>
      <c r="BJ159" s="234">
        <f>SUMPRODUCT(--(MOD(COLUMN($L159:$BG159),4)=MOD(COLUMN($L159)+1,4)),$L159:$BG159)</f>
        <v/>
      </c>
      <c r="BK159" s="253">
        <f>Автовик_разбивка[[#This Row],[Цена, 
юань, без НДС 1]]*BJ159</f>
        <v/>
      </c>
      <c r="BL159" s="235">
        <f>SUMPRODUCT(--(MOD(COLUMN($L159:$BG159),4)=MOD(COLUMN($L159)+2,4)),$L159:$BG159)</f>
        <v/>
      </c>
      <c r="BM159" s="254">
        <f>Автовик_разбивка[[#This Row],[Цена, 
юань, без НДС 1]]*BL159</f>
        <v/>
      </c>
      <c r="BN159" s="233" t="n"/>
      <c r="BO159" s="241" t="n"/>
      <c r="BP159" s="234" t="n"/>
      <c r="BQ159" s="235" t="n"/>
      <c r="BR159" s="234" t="n"/>
      <c r="BS159" s="233" t="n"/>
      <c r="BT159" s="241" t="n"/>
      <c r="BU159" s="234" t="n"/>
      <c r="BV159" s="235" t="n"/>
      <c r="BW159" s="234" t="n"/>
      <c r="BX159" s="233" t="n"/>
      <c r="BY159" s="241" t="n"/>
      <c r="BZ159" s="234" t="n"/>
      <c r="CA159" s="235" t="n"/>
      <c r="CB159" s="234" t="n"/>
      <c r="CC159" s="233" t="n"/>
      <c r="CD159" s="241" t="n"/>
      <c r="CE159" s="234" t="n"/>
      <c r="CF159" s="235" t="n"/>
      <c r="CG159" s="234" t="n"/>
      <c r="CH159" s="233" t="n"/>
      <c r="CI159" s="241" t="n"/>
      <c r="CJ159" s="234" t="n"/>
      <c r="CK159" s="235" t="n"/>
      <c r="CL159" s="234" t="n"/>
      <c r="CM159" s="233" t="n"/>
      <c r="CN159" s="241" t="n"/>
      <c r="CO159" s="234" t="n"/>
      <c r="CP159" s="235" t="n"/>
      <c r="CQ159" s="234" t="n"/>
      <c r="CR159" s="233" t="n"/>
      <c r="CS159" s="241" t="n"/>
      <c r="CT159" s="234" t="n"/>
      <c r="CU159" s="235" t="n"/>
      <c r="CV159" s="234" t="n"/>
      <c r="CW159" s="233" t="n"/>
      <c r="CX159" s="241" t="n"/>
      <c r="CY159" s="234" t="n"/>
      <c r="CZ159" s="235" t="n"/>
      <c r="DA159" s="234" t="n"/>
      <c r="DB159" s="233" t="n"/>
      <c r="DC159" s="241" t="n"/>
      <c r="DD159" s="234" t="n"/>
      <c r="DE159" s="235" t="n"/>
      <c r="DF159" s="234" t="n"/>
      <c r="DG159" s="233" t="n"/>
      <c r="DH159" s="241" t="n"/>
      <c r="DI159" s="234" t="n"/>
      <c r="DJ159" s="235" t="n"/>
      <c r="DK159" s="234" t="n"/>
      <c r="DL159" s="233" t="n"/>
      <c r="DM159" s="241" t="n"/>
      <c r="DN159" s="234" t="n"/>
      <c r="DO159" s="235" t="n"/>
      <c r="DP159" s="234" t="n"/>
      <c r="DQ159" s="233" t="n"/>
      <c r="DR159" s="241" t="n"/>
      <c r="DS159" s="234" t="n"/>
      <c r="DT159" s="235" t="n"/>
      <c r="DU159" s="234" t="n"/>
      <c r="DV159" s="233">
        <f>SUMPRODUCT(--(MOD(COLUMN($BN159:$DU159),5)=MOD(COLUMN($BN159),5)),$BN159:$DU159)</f>
        <v/>
      </c>
      <c r="DW159" s="238">
        <f>Автовик_разбивка[[#This Row],[Цена, 
юань, без НДС 1]]*DV159</f>
        <v/>
      </c>
      <c r="DX159" s="242">
        <f>SUMPRODUCT(--(MOD(COLUMN($BN159:$DU159),5)=MOD(COLUMN($BN159)+1,5)),$BN159:$DU159)</f>
        <v/>
      </c>
      <c r="DY159" s="242">
        <f>Автовик_разбивка[[#This Row],[Цена, 
юань, без НДС 1]]*DX159</f>
        <v/>
      </c>
      <c r="DZ159" s="234">
        <f>SUMPRODUCT(--(MOD(COLUMN($BN159:$DU159),5)=MOD(COLUMN($BN159)+2,5)),$BN159:$DU159)</f>
        <v/>
      </c>
      <c r="EA159" s="253">
        <f>Автовик_разбивка[[#This Row],[Цена, 
юань, без НДС 1]]*DZ159</f>
        <v/>
      </c>
      <c r="EB159" s="235">
        <f>SUMPRODUCT(--(MOD(COLUMN($BN159:$DU159),5)=MOD(COLUMN($BN159)+3,5)),$BN159:$DU159)</f>
        <v/>
      </c>
      <c r="EC159" s="254">
        <f>Автовик_разбивка[[#This Row],[Цена, 
юань, без НДС 1]]*EB159</f>
        <v/>
      </c>
    </row>
    <row r="160">
      <c r="A160" s="256" t="n">
        <v>22</v>
      </c>
      <c r="B160" s="243" t="inlineStr">
        <is>
          <t>Ютерборг</t>
        </is>
      </c>
      <c r="C160" s="244" t="n"/>
      <c r="D160" s="244" t="n"/>
      <c r="E160" s="245" t="n"/>
      <c r="F160" s="245" t="n"/>
      <c r="G160" s="245" t="n"/>
      <c r="H160" s="246" t="n"/>
      <c r="I160" s="247" t="n"/>
      <c r="J160" s="915" t="n"/>
      <c r="K160" s="915" t="n"/>
      <c r="L160" s="249" t="n"/>
      <c r="M160" s="249" t="n"/>
      <c r="N160" s="249" t="n"/>
      <c r="O160" s="249" t="n"/>
      <c r="P160" s="249" t="n"/>
      <c r="Q160" s="249" t="n"/>
      <c r="R160" s="249" t="n"/>
      <c r="S160" s="249" t="n"/>
      <c r="T160" s="249" t="n"/>
      <c r="U160" s="249" t="n"/>
      <c r="V160" s="249" t="n"/>
      <c r="W160" s="249" t="n"/>
      <c r="X160" s="249" t="n"/>
      <c r="Y160" s="249" t="n"/>
      <c r="Z160" s="249" t="n"/>
      <c r="AA160" s="249" t="n"/>
      <c r="AB160" s="249" t="n"/>
      <c r="AC160" s="249" t="n"/>
      <c r="AD160" s="249" t="n"/>
      <c r="AE160" s="249" t="n"/>
      <c r="AF160" s="249" t="n"/>
      <c r="AG160" s="249" t="n"/>
      <c r="AH160" s="249" t="n"/>
      <c r="AI160" s="249" t="n"/>
      <c r="AJ160" s="249" t="n"/>
      <c r="AK160" s="249" t="n"/>
      <c r="AL160" s="249" t="n"/>
      <c r="AM160" s="249" t="n"/>
      <c r="AN160" s="249" t="n"/>
      <c r="AO160" s="249" t="n"/>
      <c r="AP160" s="249" t="n"/>
      <c r="AQ160" s="249" t="n"/>
      <c r="AR160" s="249" t="n"/>
      <c r="AS160" s="249" t="n"/>
      <c r="AT160" s="249" t="n"/>
      <c r="AU160" s="249" t="n"/>
      <c r="AV160" s="249" t="n"/>
      <c r="AW160" s="249" t="n"/>
      <c r="AX160" s="250" t="n"/>
      <c r="AY160" s="249" t="n"/>
      <c r="AZ160" s="250" t="n"/>
      <c r="BA160" s="250" t="n"/>
      <c r="BB160" s="250" t="n"/>
      <c r="BC160" s="249" t="n"/>
      <c r="BD160" s="250" t="n"/>
      <c r="BE160" s="250" t="n"/>
      <c r="BF160" s="250" t="n"/>
      <c r="BG160" s="249" t="n"/>
      <c r="BH160" s="250">
        <f>SUMPRODUCT(--(MOD(COLUMN($L160:$BG160),4)=MOD(COLUMN($L160),4)),$L160:$BG160)</f>
        <v/>
      </c>
      <c r="BI160" s="251">
        <f>Автовик_разбивка[[#This Row],[Цена, 
юань, без НДС 1]]*BH160</f>
        <v/>
      </c>
      <c r="BJ160" s="250">
        <f>SUMPRODUCT(--(MOD(COLUMN($L160:$BG160),4)=MOD(COLUMN($L160)+1,4)),$L160:$BG160)</f>
        <v/>
      </c>
      <c r="BK160" s="251">
        <f>Автовик_разбивка[[#This Row],[Цена, 
юань, без НДС 1]]*BJ160</f>
        <v/>
      </c>
      <c r="BL160" s="250">
        <f>SUMPRODUCT(--(MOD(COLUMN($L160:$BG160),4)=MOD(COLUMN($L160)+2,4)),$L160:$BG160)</f>
        <v/>
      </c>
      <c r="BM160" s="251">
        <f>Автовик_разбивка[[#This Row],[Цена, 
юань, без НДС 1]]*BL160</f>
        <v/>
      </c>
      <c r="BN160" s="249" t="n"/>
      <c r="BO160" s="249" t="n"/>
      <c r="BP160" s="249" t="n"/>
      <c r="BQ160" s="249" t="n"/>
      <c r="BR160" s="249" t="n"/>
      <c r="BS160" s="249" t="n"/>
      <c r="BT160" s="249" t="n"/>
      <c r="BU160" s="249" t="n"/>
      <c r="BV160" s="249" t="n"/>
      <c r="BW160" s="249" t="n"/>
      <c r="BX160" s="249" t="n"/>
      <c r="BY160" s="249" t="n"/>
      <c r="BZ160" s="249" t="n"/>
      <c r="CA160" s="249" t="n"/>
      <c r="CB160" s="249" t="n"/>
      <c r="CC160" s="249" t="n"/>
      <c r="CD160" s="249" t="n"/>
      <c r="CE160" s="249" t="n"/>
      <c r="CF160" s="249" t="n"/>
      <c r="CG160" s="249" t="n"/>
      <c r="CH160" s="249" t="n"/>
      <c r="CI160" s="249" t="n"/>
      <c r="CJ160" s="249" t="n"/>
      <c r="CK160" s="249" t="n"/>
      <c r="CL160" s="249" t="n"/>
      <c r="CM160" s="249" t="n"/>
      <c r="CN160" s="249" t="n"/>
      <c r="CO160" s="249" t="n"/>
      <c r="CP160" s="249" t="n"/>
      <c r="CQ160" s="249" t="n"/>
      <c r="CR160" s="249" t="n"/>
      <c r="CS160" s="249" t="n"/>
      <c r="CT160" s="249" t="n"/>
      <c r="CU160" s="249" t="n"/>
      <c r="CV160" s="249" t="n"/>
      <c r="CW160" s="249" t="n"/>
      <c r="CX160" s="249" t="n"/>
      <c r="CY160" s="249" t="n"/>
      <c r="CZ160" s="249" t="n"/>
      <c r="DA160" s="249" t="n"/>
      <c r="DB160" s="249" t="n"/>
      <c r="DC160" s="249" t="n"/>
      <c r="DD160" s="249" t="n"/>
      <c r="DE160" s="249" t="n"/>
      <c r="DF160" s="249" t="n"/>
      <c r="DG160" s="249" t="n"/>
      <c r="DH160" s="249" t="n"/>
      <c r="DI160" s="249" t="n"/>
      <c r="DJ160" s="250" t="n"/>
      <c r="DK160" s="249" t="n"/>
      <c r="DL160" s="250" t="n"/>
      <c r="DM160" s="250" t="n"/>
      <c r="DN160" s="250" t="n"/>
      <c r="DO160" s="250" t="n"/>
      <c r="DP160" s="249" t="n"/>
      <c r="DQ160" s="250" t="n"/>
      <c r="DR160" s="250" t="n"/>
      <c r="DS160" s="250" t="n"/>
      <c r="DT160" s="250" t="n"/>
      <c r="DU160" s="249" t="n"/>
      <c r="DV160" s="250">
        <f>SUMPRODUCT(--(MOD(COLUMN($BN160:$DU160),5)=MOD(COLUMN($BN160),5)),$BN160:$DU160)</f>
        <v/>
      </c>
      <c r="DW160" s="251">
        <f>Автовик_разбивка[[#This Row],[Цена, 
юань, без НДС 1]]*DV160</f>
        <v/>
      </c>
      <c r="DX160" s="251">
        <f>SUMPRODUCT(--(MOD(COLUMN($BN160:$DU160),5)=MOD(COLUMN($BN160)+1,5)),$BN160:$DU160)</f>
        <v/>
      </c>
      <c r="DY160" s="251">
        <f>Автовик_разбивка[[#This Row],[Цена, 
юань, без НДС 1]]*DX160</f>
        <v/>
      </c>
      <c r="DZ160" s="250">
        <f>SUMPRODUCT(--(MOD(COLUMN($BN160:$DU160),5)=MOD(COLUMN($BN160)+2,5)),$BN160:$DU160)</f>
        <v/>
      </c>
      <c r="EA160" s="251">
        <f>Автовик_разбивка[[#This Row],[Цена, 
юань, без НДС 1]]*DZ160</f>
        <v/>
      </c>
      <c r="EB160" s="250">
        <f>SUMPRODUCT(--(MOD(COLUMN($BN160:$DU160),5)=MOD(COLUMN($BN160)+3,5)),$BN160:$DU160)</f>
        <v/>
      </c>
      <c r="EC160" s="251">
        <f>Автовик_разбивка[[#This Row],[Цена, 
юань, без НДС 1]]*EB160</f>
        <v/>
      </c>
    </row>
    <row r="161">
      <c r="A161" s="260" t="n">
        <v>33</v>
      </c>
      <c r="B161" s="172" t="inlineStr">
        <is>
          <t>ВСТ</t>
        </is>
      </c>
      <c r="C161" s="173" t="n"/>
      <c r="D161" s="173" t="n"/>
      <c r="E161" s="174" t="n"/>
      <c r="F161" s="174" t="n"/>
      <c r="G161" s="174" t="n"/>
      <c r="H161" s="175" t="n">
        <v>4231079000</v>
      </c>
      <c r="I161" s="176" t="inlineStr">
        <is>
          <t>Камера тормозная тип 30</t>
        </is>
      </c>
      <c r="J161" s="912" t="n"/>
      <c r="K161" s="912" t="n"/>
      <c r="L161" s="178" t="n"/>
      <c r="M161" s="130" t="n"/>
      <c r="N161" s="179" t="n"/>
      <c r="O161" s="130" t="n"/>
      <c r="P161" s="178" t="n"/>
      <c r="Q161" s="130" t="n"/>
      <c r="R161" s="179" t="n"/>
      <c r="S161" s="130" t="n"/>
      <c r="T161" s="178" t="n"/>
      <c r="U161" s="130" t="n">
        <v>50</v>
      </c>
      <c r="V161" s="179" t="n">
        <v>0</v>
      </c>
      <c r="W161" s="130" t="n"/>
      <c r="X161" s="178" t="n"/>
      <c r="Y161" s="130" t="n"/>
      <c r="Z161" s="179" t="n"/>
      <c r="AA161" s="130" t="n"/>
      <c r="AB161" s="178" t="n"/>
      <c r="AC161" s="130" t="n"/>
      <c r="AD161" s="179" t="n"/>
      <c r="AE161" s="130" t="n"/>
      <c r="AF161" s="178" t="n"/>
      <c r="AG161" s="130" t="n"/>
      <c r="AH161" s="179" t="n"/>
      <c r="AI161" s="130" t="n"/>
      <c r="AJ161" s="178" t="n"/>
      <c r="AK161" s="130" t="n"/>
      <c r="AL161" s="179" t="n"/>
      <c r="AM161" s="130" t="n"/>
      <c r="AN161" s="178" t="n"/>
      <c r="AO161" s="130" t="n"/>
      <c r="AP161" s="179" t="n"/>
      <c r="AQ161" s="130" t="n"/>
      <c r="AR161" s="178" t="n"/>
      <c r="AS161" s="130" t="n"/>
      <c r="AT161" s="179" t="n"/>
      <c r="AU161" s="130" t="n"/>
      <c r="AV161" s="178" t="n"/>
      <c r="AW161" s="130" t="n"/>
      <c r="AX161" s="179" t="n"/>
      <c r="AY161" s="130" t="n"/>
      <c r="AZ161" s="178" t="n"/>
      <c r="BA161" s="130" t="n"/>
      <c r="BB161" s="179" t="n"/>
      <c r="BC161" s="130" t="n"/>
      <c r="BD161" s="178" t="n"/>
      <c r="BE161" s="130" t="n"/>
      <c r="BF161" s="179" t="n"/>
      <c r="BG161" s="130" t="n"/>
      <c r="BH161" s="178">
        <f>SUMPRODUCT(--(MOD(COLUMN($L161:$BG161),4)=MOD(COLUMN($L161),4)),$L161:$BG161)</f>
        <v/>
      </c>
      <c r="BI161" s="257">
        <f>Автовик_разбивка[[#This Row],[Цена, 
юань, без НДС 1]]*BH161</f>
        <v/>
      </c>
      <c r="BJ161" s="130">
        <f>SUMPRODUCT(--(MOD(COLUMN($L161:$BG161),4)=MOD(COLUMN($L161)+1,4)),$L161:$BG161)</f>
        <v/>
      </c>
      <c r="BK161" s="187">
        <f>Автовик_разбивка[[#This Row],[Цена, 
юань, без НДС 1]]*BJ161</f>
        <v/>
      </c>
      <c r="BL161" s="179">
        <f>SUMPRODUCT(--(MOD(COLUMN($L161:$BG161),4)=MOD(COLUMN($L161)+2,4)),$L161:$BG161)</f>
        <v/>
      </c>
      <c r="BM161" s="258">
        <f>Автовик_разбивка[[#This Row],[Цена, 
юань, без НДС 1]]*BL161</f>
        <v/>
      </c>
      <c r="BN161" s="178" t="n"/>
      <c r="BO161" s="184" t="n"/>
      <c r="BP161" s="130" t="n"/>
      <c r="BQ161" s="179" t="n"/>
      <c r="BR161" s="130" t="n"/>
      <c r="BS161" s="178" t="n"/>
      <c r="BT161" s="184" t="n"/>
      <c r="BU161" s="130" t="n"/>
      <c r="BV161" s="179" t="n"/>
      <c r="BW161" s="130" t="n"/>
      <c r="BX161" s="178" t="n"/>
      <c r="BY161" s="184" t="n"/>
      <c r="BZ161" s="130" t="n"/>
      <c r="CA161" s="179" t="n"/>
      <c r="CB161" s="130" t="n"/>
      <c r="CC161" s="178" t="n"/>
      <c r="CD161" s="184" t="n"/>
      <c r="CE161" s="130" t="n"/>
      <c r="CF161" s="179" t="n"/>
      <c r="CG161" s="130" t="n"/>
      <c r="CH161" s="178" t="n"/>
      <c r="CI161" s="184" t="n"/>
      <c r="CJ161" s="130" t="n"/>
      <c r="CK161" s="179" t="n"/>
      <c r="CL161" s="130" t="n"/>
      <c r="CM161" s="178" t="n"/>
      <c r="CN161" s="184" t="n"/>
      <c r="CO161" s="130" t="n"/>
      <c r="CP161" s="179" t="n"/>
      <c r="CQ161" s="130" t="n"/>
      <c r="CR161" s="178" t="n"/>
      <c r="CS161" s="184" t="n"/>
      <c r="CT161" s="130" t="n"/>
      <c r="CU161" s="179" t="n"/>
      <c r="CV161" s="130" t="n"/>
      <c r="CW161" s="178" t="n"/>
      <c r="CX161" s="184" t="n"/>
      <c r="CY161" s="130" t="n"/>
      <c r="CZ161" s="179" t="n"/>
      <c r="DA161" s="130" t="n"/>
      <c r="DB161" s="178" t="n"/>
      <c r="DC161" s="184" t="n"/>
      <c r="DD161" s="130" t="n"/>
      <c r="DE161" s="179" t="n"/>
      <c r="DF161" s="130" t="n"/>
      <c r="DG161" s="178" t="n"/>
      <c r="DH161" s="184" t="n"/>
      <c r="DI161" s="130" t="n"/>
      <c r="DJ161" s="179" t="n"/>
      <c r="DK161" s="130" t="n"/>
      <c r="DL161" s="178" t="n"/>
      <c r="DM161" s="184" t="n"/>
      <c r="DN161" s="130" t="n"/>
      <c r="DO161" s="179" t="n"/>
      <c r="DP161" s="130" t="n"/>
      <c r="DQ161" s="178" t="n"/>
      <c r="DR161" s="184" t="n"/>
      <c r="DS161" s="130" t="n"/>
      <c r="DT161" s="179" t="n"/>
      <c r="DU161" s="130" t="n"/>
      <c r="DV161" s="178">
        <f>SUMPRODUCT(--(MOD(COLUMN($BN161:$DU161),5)=MOD(COLUMN($BN161),5)),$BN161:$DU161)</f>
        <v/>
      </c>
      <c r="DW161" s="257">
        <f>Автовик_разбивка[[#This Row],[Цена, 
юань, без НДС 1]]*DV161</f>
        <v/>
      </c>
      <c r="DX161" s="259">
        <f>SUMPRODUCT(--(MOD(COLUMN($BN161:$DU161),5)=MOD(COLUMN($BN161)+1,5)),$BN161:$DU161)</f>
        <v/>
      </c>
      <c r="DY161" s="259">
        <f>Автовик_разбивка[[#This Row],[Цена, 
юань, без НДС 1]]*DX161</f>
        <v/>
      </c>
      <c r="DZ161" s="130">
        <f>SUMPRODUCT(--(MOD(COLUMN($BN161:$DU161),5)=MOD(COLUMN($BN161)+2,5)),$BN161:$DU161)</f>
        <v/>
      </c>
      <c r="EA161" s="187">
        <f>Автовик_разбивка[[#This Row],[Цена, 
юань, без НДС 1]]*DZ161</f>
        <v/>
      </c>
      <c r="EB161" s="179">
        <f>SUMPRODUCT(--(MOD(COLUMN($BN161:$DU161),5)=MOD(COLUMN($BN161)+3,5)),$BN161:$DU161)</f>
        <v/>
      </c>
      <c r="EC161" s="258">
        <f>Автовик_разбивка[[#This Row],[Цена, 
юань, без НДС 1]]*EB161</f>
        <v/>
      </c>
    </row>
    <row r="162">
      <c r="A162" s="260" t="n">
        <v>33</v>
      </c>
      <c r="B162" s="172" t="inlineStr">
        <is>
          <t>ВСТ</t>
        </is>
      </c>
      <c r="C162" s="173" t="n"/>
      <c r="D162" s="173" t="n"/>
      <c r="E162" s="174" t="n"/>
      <c r="F162" s="174" t="n"/>
      <c r="G162" s="174" t="n"/>
      <c r="H162" s="175" t="n">
        <v>9253771100</v>
      </c>
      <c r="I162" s="176" t="inlineStr">
        <is>
          <t>Энергоаккумулятор тип 30/30</t>
        </is>
      </c>
      <c r="J162" s="912" t="n"/>
      <c r="K162" s="912" t="n"/>
      <c r="L162" s="178" t="n"/>
      <c r="M162" s="130" t="n"/>
      <c r="N162" s="179" t="n"/>
      <c r="O162" s="130" t="n"/>
      <c r="P162" s="178" t="n"/>
      <c r="Q162" s="130" t="n"/>
      <c r="R162" s="179" t="n"/>
      <c r="S162" s="130" t="n"/>
      <c r="T162" s="178" t="n"/>
      <c r="U162" s="130" t="n">
        <v>50</v>
      </c>
      <c r="V162" s="179" t="n">
        <v>0</v>
      </c>
      <c r="W162" s="130" t="n"/>
      <c r="X162" s="178" t="n"/>
      <c r="Y162" s="130" t="n"/>
      <c r="Z162" s="179" t="n"/>
      <c r="AA162" s="130" t="n"/>
      <c r="AB162" s="178" t="n"/>
      <c r="AC162" s="130" t="n"/>
      <c r="AD162" s="179" t="n"/>
      <c r="AE162" s="130" t="n"/>
      <c r="AF162" s="178" t="n"/>
      <c r="AG162" s="130" t="n"/>
      <c r="AH162" s="179" t="n"/>
      <c r="AI162" s="130" t="n"/>
      <c r="AJ162" s="178" t="n"/>
      <c r="AK162" s="130" t="n"/>
      <c r="AL162" s="179" t="n"/>
      <c r="AM162" s="130" t="n"/>
      <c r="AN162" s="178" t="n"/>
      <c r="AO162" s="130" t="n"/>
      <c r="AP162" s="179" t="n"/>
      <c r="AQ162" s="130" t="n"/>
      <c r="AR162" s="178" t="n"/>
      <c r="AS162" s="130" t="n"/>
      <c r="AT162" s="179" t="n"/>
      <c r="AU162" s="130" t="n"/>
      <c r="AV162" s="178" t="n"/>
      <c r="AW162" s="130" t="n"/>
      <c r="AX162" s="179" t="n"/>
      <c r="AY162" s="130" t="n"/>
      <c r="AZ162" s="178" t="n"/>
      <c r="BA162" s="130" t="n"/>
      <c r="BB162" s="179" t="n"/>
      <c r="BC162" s="130" t="n"/>
      <c r="BD162" s="178" t="n"/>
      <c r="BE162" s="130" t="n"/>
      <c r="BF162" s="179" t="n"/>
      <c r="BG162" s="130" t="n"/>
      <c r="BH162" s="178">
        <f>SUMPRODUCT(--(MOD(COLUMN($L162:$BG162),4)=MOD(COLUMN($L162),4)),$L162:$BG162)</f>
        <v/>
      </c>
      <c r="BI162" s="257">
        <f>Автовик_разбивка[[#This Row],[Цена, 
юань, без НДС 1]]*BH162</f>
        <v/>
      </c>
      <c r="BJ162" s="130">
        <f>SUMPRODUCT(--(MOD(COLUMN($L162:$BG162),4)=MOD(COLUMN($L162)+1,4)),$L162:$BG162)</f>
        <v/>
      </c>
      <c r="BK162" s="187">
        <f>Автовик_разбивка[[#This Row],[Цена, 
юань, без НДС 1]]*BJ162</f>
        <v/>
      </c>
      <c r="BL162" s="179">
        <f>SUMPRODUCT(--(MOD(COLUMN($L162:$BG162),4)=MOD(COLUMN($L162)+2,4)),$L162:$BG162)</f>
        <v/>
      </c>
      <c r="BM162" s="258">
        <f>Автовик_разбивка[[#This Row],[Цена, 
юань, без НДС 1]]*BL162</f>
        <v/>
      </c>
      <c r="BN162" s="178" t="n"/>
      <c r="BO162" s="184" t="n"/>
      <c r="BP162" s="130" t="n"/>
      <c r="BQ162" s="179" t="n"/>
      <c r="BR162" s="130" t="n"/>
      <c r="BS162" s="178" t="n"/>
      <c r="BT162" s="184" t="n"/>
      <c r="BU162" s="130" t="n"/>
      <c r="BV162" s="179" t="n"/>
      <c r="BW162" s="130" t="n"/>
      <c r="BX162" s="178" t="n"/>
      <c r="BY162" s="184" t="n"/>
      <c r="BZ162" s="130" t="n"/>
      <c r="CA162" s="179" t="n"/>
      <c r="CB162" s="130" t="n"/>
      <c r="CC162" s="178" t="n"/>
      <c r="CD162" s="184" t="n"/>
      <c r="CE162" s="130" t="n"/>
      <c r="CF162" s="179" t="n"/>
      <c r="CG162" s="130" t="n"/>
      <c r="CH162" s="178" t="n"/>
      <c r="CI162" s="184" t="n"/>
      <c r="CJ162" s="130" t="n"/>
      <c r="CK162" s="179" t="n"/>
      <c r="CL162" s="130" t="n"/>
      <c r="CM162" s="178" t="n"/>
      <c r="CN162" s="184" t="n"/>
      <c r="CO162" s="130" t="n"/>
      <c r="CP162" s="179" t="n"/>
      <c r="CQ162" s="130" t="n"/>
      <c r="CR162" s="178" t="n"/>
      <c r="CS162" s="184" t="n"/>
      <c r="CT162" s="130" t="n"/>
      <c r="CU162" s="179" t="n"/>
      <c r="CV162" s="130" t="n"/>
      <c r="CW162" s="178" t="n"/>
      <c r="CX162" s="184" t="n"/>
      <c r="CY162" s="130" t="n"/>
      <c r="CZ162" s="179" t="n"/>
      <c r="DA162" s="130" t="n"/>
      <c r="DB162" s="178" t="n"/>
      <c r="DC162" s="184" t="n"/>
      <c r="DD162" s="130" t="n"/>
      <c r="DE162" s="179" t="n"/>
      <c r="DF162" s="130" t="n"/>
      <c r="DG162" s="178" t="n"/>
      <c r="DH162" s="184" t="n"/>
      <c r="DI162" s="130" t="n"/>
      <c r="DJ162" s="179" t="n"/>
      <c r="DK162" s="130" t="n"/>
      <c r="DL162" s="178" t="n"/>
      <c r="DM162" s="184" t="n"/>
      <c r="DN162" s="130" t="n"/>
      <c r="DO162" s="179" t="n"/>
      <c r="DP162" s="130" t="n"/>
      <c r="DQ162" s="178" t="n"/>
      <c r="DR162" s="184" t="n"/>
      <c r="DS162" s="130" t="n"/>
      <c r="DT162" s="179" t="n"/>
      <c r="DU162" s="130" t="n"/>
      <c r="DV162" s="178">
        <f>SUMPRODUCT(--(MOD(COLUMN($BN162:$DU162),5)=MOD(COLUMN($BN162),5)),$BN162:$DU162)</f>
        <v/>
      </c>
      <c r="DW162" s="257">
        <f>Автовик_разбивка[[#This Row],[Цена, 
юань, без НДС 1]]*DV162</f>
        <v/>
      </c>
      <c r="DX162" s="259">
        <f>SUMPRODUCT(--(MOD(COLUMN($BN162:$DU162),5)=MOD(COLUMN($BN162)+1,5)),$BN162:$DU162)</f>
        <v/>
      </c>
      <c r="DY162" s="259">
        <f>Автовик_разбивка[[#This Row],[Цена, 
юань, без НДС 1]]*DX162</f>
        <v/>
      </c>
      <c r="DZ162" s="130">
        <f>SUMPRODUCT(--(MOD(COLUMN($BN162:$DU162),5)=MOD(COLUMN($BN162)+2,5)),$BN162:$DU162)</f>
        <v/>
      </c>
      <c r="EA162" s="187">
        <f>Автовик_разбивка[[#This Row],[Цена, 
юань, без НДС 1]]*DZ162</f>
        <v/>
      </c>
      <c r="EB162" s="179">
        <f>SUMPRODUCT(--(MOD(COLUMN($BN162:$DU162),5)=MOD(COLUMN($BN162)+3,5)),$BN162:$DU162)</f>
        <v/>
      </c>
      <c r="EC162" s="258">
        <f>Автовик_разбивка[[#This Row],[Цена, 
юань, без НДС 1]]*EB162</f>
        <v/>
      </c>
    </row>
    <row r="163">
      <c r="A163" s="260" t="n">
        <v>33</v>
      </c>
      <c r="B163" s="172" t="inlineStr">
        <is>
          <t>ВСТ</t>
        </is>
      </c>
      <c r="C163" s="132" t="n"/>
      <c r="D163" s="132" t="n"/>
      <c r="E163" s="229" t="n"/>
      <c r="F163" s="229" t="n"/>
      <c r="G163" s="229" t="n"/>
      <c r="H163" s="230" t="n"/>
      <c r="I163" s="231" t="inlineStr">
        <is>
          <t>Итого</t>
        </is>
      </c>
      <c r="J163" s="914" t="n"/>
      <c r="K163" s="914" t="n"/>
      <c r="L163" s="233" t="n"/>
      <c r="M163" s="234" t="n"/>
      <c r="N163" s="235" t="n"/>
      <c r="O163" s="234" t="n"/>
      <c r="P163" s="233" t="n"/>
      <c r="Q163" s="234" t="n"/>
      <c r="R163" s="235" t="n"/>
      <c r="S163" s="234" t="n"/>
      <c r="T163" s="233" t="n"/>
      <c r="U163" s="234" t="n"/>
      <c r="V163" s="235" t="n"/>
      <c r="W163" s="234" t="n"/>
      <c r="X163" s="233" t="n"/>
      <c r="Y163" s="234" t="n"/>
      <c r="Z163" s="235" t="n"/>
      <c r="AA163" s="234" t="n"/>
      <c r="AB163" s="233" t="n"/>
      <c r="AC163" s="234" t="n"/>
      <c r="AD163" s="235" t="n"/>
      <c r="AE163" s="234" t="n"/>
      <c r="AF163" s="233" t="n"/>
      <c r="AG163" s="234" t="n"/>
      <c r="AH163" s="235" t="n"/>
      <c r="AI163" s="234" t="n"/>
      <c r="AJ163" s="233" t="n"/>
      <c r="AK163" s="234" t="n"/>
      <c r="AL163" s="235" t="n"/>
      <c r="AM163" s="234" t="n"/>
      <c r="AN163" s="233" t="n"/>
      <c r="AO163" s="234" t="n"/>
      <c r="AP163" s="235" t="n"/>
      <c r="AQ163" s="234" t="n"/>
      <c r="AR163" s="233" t="n"/>
      <c r="AS163" s="234" t="n"/>
      <c r="AT163" s="235" t="n"/>
      <c r="AU163" s="234" t="n"/>
      <c r="AV163" s="233" t="n"/>
      <c r="AW163" s="234" t="n"/>
      <c r="AX163" s="235" t="n"/>
      <c r="AY163" s="234" t="n"/>
      <c r="AZ163" s="233" t="n"/>
      <c r="BA163" s="234" t="n"/>
      <c r="BB163" s="235" t="n"/>
      <c r="BC163" s="234" t="n"/>
      <c r="BD163" s="233" t="n"/>
      <c r="BE163" s="234" t="n"/>
      <c r="BF163" s="235" t="n"/>
      <c r="BG163" s="234" t="n"/>
      <c r="BH163" s="233">
        <f>SUMPRODUCT(--(MOD(COLUMN($L163:$BG163),4)=MOD(COLUMN($L163),4)),$L163:$BG163)</f>
        <v/>
      </c>
      <c r="BI163" s="238">
        <f>Автовик_разбивка[[#This Row],[Цена, 
юань, без НДС 1]]*BH163</f>
        <v/>
      </c>
      <c r="BJ163" s="234">
        <f>SUMPRODUCT(--(MOD(COLUMN($L163:$BG163),4)=MOD(COLUMN($L163)+1,4)),$L163:$BG163)</f>
        <v/>
      </c>
      <c r="BK163" s="253">
        <f>Автовик_разбивка[[#This Row],[Цена, 
юань, без НДС 1]]*BJ163</f>
        <v/>
      </c>
      <c r="BL163" s="235">
        <f>SUMPRODUCT(--(MOD(COLUMN($L163:$BG163),4)=MOD(COLUMN($L163)+2,4)),$L163:$BG163)</f>
        <v/>
      </c>
      <c r="BM163" s="254">
        <f>Автовик_разбивка[[#This Row],[Цена, 
юань, без НДС 1]]*BL163</f>
        <v/>
      </c>
      <c r="BN163" s="233" t="n"/>
      <c r="BO163" s="241" t="n"/>
      <c r="BP163" s="234" t="n"/>
      <c r="BQ163" s="235" t="n"/>
      <c r="BR163" s="234" t="n"/>
      <c r="BS163" s="233" t="n"/>
      <c r="BT163" s="241" t="n"/>
      <c r="BU163" s="234" t="n"/>
      <c r="BV163" s="235" t="n"/>
      <c r="BW163" s="234" t="n"/>
      <c r="BX163" s="233" t="n"/>
      <c r="BY163" s="241" t="n"/>
      <c r="BZ163" s="234" t="n"/>
      <c r="CA163" s="235" t="n"/>
      <c r="CB163" s="234" t="n"/>
      <c r="CC163" s="233" t="n"/>
      <c r="CD163" s="241" t="n"/>
      <c r="CE163" s="234" t="n"/>
      <c r="CF163" s="235" t="n"/>
      <c r="CG163" s="234" t="n"/>
      <c r="CH163" s="233" t="n"/>
      <c r="CI163" s="241" t="n"/>
      <c r="CJ163" s="234" t="n"/>
      <c r="CK163" s="235" t="n"/>
      <c r="CL163" s="234" t="n"/>
      <c r="CM163" s="233" t="n"/>
      <c r="CN163" s="241" t="n"/>
      <c r="CO163" s="234" t="n"/>
      <c r="CP163" s="235" t="n"/>
      <c r="CQ163" s="234" t="n"/>
      <c r="CR163" s="233" t="n"/>
      <c r="CS163" s="241" t="n"/>
      <c r="CT163" s="234" t="n"/>
      <c r="CU163" s="235" t="n"/>
      <c r="CV163" s="234" t="n"/>
      <c r="CW163" s="233" t="n"/>
      <c r="CX163" s="241" t="n"/>
      <c r="CY163" s="234" t="n"/>
      <c r="CZ163" s="235" t="n"/>
      <c r="DA163" s="234" t="n"/>
      <c r="DB163" s="233" t="n"/>
      <c r="DC163" s="241" t="n"/>
      <c r="DD163" s="234" t="n"/>
      <c r="DE163" s="235" t="n"/>
      <c r="DF163" s="234" t="n"/>
      <c r="DG163" s="233" t="n"/>
      <c r="DH163" s="241" t="n"/>
      <c r="DI163" s="234" t="n"/>
      <c r="DJ163" s="235" t="n"/>
      <c r="DK163" s="234" t="n"/>
      <c r="DL163" s="233" t="n"/>
      <c r="DM163" s="241" t="n"/>
      <c r="DN163" s="234" t="n"/>
      <c r="DO163" s="235" t="n"/>
      <c r="DP163" s="234" t="n"/>
      <c r="DQ163" s="233" t="n"/>
      <c r="DR163" s="241" t="n"/>
      <c r="DS163" s="234" t="n"/>
      <c r="DT163" s="235" t="n"/>
      <c r="DU163" s="234" t="n"/>
      <c r="DV163" s="233">
        <f>SUMPRODUCT(--(MOD(COLUMN($BN163:$DU163),5)=MOD(COLUMN($BN163),5)),$BN163:$DU163)</f>
        <v/>
      </c>
      <c r="DW163" s="238">
        <f>Автовик_разбивка[[#This Row],[Цена, 
юань, без НДС 1]]*DV163</f>
        <v/>
      </c>
      <c r="DX163" s="242">
        <f>SUMPRODUCT(--(MOD(COLUMN($BN163:$DU163),5)=MOD(COLUMN($BN163)+1,5)),$BN163:$DU163)</f>
        <v/>
      </c>
      <c r="DY163" s="242">
        <f>Автовик_разбивка[[#This Row],[Цена, 
юань, без НДС 1]]*DX163</f>
        <v/>
      </c>
      <c r="DZ163" s="234">
        <f>SUMPRODUCT(--(MOD(COLUMN($BN163:$DU163),5)=MOD(COLUMN($BN163)+2,5)),$BN163:$DU163)</f>
        <v/>
      </c>
      <c r="EA163" s="253">
        <f>Автовик_разбивка[[#This Row],[Цена, 
юань, без НДС 1]]*DZ163</f>
        <v/>
      </c>
      <c r="EB163" s="235">
        <f>SUMPRODUCT(--(MOD(COLUMN($BN163:$DU163),5)=MOD(COLUMN($BN163)+3,5)),$BN163:$DU163)</f>
        <v/>
      </c>
      <c r="EC163" s="254">
        <f>Автовик_разбивка[[#This Row],[Цена, 
юань, без НДС 1]]*EB163</f>
        <v/>
      </c>
    </row>
    <row r="164">
      <c r="A164" s="260" t="n">
        <v>33</v>
      </c>
      <c r="B164" s="243" t="inlineStr">
        <is>
          <t>ВСТ</t>
        </is>
      </c>
      <c r="C164" s="244" t="n"/>
      <c r="D164" s="244" t="n"/>
      <c r="E164" s="245" t="n"/>
      <c r="F164" s="245" t="n"/>
      <c r="G164" s="245" t="n"/>
      <c r="H164" s="246" t="n"/>
      <c r="I164" s="247" t="n"/>
      <c r="J164" s="915" t="n"/>
      <c r="K164" s="915" t="n"/>
      <c r="L164" s="249" t="n"/>
      <c r="M164" s="249" t="n"/>
      <c r="N164" s="249" t="n"/>
      <c r="O164" s="249" t="n"/>
      <c r="P164" s="249" t="n"/>
      <c r="Q164" s="249" t="n"/>
      <c r="R164" s="249" t="n"/>
      <c r="S164" s="249" t="n"/>
      <c r="T164" s="249" t="n"/>
      <c r="U164" s="249" t="n"/>
      <c r="V164" s="249" t="n"/>
      <c r="W164" s="249" t="n"/>
      <c r="X164" s="249" t="n"/>
      <c r="Y164" s="249" t="n"/>
      <c r="Z164" s="249" t="n"/>
      <c r="AA164" s="249" t="n"/>
      <c r="AB164" s="249" t="n"/>
      <c r="AC164" s="249" t="n"/>
      <c r="AD164" s="249" t="n"/>
      <c r="AE164" s="249" t="n"/>
      <c r="AF164" s="249" t="n"/>
      <c r="AG164" s="249" t="n"/>
      <c r="AH164" s="249" t="n"/>
      <c r="AI164" s="249" t="n"/>
      <c r="AJ164" s="249" t="n"/>
      <c r="AK164" s="249" t="n"/>
      <c r="AL164" s="249" t="n"/>
      <c r="AM164" s="249" t="n"/>
      <c r="AN164" s="249" t="n"/>
      <c r="AO164" s="249" t="n"/>
      <c r="AP164" s="249" t="n"/>
      <c r="AQ164" s="249" t="n"/>
      <c r="AR164" s="249" t="n"/>
      <c r="AS164" s="249" t="n"/>
      <c r="AT164" s="249" t="n"/>
      <c r="AU164" s="249" t="n"/>
      <c r="AV164" s="249" t="n"/>
      <c r="AW164" s="249" t="n"/>
      <c r="AX164" s="250" t="n"/>
      <c r="AY164" s="249" t="n"/>
      <c r="AZ164" s="250" t="n"/>
      <c r="BA164" s="250" t="n"/>
      <c r="BB164" s="250" t="n"/>
      <c r="BC164" s="249" t="n"/>
      <c r="BD164" s="250" t="n"/>
      <c r="BE164" s="250" t="n"/>
      <c r="BF164" s="250" t="n"/>
      <c r="BG164" s="249" t="n"/>
      <c r="BH164" s="250">
        <f>SUMPRODUCT(--(MOD(COLUMN($L164:$BG164),4)=MOD(COLUMN($L164),4)),$L164:$BG164)</f>
        <v/>
      </c>
      <c r="BI164" s="251">
        <f>Автовик_разбивка[[#This Row],[Цена, 
юань, без НДС 1]]*BH164</f>
        <v/>
      </c>
      <c r="BJ164" s="250">
        <f>SUMPRODUCT(--(MOD(COLUMN($L164:$BG164),4)=MOD(COLUMN($L164)+1,4)),$L164:$BG164)</f>
        <v/>
      </c>
      <c r="BK164" s="251">
        <f>Автовик_разбивка[[#This Row],[Цена, 
юань, без НДС 1]]*BJ164</f>
        <v/>
      </c>
      <c r="BL164" s="250">
        <f>SUMPRODUCT(--(MOD(COLUMN($L164:$BG164),4)=MOD(COLUMN($L164)+2,4)),$L164:$BG164)</f>
        <v/>
      </c>
      <c r="BM164" s="251">
        <f>Автовик_разбивка[[#This Row],[Цена, 
юань, без НДС 1]]*BL164</f>
        <v/>
      </c>
      <c r="BN164" s="249" t="n"/>
      <c r="BO164" s="249" t="n"/>
      <c r="BP164" s="249" t="n"/>
      <c r="BQ164" s="249" t="n"/>
      <c r="BR164" s="249" t="n"/>
      <c r="BS164" s="249" t="n"/>
      <c r="BT164" s="249" t="n"/>
      <c r="BU164" s="249" t="n"/>
      <c r="BV164" s="249" t="n"/>
      <c r="BW164" s="249" t="n"/>
      <c r="BX164" s="249" t="n"/>
      <c r="BY164" s="249" t="n"/>
      <c r="BZ164" s="249" t="n"/>
      <c r="CA164" s="249" t="n"/>
      <c r="CB164" s="249" t="n"/>
      <c r="CC164" s="249" t="n"/>
      <c r="CD164" s="249" t="n"/>
      <c r="CE164" s="249" t="n"/>
      <c r="CF164" s="249" t="n"/>
      <c r="CG164" s="249" t="n"/>
      <c r="CH164" s="249" t="n"/>
      <c r="CI164" s="249" t="n"/>
      <c r="CJ164" s="249" t="n"/>
      <c r="CK164" s="249" t="n"/>
      <c r="CL164" s="249" t="n"/>
      <c r="CM164" s="249" t="n"/>
      <c r="CN164" s="249" t="n"/>
      <c r="CO164" s="249" t="n"/>
      <c r="CP164" s="249" t="n"/>
      <c r="CQ164" s="249" t="n"/>
      <c r="CR164" s="249" t="n"/>
      <c r="CS164" s="249" t="n"/>
      <c r="CT164" s="249" t="n"/>
      <c r="CU164" s="249" t="n"/>
      <c r="CV164" s="249" t="n"/>
      <c r="CW164" s="249" t="n"/>
      <c r="CX164" s="249" t="n"/>
      <c r="CY164" s="249" t="n"/>
      <c r="CZ164" s="249" t="n"/>
      <c r="DA164" s="249" t="n"/>
      <c r="DB164" s="249" t="n"/>
      <c r="DC164" s="249" t="n"/>
      <c r="DD164" s="249" t="n"/>
      <c r="DE164" s="249" t="n"/>
      <c r="DF164" s="249" t="n"/>
      <c r="DG164" s="249" t="n"/>
      <c r="DH164" s="249" t="n"/>
      <c r="DI164" s="249" t="n"/>
      <c r="DJ164" s="250" t="n"/>
      <c r="DK164" s="249" t="n"/>
      <c r="DL164" s="250" t="n"/>
      <c r="DM164" s="250" t="n"/>
      <c r="DN164" s="250" t="n"/>
      <c r="DO164" s="250" t="n"/>
      <c r="DP164" s="249" t="n"/>
      <c r="DQ164" s="250" t="n"/>
      <c r="DR164" s="250" t="n"/>
      <c r="DS164" s="250" t="n"/>
      <c r="DT164" s="250" t="n"/>
      <c r="DU164" s="249" t="n"/>
      <c r="DV164" s="250">
        <f>SUMPRODUCT(--(MOD(COLUMN($BN164:$DU164),5)=MOD(COLUMN($BN164),5)),$BN164:$DU164)</f>
        <v/>
      </c>
      <c r="DW164" s="251">
        <f>Автовик_разбивка[[#This Row],[Цена, 
юань, без НДС 1]]*DV164</f>
        <v/>
      </c>
      <c r="DX164" s="251">
        <f>SUMPRODUCT(--(MOD(COLUMN($BN164:$DU164),5)=MOD(COLUMN($BN164)+1,5)),$BN164:$DU164)</f>
        <v/>
      </c>
      <c r="DY164" s="251">
        <f>Автовик_разбивка[[#This Row],[Цена, 
юань, без НДС 1]]*DX164</f>
        <v/>
      </c>
      <c r="DZ164" s="250">
        <f>SUMPRODUCT(--(MOD(COLUMN($BN164:$DU164),5)=MOD(COLUMN($BN164)+2,5)),$BN164:$DU164)</f>
        <v/>
      </c>
      <c r="EA164" s="251">
        <f>Автовик_разбивка[[#This Row],[Цена, 
юань, без НДС 1]]*DZ164</f>
        <v/>
      </c>
      <c r="EB164" s="250">
        <f>SUMPRODUCT(--(MOD(COLUMN($BN164:$DU164),5)=MOD(COLUMN($BN164)+3,5)),$BN164:$DU164)</f>
        <v/>
      </c>
      <c r="EC164" s="251">
        <f>Автовик_разбивка[[#This Row],[Цена, 
юань, без НДС 1]]*EB164</f>
        <v/>
      </c>
    </row>
    <row r="165">
      <c r="A165" s="260" t="n">
        <v>33</v>
      </c>
      <c r="B165" s="172" t="inlineStr">
        <is>
          <t>ЗТМ</t>
        </is>
      </c>
      <c r="C165" s="173" t="inlineStr">
        <is>
          <t>TABS W</t>
        </is>
      </c>
      <c r="D165" s="173" t="inlineStr">
        <is>
          <t>TABS 2s/2m ПЦ 12м W</t>
        </is>
      </c>
      <c r="E165" s="174" t="n">
        <v>1</v>
      </c>
      <c r="F165" s="174" t="n"/>
      <c r="G165" s="174" t="n">
        <v>2</v>
      </c>
      <c r="H165" s="175" t="n">
        <v>4005000810</v>
      </c>
      <c r="I165" s="176" t="inlineStr">
        <is>
          <t>Модулятор ABS</t>
        </is>
      </c>
      <c r="J165" s="913" t="n"/>
      <c r="K165" s="912" t="n"/>
      <c r="L165" s="178" t="n"/>
      <c r="M165" s="130" t="n"/>
      <c r="N165" s="179" t="n"/>
      <c r="O165" s="130" t="n"/>
      <c r="P165" s="178" t="n"/>
      <c r="Q165" s="130" t="n"/>
      <c r="R165" s="179" t="n"/>
      <c r="S165" s="130" t="n"/>
      <c r="T165" s="178" t="n"/>
      <c r="U165" s="130" t="n"/>
      <c r="V165" s="179" t="n"/>
      <c r="W165" s="130" t="n"/>
      <c r="X165" s="178" t="n"/>
      <c r="Y165" s="130" t="n"/>
      <c r="Z165" s="179" t="n"/>
      <c r="AA165" s="130" t="n"/>
      <c r="AB165" s="178" t="n"/>
      <c r="AC165" s="130" t="n"/>
      <c r="AD165" s="179" t="n"/>
      <c r="AE165" s="130" t="n"/>
      <c r="AF165" s="178" t="n"/>
      <c r="AG165" s="130" t="n"/>
      <c r="AH165" s="179" t="n"/>
      <c r="AI165" s="130" t="n"/>
      <c r="AJ165" s="178" t="n"/>
      <c r="AK165" s="130" t="n"/>
      <c r="AL165" s="179" t="n"/>
      <c r="AM165" s="130" t="n"/>
      <c r="AN165" s="178" t="n"/>
      <c r="AO165" s="130" t="n"/>
      <c r="AP165" s="179" t="n"/>
      <c r="AQ165" s="130" t="n"/>
      <c r="AR165" s="178" t="n"/>
      <c r="AS165" s="130" t="n"/>
      <c r="AT165" s="179" t="n"/>
      <c r="AU165" s="130" t="n"/>
      <c r="AV165" s="178" t="n"/>
      <c r="AW165" s="130" t="n"/>
      <c r="AX165" s="179" t="n"/>
      <c r="AY165" s="130" t="n"/>
      <c r="AZ165" s="178" t="n"/>
      <c r="BA165" s="130" t="n"/>
      <c r="BB165" s="179" t="n"/>
      <c r="BC165" s="130" t="n"/>
      <c r="BD165" s="178" t="n"/>
      <c r="BE165" s="130" t="n"/>
      <c r="BF165" s="109" t="n"/>
      <c r="BG165" s="130" t="n"/>
      <c r="BH165" s="180">
        <f>SUMPRODUCT(--(MOD(COLUMN($L165:$BG165),4)=MOD(COLUMN($L165),4)),$L165:$BG165)</f>
        <v/>
      </c>
      <c r="BI165" s="181">
        <f>Автовик_разбивка[[#This Row],[Цена, 
юань, без НДС 1]]*BH165</f>
        <v/>
      </c>
      <c r="BJ165" s="130">
        <f>SUMPRODUCT(--(MOD(COLUMN($L165:$BG165),4)=MOD(COLUMN($L165)+1,4)),$L165:$BG165)</f>
        <v/>
      </c>
      <c r="BK165" s="187">
        <f>Автовик_разбивка[[#This Row],[Цена, 
юань, без НДС 1]]*BJ165</f>
        <v/>
      </c>
      <c r="BL165" s="109">
        <f>SUMPRODUCT(--(MOD(COLUMN($L165:$BG165),4)=MOD(COLUMN($L165)+2,4)),$L165:$BG165)</f>
        <v/>
      </c>
      <c r="BM165" s="224">
        <f>Автовик_разбивка[[#This Row],[Цена, 
юань, без НДС 1]]*BL165</f>
        <v/>
      </c>
      <c r="BN165" s="178" t="n"/>
      <c r="BO165" s="184" t="n"/>
      <c r="BP165" s="130" t="n"/>
      <c r="BQ165" s="179" t="n"/>
      <c r="BR165" s="130" t="n"/>
      <c r="BS165" s="178" t="n"/>
      <c r="BT165" s="184" t="n"/>
      <c r="BU165" s="130" t="n"/>
      <c r="BV165" s="179" t="n"/>
      <c r="BW165" s="130" t="n"/>
      <c r="BX165" s="178" t="n"/>
      <c r="BY165" s="184" t="n"/>
      <c r="BZ165" s="130" t="n"/>
      <c r="CA165" s="179" t="n"/>
      <c r="CB165" s="130" t="n"/>
      <c r="CC165" s="178" t="n"/>
      <c r="CD165" s="184" t="n"/>
      <c r="CE165" s="130" t="n"/>
      <c r="CF165" s="179" t="n"/>
      <c r="CG165" s="130" t="n"/>
      <c r="CH165" s="178" t="n"/>
      <c r="CI165" s="184" t="n"/>
      <c r="CJ165" s="130" t="n"/>
      <c r="CK165" s="179" t="n"/>
      <c r="CL165" s="130" t="n"/>
      <c r="CM165" s="178" t="n"/>
      <c r="CN165" s="184" t="n"/>
      <c r="CO165" s="130" t="n"/>
      <c r="CP165" s="179" t="n"/>
      <c r="CQ165" s="130" t="n"/>
      <c r="CR165" s="178" t="n"/>
      <c r="CS165" s="184" t="n"/>
      <c r="CT165" s="130" t="n"/>
      <c r="CU165" s="179" t="n"/>
      <c r="CV165" s="130" t="n"/>
      <c r="CW165" s="178" t="n"/>
      <c r="CX165" s="184" t="n"/>
      <c r="CY165" s="130" t="n"/>
      <c r="CZ165" s="179" t="n"/>
      <c r="DA165" s="130" t="n"/>
      <c r="DB165" s="178" t="n"/>
      <c r="DC165" s="184" t="n"/>
      <c r="DD165" s="130" t="n"/>
      <c r="DE165" s="179" t="n"/>
      <c r="DF165" s="130" t="n"/>
      <c r="DG165" s="178" t="n"/>
      <c r="DH165" s="184" t="n"/>
      <c r="DI165" s="130" t="n"/>
      <c r="DJ165" s="179" t="n"/>
      <c r="DK165" s="130" t="n"/>
      <c r="DL165" s="178" t="n"/>
      <c r="DM165" s="184" t="n"/>
      <c r="DN165" s="130" t="n"/>
      <c r="DO165" s="179" t="n"/>
      <c r="DP165" s="130" t="n"/>
      <c r="DQ165" s="178" t="n"/>
      <c r="DR165" s="184" t="n"/>
      <c r="DS165" s="130" t="n"/>
      <c r="DT165" s="109" t="n"/>
      <c r="DU165" s="130" t="n"/>
      <c r="DV165" s="180">
        <f>SUMPRODUCT(--(MOD(COLUMN($BN165:$DU165),5)=MOD(COLUMN($BN165),5)),$BN165:$DU165)</f>
        <v/>
      </c>
      <c r="DW165" s="181">
        <f>Автовик_разбивка[[#This Row],[Цена, 
юань, без НДС 1]]*DV165</f>
        <v/>
      </c>
      <c r="DX165" s="186">
        <f>SUMPRODUCT(--(MOD(COLUMN($BN165:$DU165),5)=MOD(COLUMN($BN165)+1,5)),$BN165:$DU165)</f>
        <v/>
      </c>
      <c r="DY165" s="186">
        <f>Автовик_разбивка[[#This Row],[Цена, 
юань, без НДС 1]]*DX165</f>
        <v/>
      </c>
      <c r="DZ165" s="130">
        <f>SUMPRODUCT(--(MOD(COLUMN($BN165:$DU165),5)=MOD(COLUMN($BN165)+2,5)),$BN165:$DU165)</f>
        <v/>
      </c>
      <c r="EA165" s="187">
        <f>Автовик_разбивка[[#This Row],[Цена, 
юань, без НДС 1]]*DZ165</f>
        <v/>
      </c>
      <c r="EB165" s="109">
        <f>SUMPRODUCT(--(MOD(COLUMN($BN165:$DU165),5)=MOD(COLUMN($BN165)+3,5)),$BN165:$DU165)</f>
        <v/>
      </c>
      <c r="EC165" s="224">
        <f>Автовик_разбивка[[#This Row],[Цена, 
юань, без НДС 1]]*EB165</f>
        <v/>
      </c>
    </row>
    <row r="166">
      <c r="A166" s="260" t="n">
        <v>33</v>
      </c>
      <c r="B166" s="172" t="inlineStr">
        <is>
          <t>ЗТМ</t>
        </is>
      </c>
      <c r="C166" s="173" t="inlineStr">
        <is>
          <t>TABS W</t>
        </is>
      </c>
      <c r="D166" s="173" t="inlineStr">
        <is>
          <t>TABS 2s/2m ПЦ 12м W</t>
        </is>
      </c>
      <c r="E166" s="174" t="n">
        <v>1</v>
      </c>
      <c r="F166" s="174" t="n"/>
      <c r="G166" s="174" t="n">
        <v>2</v>
      </c>
      <c r="H166" s="175" t="n">
        <v>4492251200</v>
      </c>
      <c r="I166" s="176" t="inlineStr">
        <is>
          <t>Кабель питания для прицепа, 12 м</t>
        </is>
      </c>
      <c r="J166" s="913" t="n"/>
      <c r="K166" s="912" t="n"/>
      <c r="L166" s="178" t="n"/>
      <c r="M166" s="130" t="n"/>
      <c r="N166" s="179" t="n"/>
      <c r="O166" s="130" t="n"/>
      <c r="P166" s="178" t="n"/>
      <c r="Q166" s="130" t="n"/>
      <c r="R166" s="179" t="n"/>
      <c r="S166" s="130" t="n"/>
      <c r="T166" s="178" t="n"/>
      <c r="U166" s="130" t="n"/>
      <c r="V166" s="179" t="n"/>
      <c r="W166" s="130" t="n"/>
      <c r="X166" s="178" t="n"/>
      <c r="Y166" s="130" t="n"/>
      <c r="Z166" s="179" t="n"/>
      <c r="AA166" s="130" t="n"/>
      <c r="AB166" s="178" t="n"/>
      <c r="AC166" s="130" t="n"/>
      <c r="AD166" s="179" t="n"/>
      <c r="AE166" s="130" t="n"/>
      <c r="AF166" s="178" t="n"/>
      <c r="AG166" s="130" t="n"/>
      <c r="AH166" s="179" t="n"/>
      <c r="AI166" s="130" t="n"/>
      <c r="AJ166" s="178" t="n"/>
      <c r="AK166" s="130" t="n"/>
      <c r="AL166" s="179" t="n"/>
      <c r="AM166" s="130" t="n"/>
      <c r="AN166" s="178" t="n"/>
      <c r="AO166" s="130" t="n"/>
      <c r="AP166" s="179" t="n"/>
      <c r="AQ166" s="130" t="n"/>
      <c r="AR166" s="178" t="n"/>
      <c r="AS166" s="130" t="n"/>
      <c r="AT166" s="179" t="n"/>
      <c r="AU166" s="130" t="n"/>
      <c r="AV166" s="178" t="n"/>
      <c r="AW166" s="130" t="n"/>
      <c r="AX166" s="179" t="n"/>
      <c r="AY166" s="130" t="n"/>
      <c r="AZ166" s="178" t="n"/>
      <c r="BA166" s="130" t="n"/>
      <c r="BB166" s="179" t="n"/>
      <c r="BC166" s="130" t="n"/>
      <c r="BD166" s="178" t="n"/>
      <c r="BE166" s="130" t="n"/>
      <c r="BF166" s="109" t="n"/>
      <c r="BG166" s="130" t="n"/>
      <c r="BH166" s="180">
        <f>SUMPRODUCT(--(MOD(COLUMN($L166:$BG166),4)=MOD(COLUMN($L166),4)),$L166:$BG166)</f>
        <v/>
      </c>
      <c r="BI166" s="181">
        <f>Автовик_разбивка[[#This Row],[Цена, 
юань, без НДС 1]]*BH166</f>
        <v/>
      </c>
      <c r="BJ166" s="130">
        <f>SUMPRODUCT(--(MOD(COLUMN($L166:$BG166),4)=MOD(COLUMN($L166)+1,4)),$L166:$BG166)</f>
        <v/>
      </c>
      <c r="BK166" s="187">
        <f>Автовик_разбивка[[#This Row],[Цена, 
юань, без НДС 1]]*BJ166</f>
        <v/>
      </c>
      <c r="BL166" s="109">
        <f>SUMPRODUCT(--(MOD(COLUMN($L166:$BG166),4)=MOD(COLUMN($L166)+2,4)),$L166:$BG166)</f>
        <v/>
      </c>
      <c r="BM166" s="224">
        <f>Автовик_разбивка[[#This Row],[Цена, 
юань, без НДС 1]]*BL166</f>
        <v/>
      </c>
      <c r="BN166" s="178" t="n"/>
      <c r="BO166" s="184" t="n"/>
      <c r="BP166" s="130" t="n"/>
      <c r="BQ166" s="179" t="n"/>
      <c r="BR166" s="130" t="n"/>
      <c r="BS166" s="178" t="n"/>
      <c r="BT166" s="184" t="n"/>
      <c r="BU166" s="130" t="n"/>
      <c r="BV166" s="179" t="n"/>
      <c r="BW166" s="130" t="n"/>
      <c r="BX166" s="178" t="n"/>
      <c r="BY166" s="184" t="n"/>
      <c r="BZ166" s="130" t="n"/>
      <c r="CA166" s="179" t="n"/>
      <c r="CB166" s="130" t="n"/>
      <c r="CC166" s="178" t="n"/>
      <c r="CD166" s="184" t="n"/>
      <c r="CE166" s="130" t="n"/>
      <c r="CF166" s="179" t="n"/>
      <c r="CG166" s="130" t="n"/>
      <c r="CH166" s="178" t="n"/>
      <c r="CI166" s="184" t="n"/>
      <c r="CJ166" s="130" t="n"/>
      <c r="CK166" s="179" t="n"/>
      <c r="CL166" s="130" t="n"/>
      <c r="CM166" s="178" t="n"/>
      <c r="CN166" s="184" t="n"/>
      <c r="CO166" s="130" t="n"/>
      <c r="CP166" s="179" t="n"/>
      <c r="CQ166" s="130" t="n"/>
      <c r="CR166" s="178" t="n"/>
      <c r="CS166" s="184" t="n"/>
      <c r="CT166" s="130" t="n"/>
      <c r="CU166" s="179" t="n"/>
      <c r="CV166" s="130" t="n"/>
      <c r="CW166" s="178" t="n"/>
      <c r="CX166" s="184" t="n"/>
      <c r="CY166" s="130" t="n"/>
      <c r="CZ166" s="179" t="n"/>
      <c r="DA166" s="130" t="n"/>
      <c r="DB166" s="178" t="n"/>
      <c r="DC166" s="184" t="n"/>
      <c r="DD166" s="130" t="n"/>
      <c r="DE166" s="179" t="n"/>
      <c r="DF166" s="130" t="n"/>
      <c r="DG166" s="178" t="n"/>
      <c r="DH166" s="184" t="n"/>
      <c r="DI166" s="130" t="n"/>
      <c r="DJ166" s="179" t="n"/>
      <c r="DK166" s="130" t="n"/>
      <c r="DL166" s="178" t="n"/>
      <c r="DM166" s="184" t="n"/>
      <c r="DN166" s="130" t="n"/>
      <c r="DO166" s="179" t="n"/>
      <c r="DP166" s="130" t="n"/>
      <c r="DQ166" s="178" t="n"/>
      <c r="DR166" s="184" t="n"/>
      <c r="DS166" s="130" t="n"/>
      <c r="DT166" s="109" t="n"/>
      <c r="DU166" s="130" t="n"/>
      <c r="DV166" s="180">
        <f>SUMPRODUCT(--(MOD(COLUMN($BN166:$DU166),5)=MOD(COLUMN($BN166),5)),$BN166:$DU166)</f>
        <v/>
      </c>
      <c r="DW166" s="181">
        <f>Автовик_разбивка[[#This Row],[Цена, 
юань, без НДС 1]]*DV166</f>
        <v/>
      </c>
      <c r="DX166" s="186">
        <f>SUMPRODUCT(--(MOD(COLUMN($BN166:$DU166),5)=MOD(COLUMN($BN166)+1,5)),$BN166:$DU166)</f>
        <v/>
      </c>
      <c r="DY166" s="186">
        <f>Автовик_разбивка[[#This Row],[Цена, 
юань, без НДС 1]]*DX166</f>
        <v/>
      </c>
      <c r="DZ166" s="130">
        <f>SUMPRODUCT(--(MOD(COLUMN($BN166:$DU166),5)=MOD(COLUMN($BN166)+2,5)),$BN166:$DU166)</f>
        <v/>
      </c>
      <c r="EA166" s="187">
        <f>Автовик_разбивка[[#This Row],[Цена, 
юань, без НДС 1]]*DZ166</f>
        <v/>
      </c>
      <c r="EB166" s="109">
        <f>SUMPRODUCT(--(MOD(COLUMN($BN166:$DU166),5)=MOD(COLUMN($BN166)+3,5)),$BN166:$DU166)</f>
        <v/>
      </c>
      <c r="EC166" s="224">
        <f>Автовик_разбивка[[#This Row],[Цена, 
юань, без НДС 1]]*EB166</f>
        <v/>
      </c>
    </row>
    <row r="167">
      <c r="A167" s="260" t="n">
        <v>33</v>
      </c>
      <c r="B167" s="172" t="inlineStr">
        <is>
          <t>ЗТМ</t>
        </is>
      </c>
      <c r="C167" s="173" t="inlineStr">
        <is>
          <t>TABS W</t>
        </is>
      </c>
      <c r="D167" s="173" t="inlineStr">
        <is>
          <t>TABS 2s/2m ПЦ 12м W</t>
        </is>
      </c>
      <c r="E167" s="174" t="n">
        <v>1</v>
      </c>
      <c r="F167" s="174" t="n"/>
      <c r="G167" s="174" t="n"/>
      <c r="H167" s="175" t="n">
        <v>4496161560</v>
      </c>
      <c r="I167" s="176" t="inlineStr">
        <is>
          <t>Кабель ускорительного клапана ABS / диа., 10 м / 3 м</t>
        </is>
      </c>
      <c r="J167" s="913" t="n"/>
      <c r="K167" s="912" t="n"/>
      <c r="L167" s="178" t="n"/>
      <c r="M167" s="130" t="n"/>
      <c r="N167" s="179" t="n"/>
      <c r="O167" s="130" t="n"/>
      <c r="P167" s="178" t="n"/>
      <c r="Q167" s="130" t="n"/>
      <c r="R167" s="179" t="n"/>
      <c r="S167" s="130" t="n"/>
      <c r="T167" s="178" t="n"/>
      <c r="U167" s="130" t="n"/>
      <c r="V167" s="179" t="n"/>
      <c r="W167" s="130" t="n"/>
      <c r="X167" s="178" t="n"/>
      <c r="Y167" s="130" t="n"/>
      <c r="Z167" s="179" t="n"/>
      <c r="AA167" s="130" t="n"/>
      <c r="AB167" s="178" t="n"/>
      <c r="AC167" s="130" t="n"/>
      <c r="AD167" s="179" t="n"/>
      <c r="AE167" s="130" t="n"/>
      <c r="AF167" s="178" t="n"/>
      <c r="AG167" s="130" t="n"/>
      <c r="AH167" s="179" t="n"/>
      <c r="AI167" s="130" t="n"/>
      <c r="AJ167" s="178" t="n"/>
      <c r="AK167" s="130" t="n"/>
      <c r="AL167" s="179" t="n"/>
      <c r="AM167" s="130" t="n"/>
      <c r="AN167" s="178" t="n"/>
      <c r="AO167" s="130" t="n"/>
      <c r="AP167" s="179" t="n"/>
      <c r="AQ167" s="130" t="n"/>
      <c r="AR167" s="178" t="n"/>
      <c r="AS167" s="130" t="n"/>
      <c r="AT167" s="179" t="n"/>
      <c r="AU167" s="130" t="n"/>
      <c r="AV167" s="178" t="n"/>
      <c r="AW167" s="130" t="n"/>
      <c r="AX167" s="179" t="n"/>
      <c r="AY167" s="130" t="n"/>
      <c r="AZ167" s="178" t="n"/>
      <c r="BA167" s="130" t="n"/>
      <c r="BB167" s="179" t="n"/>
      <c r="BC167" s="130" t="n"/>
      <c r="BD167" s="178" t="n"/>
      <c r="BE167" s="130" t="n"/>
      <c r="BF167" s="109" t="n"/>
      <c r="BG167" s="130" t="n"/>
      <c r="BH167" s="180">
        <f>SUMPRODUCT(--(MOD(COLUMN($L167:$BG167),4)=MOD(COLUMN($L167),4)),$L167:$BG167)</f>
        <v/>
      </c>
      <c r="BI167" s="181">
        <f>Автовик_разбивка[[#This Row],[Цена, 
юань, без НДС 1]]*BH167</f>
        <v/>
      </c>
      <c r="BJ167" s="130">
        <f>SUMPRODUCT(--(MOD(COLUMN($L167:$BG167),4)=MOD(COLUMN($L167)+1,4)),$L167:$BG167)</f>
        <v/>
      </c>
      <c r="BK167" s="187">
        <f>Автовик_разбивка[[#This Row],[Цена, 
юань, без НДС 1]]*BJ167</f>
        <v/>
      </c>
      <c r="BL167" s="109">
        <f>SUMPRODUCT(--(MOD(COLUMN($L167:$BG167),4)=MOD(COLUMN($L167)+2,4)),$L167:$BG167)</f>
        <v/>
      </c>
      <c r="BM167" s="224">
        <f>Автовик_разбивка[[#This Row],[Цена, 
юань, без НДС 1]]*BL167</f>
        <v/>
      </c>
      <c r="BN167" s="178" t="n"/>
      <c r="BO167" s="184" t="n"/>
      <c r="BP167" s="130" t="n"/>
      <c r="BQ167" s="179" t="n"/>
      <c r="BR167" s="130" t="n"/>
      <c r="BS167" s="178" t="n"/>
      <c r="BT167" s="184" t="n"/>
      <c r="BU167" s="130" t="n"/>
      <c r="BV167" s="179" t="n"/>
      <c r="BW167" s="130" t="n"/>
      <c r="BX167" s="178" t="n"/>
      <c r="BY167" s="184" t="n"/>
      <c r="BZ167" s="130" t="n"/>
      <c r="CA167" s="179" t="n"/>
      <c r="CB167" s="130" t="n"/>
      <c r="CC167" s="178" t="n"/>
      <c r="CD167" s="184" t="n"/>
      <c r="CE167" s="130" t="n"/>
      <c r="CF167" s="179" t="n"/>
      <c r="CG167" s="130" t="n"/>
      <c r="CH167" s="178" t="n"/>
      <c r="CI167" s="184" t="n"/>
      <c r="CJ167" s="130" t="n"/>
      <c r="CK167" s="179" t="n"/>
      <c r="CL167" s="130" t="n"/>
      <c r="CM167" s="178" t="n"/>
      <c r="CN167" s="184" t="n"/>
      <c r="CO167" s="130" t="n"/>
      <c r="CP167" s="179" t="n"/>
      <c r="CQ167" s="130" t="n"/>
      <c r="CR167" s="178" t="n"/>
      <c r="CS167" s="184" t="n"/>
      <c r="CT167" s="130" t="n"/>
      <c r="CU167" s="179" t="n"/>
      <c r="CV167" s="130" t="n"/>
      <c r="CW167" s="178" t="n"/>
      <c r="CX167" s="184" t="n"/>
      <c r="CY167" s="130" t="n"/>
      <c r="CZ167" s="179" t="n"/>
      <c r="DA167" s="130" t="n"/>
      <c r="DB167" s="178" t="n"/>
      <c r="DC167" s="184" t="n"/>
      <c r="DD167" s="130" t="n"/>
      <c r="DE167" s="179" t="n"/>
      <c r="DF167" s="130" t="n"/>
      <c r="DG167" s="178" t="n"/>
      <c r="DH167" s="184" t="n"/>
      <c r="DI167" s="130" t="n"/>
      <c r="DJ167" s="179" t="n"/>
      <c r="DK167" s="130" t="n"/>
      <c r="DL167" s="178" t="n"/>
      <c r="DM167" s="184" t="n"/>
      <c r="DN167" s="130" t="n"/>
      <c r="DO167" s="179" t="n"/>
      <c r="DP167" s="130" t="n"/>
      <c r="DQ167" s="178" t="n"/>
      <c r="DR167" s="184" t="n"/>
      <c r="DS167" s="130" t="n"/>
      <c r="DT167" s="109" t="n"/>
      <c r="DU167" s="130" t="n"/>
      <c r="DV167" s="180">
        <f>SUMPRODUCT(--(MOD(COLUMN($BN167:$DU167),5)=MOD(COLUMN($BN167),5)),$BN167:$DU167)</f>
        <v/>
      </c>
      <c r="DW167" s="181">
        <f>Автовик_разбивка[[#This Row],[Цена, 
юань, без НДС 1]]*DV167</f>
        <v/>
      </c>
      <c r="DX167" s="186">
        <f>SUMPRODUCT(--(MOD(COLUMN($BN167:$DU167),5)=MOD(COLUMN($BN167)+1,5)),$BN167:$DU167)</f>
        <v/>
      </c>
      <c r="DY167" s="186">
        <f>Автовик_разбивка[[#This Row],[Цена, 
юань, без НДС 1]]*DX167</f>
        <v/>
      </c>
      <c r="DZ167" s="130">
        <f>SUMPRODUCT(--(MOD(COLUMN($BN167:$DU167),5)=MOD(COLUMN($BN167)+2,5)),$BN167:$DU167)</f>
        <v/>
      </c>
      <c r="EA167" s="187">
        <f>Автовик_разбивка[[#This Row],[Цена, 
юань, без НДС 1]]*DZ167</f>
        <v/>
      </c>
      <c r="EB167" s="109">
        <f>SUMPRODUCT(--(MOD(COLUMN($BN167:$DU167),5)=MOD(COLUMN($BN167)+3,5)),$BN167:$DU167)</f>
        <v/>
      </c>
      <c r="EC167" s="224">
        <f>Автовик_разбивка[[#This Row],[Цена, 
юань, без НДС 1]]*EB167</f>
        <v/>
      </c>
    </row>
    <row r="168">
      <c r="A168" s="260" t="n">
        <v>33</v>
      </c>
      <c r="B168" s="172" t="inlineStr">
        <is>
          <t>ЗТМ</t>
        </is>
      </c>
      <c r="C168" s="173" t="inlineStr">
        <is>
          <t>TABS W</t>
        </is>
      </c>
      <c r="D168" s="173" t="inlineStr">
        <is>
          <t>TABS 2s/2m ПЦ 12м W</t>
        </is>
      </c>
      <c r="E168" s="174" t="n">
        <v>6</v>
      </c>
      <c r="F168" s="174" t="n"/>
      <c r="G168" s="174" t="n">
        <v>2</v>
      </c>
      <c r="H168" s="175" t="n">
        <v>4497490300</v>
      </c>
      <c r="I168" s="176" t="inlineStr">
        <is>
          <t>Кабель-удлинитель датчика ABS, 3 м</t>
        </is>
      </c>
      <c r="J168" s="913" t="n"/>
      <c r="K168" s="912" t="n"/>
      <c r="L168" s="178" t="n"/>
      <c r="M168" s="130" t="n"/>
      <c r="N168" s="179" t="n"/>
      <c r="O168" s="130" t="n"/>
      <c r="P168" s="178" t="n"/>
      <c r="Q168" s="130" t="n"/>
      <c r="R168" s="179" t="n"/>
      <c r="S168" s="130" t="n"/>
      <c r="T168" s="178" t="n"/>
      <c r="U168" s="130" t="n"/>
      <c r="V168" s="179" t="n"/>
      <c r="W168" s="130" t="n"/>
      <c r="X168" s="178" t="n"/>
      <c r="Y168" s="130" t="n"/>
      <c r="Z168" s="179" t="n"/>
      <c r="AA168" s="130" t="n"/>
      <c r="AB168" s="178" t="n"/>
      <c r="AC168" s="130" t="n"/>
      <c r="AD168" s="179" t="n"/>
      <c r="AE168" s="130" t="n"/>
      <c r="AF168" s="178" t="n"/>
      <c r="AG168" s="130" t="n"/>
      <c r="AH168" s="179" t="n"/>
      <c r="AI168" s="130" t="n"/>
      <c r="AJ168" s="178" t="n"/>
      <c r="AK168" s="130" t="n"/>
      <c r="AL168" s="179" t="n"/>
      <c r="AM168" s="130" t="n"/>
      <c r="AN168" s="178" t="n"/>
      <c r="AO168" s="130" t="n"/>
      <c r="AP168" s="179" t="n"/>
      <c r="AQ168" s="130" t="n"/>
      <c r="AR168" s="178" t="n"/>
      <c r="AS168" s="130" t="n"/>
      <c r="AT168" s="179" t="n"/>
      <c r="AU168" s="130" t="n"/>
      <c r="AV168" s="178" t="n"/>
      <c r="AW168" s="130" t="n"/>
      <c r="AX168" s="179" t="n"/>
      <c r="AY168" s="130" t="n"/>
      <c r="AZ168" s="178" t="n"/>
      <c r="BA168" s="130" t="n"/>
      <c r="BB168" s="179" t="n"/>
      <c r="BC168" s="130" t="n"/>
      <c r="BD168" s="178" t="n"/>
      <c r="BE168" s="130" t="n"/>
      <c r="BF168" s="109" t="n"/>
      <c r="BG168" s="130" t="n"/>
      <c r="BH168" s="180">
        <f>SUMPRODUCT(--(MOD(COLUMN($L168:$BG168),4)=MOD(COLUMN($L168),4)),$L168:$BG168)</f>
        <v/>
      </c>
      <c r="BI168" s="181">
        <f>Автовик_разбивка[[#This Row],[Цена, 
юань, без НДС 1]]*BH168</f>
        <v/>
      </c>
      <c r="BJ168" s="130">
        <f>SUMPRODUCT(--(MOD(COLUMN($L168:$BG168),4)=MOD(COLUMN($L168)+1,4)),$L168:$BG168)</f>
        <v/>
      </c>
      <c r="BK168" s="187">
        <f>Автовик_разбивка[[#This Row],[Цена, 
юань, без НДС 1]]*BJ168</f>
        <v/>
      </c>
      <c r="BL168" s="109">
        <f>SUMPRODUCT(--(MOD(COLUMN($L168:$BG168),4)=MOD(COLUMN($L168)+2,4)),$L168:$BG168)</f>
        <v/>
      </c>
      <c r="BM168" s="224">
        <f>Автовик_разбивка[[#This Row],[Цена, 
юань, без НДС 1]]*BL168</f>
        <v/>
      </c>
      <c r="BN168" s="178" t="n"/>
      <c r="BO168" s="184" t="n"/>
      <c r="BP168" s="130" t="n"/>
      <c r="BQ168" s="179" t="n"/>
      <c r="BR168" s="130" t="n"/>
      <c r="BS168" s="178" t="n"/>
      <c r="BT168" s="184" t="n"/>
      <c r="BU168" s="130" t="n"/>
      <c r="BV168" s="179" t="n"/>
      <c r="BW168" s="130" t="n"/>
      <c r="BX168" s="178" t="n"/>
      <c r="BY168" s="184" t="n"/>
      <c r="BZ168" s="130" t="n"/>
      <c r="CA168" s="179" t="n"/>
      <c r="CB168" s="130" t="n"/>
      <c r="CC168" s="178" t="n"/>
      <c r="CD168" s="184" t="n"/>
      <c r="CE168" s="130" t="n"/>
      <c r="CF168" s="179" t="n"/>
      <c r="CG168" s="130" t="n"/>
      <c r="CH168" s="178" t="n"/>
      <c r="CI168" s="184" t="n"/>
      <c r="CJ168" s="130" t="n"/>
      <c r="CK168" s="179" t="n"/>
      <c r="CL168" s="130" t="n"/>
      <c r="CM168" s="178" t="n"/>
      <c r="CN168" s="184" t="n"/>
      <c r="CO168" s="130" t="n"/>
      <c r="CP168" s="179" t="n"/>
      <c r="CQ168" s="130" t="n"/>
      <c r="CR168" s="178" t="n"/>
      <c r="CS168" s="184" t="n"/>
      <c r="CT168" s="130" t="n"/>
      <c r="CU168" s="179" t="n"/>
      <c r="CV168" s="130" t="n"/>
      <c r="CW168" s="178" t="n"/>
      <c r="CX168" s="184" t="n"/>
      <c r="CY168" s="130" t="n"/>
      <c r="CZ168" s="179" t="n"/>
      <c r="DA168" s="130" t="n"/>
      <c r="DB168" s="178" t="n"/>
      <c r="DC168" s="184" t="n"/>
      <c r="DD168" s="130" t="n"/>
      <c r="DE168" s="179" t="n"/>
      <c r="DF168" s="130" t="n"/>
      <c r="DG168" s="178" t="n"/>
      <c r="DH168" s="184" t="n"/>
      <c r="DI168" s="130" t="n"/>
      <c r="DJ168" s="179" t="n"/>
      <c r="DK168" s="130" t="n"/>
      <c r="DL168" s="178" t="n"/>
      <c r="DM168" s="184" t="n"/>
      <c r="DN168" s="130" t="n"/>
      <c r="DO168" s="179" t="n"/>
      <c r="DP168" s="130" t="n"/>
      <c r="DQ168" s="178" t="n"/>
      <c r="DR168" s="184" t="n"/>
      <c r="DS168" s="130" t="n"/>
      <c r="DT168" s="109" t="n"/>
      <c r="DU168" s="130" t="n"/>
      <c r="DV168" s="180">
        <f>SUMPRODUCT(--(MOD(COLUMN($BN168:$DU168),5)=MOD(COLUMN($BN168),5)),$BN168:$DU168)</f>
        <v/>
      </c>
      <c r="DW168" s="181">
        <f>Автовик_разбивка[[#This Row],[Цена, 
юань, без НДС 1]]*DV168</f>
        <v/>
      </c>
      <c r="DX168" s="186">
        <f>SUMPRODUCT(--(MOD(COLUMN($BN168:$DU168),5)=MOD(COLUMN($BN168)+1,5)),$BN168:$DU168)</f>
        <v/>
      </c>
      <c r="DY168" s="186">
        <f>Автовик_разбивка[[#This Row],[Цена, 
юань, без НДС 1]]*DX168</f>
        <v/>
      </c>
      <c r="DZ168" s="130">
        <f>SUMPRODUCT(--(MOD(COLUMN($BN168:$DU168),5)=MOD(COLUMN($BN168)+2,5)),$BN168:$DU168)</f>
        <v/>
      </c>
      <c r="EA168" s="187">
        <f>Автовик_разбивка[[#This Row],[Цена, 
юань, без НДС 1]]*DZ168</f>
        <v/>
      </c>
      <c r="EB168" s="109">
        <f>SUMPRODUCT(--(MOD(COLUMN($BN168:$DU168),5)=MOD(COLUMN($BN168)+3,5)),$BN168:$DU168)</f>
        <v/>
      </c>
      <c r="EC168" s="224">
        <f>Автовик_разбивка[[#This Row],[Цена, 
юань, без НДС 1]]*EB168</f>
        <v/>
      </c>
    </row>
    <row r="169">
      <c r="A169" s="260" t="n">
        <v>33</v>
      </c>
      <c r="B169" s="172" t="inlineStr">
        <is>
          <t>ЗТМ</t>
        </is>
      </c>
      <c r="C169" s="173" t="inlineStr">
        <is>
          <t>TABS W</t>
        </is>
      </c>
      <c r="D169" s="173" t="inlineStr">
        <is>
          <t>TABS 2s/2m ПЦ 12м W</t>
        </is>
      </c>
      <c r="E169" s="174" t="n">
        <v>1</v>
      </c>
      <c r="F169" s="174" t="n"/>
      <c r="G169" s="174" t="n"/>
      <c r="H169" s="175" t="n">
        <v>4721950310</v>
      </c>
      <c r="I169" s="176" t="inlineStr">
        <is>
          <t>Ускорительный клапан ABS</t>
        </is>
      </c>
      <c r="J169" s="913" t="n"/>
      <c r="K169" s="912" t="n"/>
      <c r="L169" s="178" t="n"/>
      <c r="M169" s="130" t="n"/>
      <c r="N169" s="179" t="n"/>
      <c r="O169" s="130" t="n"/>
      <c r="P169" s="178" t="n"/>
      <c r="Q169" s="130" t="n"/>
      <c r="R169" s="179" t="n"/>
      <c r="S169" s="130" t="n"/>
      <c r="T169" s="178" t="n"/>
      <c r="U169" s="130" t="n"/>
      <c r="V169" s="179" t="n"/>
      <c r="W169" s="130" t="n"/>
      <c r="X169" s="178" t="n"/>
      <c r="Y169" s="130" t="n"/>
      <c r="Z169" s="179" t="n"/>
      <c r="AA169" s="130" t="n"/>
      <c r="AB169" s="178" t="n"/>
      <c r="AC169" s="130" t="n"/>
      <c r="AD169" s="179" t="n"/>
      <c r="AE169" s="130" t="n"/>
      <c r="AF169" s="178" t="n"/>
      <c r="AG169" s="130" t="n"/>
      <c r="AH169" s="179" t="n"/>
      <c r="AI169" s="130" t="n"/>
      <c r="AJ169" s="178" t="n"/>
      <c r="AK169" s="130" t="n"/>
      <c r="AL169" s="179" t="n"/>
      <c r="AM169" s="130" t="n"/>
      <c r="AN169" s="178" t="n"/>
      <c r="AO169" s="130" t="n"/>
      <c r="AP169" s="179" t="n"/>
      <c r="AQ169" s="130" t="n"/>
      <c r="AR169" s="178" t="n"/>
      <c r="AS169" s="130" t="n"/>
      <c r="AT169" s="179" t="n"/>
      <c r="AU169" s="130" t="n"/>
      <c r="AV169" s="178" t="n"/>
      <c r="AW169" s="130" t="n"/>
      <c r="AX169" s="179" t="n"/>
      <c r="AY169" s="130" t="n"/>
      <c r="AZ169" s="178" t="n"/>
      <c r="BA169" s="130" t="n"/>
      <c r="BB169" s="179" t="n"/>
      <c r="BC169" s="130" t="n"/>
      <c r="BD169" s="178" t="n"/>
      <c r="BE169" s="130" t="n"/>
      <c r="BF169" s="109" t="n"/>
      <c r="BG169" s="130" t="n"/>
      <c r="BH169" s="180">
        <f>SUMPRODUCT(--(MOD(COLUMN($L169:$BG169),4)=MOD(COLUMN($L169),4)),$L169:$BG169)</f>
        <v/>
      </c>
      <c r="BI169" s="181">
        <f>Автовик_разбивка[[#This Row],[Цена, 
юань, без НДС 1]]*BH169</f>
        <v/>
      </c>
      <c r="BJ169" s="130">
        <f>SUMPRODUCT(--(MOD(COLUMN($L169:$BG169),4)=MOD(COLUMN($L169)+1,4)),$L169:$BG169)</f>
        <v/>
      </c>
      <c r="BK169" s="187">
        <f>Автовик_разбивка[[#This Row],[Цена, 
юань, без НДС 1]]*BJ169</f>
        <v/>
      </c>
      <c r="BL169" s="109">
        <f>SUMPRODUCT(--(MOD(COLUMN($L169:$BG169),4)=MOD(COLUMN($L169)+2,4)),$L169:$BG169)</f>
        <v/>
      </c>
      <c r="BM169" s="224">
        <f>Автовик_разбивка[[#This Row],[Цена, 
юань, без НДС 1]]*BL169</f>
        <v/>
      </c>
      <c r="BN169" s="178" t="n"/>
      <c r="BO169" s="184" t="n"/>
      <c r="BP169" s="130" t="n"/>
      <c r="BQ169" s="179" t="n"/>
      <c r="BR169" s="130" t="n"/>
      <c r="BS169" s="178" t="n"/>
      <c r="BT169" s="184" t="n"/>
      <c r="BU169" s="130" t="n"/>
      <c r="BV169" s="179" t="n"/>
      <c r="BW169" s="130" t="n"/>
      <c r="BX169" s="178" t="n"/>
      <c r="BY169" s="184" t="n"/>
      <c r="BZ169" s="130" t="n"/>
      <c r="CA169" s="179" t="n"/>
      <c r="CB169" s="130" t="n"/>
      <c r="CC169" s="178" t="n"/>
      <c r="CD169" s="184" t="n"/>
      <c r="CE169" s="130" t="n"/>
      <c r="CF169" s="179" t="n"/>
      <c r="CG169" s="130" t="n"/>
      <c r="CH169" s="178" t="n"/>
      <c r="CI169" s="184" t="n"/>
      <c r="CJ169" s="130" t="n"/>
      <c r="CK169" s="179" t="n"/>
      <c r="CL169" s="130" t="n"/>
      <c r="CM169" s="178" t="n"/>
      <c r="CN169" s="184" t="n"/>
      <c r="CO169" s="130" t="n"/>
      <c r="CP169" s="179" t="n"/>
      <c r="CQ169" s="130" t="n"/>
      <c r="CR169" s="178" t="n"/>
      <c r="CS169" s="184" t="n"/>
      <c r="CT169" s="130" t="n"/>
      <c r="CU169" s="179" t="n"/>
      <c r="CV169" s="130" t="n"/>
      <c r="CW169" s="178" t="n"/>
      <c r="CX169" s="184" t="n"/>
      <c r="CY169" s="130" t="n"/>
      <c r="CZ169" s="179" t="n"/>
      <c r="DA169" s="130" t="n"/>
      <c r="DB169" s="178" t="n"/>
      <c r="DC169" s="184" t="n"/>
      <c r="DD169" s="130" t="n"/>
      <c r="DE169" s="179" t="n"/>
      <c r="DF169" s="130" t="n"/>
      <c r="DG169" s="178" t="n"/>
      <c r="DH169" s="184" t="n"/>
      <c r="DI169" s="130" t="n"/>
      <c r="DJ169" s="179" t="n"/>
      <c r="DK169" s="130" t="n"/>
      <c r="DL169" s="178" t="n"/>
      <c r="DM169" s="184" t="n"/>
      <c r="DN169" s="130" t="n"/>
      <c r="DO169" s="179" t="n"/>
      <c r="DP169" s="130" t="n"/>
      <c r="DQ169" s="178" t="n"/>
      <c r="DR169" s="184" t="n"/>
      <c r="DS169" s="130" t="n"/>
      <c r="DT169" s="109" t="n"/>
      <c r="DU169" s="130" t="n"/>
      <c r="DV169" s="180">
        <f>SUMPRODUCT(--(MOD(COLUMN($BN169:$DU169),5)=MOD(COLUMN($BN169),5)),$BN169:$DU169)</f>
        <v/>
      </c>
      <c r="DW169" s="181">
        <f>Автовик_разбивка[[#This Row],[Цена, 
юань, без НДС 1]]*DV169</f>
        <v/>
      </c>
      <c r="DX169" s="186">
        <f>SUMPRODUCT(--(MOD(COLUMN($BN169:$DU169),5)=MOD(COLUMN($BN169)+1,5)),$BN169:$DU169)</f>
        <v/>
      </c>
      <c r="DY169" s="186">
        <f>Автовик_разбивка[[#This Row],[Цена, 
юань, без НДС 1]]*DX169</f>
        <v/>
      </c>
      <c r="DZ169" s="130">
        <f>SUMPRODUCT(--(MOD(COLUMN($BN169:$DU169),5)=MOD(COLUMN($BN169)+2,5)),$BN169:$DU169)</f>
        <v/>
      </c>
      <c r="EA169" s="187">
        <f>Автовик_разбивка[[#This Row],[Цена, 
юань, без НДС 1]]*DZ169</f>
        <v/>
      </c>
      <c r="EB169" s="109">
        <f>SUMPRODUCT(--(MOD(COLUMN($BN169:$DU169),5)=MOD(COLUMN($BN169)+3,5)),$BN169:$DU169)</f>
        <v/>
      </c>
      <c r="EC169" s="224">
        <f>Автовик_разбивка[[#This Row],[Цена, 
юань, без НДС 1]]*EB169</f>
        <v/>
      </c>
    </row>
    <row r="170">
      <c r="A170" s="260" t="n">
        <v>33</v>
      </c>
      <c r="B170" s="172" t="inlineStr">
        <is>
          <t>ЗТМ</t>
        </is>
      </c>
      <c r="C170" s="173" t="inlineStr">
        <is>
          <t>TABS W</t>
        </is>
      </c>
      <c r="D170" s="173" t="inlineStr">
        <is>
          <t>TABS 2s/2m ПЦ 12м W</t>
        </is>
      </c>
      <c r="E170" s="174" t="n">
        <v>1</v>
      </c>
      <c r="F170" s="174" t="n"/>
      <c r="G170" s="174" t="n">
        <v>2</v>
      </c>
      <c r="H170" s="175" t="n">
        <v>9522010010</v>
      </c>
      <c r="I170" s="176" t="inlineStr">
        <is>
          <t>Головка соединительная (управляющая)</t>
        </is>
      </c>
      <c r="J170" s="913" t="n"/>
      <c r="K170" s="912" t="n"/>
      <c r="L170" s="178" t="n"/>
      <c r="M170" s="130" t="n"/>
      <c r="N170" s="179" t="n"/>
      <c r="O170" s="130" t="n"/>
      <c r="P170" s="178" t="n"/>
      <c r="Q170" s="130" t="n"/>
      <c r="R170" s="179" t="n"/>
      <c r="S170" s="130" t="n"/>
      <c r="T170" s="178" t="n"/>
      <c r="U170" s="130" t="n"/>
      <c r="V170" s="179" t="n"/>
      <c r="W170" s="130" t="n"/>
      <c r="X170" s="178" t="n"/>
      <c r="Y170" s="130" t="n"/>
      <c r="Z170" s="179" t="n"/>
      <c r="AA170" s="130" t="n"/>
      <c r="AB170" s="178" t="n"/>
      <c r="AC170" s="130" t="n"/>
      <c r="AD170" s="179" t="n"/>
      <c r="AE170" s="130" t="n"/>
      <c r="AF170" s="178" t="n"/>
      <c r="AG170" s="130" t="n"/>
      <c r="AH170" s="179" t="n"/>
      <c r="AI170" s="130" t="n"/>
      <c r="AJ170" s="178" t="n"/>
      <c r="AK170" s="130" t="n"/>
      <c r="AL170" s="179" t="n"/>
      <c r="AM170" s="130" t="n"/>
      <c r="AN170" s="178" t="n"/>
      <c r="AO170" s="130" t="n"/>
      <c r="AP170" s="179" t="n"/>
      <c r="AQ170" s="130" t="n"/>
      <c r="AR170" s="178" t="n"/>
      <c r="AS170" s="130" t="n"/>
      <c r="AT170" s="179" t="n"/>
      <c r="AU170" s="130" t="n"/>
      <c r="AV170" s="178" t="n"/>
      <c r="AW170" s="130" t="n"/>
      <c r="AX170" s="179" t="n"/>
      <c r="AY170" s="130" t="n"/>
      <c r="AZ170" s="178" t="n"/>
      <c r="BA170" s="130" t="n"/>
      <c r="BB170" s="179" t="n"/>
      <c r="BC170" s="130" t="n"/>
      <c r="BD170" s="178" t="n"/>
      <c r="BE170" s="130" t="n"/>
      <c r="BF170" s="109" t="n"/>
      <c r="BG170" s="130" t="n"/>
      <c r="BH170" s="180">
        <f>SUMPRODUCT(--(MOD(COLUMN($L170:$BG170),4)=MOD(COLUMN($L170),4)),$L170:$BG170)</f>
        <v/>
      </c>
      <c r="BI170" s="181">
        <f>Автовик_разбивка[[#This Row],[Цена, 
юань, без НДС 1]]*BH170</f>
        <v/>
      </c>
      <c r="BJ170" s="130">
        <f>SUMPRODUCT(--(MOD(COLUMN($L170:$BG170),4)=MOD(COLUMN($L170)+1,4)),$L170:$BG170)</f>
        <v/>
      </c>
      <c r="BK170" s="187">
        <f>Автовик_разбивка[[#This Row],[Цена, 
юань, без НДС 1]]*BJ170</f>
        <v/>
      </c>
      <c r="BL170" s="109">
        <f>SUMPRODUCT(--(MOD(COLUMN($L170:$BG170),4)=MOD(COLUMN($L170)+2,4)),$L170:$BG170)</f>
        <v/>
      </c>
      <c r="BM170" s="224">
        <f>Автовик_разбивка[[#This Row],[Цена, 
юань, без НДС 1]]*BL170</f>
        <v/>
      </c>
      <c r="BN170" s="178" t="n"/>
      <c r="BO170" s="184" t="n"/>
      <c r="BP170" s="130" t="n"/>
      <c r="BQ170" s="179" t="n"/>
      <c r="BR170" s="130" t="n"/>
      <c r="BS170" s="178" t="n"/>
      <c r="BT170" s="184" t="n"/>
      <c r="BU170" s="130" t="n"/>
      <c r="BV170" s="179" t="n"/>
      <c r="BW170" s="130" t="n"/>
      <c r="BX170" s="178" t="n"/>
      <c r="BY170" s="184" t="n"/>
      <c r="BZ170" s="130" t="n"/>
      <c r="CA170" s="179" t="n"/>
      <c r="CB170" s="130" t="n"/>
      <c r="CC170" s="178" t="n"/>
      <c r="CD170" s="184" t="n"/>
      <c r="CE170" s="130" t="n"/>
      <c r="CF170" s="179" t="n"/>
      <c r="CG170" s="130" t="n"/>
      <c r="CH170" s="178" t="n"/>
      <c r="CI170" s="184" t="n"/>
      <c r="CJ170" s="130" t="n"/>
      <c r="CK170" s="179" t="n"/>
      <c r="CL170" s="130" t="n"/>
      <c r="CM170" s="178" t="n"/>
      <c r="CN170" s="184" t="n"/>
      <c r="CO170" s="130" t="n"/>
      <c r="CP170" s="179" t="n"/>
      <c r="CQ170" s="130" t="n"/>
      <c r="CR170" s="178" t="n"/>
      <c r="CS170" s="184" t="n"/>
      <c r="CT170" s="130" t="n"/>
      <c r="CU170" s="179" t="n"/>
      <c r="CV170" s="130" t="n"/>
      <c r="CW170" s="178" t="n"/>
      <c r="CX170" s="184" t="n"/>
      <c r="CY170" s="130" t="n"/>
      <c r="CZ170" s="179" t="n"/>
      <c r="DA170" s="130" t="n"/>
      <c r="DB170" s="178" t="n"/>
      <c r="DC170" s="184" t="n"/>
      <c r="DD170" s="130" t="n"/>
      <c r="DE170" s="179" t="n"/>
      <c r="DF170" s="130" t="n"/>
      <c r="DG170" s="178" t="n"/>
      <c r="DH170" s="184" t="n"/>
      <c r="DI170" s="130" t="n"/>
      <c r="DJ170" s="179" t="n"/>
      <c r="DK170" s="130" t="n"/>
      <c r="DL170" s="178" t="n"/>
      <c r="DM170" s="184" t="n"/>
      <c r="DN170" s="130" t="n"/>
      <c r="DO170" s="179" t="n"/>
      <c r="DP170" s="130" t="n"/>
      <c r="DQ170" s="178" t="n"/>
      <c r="DR170" s="184" t="n"/>
      <c r="DS170" s="130" t="n"/>
      <c r="DT170" s="109" t="n"/>
      <c r="DU170" s="130" t="n"/>
      <c r="DV170" s="180">
        <f>SUMPRODUCT(--(MOD(COLUMN($BN170:$DU170),5)=MOD(COLUMN($BN170),5)),$BN170:$DU170)</f>
        <v/>
      </c>
      <c r="DW170" s="181">
        <f>Автовик_разбивка[[#This Row],[Цена, 
юань, без НДС 1]]*DV170</f>
        <v/>
      </c>
      <c r="DX170" s="186">
        <f>SUMPRODUCT(--(MOD(COLUMN($BN170:$DU170),5)=MOD(COLUMN($BN170)+1,5)),$BN170:$DU170)</f>
        <v/>
      </c>
      <c r="DY170" s="186">
        <f>Автовик_разбивка[[#This Row],[Цена, 
юань, без НДС 1]]*DX170</f>
        <v/>
      </c>
      <c r="DZ170" s="130">
        <f>SUMPRODUCT(--(MOD(COLUMN($BN170:$DU170),5)=MOD(COLUMN($BN170)+2,5)),$BN170:$DU170)</f>
        <v/>
      </c>
      <c r="EA170" s="187">
        <f>Автовик_разбивка[[#This Row],[Цена, 
юань, без НДС 1]]*DZ170</f>
        <v/>
      </c>
      <c r="EB170" s="109">
        <f>SUMPRODUCT(--(MOD(COLUMN($BN170:$DU170),5)=MOD(COLUMN($BN170)+3,5)),$BN170:$DU170)</f>
        <v/>
      </c>
      <c r="EC170" s="224">
        <f>Автовик_разбивка[[#This Row],[Цена, 
юань, без НДС 1]]*EB170</f>
        <v/>
      </c>
    </row>
    <row r="171">
      <c r="A171" s="260" t="n">
        <v>33</v>
      </c>
      <c r="B171" s="172" t="inlineStr">
        <is>
          <t>ЗТМ</t>
        </is>
      </c>
      <c r="C171" s="173" t="inlineStr">
        <is>
          <t>TABS W</t>
        </is>
      </c>
      <c r="D171" s="173" t="inlineStr">
        <is>
          <t>TABS 2s/2m ПЦ 12м W</t>
        </is>
      </c>
      <c r="E171" s="174" t="n">
        <v>1</v>
      </c>
      <c r="F171" s="174" t="n"/>
      <c r="G171" s="174" t="n">
        <v>2</v>
      </c>
      <c r="H171" s="175" t="n">
        <v>9522010020</v>
      </c>
      <c r="I171" s="176" t="inlineStr">
        <is>
          <t>Головка соединительная (питающая)</t>
        </is>
      </c>
      <c r="J171" s="913" t="n"/>
      <c r="K171" s="912" t="n"/>
      <c r="L171" s="178" t="n"/>
      <c r="M171" s="130" t="n"/>
      <c r="N171" s="179" t="n"/>
      <c r="O171" s="130" t="n"/>
      <c r="P171" s="178" t="n"/>
      <c r="Q171" s="130" t="n"/>
      <c r="R171" s="179" t="n"/>
      <c r="S171" s="130" t="n"/>
      <c r="T171" s="178" t="n"/>
      <c r="U171" s="130" t="n"/>
      <c r="V171" s="179" t="n"/>
      <c r="W171" s="130" t="n"/>
      <c r="X171" s="178" t="n"/>
      <c r="Y171" s="130" t="n"/>
      <c r="Z171" s="179" t="n"/>
      <c r="AA171" s="130" t="n"/>
      <c r="AB171" s="178" t="n"/>
      <c r="AC171" s="130" t="n"/>
      <c r="AD171" s="179" t="n"/>
      <c r="AE171" s="130" t="n"/>
      <c r="AF171" s="178" t="n"/>
      <c r="AG171" s="130" t="n"/>
      <c r="AH171" s="179" t="n"/>
      <c r="AI171" s="130" t="n"/>
      <c r="AJ171" s="178" t="n"/>
      <c r="AK171" s="130" t="n"/>
      <c r="AL171" s="179" t="n"/>
      <c r="AM171" s="130" t="n"/>
      <c r="AN171" s="178" t="n"/>
      <c r="AO171" s="130" t="n"/>
      <c r="AP171" s="179" t="n"/>
      <c r="AQ171" s="130" t="n"/>
      <c r="AR171" s="178" t="n"/>
      <c r="AS171" s="130" t="n"/>
      <c r="AT171" s="179" t="n"/>
      <c r="AU171" s="130" t="n"/>
      <c r="AV171" s="178" t="n"/>
      <c r="AW171" s="130" t="n"/>
      <c r="AX171" s="179" t="n"/>
      <c r="AY171" s="130" t="n"/>
      <c r="AZ171" s="178" t="n"/>
      <c r="BA171" s="130" t="n"/>
      <c r="BB171" s="179" t="n"/>
      <c r="BC171" s="130" t="n"/>
      <c r="BD171" s="178" t="n"/>
      <c r="BE171" s="130" t="n"/>
      <c r="BF171" s="109" t="n"/>
      <c r="BG171" s="130" t="n"/>
      <c r="BH171" s="180">
        <f>SUMPRODUCT(--(MOD(COLUMN($L171:$BG171),4)=MOD(COLUMN($L171),4)),$L171:$BG171)</f>
        <v/>
      </c>
      <c r="BI171" s="181">
        <f>Автовик_разбивка[[#This Row],[Цена, 
юань, без НДС 1]]*BH171</f>
        <v/>
      </c>
      <c r="BJ171" s="130">
        <f>SUMPRODUCT(--(MOD(COLUMN($L171:$BG171),4)=MOD(COLUMN($L171)+1,4)),$L171:$BG171)</f>
        <v/>
      </c>
      <c r="BK171" s="187">
        <f>Автовик_разбивка[[#This Row],[Цена, 
юань, без НДС 1]]*BJ171</f>
        <v/>
      </c>
      <c r="BL171" s="109">
        <f>SUMPRODUCT(--(MOD(COLUMN($L171:$BG171),4)=MOD(COLUMN($L171)+2,4)),$L171:$BG171)</f>
        <v/>
      </c>
      <c r="BM171" s="224">
        <f>Автовик_разбивка[[#This Row],[Цена, 
юань, без НДС 1]]*BL171</f>
        <v/>
      </c>
      <c r="BN171" s="178" t="n"/>
      <c r="BO171" s="184" t="n"/>
      <c r="BP171" s="130" t="n"/>
      <c r="BQ171" s="179" t="n"/>
      <c r="BR171" s="130" t="n"/>
      <c r="BS171" s="178" t="n"/>
      <c r="BT171" s="184" t="n"/>
      <c r="BU171" s="130" t="n"/>
      <c r="BV171" s="179" t="n"/>
      <c r="BW171" s="130" t="n"/>
      <c r="BX171" s="178" t="n"/>
      <c r="BY171" s="184" t="n"/>
      <c r="BZ171" s="130" t="n"/>
      <c r="CA171" s="179" t="n"/>
      <c r="CB171" s="130" t="n"/>
      <c r="CC171" s="178" t="n"/>
      <c r="CD171" s="184" t="n"/>
      <c r="CE171" s="130" t="n"/>
      <c r="CF171" s="179" t="n"/>
      <c r="CG171" s="130" t="n"/>
      <c r="CH171" s="178" t="n"/>
      <c r="CI171" s="184" t="n"/>
      <c r="CJ171" s="130" t="n"/>
      <c r="CK171" s="179" t="n"/>
      <c r="CL171" s="130" t="n"/>
      <c r="CM171" s="178" t="n"/>
      <c r="CN171" s="184" t="n"/>
      <c r="CO171" s="130" t="n"/>
      <c r="CP171" s="179" t="n"/>
      <c r="CQ171" s="130" t="n"/>
      <c r="CR171" s="178" t="n"/>
      <c r="CS171" s="184" t="n"/>
      <c r="CT171" s="130" t="n"/>
      <c r="CU171" s="179" t="n"/>
      <c r="CV171" s="130" t="n"/>
      <c r="CW171" s="178" t="n"/>
      <c r="CX171" s="184" t="n"/>
      <c r="CY171" s="130" t="n"/>
      <c r="CZ171" s="179" t="n"/>
      <c r="DA171" s="130" t="n"/>
      <c r="DB171" s="178" t="n"/>
      <c r="DC171" s="184" t="n"/>
      <c r="DD171" s="130" t="n"/>
      <c r="DE171" s="179" t="n"/>
      <c r="DF171" s="130" t="n"/>
      <c r="DG171" s="178" t="n"/>
      <c r="DH171" s="184" t="n"/>
      <c r="DI171" s="130" t="n"/>
      <c r="DJ171" s="179" t="n"/>
      <c r="DK171" s="130" t="n"/>
      <c r="DL171" s="178" t="n"/>
      <c r="DM171" s="184" t="n"/>
      <c r="DN171" s="130" t="n"/>
      <c r="DO171" s="179" t="n"/>
      <c r="DP171" s="130" t="n"/>
      <c r="DQ171" s="178" t="n"/>
      <c r="DR171" s="184" t="n"/>
      <c r="DS171" s="130" t="n"/>
      <c r="DT171" s="109" t="n"/>
      <c r="DU171" s="130" t="n"/>
      <c r="DV171" s="180">
        <f>SUMPRODUCT(--(MOD(COLUMN($BN171:$DU171),5)=MOD(COLUMN($BN171),5)),$BN171:$DU171)</f>
        <v/>
      </c>
      <c r="DW171" s="181">
        <f>Автовик_разбивка[[#This Row],[Цена, 
юань, без НДС 1]]*DV171</f>
        <v/>
      </c>
      <c r="DX171" s="186">
        <f>SUMPRODUCT(--(MOD(COLUMN($BN171:$DU171),5)=MOD(COLUMN($BN171)+1,5)),$BN171:$DU171)</f>
        <v/>
      </c>
      <c r="DY171" s="186">
        <f>Автовик_разбивка[[#This Row],[Цена, 
юань, без НДС 1]]*DX171</f>
        <v/>
      </c>
      <c r="DZ171" s="130">
        <f>SUMPRODUCT(--(MOD(COLUMN($BN171:$DU171),5)=MOD(COLUMN($BN171)+2,5)),$BN171:$DU171)</f>
        <v/>
      </c>
      <c r="EA171" s="187">
        <f>Автовик_разбивка[[#This Row],[Цена, 
юань, без НДС 1]]*DZ171</f>
        <v/>
      </c>
      <c r="EB171" s="109">
        <f>SUMPRODUCT(--(MOD(COLUMN($BN171:$DU171),5)=MOD(COLUMN($BN171)+3,5)),$BN171:$DU171)</f>
        <v/>
      </c>
      <c r="EC171" s="224">
        <f>Автовик_разбивка[[#This Row],[Цена, 
юань, без НДС 1]]*EB171</f>
        <v/>
      </c>
    </row>
    <row r="172">
      <c r="A172" s="260" t="n">
        <v>33</v>
      </c>
      <c r="B172" s="172" t="inlineStr">
        <is>
          <t>ЗТМ</t>
        </is>
      </c>
      <c r="C172" s="173" t="inlineStr">
        <is>
          <t>TABS W</t>
        </is>
      </c>
      <c r="D172" s="173" t="inlineStr">
        <is>
          <t>TABS 2s/2m ПЦ 12м W</t>
        </is>
      </c>
      <c r="E172" s="174" t="n">
        <v>1</v>
      </c>
      <c r="F172" s="174" t="n"/>
      <c r="G172" s="174" t="n">
        <v>2</v>
      </c>
      <c r="H172" s="175" t="n">
        <v>9710020400</v>
      </c>
      <c r="I172" s="176" t="inlineStr">
        <is>
          <t>Воздухораспределитель (без кл. растормаживания)</t>
        </is>
      </c>
      <c r="J172" s="913" t="n"/>
      <c r="K172" s="912" t="n"/>
      <c r="L172" s="178" t="n"/>
      <c r="M172" s="130" t="n"/>
      <c r="N172" s="179" t="n"/>
      <c r="O172" s="130" t="n"/>
      <c r="P172" s="178" t="n"/>
      <c r="Q172" s="130" t="n"/>
      <c r="R172" s="179" t="n"/>
      <c r="S172" s="130" t="n"/>
      <c r="T172" s="178" t="n"/>
      <c r="U172" s="130" t="n"/>
      <c r="V172" s="179" t="n"/>
      <c r="W172" s="130" t="n"/>
      <c r="X172" s="178" t="n"/>
      <c r="Y172" s="130" t="n"/>
      <c r="Z172" s="179" t="n"/>
      <c r="AA172" s="130" t="n"/>
      <c r="AB172" s="178" t="n"/>
      <c r="AC172" s="130" t="n"/>
      <c r="AD172" s="179" t="n"/>
      <c r="AE172" s="130" t="n"/>
      <c r="AF172" s="178" t="n"/>
      <c r="AG172" s="130" t="n"/>
      <c r="AH172" s="179" t="n"/>
      <c r="AI172" s="130" t="n"/>
      <c r="AJ172" s="178" t="n"/>
      <c r="AK172" s="130" t="n"/>
      <c r="AL172" s="179" t="n"/>
      <c r="AM172" s="130" t="n"/>
      <c r="AN172" s="178" t="n"/>
      <c r="AO172" s="130" t="n"/>
      <c r="AP172" s="179" t="n"/>
      <c r="AQ172" s="130" t="n"/>
      <c r="AR172" s="178" t="n"/>
      <c r="AS172" s="130" t="n"/>
      <c r="AT172" s="179" t="n"/>
      <c r="AU172" s="130" t="n"/>
      <c r="AV172" s="178" t="n"/>
      <c r="AW172" s="130" t="n"/>
      <c r="AX172" s="179" t="n"/>
      <c r="AY172" s="130" t="n"/>
      <c r="AZ172" s="178" t="n"/>
      <c r="BA172" s="130" t="n"/>
      <c r="BB172" s="179" t="n"/>
      <c r="BC172" s="130" t="n"/>
      <c r="BD172" s="178" t="n"/>
      <c r="BE172" s="130" t="n"/>
      <c r="BF172" s="109" t="n"/>
      <c r="BG172" s="130" t="n"/>
      <c r="BH172" s="180">
        <f>SUMPRODUCT(--(MOD(COLUMN($L172:$BG172),4)=MOD(COLUMN($L172),4)),$L172:$BG172)</f>
        <v/>
      </c>
      <c r="BI172" s="181">
        <f>Автовик_разбивка[[#This Row],[Цена, 
юань, без НДС 1]]*BH172</f>
        <v/>
      </c>
      <c r="BJ172" s="130">
        <f>SUMPRODUCT(--(MOD(COLUMN($L172:$BG172),4)=MOD(COLUMN($L172)+1,4)),$L172:$BG172)</f>
        <v/>
      </c>
      <c r="BK172" s="187">
        <f>Автовик_разбивка[[#This Row],[Цена, 
юань, без НДС 1]]*BJ172</f>
        <v/>
      </c>
      <c r="BL172" s="109">
        <f>SUMPRODUCT(--(MOD(COLUMN($L172:$BG172),4)=MOD(COLUMN($L172)+2,4)),$L172:$BG172)</f>
        <v/>
      </c>
      <c r="BM172" s="224">
        <f>Автовик_разбивка[[#This Row],[Цена, 
юань, без НДС 1]]*BL172</f>
        <v/>
      </c>
      <c r="BN172" s="178" t="n"/>
      <c r="BO172" s="184" t="n"/>
      <c r="BP172" s="130" t="n"/>
      <c r="BQ172" s="179" t="n"/>
      <c r="BR172" s="130" t="n"/>
      <c r="BS172" s="178" t="n"/>
      <c r="BT172" s="184" t="n"/>
      <c r="BU172" s="130" t="n"/>
      <c r="BV172" s="179" t="n"/>
      <c r="BW172" s="130" t="n"/>
      <c r="BX172" s="178" t="n"/>
      <c r="BY172" s="184" t="n"/>
      <c r="BZ172" s="130" t="n"/>
      <c r="CA172" s="179" t="n"/>
      <c r="CB172" s="130" t="n"/>
      <c r="CC172" s="178" t="n"/>
      <c r="CD172" s="184" t="n"/>
      <c r="CE172" s="130" t="n"/>
      <c r="CF172" s="179" t="n"/>
      <c r="CG172" s="130" t="n"/>
      <c r="CH172" s="178" t="n"/>
      <c r="CI172" s="184" t="n"/>
      <c r="CJ172" s="130" t="n"/>
      <c r="CK172" s="179" t="n"/>
      <c r="CL172" s="130" t="n"/>
      <c r="CM172" s="178" t="n"/>
      <c r="CN172" s="184" t="n"/>
      <c r="CO172" s="130" t="n"/>
      <c r="CP172" s="179" t="n"/>
      <c r="CQ172" s="130" t="n"/>
      <c r="CR172" s="178" t="n"/>
      <c r="CS172" s="184" t="n"/>
      <c r="CT172" s="130" t="n"/>
      <c r="CU172" s="179" t="n"/>
      <c r="CV172" s="130" t="n"/>
      <c r="CW172" s="178" t="n"/>
      <c r="CX172" s="184" t="n"/>
      <c r="CY172" s="130" t="n"/>
      <c r="CZ172" s="179" t="n"/>
      <c r="DA172" s="130" t="n"/>
      <c r="DB172" s="178" t="n"/>
      <c r="DC172" s="184" t="n"/>
      <c r="DD172" s="130" t="n"/>
      <c r="DE172" s="179" t="n"/>
      <c r="DF172" s="130" t="n"/>
      <c r="DG172" s="178" t="n"/>
      <c r="DH172" s="184" t="n"/>
      <c r="DI172" s="130" t="n"/>
      <c r="DJ172" s="179" t="n"/>
      <c r="DK172" s="130" t="n"/>
      <c r="DL172" s="178" t="n"/>
      <c r="DM172" s="184" t="n"/>
      <c r="DN172" s="130" t="n"/>
      <c r="DO172" s="179" t="n"/>
      <c r="DP172" s="130" t="n"/>
      <c r="DQ172" s="178" t="n"/>
      <c r="DR172" s="184" t="n"/>
      <c r="DS172" s="130" t="n"/>
      <c r="DT172" s="109" t="n"/>
      <c r="DU172" s="130" t="n"/>
      <c r="DV172" s="180">
        <f>SUMPRODUCT(--(MOD(COLUMN($BN172:$DU172),5)=MOD(COLUMN($BN172),5)),$BN172:$DU172)</f>
        <v/>
      </c>
      <c r="DW172" s="181">
        <f>Автовик_разбивка[[#This Row],[Цена, 
юань, без НДС 1]]*DV172</f>
        <v/>
      </c>
      <c r="DX172" s="186">
        <f>SUMPRODUCT(--(MOD(COLUMN($BN172:$DU172),5)=MOD(COLUMN($BN172)+1,5)),$BN172:$DU172)</f>
        <v/>
      </c>
      <c r="DY172" s="186">
        <f>Автовик_разбивка[[#This Row],[Цена, 
юань, без НДС 1]]*DX172</f>
        <v/>
      </c>
      <c r="DZ172" s="130">
        <f>SUMPRODUCT(--(MOD(COLUMN($BN172:$DU172),5)=MOD(COLUMN($BN172)+2,5)),$BN172:$DU172)</f>
        <v/>
      </c>
      <c r="EA172" s="187">
        <f>Автовик_разбивка[[#This Row],[Цена, 
юань, без НДС 1]]*DZ172</f>
        <v/>
      </c>
      <c r="EB172" s="109">
        <f>SUMPRODUCT(--(MOD(COLUMN($BN172:$DU172),5)=MOD(COLUMN($BN172)+3,5)),$BN172:$DU172)</f>
        <v/>
      </c>
      <c r="EC172" s="224">
        <f>Автовик_разбивка[[#This Row],[Цена, 
юань, без НДС 1]]*EB172</f>
        <v/>
      </c>
    </row>
    <row r="173">
      <c r="A173" s="260" t="n">
        <v>33</v>
      </c>
      <c r="B173" s="172" t="inlineStr">
        <is>
          <t>ЗТМ</t>
        </is>
      </c>
      <c r="C173" s="132" t="n"/>
      <c r="D173" s="132" t="n"/>
      <c r="E173" s="229" t="n"/>
      <c r="F173" s="229" t="n"/>
      <c r="G173" s="229" t="n"/>
      <c r="H173" s="230" t="n"/>
      <c r="I173" s="231" t="inlineStr">
        <is>
          <t>Итого</t>
        </is>
      </c>
      <c r="J173" s="914" t="n"/>
      <c r="K173" s="914" t="n"/>
      <c r="L173" s="233" t="n"/>
      <c r="M173" s="234" t="n"/>
      <c r="N173" s="235" t="n"/>
      <c r="O173" s="234" t="n"/>
      <c r="P173" s="233" t="n"/>
      <c r="Q173" s="234" t="n"/>
      <c r="R173" s="235" t="n"/>
      <c r="S173" s="234" t="n"/>
      <c r="T173" s="233" t="n"/>
      <c r="U173" s="234" t="n"/>
      <c r="V173" s="235" t="n"/>
      <c r="W173" s="234" t="n"/>
      <c r="X173" s="233" t="n"/>
      <c r="Y173" s="234" t="n"/>
      <c r="Z173" s="235" t="n"/>
      <c r="AA173" s="234" t="n"/>
      <c r="AB173" s="233" t="n"/>
      <c r="AC173" s="234" t="n"/>
      <c r="AD173" s="235" t="n"/>
      <c r="AE173" s="234" t="n"/>
      <c r="AF173" s="233" t="n"/>
      <c r="AG173" s="234" t="n"/>
      <c r="AH173" s="235" t="n"/>
      <c r="AI173" s="234" t="n"/>
      <c r="AJ173" s="233" t="n"/>
      <c r="AK173" s="234" t="n"/>
      <c r="AL173" s="235" t="n"/>
      <c r="AM173" s="234" t="n"/>
      <c r="AN173" s="233" t="n"/>
      <c r="AO173" s="234" t="n"/>
      <c r="AP173" s="235" t="n"/>
      <c r="AQ173" s="234" t="n"/>
      <c r="AR173" s="233" t="n"/>
      <c r="AS173" s="234" t="n"/>
      <c r="AT173" s="235" t="n"/>
      <c r="AU173" s="234" t="n"/>
      <c r="AV173" s="233" t="n"/>
      <c r="AW173" s="234" t="n"/>
      <c r="AX173" s="235" t="n"/>
      <c r="AY173" s="234" t="n"/>
      <c r="AZ173" s="233" t="n"/>
      <c r="BA173" s="234" t="n"/>
      <c r="BB173" s="235" t="n"/>
      <c r="BC173" s="234" t="n"/>
      <c r="BD173" s="233" t="n"/>
      <c r="BE173" s="234" t="n"/>
      <c r="BF173" s="235" t="n"/>
      <c r="BG173" s="234" t="n"/>
      <c r="BH173" s="233">
        <f>SUMPRODUCT(--(MOD(COLUMN($L173:$BG173),4)=MOD(COLUMN($L173),4)),$L173:$BG173)</f>
        <v/>
      </c>
      <c r="BI173" s="238">
        <f>Автовик_разбивка[[#This Row],[Цена, 
юань, без НДС 1]]*BH173</f>
        <v/>
      </c>
      <c r="BJ173" s="234">
        <f>SUMPRODUCT(--(MOD(COLUMN($L173:$BG173),4)=MOD(COLUMN($L173)+1,4)),$L173:$BG173)</f>
        <v/>
      </c>
      <c r="BK173" s="253">
        <f>Автовик_разбивка[[#This Row],[Цена, 
юань, без НДС 1]]*BJ173</f>
        <v/>
      </c>
      <c r="BL173" s="235">
        <f>SUMPRODUCT(--(MOD(COLUMN($L173:$BG173),4)=MOD(COLUMN($L173)+2,4)),$L173:$BG173)</f>
        <v/>
      </c>
      <c r="BM173" s="254">
        <f>Автовик_разбивка[[#This Row],[Цена, 
юань, без НДС 1]]*BL173</f>
        <v/>
      </c>
      <c r="BN173" s="233" t="n"/>
      <c r="BO173" s="241" t="n"/>
      <c r="BP173" s="234" t="n"/>
      <c r="BQ173" s="235" t="n"/>
      <c r="BR173" s="234" t="n"/>
      <c r="BS173" s="233" t="n"/>
      <c r="BT173" s="241" t="n"/>
      <c r="BU173" s="234" t="n"/>
      <c r="BV173" s="235" t="n"/>
      <c r="BW173" s="234" t="n"/>
      <c r="BX173" s="233" t="n"/>
      <c r="BY173" s="241" t="n"/>
      <c r="BZ173" s="234" t="n"/>
      <c r="CA173" s="235" t="n"/>
      <c r="CB173" s="234" t="n"/>
      <c r="CC173" s="233" t="n"/>
      <c r="CD173" s="241" t="n"/>
      <c r="CE173" s="234" t="n"/>
      <c r="CF173" s="235" t="n"/>
      <c r="CG173" s="234" t="n"/>
      <c r="CH173" s="233" t="n"/>
      <c r="CI173" s="241" t="n"/>
      <c r="CJ173" s="234" t="n"/>
      <c r="CK173" s="235" t="n"/>
      <c r="CL173" s="234" t="n"/>
      <c r="CM173" s="233" t="n"/>
      <c r="CN173" s="241" t="n"/>
      <c r="CO173" s="234" t="n"/>
      <c r="CP173" s="235" t="n"/>
      <c r="CQ173" s="234" t="n"/>
      <c r="CR173" s="233" t="n"/>
      <c r="CS173" s="241" t="n"/>
      <c r="CT173" s="234" t="n"/>
      <c r="CU173" s="235" t="n"/>
      <c r="CV173" s="234" t="n"/>
      <c r="CW173" s="233" t="n"/>
      <c r="CX173" s="241" t="n"/>
      <c r="CY173" s="234" t="n"/>
      <c r="CZ173" s="235" t="n"/>
      <c r="DA173" s="234" t="n"/>
      <c r="DB173" s="233" t="n"/>
      <c r="DC173" s="241" t="n"/>
      <c r="DD173" s="234" t="n"/>
      <c r="DE173" s="235" t="n"/>
      <c r="DF173" s="234" t="n"/>
      <c r="DG173" s="233" t="n"/>
      <c r="DH173" s="241" t="n"/>
      <c r="DI173" s="234" t="n"/>
      <c r="DJ173" s="235" t="n"/>
      <c r="DK173" s="234" t="n"/>
      <c r="DL173" s="233" t="n"/>
      <c r="DM173" s="241" t="n"/>
      <c r="DN173" s="234" t="n"/>
      <c r="DO173" s="235" t="n"/>
      <c r="DP173" s="234" t="n"/>
      <c r="DQ173" s="233" t="n"/>
      <c r="DR173" s="241" t="n"/>
      <c r="DS173" s="234" t="n"/>
      <c r="DT173" s="235" t="n"/>
      <c r="DU173" s="234" t="n"/>
      <c r="DV173" s="233">
        <f>SUMPRODUCT(--(MOD(COLUMN($BN173:$DU173),5)=MOD(COLUMN($BN173),5)),$BN173:$DU173)</f>
        <v/>
      </c>
      <c r="DW173" s="238">
        <f>Автовик_разбивка[[#This Row],[Цена, 
юань, без НДС 1]]*DV173</f>
        <v/>
      </c>
      <c r="DX173" s="242">
        <f>SUMPRODUCT(--(MOD(COLUMN($BN173:$DU173),5)=MOD(COLUMN($BN173)+1,5)),$BN173:$DU173)</f>
        <v/>
      </c>
      <c r="DY173" s="242">
        <f>Автовик_разбивка[[#This Row],[Цена, 
юань, без НДС 1]]*DX173</f>
        <v/>
      </c>
      <c r="DZ173" s="234">
        <f>SUMPRODUCT(--(MOD(COLUMN($BN173:$DU173),5)=MOD(COLUMN($BN173)+2,5)),$BN173:$DU173)</f>
        <v/>
      </c>
      <c r="EA173" s="253">
        <f>Автовик_разбивка[[#This Row],[Цена, 
юань, без НДС 1]]*DZ173</f>
        <v/>
      </c>
      <c r="EB173" s="235">
        <f>SUMPRODUCT(--(MOD(COLUMN($BN173:$DU173),5)=MOD(COLUMN($BN173)+3,5)),$BN173:$DU173)</f>
        <v/>
      </c>
      <c r="EC173" s="254">
        <f>Автовик_разбивка[[#This Row],[Цена, 
юань, без НДС 1]]*EB173</f>
        <v/>
      </c>
    </row>
    <row r="174">
      <c r="A174" s="260" t="n">
        <v>33</v>
      </c>
      <c r="B174" s="261" t="inlineStr">
        <is>
          <t>ЗТМ</t>
        </is>
      </c>
      <c r="C174" s="244" t="n"/>
      <c r="D174" s="244" t="n"/>
      <c r="E174" s="245" t="n"/>
      <c r="F174" s="245" t="n"/>
      <c r="G174" s="245" t="n"/>
      <c r="H174" s="246" t="n"/>
      <c r="I174" s="247" t="n"/>
      <c r="J174" s="915" t="n"/>
      <c r="K174" s="915" t="n"/>
      <c r="L174" s="249" t="n"/>
      <c r="M174" s="249" t="n"/>
      <c r="N174" s="249" t="n"/>
      <c r="O174" s="249" t="n"/>
      <c r="P174" s="249" t="n"/>
      <c r="Q174" s="249" t="n"/>
      <c r="R174" s="249" t="n"/>
      <c r="S174" s="249" t="n"/>
      <c r="T174" s="249" t="n"/>
      <c r="U174" s="249" t="n"/>
      <c r="V174" s="249" t="n"/>
      <c r="W174" s="249" t="n"/>
      <c r="X174" s="249" t="n"/>
      <c r="Y174" s="249" t="n"/>
      <c r="Z174" s="249" t="n"/>
      <c r="AA174" s="249" t="n"/>
      <c r="AB174" s="249" t="n"/>
      <c r="AC174" s="249" t="n"/>
      <c r="AD174" s="249" t="n"/>
      <c r="AE174" s="249" t="n"/>
      <c r="AF174" s="249" t="n"/>
      <c r="AG174" s="249" t="n"/>
      <c r="AH174" s="249" t="n"/>
      <c r="AI174" s="249" t="n"/>
      <c r="AJ174" s="249" t="n"/>
      <c r="AK174" s="249" t="n"/>
      <c r="AL174" s="249" t="n"/>
      <c r="AM174" s="249" t="n"/>
      <c r="AN174" s="249" t="n"/>
      <c r="AO174" s="249" t="n"/>
      <c r="AP174" s="249" t="n"/>
      <c r="AQ174" s="249" t="n"/>
      <c r="AR174" s="249" t="n"/>
      <c r="AS174" s="249" t="n"/>
      <c r="AT174" s="249" t="n"/>
      <c r="AU174" s="249" t="n"/>
      <c r="AV174" s="249" t="n"/>
      <c r="AW174" s="249" t="n"/>
      <c r="AX174" s="250" t="n"/>
      <c r="AY174" s="249" t="n"/>
      <c r="AZ174" s="250" t="n"/>
      <c r="BA174" s="250" t="n"/>
      <c r="BB174" s="250" t="n"/>
      <c r="BC174" s="249" t="n"/>
      <c r="BD174" s="250" t="n"/>
      <c r="BE174" s="250" t="n"/>
      <c r="BF174" s="250" t="n"/>
      <c r="BG174" s="249" t="n"/>
      <c r="BH174" s="250">
        <f>SUMPRODUCT(--(MOD(COLUMN($L174:$BG174),4)=MOD(COLUMN($L174),4)),$L174:$BG174)</f>
        <v/>
      </c>
      <c r="BI174" s="251">
        <f>Автовик_разбивка[[#This Row],[Цена, 
юань, без НДС 1]]*BH174</f>
        <v/>
      </c>
      <c r="BJ174" s="250">
        <f>SUMPRODUCT(--(MOD(COLUMN($L174:$BG174),4)=MOD(COLUMN($L174)+1,4)),$L174:$BG174)</f>
        <v/>
      </c>
      <c r="BK174" s="251">
        <f>Автовик_разбивка[[#This Row],[Цена, 
юань, без НДС 1]]*BJ174</f>
        <v/>
      </c>
      <c r="BL174" s="250">
        <f>SUMPRODUCT(--(MOD(COLUMN($L174:$BG174),4)=MOD(COLUMN($L174)+2,4)),$L174:$BG174)</f>
        <v/>
      </c>
      <c r="BM174" s="251">
        <f>Автовик_разбивка[[#This Row],[Цена, 
юань, без НДС 1]]*BL174</f>
        <v/>
      </c>
      <c r="BN174" s="249" t="n"/>
      <c r="BO174" s="249" t="n"/>
      <c r="BP174" s="249" t="n"/>
      <c r="BQ174" s="249" t="n"/>
      <c r="BR174" s="249" t="n"/>
      <c r="BS174" s="249" t="n"/>
      <c r="BT174" s="249" t="n"/>
      <c r="BU174" s="249" t="n"/>
      <c r="BV174" s="249" t="n"/>
      <c r="BW174" s="249" t="n"/>
      <c r="BX174" s="249" t="n"/>
      <c r="BY174" s="249" t="n"/>
      <c r="BZ174" s="249" t="n"/>
      <c r="CA174" s="249" t="n"/>
      <c r="CB174" s="249" t="n"/>
      <c r="CC174" s="249" t="n"/>
      <c r="CD174" s="249" t="n"/>
      <c r="CE174" s="249" t="n"/>
      <c r="CF174" s="249" t="n"/>
      <c r="CG174" s="249" t="n"/>
      <c r="CH174" s="249" t="n"/>
      <c r="CI174" s="249" t="n"/>
      <c r="CJ174" s="249" t="n"/>
      <c r="CK174" s="249" t="n"/>
      <c r="CL174" s="249" t="n"/>
      <c r="CM174" s="249" t="n"/>
      <c r="CN174" s="249" t="n"/>
      <c r="CO174" s="249" t="n"/>
      <c r="CP174" s="249" t="n"/>
      <c r="CQ174" s="249" t="n"/>
      <c r="CR174" s="249" t="n"/>
      <c r="CS174" s="249" t="n"/>
      <c r="CT174" s="249" t="n"/>
      <c r="CU174" s="249" t="n"/>
      <c r="CV174" s="249" t="n"/>
      <c r="CW174" s="249" t="n"/>
      <c r="CX174" s="249" t="n"/>
      <c r="CY174" s="249" t="n"/>
      <c r="CZ174" s="249" t="n"/>
      <c r="DA174" s="249" t="n"/>
      <c r="DB174" s="249" t="n"/>
      <c r="DC174" s="249" t="n"/>
      <c r="DD174" s="249" t="n"/>
      <c r="DE174" s="249" t="n"/>
      <c r="DF174" s="249" t="n"/>
      <c r="DG174" s="249" t="n"/>
      <c r="DH174" s="249" t="n"/>
      <c r="DI174" s="249" t="n"/>
      <c r="DJ174" s="250" t="n"/>
      <c r="DK174" s="249" t="n"/>
      <c r="DL174" s="250" t="n"/>
      <c r="DM174" s="250" t="n"/>
      <c r="DN174" s="250" t="n"/>
      <c r="DO174" s="250" t="n"/>
      <c r="DP174" s="249" t="n"/>
      <c r="DQ174" s="250" t="n"/>
      <c r="DR174" s="250" t="n"/>
      <c r="DS174" s="250" t="n"/>
      <c r="DT174" s="250" t="n"/>
      <c r="DU174" s="249" t="n"/>
      <c r="DV174" s="250">
        <f>SUMPRODUCT(--(MOD(COLUMN($BN174:$DU174),5)=MOD(COLUMN($BN174),5)),$BN174:$DU174)</f>
        <v/>
      </c>
      <c r="DW174" s="251">
        <f>Автовик_разбивка[[#This Row],[Цена, 
юань, без НДС 1]]*DV174</f>
        <v/>
      </c>
      <c r="DX174" s="251">
        <f>SUMPRODUCT(--(MOD(COLUMN($BN174:$DU174),5)=MOD(COLUMN($BN174)+1,5)),$BN174:$DU174)</f>
        <v/>
      </c>
      <c r="DY174" s="251">
        <f>Автовик_разбивка[[#This Row],[Цена, 
юань, без НДС 1]]*DX174</f>
        <v/>
      </c>
      <c r="DZ174" s="250">
        <f>SUMPRODUCT(--(MOD(COLUMN($BN174:$DU174),5)=MOD(COLUMN($BN174)+2,5)),$BN174:$DU174)</f>
        <v/>
      </c>
      <c r="EA174" s="251">
        <f>Автовик_разбивка[[#This Row],[Цена, 
юань, без НДС 1]]*DZ174</f>
        <v/>
      </c>
      <c r="EB174" s="250">
        <f>SUMPRODUCT(--(MOD(COLUMN($BN174:$DU174),5)=MOD(COLUMN($BN174)+3,5)),$BN174:$DU174)</f>
        <v/>
      </c>
      <c r="EC174" s="251">
        <f>Автовик_разбивка[[#This Row],[Цена, 
юань, без НДС 1]]*EB174</f>
        <v/>
      </c>
    </row>
    <row r="175">
      <c r="A175" s="260" t="n">
        <v>33</v>
      </c>
      <c r="B175" s="172" t="inlineStr">
        <is>
          <t>Новус Трейлер</t>
        </is>
      </c>
      <c r="C175" s="173" t="inlineStr">
        <is>
          <t>TEBS</t>
        </is>
      </c>
      <c r="D175" s="173" t="inlineStr">
        <is>
          <t>LACV</t>
        </is>
      </c>
      <c r="E175" s="174" t="n">
        <v>1</v>
      </c>
      <c r="F175" s="174" t="n"/>
      <c r="G175" s="174" t="n"/>
      <c r="H175" s="175" t="n">
        <v>4494430600</v>
      </c>
      <c r="I175" s="176" t="inlineStr">
        <is>
          <t>Кабель клапана управления подъемом оси, 6 м</t>
        </is>
      </c>
      <c r="J175" s="913" t="n"/>
      <c r="K175" s="912" t="n"/>
      <c r="L175" s="178" t="n"/>
      <c r="M175" s="130" t="n"/>
      <c r="N175" s="179" t="n">
        <v>5</v>
      </c>
      <c r="O175" s="130" t="n"/>
      <c r="P175" s="178" t="n"/>
      <c r="Q175" s="130" t="n"/>
      <c r="R175" s="179" t="n"/>
      <c r="S175" s="130" t="n"/>
      <c r="T175" s="178" t="n"/>
      <c r="U175" s="130" t="n"/>
      <c r="V175" s="179" t="n"/>
      <c r="W175" s="130" t="n"/>
      <c r="X175" s="178" t="n"/>
      <c r="Y175" s="130" t="n"/>
      <c r="Z175" s="179" t="n"/>
      <c r="AA175" s="130" t="n"/>
      <c r="AB175" s="178" t="n"/>
      <c r="AC175" s="130" t="n"/>
      <c r="AD175" s="179" t="n"/>
      <c r="AE175" s="130" t="n"/>
      <c r="AF175" s="178" t="n"/>
      <c r="AG175" s="130" t="n"/>
      <c r="AH175" s="179" t="n"/>
      <c r="AI175" s="130" t="n"/>
      <c r="AJ175" s="178" t="n"/>
      <c r="AK175" s="130" t="n"/>
      <c r="AL175" s="179" t="n"/>
      <c r="AM175" s="130" t="n"/>
      <c r="AN175" s="178" t="n"/>
      <c r="AO175" s="130" t="n"/>
      <c r="AP175" s="179" t="n"/>
      <c r="AQ175" s="130" t="n"/>
      <c r="AR175" s="178" t="n"/>
      <c r="AS175" s="130" t="n"/>
      <c r="AT175" s="179" t="n"/>
      <c r="AU175" s="130" t="n"/>
      <c r="AV175" s="178" t="n"/>
      <c r="AW175" s="130" t="n"/>
      <c r="AX175" s="179" t="n"/>
      <c r="AY175" s="130" t="n"/>
      <c r="AZ175" s="178" t="n"/>
      <c r="BA175" s="130" t="n"/>
      <c r="BB175" s="179" t="n"/>
      <c r="BC175" s="130" t="n"/>
      <c r="BD175" s="178" t="n"/>
      <c r="BE175" s="130" t="n"/>
      <c r="BF175" s="109" t="n"/>
      <c r="BG175" s="130" t="n"/>
      <c r="BH175" s="180">
        <f>SUMPRODUCT(--(MOD(COLUMN($L175:$BG175),4)=MOD(COLUMN($L175),4)),$L175:$BG175)</f>
        <v/>
      </c>
      <c r="BI175" s="181">
        <f>Автовик_разбивка[[#This Row],[Цена, 
юань, без НДС 1]]*BH175</f>
        <v/>
      </c>
      <c r="BJ175" s="130">
        <f>SUMPRODUCT(--(MOD(COLUMN($L175:$BG175),4)=MOD(COLUMN($L175)+1,4)),$L175:$BG175)</f>
        <v/>
      </c>
      <c r="BK175" s="187">
        <f>Автовик_разбивка[[#This Row],[Цена, 
юань, без НДС 1]]*BJ175</f>
        <v/>
      </c>
      <c r="BL175" s="109">
        <f>SUMPRODUCT(--(MOD(COLUMN($L175:$BG175),4)=MOD(COLUMN($L175)+2,4)),$L175:$BG175)</f>
        <v/>
      </c>
      <c r="BM175" s="224">
        <f>Автовик_разбивка[[#This Row],[Цена, 
юань, без НДС 1]]*BL175</f>
        <v/>
      </c>
      <c r="BN175" s="178" t="n"/>
      <c r="BO175" s="184" t="n"/>
      <c r="BP175" s="130" t="n"/>
      <c r="BQ175" s="179" t="n"/>
      <c r="BR175" s="130" t="n"/>
      <c r="BS175" s="178" t="n"/>
      <c r="BT175" s="184" t="n"/>
      <c r="BU175" s="130" t="n"/>
      <c r="BV175" s="179" t="n"/>
      <c r="BW175" s="130" t="n"/>
      <c r="BX175" s="178" t="n"/>
      <c r="BY175" s="184" t="n"/>
      <c r="BZ175" s="130" t="n"/>
      <c r="CA175" s="179" t="n"/>
      <c r="CB175" s="130" t="n"/>
      <c r="CC175" s="178" t="n"/>
      <c r="CD175" s="184" t="n"/>
      <c r="CE175" s="130" t="n"/>
      <c r="CF175" s="179" t="n"/>
      <c r="CG175" s="130" t="n"/>
      <c r="CH175" s="178" t="n"/>
      <c r="CI175" s="184" t="n"/>
      <c r="CJ175" s="130" t="n"/>
      <c r="CK175" s="179" t="n"/>
      <c r="CL175" s="130" t="n"/>
      <c r="CM175" s="178" t="n"/>
      <c r="CN175" s="184" t="n"/>
      <c r="CO175" s="130" t="n"/>
      <c r="CP175" s="179" t="n"/>
      <c r="CQ175" s="130" t="n"/>
      <c r="CR175" s="178" t="n"/>
      <c r="CS175" s="184" t="n"/>
      <c r="CT175" s="130" t="n"/>
      <c r="CU175" s="179" t="n"/>
      <c r="CV175" s="130" t="n"/>
      <c r="CW175" s="178" t="n"/>
      <c r="CX175" s="184" t="n"/>
      <c r="CY175" s="130" t="n"/>
      <c r="CZ175" s="179" t="n"/>
      <c r="DA175" s="130" t="n"/>
      <c r="DB175" s="178" t="n"/>
      <c r="DC175" s="184" t="n"/>
      <c r="DD175" s="130" t="n"/>
      <c r="DE175" s="179" t="n"/>
      <c r="DF175" s="130" t="n"/>
      <c r="DG175" s="178" t="n"/>
      <c r="DH175" s="184" t="n"/>
      <c r="DI175" s="130" t="n"/>
      <c r="DJ175" s="179" t="n"/>
      <c r="DK175" s="130" t="n"/>
      <c r="DL175" s="178" t="n"/>
      <c r="DM175" s="184" t="n"/>
      <c r="DN175" s="130" t="n"/>
      <c r="DO175" s="179" t="n"/>
      <c r="DP175" s="130" t="n"/>
      <c r="DQ175" s="178" t="n"/>
      <c r="DR175" s="184" t="n"/>
      <c r="DS175" s="130" t="n"/>
      <c r="DT175" s="109" t="n"/>
      <c r="DU175" s="130" t="n"/>
      <c r="DV175" s="180">
        <f>SUMPRODUCT(--(MOD(COLUMN($BN175:$DU175),5)=MOD(COLUMN($BN175),5)),$BN175:$DU175)</f>
        <v/>
      </c>
      <c r="DW175" s="181">
        <f>Автовик_разбивка[[#This Row],[Цена, 
юань, без НДС 1]]*DV175</f>
        <v/>
      </c>
      <c r="DX175" s="186">
        <f>SUMPRODUCT(--(MOD(COLUMN($BN175:$DU175),5)=MOD(COLUMN($BN175)+1,5)),$BN175:$DU175)</f>
        <v/>
      </c>
      <c r="DY175" s="186">
        <f>Автовик_разбивка[[#This Row],[Цена, 
юань, без НДС 1]]*DX175</f>
        <v/>
      </c>
      <c r="DZ175" s="130">
        <f>SUMPRODUCT(--(MOD(COLUMN($BN175:$DU175),5)=MOD(COLUMN($BN175)+2,5)),$BN175:$DU175)</f>
        <v/>
      </c>
      <c r="EA175" s="187">
        <f>Автовик_разбивка[[#This Row],[Цена, 
юань, без НДС 1]]*DZ175</f>
        <v/>
      </c>
      <c r="EB175" s="109">
        <f>SUMPRODUCT(--(MOD(COLUMN($BN175:$DU175),5)=MOD(COLUMN($BN175)+3,5)),$BN175:$DU175)</f>
        <v/>
      </c>
      <c r="EC175" s="224">
        <f>Автовик_разбивка[[#This Row],[Цена, 
юань, без НДС 1]]*EB175</f>
        <v/>
      </c>
    </row>
    <row r="176">
      <c r="A176" s="260" t="n">
        <v>33</v>
      </c>
      <c r="B176" s="172" t="inlineStr">
        <is>
          <t>Новус Трейлер</t>
        </is>
      </c>
      <c r="C176" s="173" t="inlineStr">
        <is>
          <t>TEBS</t>
        </is>
      </c>
      <c r="D176" s="173" t="inlineStr">
        <is>
          <t>LACV</t>
        </is>
      </c>
      <c r="E176" s="174" t="n">
        <v>1</v>
      </c>
      <c r="F176" s="174" t="n"/>
      <c r="G176" s="174" t="n"/>
      <c r="H176" s="175" t="n">
        <v>4630840310</v>
      </c>
      <c r="I176" s="176" t="inlineStr">
        <is>
          <t>Клапан управления подъемом оси (LACV)</t>
        </is>
      </c>
      <c r="J176" s="913" t="n"/>
      <c r="K176" s="912" t="n"/>
      <c r="L176" s="178" t="n"/>
      <c r="M176" s="130" t="n"/>
      <c r="N176" s="179" t="n">
        <v>5</v>
      </c>
      <c r="O176" s="130" t="n"/>
      <c r="P176" s="178" t="n"/>
      <c r="Q176" s="130" t="n"/>
      <c r="R176" s="179" t="n"/>
      <c r="S176" s="130" t="n"/>
      <c r="T176" s="178" t="n"/>
      <c r="U176" s="130" t="n"/>
      <c r="V176" s="179" t="n"/>
      <c r="W176" s="130" t="n"/>
      <c r="X176" s="178" t="n"/>
      <c r="Y176" s="130" t="n"/>
      <c r="Z176" s="179" t="n"/>
      <c r="AA176" s="130" t="n"/>
      <c r="AB176" s="178" t="n"/>
      <c r="AC176" s="130" t="n"/>
      <c r="AD176" s="179" t="n"/>
      <c r="AE176" s="130" t="n"/>
      <c r="AF176" s="178" t="n"/>
      <c r="AG176" s="130" t="n"/>
      <c r="AH176" s="179" t="n"/>
      <c r="AI176" s="130" t="n"/>
      <c r="AJ176" s="178" t="n"/>
      <c r="AK176" s="130" t="n"/>
      <c r="AL176" s="179" t="n"/>
      <c r="AM176" s="130" t="n"/>
      <c r="AN176" s="178" t="n"/>
      <c r="AO176" s="130" t="n"/>
      <c r="AP176" s="179" t="n"/>
      <c r="AQ176" s="130" t="n"/>
      <c r="AR176" s="178" t="n"/>
      <c r="AS176" s="130" t="n"/>
      <c r="AT176" s="179" t="n"/>
      <c r="AU176" s="130" t="n"/>
      <c r="AV176" s="178" t="n"/>
      <c r="AW176" s="130" t="n"/>
      <c r="AX176" s="179" t="n"/>
      <c r="AY176" s="130" t="n"/>
      <c r="AZ176" s="178" t="n"/>
      <c r="BA176" s="130" t="n"/>
      <c r="BB176" s="179" t="n"/>
      <c r="BC176" s="130" t="n"/>
      <c r="BD176" s="178" t="n"/>
      <c r="BE176" s="130" t="n"/>
      <c r="BF176" s="109" t="n"/>
      <c r="BG176" s="130" t="n"/>
      <c r="BH176" s="180">
        <f>SUMPRODUCT(--(MOD(COLUMN($L176:$BG176),4)=MOD(COLUMN($L176),4)),$L176:$BG176)</f>
        <v/>
      </c>
      <c r="BI176" s="181">
        <f>Автовик_разбивка[[#This Row],[Цена, 
юань, без НДС 1]]*BH176</f>
        <v/>
      </c>
      <c r="BJ176" s="130">
        <f>SUMPRODUCT(--(MOD(COLUMN($L176:$BG176),4)=MOD(COLUMN($L176)+1,4)),$L176:$BG176)</f>
        <v/>
      </c>
      <c r="BK176" s="187">
        <f>Автовик_разбивка[[#This Row],[Цена, 
юань, без НДС 1]]*BJ176</f>
        <v/>
      </c>
      <c r="BL176" s="109">
        <f>SUMPRODUCT(--(MOD(COLUMN($L176:$BG176),4)=MOD(COLUMN($L176)+2,4)),$L176:$BG176)</f>
        <v/>
      </c>
      <c r="BM176" s="224">
        <f>Автовик_разбивка[[#This Row],[Цена, 
юань, без НДС 1]]*BL176</f>
        <v/>
      </c>
      <c r="BN176" s="178" t="n"/>
      <c r="BO176" s="184" t="n"/>
      <c r="BP176" s="130" t="n"/>
      <c r="BQ176" s="179" t="n"/>
      <c r="BR176" s="130" t="n"/>
      <c r="BS176" s="178" t="n"/>
      <c r="BT176" s="184" t="n"/>
      <c r="BU176" s="130" t="n"/>
      <c r="BV176" s="179" t="n"/>
      <c r="BW176" s="130" t="n"/>
      <c r="BX176" s="178" t="n"/>
      <c r="BY176" s="184" t="n"/>
      <c r="BZ176" s="130" t="n"/>
      <c r="CA176" s="179" t="n"/>
      <c r="CB176" s="130" t="n"/>
      <c r="CC176" s="178" t="n"/>
      <c r="CD176" s="184" t="n"/>
      <c r="CE176" s="130" t="n"/>
      <c r="CF176" s="179" t="n"/>
      <c r="CG176" s="130" t="n"/>
      <c r="CH176" s="178" t="n"/>
      <c r="CI176" s="184" t="n"/>
      <c r="CJ176" s="130" t="n"/>
      <c r="CK176" s="179" t="n"/>
      <c r="CL176" s="130" t="n"/>
      <c r="CM176" s="178" t="n"/>
      <c r="CN176" s="184" t="n"/>
      <c r="CO176" s="130" t="n"/>
      <c r="CP176" s="179" t="n"/>
      <c r="CQ176" s="130" t="n"/>
      <c r="CR176" s="178" t="n"/>
      <c r="CS176" s="184" t="n"/>
      <c r="CT176" s="130" t="n"/>
      <c r="CU176" s="179" t="n"/>
      <c r="CV176" s="130" t="n"/>
      <c r="CW176" s="178" t="n"/>
      <c r="CX176" s="184" t="n"/>
      <c r="CY176" s="130" t="n"/>
      <c r="CZ176" s="179" t="n"/>
      <c r="DA176" s="130" t="n"/>
      <c r="DB176" s="178" t="n"/>
      <c r="DC176" s="184" t="n"/>
      <c r="DD176" s="130" t="n"/>
      <c r="DE176" s="179" t="n"/>
      <c r="DF176" s="130" t="n"/>
      <c r="DG176" s="178" t="n"/>
      <c r="DH176" s="184" t="n"/>
      <c r="DI176" s="130" t="n"/>
      <c r="DJ176" s="179" t="n"/>
      <c r="DK176" s="130" t="n"/>
      <c r="DL176" s="178" t="n"/>
      <c r="DM176" s="184" t="n"/>
      <c r="DN176" s="130" t="n"/>
      <c r="DO176" s="179" t="n"/>
      <c r="DP176" s="130" t="n"/>
      <c r="DQ176" s="178" t="n"/>
      <c r="DR176" s="184" t="n"/>
      <c r="DS176" s="130" t="n"/>
      <c r="DT176" s="109" t="n"/>
      <c r="DU176" s="130" t="n"/>
      <c r="DV176" s="180">
        <f>SUMPRODUCT(--(MOD(COLUMN($BN176:$DU176),5)=MOD(COLUMN($BN176),5)),$BN176:$DU176)</f>
        <v/>
      </c>
      <c r="DW176" s="181">
        <f>Автовик_разбивка[[#This Row],[Цена, 
юань, без НДС 1]]*DV176</f>
        <v/>
      </c>
      <c r="DX176" s="186">
        <f>SUMPRODUCT(--(MOD(COLUMN($BN176:$DU176),5)=MOD(COLUMN($BN176)+1,5)),$BN176:$DU176)</f>
        <v/>
      </c>
      <c r="DY176" s="186">
        <f>Автовик_разбивка[[#This Row],[Цена, 
юань, без НДС 1]]*DX176</f>
        <v/>
      </c>
      <c r="DZ176" s="130">
        <f>SUMPRODUCT(--(MOD(COLUMN($BN176:$DU176),5)=MOD(COLUMN($BN176)+2,5)),$BN176:$DU176)</f>
        <v/>
      </c>
      <c r="EA176" s="187">
        <f>Автовик_разбивка[[#This Row],[Цена, 
юань, без НДС 1]]*DZ176</f>
        <v/>
      </c>
      <c r="EB176" s="109">
        <f>SUMPRODUCT(--(MOD(COLUMN($BN176:$DU176),5)=MOD(COLUMN($BN176)+3,5)),$BN176:$DU176)</f>
        <v/>
      </c>
      <c r="EC176" s="224">
        <f>Автовик_разбивка[[#This Row],[Цена, 
юань, без НДС 1]]*EB176</f>
        <v/>
      </c>
    </row>
    <row r="177">
      <c r="A177" s="260" t="n">
        <v>33</v>
      </c>
      <c r="B177" s="172" t="inlineStr">
        <is>
          <t>Новус Трейлер</t>
        </is>
      </c>
      <c r="C177" s="132" t="n"/>
      <c r="D177" s="132" t="n"/>
      <c r="E177" s="229" t="n"/>
      <c r="F177" s="229" t="n"/>
      <c r="G177" s="229" t="n"/>
      <c r="H177" s="230" t="n"/>
      <c r="I177" s="231" t="inlineStr">
        <is>
          <t>Итого</t>
        </is>
      </c>
      <c r="J177" s="914" t="n"/>
      <c r="K177" s="914" t="n"/>
      <c r="L177" s="233" t="n"/>
      <c r="M177" s="234" t="n"/>
      <c r="N177" s="235" t="n"/>
      <c r="O177" s="234" t="n"/>
      <c r="P177" s="233" t="n"/>
      <c r="Q177" s="234" t="n"/>
      <c r="R177" s="235" t="n"/>
      <c r="S177" s="234" t="n"/>
      <c r="T177" s="233" t="n"/>
      <c r="U177" s="234" t="n"/>
      <c r="V177" s="235" t="n"/>
      <c r="W177" s="234" t="n"/>
      <c r="X177" s="233" t="n"/>
      <c r="Y177" s="234" t="n"/>
      <c r="Z177" s="235" t="n"/>
      <c r="AA177" s="234" t="n"/>
      <c r="AB177" s="233" t="n"/>
      <c r="AC177" s="234" t="n"/>
      <c r="AD177" s="235" t="n"/>
      <c r="AE177" s="234" t="n"/>
      <c r="AF177" s="233" t="n"/>
      <c r="AG177" s="234" t="n"/>
      <c r="AH177" s="235" t="n"/>
      <c r="AI177" s="234" t="n"/>
      <c r="AJ177" s="233" t="n"/>
      <c r="AK177" s="234" t="n"/>
      <c r="AL177" s="235" t="n"/>
      <c r="AM177" s="234" t="n"/>
      <c r="AN177" s="233" t="n"/>
      <c r="AO177" s="234" t="n"/>
      <c r="AP177" s="235" t="n"/>
      <c r="AQ177" s="234" t="n"/>
      <c r="AR177" s="233" t="n"/>
      <c r="AS177" s="234" t="n"/>
      <c r="AT177" s="235" t="n"/>
      <c r="AU177" s="234" t="n"/>
      <c r="AV177" s="233" t="n"/>
      <c r="AW177" s="234" t="n"/>
      <c r="AX177" s="235" t="n"/>
      <c r="AY177" s="234" t="n"/>
      <c r="AZ177" s="233" t="n"/>
      <c r="BA177" s="234" t="n"/>
      <c r="BB177" s="235" t="n"/>
      <c r="BC177" s="234" t="n"/>
      <c r="BD177" s="233" t="n"/>
      <c r="BE177" s="234" t="n"/>
      <c r="BF177" s="235" t="n"/>
      <c r="BG177" s="234" t="n"/>
      <c r="BH177" s="233">
        <f>SUMPRODUCT(--(MOD(COLUMN($L177:$BG177),4)=MOD(COLUMN($L177),4)),$L177:$BG177)</f>
        <v/>
      </c>
      <c r="BI177" s="238">
        <f>Автовик_разбивка[[#This Row],[Цена, 
юань, без НДС 1]]*BH177</f>
        <v/>
      </c>
      <c r="BJ177" s="234">
        <f>SUMPRODUCT(--(MOD(COLUMN($L177:$BG177),4)=MOD(COLUMN($L177)+1,4)),$L177:$BG177)</f>
        <v/>
      </c>
      <c r="BK177" s="253">
        <f>Автовик_разбивка[[#This Row],[Цена, 
юань, без НДС 1]]*BJ177</f>
        <v/>
      </c>
      <c r="BL177" s="235">
        <f>SUMPRODUCT(--(MOD(COLUMN($L177:$BG177),4)=MOD(COLUMN($L177)+2,4)),$L177:$BG177)</f>
        <v/>
      </c>
      <c r="BM177" s="254">
        <f>Автовик_разбивка[[#This Row],[Цена, 
юань, без НДС 1]]*BL177</f>
        <v/>
      </c>
      <c r="BN177" s="233" t="n"/>
      <c r="BO177" s="241" t="n"/>
      <c r="BP177" s="234" t="n"/>
      <c r="BQ177" s="235" t="n"/>
      <c r="BR177" s="234" t="n"/>
      <c r="BS177" s="233" t="n"/>
      <c r="BT177" s="241" t="n"/>
      <c r="BU177" s="234" t="n"/>
      <c r="BV177" s="235" t="n"/>
      <c r="BW177" s="234" t="n"/>
      <c r="BX177" s="233" t="n"/>
      <c r="BY177" s="241" t="n"/>
      <c r="BZ177" s="234" t="n"/>
      <c r="CA177" s="235" t="n"/>
      <c r="CB177" s="234" t="n"/>
      <c r="CC177" s="233" t="n"/>
      <c r="CD177" s="241" t="n"/>
      <c r="CE177" s="234" t="n"/>
      <c r="CF177" s="235" t="n"/>
      <c r="CG177" s="234" t="n"/>
      <c r="CH177" s="233" t="n"/>
      <c r="CI177" s="241" t="n"/>
      <c r="CJ177" s="234" t="n"/>
      <c r="CK177" s="235" t="n"/>
      <c r="CL177" s="234" t="n"/>
      <c r="CM177" s="233" t="n"/>
      <c r="CN177" s="241" t="n"/>
      <c r="CO177" s="234" t="n"/>
      <c r="CP177" s="235" t="n"/>
      <c r="CQ177" s="234" t="n"/>
      <c r="CR177" s="233" t="n"/>
      <c r="CS177" s="241" t="n"/>
      <c r="CT177" s="234" t="n"/>
      <c r="CU177" s="235" t="n"/>
      <c r="CV177" s="234" t="n"/>
      <c r="CW177" s="233" t="n"/>
      <c r="CX177" s="241" t="n"/>
      <c r="CY177" s="234" t="n"/>
      <c r="CZ177" s="235" t="n"/>
      <c r="DA177" s="234" t="n"/>
      <c r="DB177" s="233" t="n"/>
      <c r="DC177" s="241" t="n"/>
      <c r="DD177" s="234" t="n"/>
      <c r="DE177" s="235" t="n"/>
      <c r="DF177" s="234" t="n"/>
      <c r="DG177" s="233" t="n"/>
      <c r="DH177" s="241" t="n"/>
      <c r="DI177" s="234" t="n"/>
      <c r="DJ177" s="235" t="n"/>
      <c r="DK177" s="234" t="n"/>
      <c r="DL177" s="233" t="n"/>
      <c r="DM177" s="241" t="n"/>
      <c r="DN177" s="234" t="n"/>
      <c r="DO177" s="235" t="n"/>
      <c r="DP177" s="234" t="n"/>
      <c r="DQ177" s="233" t="n"/>
      <c r="DR177" s="241" t="n"/>
      <c r="DS177" s="234" t="n"/>
      <c r="DT177" s="235" t="n"/>
      <c r="DU177" s="234" t="n"/>
      <c r="DV177" s="233">
        <f>SUMPRODUCT(--(MOD(COLUMN($BN177:$DU177),5)=MOD(COLUMN($BN177),5)),$BN177:$DU177)</f>
        <v/>
      </c>
      <c r="DW177" s="238">
        <f>Автовик_разбивка[[#This Row],[Цена, 
юань, без НДС 1]]*DV177</f>
        <v/>
      </c>
      <c r="DX177" s="242">
        <f>SUMPRODUCT(--(MOD(COLUMN($BN177:$DU177),5)=MOD(COLUMN($BN177)+1,5)),$BN177:$DU177)</f>
        <v/>
      </c>
      <c r="DY177" s="242">
        <f>Автовик_разбивка[[#This Row],[Цена, 
юань, без НДС 1]]*DX177</f>
        <v/>
      </c>
      <c r="DZ177" s="234">
        <f>SUMPRODUCT(--(MOD(COLUMN($BN177:$DU177),5)=MOD(COLUMN($BN177)+2,5)),$BN177:$DU177)</f>
        <v/>
      </c>
      <c r="EA177" s="253">
        <f>Автовик_разбивка[[#This Row],[Цена, 
юань, без НДС 1]]*DZ177</f>
        <v/>
      </c>
      <c r="EB177" s="235">
        <f>SUMPRODUCT(--(MOD(COLUMN($BN177:$DU177),5)=MOD(COLUMN($BN177)+3,5)),$BN177:$DU177)</f>
        <v/>
      </c>
      <c r="EC177" s="254">
        <f>Автовик_разбивка[[#This Row],[Цена, 
юань, без НДС 1]]*EB177</f>
        <v/>
      </c>
    </row>
    <row r="178">
      <c r="A178" s="260" t="n">
        <v>33</v>
      </c>
      <c r="B178" s="261" t="inlineStr">
        <is>
          <t>Новус Трейлер</t>
        </is>
      </c>
      <c r="C178" s="244" t="n"/>
      <c r="D178" s="244" t="n"/>
      <c r="E178" s="245" t="n"/>
      <c r="F178" s="245" t="n"/>
      <c r="G178" s="245" t="n"/>
      <c r="H178" s="246" t="n"/>
      <c r="I178" s="247" t="n"/>
      <c r="J178" s="915" t="n"/>
      <c r="K178" s="915" t="n"/>
      <c r="L178" s="249" t="n"/>
      <c r="M178" s="249" t="n"/>
      <c r="N178" s="249" t="n"/>
      <c r="O178" s="249" t="n"/>
      <c r="P178" s="249" t="n"/>
      <c r="Q178" s="249" t="n"/>
      <c r="R178" s="249" t="n"/>
      <c r="S178" s="249" t="n"/>
      <c r="T178" s="249" t="n"/>
      <c r="U178" s="249" t="n"/>
      <c r="V178" s="249" t="n"/>
      <c r="W178" s="249" t="n"/>
      <c r="X178" s="249" t="n"/>
      <c r="Y178" s="249" t="n"/>
      <c r="Z178" s="249" t="n"/>
      <c r="AA178" s="249" t="n"/>
      <c r="AB178" s="249" t="n"/>
      <c r="AC178" s="249" t="n"/>
      <c r="AD178" s="249" t="n"/>
      <c r="AE178" s="249" t="n"/>
      <c r="AF178" s="249" t="n"/>
      <c r="AG178" s="249" t="n"/>
      <c r="AH178" s="249" t="n"/>
      <c r="AI178" s="249" t="n"/>
      <c r="AJ178" s="249" t="n"/>
      <c r="AK178" s="249" t="n"/>
      <c r="AL178" s="249" t="n"/>
      <c r="AM178" s="249" t="n"/>
      <c r="AN178" s="249" t="n"/>
      <c r="AO178" s="249" t="n"/>
      <c r="AP178" s="249" t="n"/>
      <c r="AQ178" s="249" t="n"/>
      <c r="AR178" s="249" t="n"/>
      <c r="AS178" s="249" t="n"/>
      <c r="AT178" s="249" t="n"/>
      <c r="AU178" s="249" t="n"/>
      <c r="AV178" s="249" t="n"/>
      <c r="AW178" s="249" t="n"/>
      <c r="AX178" s="250" t="n"/>
      <c r="AY178" s="249" t="n"/>
      <c r="AZ178" s="250" t="n"/>
      <c r="BA178" s="250" t="n"/>
      <c r="BB178" s="250" t="n"/>
      <c r="BC178" s="249" t="n"/>
      <c r="BD178" s="250" t="n"/>
      <c r="BE178" s="250" t="n"/>
      <c r="BF178" s="250" t="n"/>
      <c r="BG178" s="249" t="n"/>
      <c r="BH178" s="250">
        <f>SUMPRODUCT(--(MOD(COLUMN($L178:$BG178),4)=MOD(COLUMN($L178),4)),$L178:$BG178)</f>
        <v/>
      </c>
      <c r="BI178" s="251">
        <f>Автовик_разбивка[[#This Row],[Цена, 
юань, без НДС 1]]*BH178</f>
        <v/>
      </c>
      <c r="BJ178" s="250">
        <f>SUMPRODUCT(--(MOD(COLUMN($L178:$BG178),4)=MOD(COLUMN($L178)+1,4)),$L178:$BG178)</f>
        <v/>
      </c>
      <c r="BK178" s="251">
        <f>Автовик_разбивка[[#This Row],[Цена, 
юань, без НДС 1]]*BJ178</f>
        <v/>
      </c>
      <c r="BL178" s="250">
        <f>SUMPRODUCT(--(MOD(COLUMN($L178:$BG178),4)=MOD(COLUMN($L178)+2,4)),$L178:$BG178)</f>
        <v/>
      </c>
      <c r="BM178" s="251">
        <f>Автовик_разбивка[[#This Row],[Цена, 
юань, без НДС 1]]*BL178</f>
        <v/>
      </c>
      <c r="BN178" s="249" t="n"/>
      <c r="BO178" s="249" t="n"/>
      <c r="BP178" s="249" t="n"/>
      <c r="BQ178" s="249" t="n"/>
      <c r="BR178" s="249" t="n"/>
      <c r="BS178" s="249" t="n"/>
      <c r="BT178" s="249" t="n"/>
      <c r="BU178" s="249" t="n"/>
      <c r="BV178" s="249" t="n"/>
      <c r="BW178" s="249" t="n"/>
      <c r="BX178" s="249" t="n"/>
      <c r="BY178" s="249" t="n"/>
      <c r="BZ178" s="249" t="n"/>
      <c r="CA178" s="249" t="n"/>
      <c r="CB178" s="249" t="n"/>
      <c r="CC178" s="249" t="n"/>
      <c r="CD178" s="249" t="n"/>
      <c r="CE178" s="249" t="n"/>
      <c r="CF178" s="249" t="n"/>
      <c r="CG178" s="249" t="n"/>
      <c r="CH178" s="249" t="n"/>
      <c r="CI178" s="249" t="n"/>
      <c r="CJ178" s="249" t="n"/>
      <c r="CK178" s="249" t="n"/>
      <c r="CL178" s="249" t="n"/>
      <c r="CM178" s="249" t="n"/>
      <c r="CN178" s="249" t="n"/>
      <c r="CO178" s="249" t="n"/>
      <c r="CP178" s="249" t="n"/>
      <c r="CQ178" s="249" t="n"/>
      <c r="CR178" s="249" t="n"/>
      <c r="CS178" s="249" t="n"/>
      <c r="CT178" s="249" t="n"/>
      <c r="CU178" s="249" t="n"/>
      <c r="CV178" s="249" t="n"/>
      <c r="CW178" s="249" t="n"/>
      <c r="CX178" s="249" t="n"/>
      <c r="CY178" s="249" t="n"/>
      <c r="CZ178" s="249" t="n"/>
      <c r="DA178" s="249" t="n"/>
      <c r="DB178" s="249" t="n"/>
      <c r="DC178" s="249" t="n"/>
      <c r="DD178" s="249" t="n"/>
      <c r="DE178" s="249" t="n"/>
      <c r="DF178" s="249" t="n"/>
      <c r="DG178" s="249" t="n"/>
      <c r="DH178" s="249" t="n"/>
      <c r="DI178" s="249" t="n"/>
      <c r="DJ178" s="250" t="n"/>
      <c r="DK178" s="249" t="n"/>
      <c r="DL178" s="250" t="n"/>
      <c r="DM178" s="250" t="n"/>
      <c r="DN178" s="250" t="n"/>
      <c r="DO178" s="250" t="n"/>
      <c r="DP178" s="249" t="n"/>
      <c r="DQ178" s="250" t="n"/>
      <c r="DR178" s="250" t="n"/>
      <c r="DS178" s="250" t="n"/>
      <c r="DT178" s="250" t="n"/>
      <c r="DU178" s="249" t="n"/>
      <c r="DV178" s="250">
        <f>SUMPRODUCT(--(MOD(COLUMN($BN178:$DU178),5)=MOD(COLUMN($BN178),5)),$BN178:$DU178)</f>
        <v/>
      </c>
      <c r="DW178" s="251">
        <f>Автовик_разбивка[[#This Row],[Цена, 
юань, без НДС 1]]*DV178</f>
        <v/>
      </c>
      <c r="DX178" s="251">
        <f>SUMPRODUCT(--(MOD(COLUMN($BN178:$DU178),5)=MOD(COLUMN($BN178)+1,5)),$BN178:$DU178)</f>
        <v/>
      </c>
      <c r="DY178" s="251">
        <f>Автовик_разбивка[[#This Row],[Цена, 
юань, без НДС 1]]*DX178</f>
        <v/>
      </c>
      <c r="DZ178" s="250">
        <f>SUMPRODUCT(--(MOD(COLUMN($BN178:$DU178),5)=MOD(COLUMN($BN178)+2,5)),$BN178:$DU178)</f>
        <v/>
      </c>
      <c r="EA178" s="251">
        <f>Автовик_разбивка[[#This Row],[Цена, 
юань, без НДС 1]]*DZ178</f>
        <v/>
      </c>
      <c r="EB178" s="250">
        <f>SUMPRODUCT(--(MOD(COLUMN($BN178:$DU178),5)=MOD(COLUMN($BN178)+3,5)),$BN178:$DU178)</f>
        <v/>
      </c>
      <c r="EC178" s="251">
        <f>Автовик_разбивка[[#This Row],[Цена, 
юань, без НДС 1]]*EB178</f>
        <v/>
      </c>
    </row>
    <row r="179">
      <c r="A179" s="260" t="n">
        <v>33</v>
      </c>
      <c r="B179" s="172" t="inlineStr">
        <is>
          <t>ПК УСПТ</t>
        </is>
      </c>
      <c r="C179" s="173" t="inlineStr">
        <is>
          <t>TEBS</t>
        </is>
      </c>
      <c r="D179" s="173" t="inlineStr">
        <is>
          <t xml:space="preserve">TEBS 2s/2m 
15м </t>
        </is>
      </c>
      <c r="E179" s="174" t="n">
        <v>1</v>
      </c>
      <c r="F179" s="174" t="n"/>
      <c r="G179" s="174" t="n"/>
      <c r="H179" s="175" t="n">
        <v>4334010030</v>
      </c>
      <c r="I179" s="176" t="inlineStr">
        <is>
          <t>Упругий элемент</t>
        </is>
      </c>
      <c r="J179" s="913" t="n"/>
      <c r="K179" s="912" t="n"/>
      <c r="L179" s="178" t="n"/>
      <c r="M179" s="130" t="n"/>
      <c r="N179" s="179" t="n">
        <v>1</v>
      </c>
      <c r="O179" s="130" t="n"/>
      <c r="P179" s="178" t="n"/>
      <c r="Q179" s="130" t="n"/>
      <c r="R179" s="179" t="n"/>
      <c r="S179" s="130" t="n"/>
      <c r="T179" s="178" t="n"/>
      <c r="U179" s="130" t="n"/>
      <c r="V179" s="179" t="n"/>
      <c r="W179" s="130" t="n"/>
      <c r="X179" s="178" t="n"/>
      <c r="Y179" s="130" t="n"/>
      <c r="Z179" s="179" t="n"/>
      <c r="AA179" s="130" t="n"/>
      <c r="AB179" s="178" t="n"/>
      <c r="AC179" s="130" t="n"/>
      <c r="AD179" s="179" t="n"/>
      <c r="AE179" s="130" t="n"/>
      <c r="AF179" s="178" t="n"/>
      <c r="AG179" s="130" t="n"/>
      <c r="AH179" s="179" t="n"/>
      <c r="AI179" s="130" t="n"/>
      <c r="AJ179" s="178" t="n"/>
      <c r="AK179" s="130" t="n"/>
      <c r="AL179" s="179" t="n"/>
      <c r="AM179" s="130" t="n"/>
      <c r="AN179" s="178" t="n"/>
      <c r="AO179" s="130" t="n"/>
      <c r="AP179" s="179" t="n"/>
      <c r="AQ179" s="130" t="n"/>
      <c r="AR179" s="178" t="n"/>
      <c r="AS179" s="130" t="n"/>
      <c r="AT179" s="179" t="n"/>
      <c r="AU179" s="130" t="n"/>
      <c r="AV179" s="178" t="n"/>
      <c r="AW179" s="130" t="n"/>
      <c r="AX179" s="179" t="n"/>
      <c r="AY179" s="130" t="n"/>
      <c r="AZ179" s="178" t="n"/>
      <c r="BA179" s="130" t="n"/>
      <c r="BB179" s="179" t="n"/>
      <c r="BC179" s="130" t="n"/>
      <c r="BD179" s="178" t="n"/>
      <c r="BE179" s="130" t="n"/>
      <c r="BF179" s="109" t="n"/>
      <c r="BG179" s="130" t="n"/>
      <c r="BH179" s="180">
        <f>SUMPRODUCT(--(MOD(COLUMN($L179:$BG179),4)=MOD(COLUMN($L179),4)),$L179:$BG179)</f>
        <v/>
      </c>
      <c r="BI179" s="181">
        <f>Автовик_разбивка[[#This Row],[Цена, 
юань, без НДС 1]]*BH179</f>
        <v/>
      </c>
      <c r="BJ179" s="130">
        <f>SUMPRODUCT(--(MOD(COLUMN($L179:$BG179),4)=MOD(COLUMN($L179)+1,4)),$L179:$BG179)</f>
        <v/>
      </c>
      <c r="BK179" s="187">
        <f>Автовик_разбивка[[#This Row],[Цена, 
юань, без НДС 1]]*BJ179</f>
        <v/>
      </c>
      <c r="BL179" s="109">
        <f>SUMPRODUCT(--(MOD(COLUMN($L179:$BG179),4)=MOD(COLUMN($L179)+2,4)),$L179:$BG179)</f>
        <v/>
      </c>
      <c r="BM179" s="224">
        <f>Автовик_разбивка[[#This Row],[Цена, 
юань, без НДС 1]]*BL179</f>
        <v/>
      </c>
      <c r="BN179" s="178" t="n"/>
      <c r="BO179" s="184" t="n"/>
      <c r="BP179" s="130" t="n"/>
      <c r="BQ179" s="179" t="n"/>
      <c r="BR179" s="130" t="n"/>
      <c r="BS179" s="178" t="n"/>
      <c r="BT179" s="184" t="n"/>
      <c r="BU179" s="130" t="n"/>
      <c r="BV179" s="179" t="n"/>
      <c r="BW179" s="130" t="n"/>
      <c r="BX179" s="178" t="n"/>
      <c r="BY179" s="184" t="n"/>
      <c r="BZ179" s="130" t="n"/>
      <c r="CA179" s="179" t="n"/>
      <c r="CB179" s="130" t="n"/>
      <c r="CC179" s="178" t="n"/>
      <c r="CD179" s="184" t="n"/>
      <c r="CE179" s="130" t="n"/>
      <c r="CF179" s="179" t="n"/>
      <c r="CG179" s="130" t="n"/>
      <c r="CH179" s="178" t="n"/>
      <c r="CI179" s="184" t="n"/>
      <c r="CJ179" s="130" t="n"/>
      <c r="CK179" s="179" t="n"/>
      <c r="CL179" s="130" t="n"/>
      <c r="CM179" s="178" t="n"/>
      <c r="CN179" s="184" t="n"/>
      <c r="CO179" s="130" t="n"/>
      <c r="CP179" s="179" t="n"/>
      <c r="CQ179" s="130" t="n"/>
      <c r="CR179" s="178" t="n"/>
      <c r="CS179" s="184" t="n"/>
      <c r="CT179" s="130" t="n"/>
      <c r="CU179" s="179" t="n"/>
      <c r="CV179" s="130" t="n"/>
      <c r="CW179" s="178" t="n"/>
      <c r="CX179" s="184" t="n"/>
      <c r="CY179" s="130" t="n"/>
      <c r="CZ179" s="179" t="n"/>
      <c r="DA179" s="130" t="n"/>
      <c r="DB179" s="178" t="n"/>
      <c r="DC179" s="184" t="n"/>
      <c r="DD179" s="130" t="n"/>
      <c r="DE179" s="179" t="n"/>
      <c r="DF179" s="130" t="n"/>
      <c r="DG179" s="178" t="n"/>
      <c r="DH179" s="184" t="n"/>
      <c r="DI179" s="130" t="n"/>
      <c r="DJ179" s="179" t="n"/>
      <c r="DK179" s="130" t="n"/>
      <c r="DL179" s="178" t="n"/>
      <c r="DM179" s="184" t="n"/>
      <c r="DN179" s="130" t="n"/>
      <c r="DO179" s="179" t="n"/>
      <c r="DP179" s="130" t="n"/>
      <c r="DQ179" s="178" t="n"/>
      <c r="DR179" s="184" t="n"/>
      <c r="DS179" s="130" t="n"/>
      <c r="DT179" s="109" t="n"/>
      <c r="DU179" s="130" t="n"/>
      <c r="DV179" s="180">
        <f>SUMPRODUCT(--(MOD(COLUMN($BN179:$DU179),5)=MOD(COLUMN($BN179),5)),$BN179:$DU179)</f>
        <v/>
      </c>
      <c r="DW179" s="181">
        <f>Автовик_разбивка[[#This Row],[Цена, 
юань, без НДС 1]]*DV179</f>
        <v/>
      </c>
      <c r="DX179" s="186">
        <f>SUMPRODUCT(--(MOD(COLUMN($BN179:$DU179),5)=MOD(COLUMN($BN179)+1,5)),$BN179:$DU179)</f>
        <v/>
      </c>
      <c r="DY179" s="186">
        <f>Автовик_разбивка[[#This Row],[Цена, 
юань, без НДС 1]]*DX179</f>
        <v/>
      </c>
      <c r="DZ179" s="130">
        <f>SUMPRODUCT(--(MOD(COLUMN($BN179:$DU179),5)=MOD(COLUMN($BN179)+2,5)),$BN179:$DU179)</f>
        <v/>
      </c>
      <c r="EA179" s="187">
        <f>Автовик_разбивка[[#This Row],[Цена, 
юань, без НДС 1]]*DZ179</f>
        <v/>
      </c>
      <c r="EB179" s="109">
        <f>SUMPRODUCT(--(MOD(COLUMN($BN179:$DU179),5)=MOD(COLUMN($BN179)+3,5)),$BN179:$DU179)</f>
        <v/>
      </c>
      <c r="EC179" s="224">
        <f>Автовик_разбивка[[#This Row],[Цена, 
юань, без НДС 1]]*EB179</f>
        <v/>
      </c>
    </row>
    <row r="180">
      <c r="A180" s="260" t="n">
        <v>33</v>
      </c>
      <c r="B180" s="172" t="inlineStr">
        <is>
          <t>ПК УСПТ</t>
        </is>
      </c>
      <c r="C180" s="173" t="inlineStr">
        <is>
          <t>TEBS</t>
        </is>
      </c>
      <c r="D180" s="173" t="inlineStr">
        <is>
          <t xml:space="preserve">TEBS 2s/2m 
15м </t>
        </is>
      </c>
      <c r="E180" s="174" t="n">
        <v>1</v>
      </c>
      <c r="F180" s="174" t="n"/>
      <c r="G180" s="174" t="n"/>
      <c r="H180" s="175" t="n">
        <v>4491731500</v>
      </c>
      <c r="I180" s="176" t="inlineStr">
        <is>
          <t>Кабель питания, 15 м</t>
        </is>
      </c>
      <c r="J180" s="913" t="n"/>
      <c r="K180" s="912" t="n"/>
      <c r="L180" s="178" t="n"/>
      <c r="M180" s="130" t="n"/>
      <c r="N180" s="179" t="n">
        <v>1</v>
      </c>
      <c r="O180" s="130" t="n"/>
      <c r="P180" s="178" t="n"/>
      <c r="Q180" s="130" t="n"/>
      <c r="R180" s="179" t="n"/>
      <c r="S180" s="130" t="n"/>
      <c r="T180" s="178" t="n"/>
      <c r="U180" s="130" t="n"/>
      <c r="V180" s="179" t="n"/>
      <c r="W180" s="130" t="n"/>
      <c r="X180" s="178" t="n"/>
      <c r="Y180" s="130" t="n"/>
      <c r="Z180" s="179" t="n"/>
      <c r="AA180" s="130" t="n"/>
      <c r="AB180" s="178" t="n"/>
      <c r="AC180" s="130" t="n"/>
      <c r="AD180" s="179" t="n"/>
      <c r="AE180" s="130" t="n"/>
      <c r="AF180" s="178" t="n"/>
      <c r="AG180" s="130" t="n"/>
      <c r="AH180" s="179" t="n"/>
      <c r="AI180" s="130" t="n"/>
      <c r="AJ180" s="178" t="n"/>
      <c r="AK180" s="130" t="n"/>
      <c r="AL180" s="179" t="n"/>
      <c r="AM180" s="130" t="n"/>
      <c r="AN180" s="178" t="n"/>
      <c r="AO180" s="130" t="n"/>
      <c r="AP180" s="179" t="n"/>
      <c r="AQ180" s="130" t="n"/>
      <c r="AR180" s="178" t="n"/>
      <c r="AS180" s="130" t="n"/>
      <c r="AT180" s="179" t="n"/>
      <c r="AU180" s="130" t="n"/>
      <c r="AV180" s="178" t="n"/>
      <c r="AW180" s="130" t="n"/>
      <c r="AX180" s="179" t="n"/>
      <c r="AY180" s="130" t="n"/>
      <c r="AZ180" s="178" t="n"/>
      <c r="BA180" s="130" t="n"/>
      <c r="BB180" s="179" t="n"/>
      <c r="BC180" s="130" t="n"/>
      <c r="BD180" s="178" t="n"/>
      <c r="BE180" s="130" t="n"/>
      <c r="BF180" s="109" t="n"/>
      <c r="BG180" s="130" t="n"/>
      <c r="BH180" s="180">
        <f>SUMPRODUCT(--(MOD(COLUMN($L180:$BG180),4)=MOD(COLUMN($L180),4)),$L180:$BG180)</f>
        <v/>
      </c>
      <c r="BI180" s="181">
        <f>Автовик_разбивка[[#This Row],[Цена, 
юань, без НДС 1]]*BH180</f>
        <v/>
      </c>
      <c r="BJ180" s="130">
        <f>SUMPRODUCT(--(MOD(COLUMN($L180:$BG180),4)=MOD(COLUMN($L180)+1,4)),$L180:$BG180)</f>
        <v/>
      </c>
      <c r="BK180" s="187">
        <f>Автовик_разбивка[[#This Row],[Цена, 
юань, без НДС 1]]*BJ180</f>
        <v/>
      </c>
      <c r="BL180" s="109">
        <f>SUMPRODUCT(--(MOD(COLUMN($L180:$BG180),4)=MOD(COLUMN($L180)+2,4)),$L180:$BG180)</f>
        <v/>
      </c>
      <c r="BM180" s="224">
        <f>Автовик_разбивка[[#This Row],[Цена, 
юань, без НДС 1]]*BL180</f>
        <v/>
      </c>
      <c r="BN180" s="178" t="n"/>
      <c r="BO180" s="184" t="n"/>
      <c r="BP180" s="130" t="n"/>
      <c r="BQ180" s="179" t="n"/>
      <c r="BR180" s="130" t="n"/>
      <c r="BS180" s="178" t="n"/>
      <c r="BT180" s="184" t="n"/>
      <c r="BU180" s="130" t="n"/>
      <c r="BV180" s="179" t="n"/>
      <c r="BW180" s="130" t="n"/>
      <c r="BX180" s="178" t="n"/>
      <c r="BY180" s="184" t="n"/>
      <c r="BZ180" s="130" t="n"/>
      <c r="CA180" s="179" t="n"/>
      <c r="CB180" s="130" t="n"/>
      <c r="CC180" s="178" t="n"/>
      <c r="CD180" s="184" t="n"/>
      <c r="CE180" s="130" t="n"/>
      <c r="CF180" s="179" t="n"/>
      <c r="CG180" s="130" t="n"/>
      <c r="CH180" s="178" t="n"/>
      <c r="CI180" s="184" t="n"/>
      <c r="CJ180" s="130" t="n"/>
      <c r="CK180" s="179" t="n"/>
      <c r="CL180" s="130" t="n"/>
      <c r="CM180" s="178" t="n"/>
      <c r="CN180" s="184" t="n"/>
      <c r="CO180" s="130" t="n"/>
      <c r="CP180" s="179" t="n"/>
      <c r="CQ180" s="130" t="n"/>
      <c r="CR180" s="178" t="n"/>
      <c r="CS180" s="184" t="n"/>
      <c r="CT180" s="130" t="n"/>
      <c r="CU180" s="179" t="n"/>
      <c r="CV180" s="130" t="n"/>
      <c r="CW180" s="178" t="n"/>
      <c r="CX180" s="184" t="n"/>
      <c r="CY180" s="130" t="n"/>
      <c r="CZ180" s="179" t="n"/>
      <c r="DA180" s="130" t="n"/>
      <c r="DB180" s="178" t="n"/>
      <c r="DC180" s="184" t="n"/>
      <c r="DD180" s="130" t="n"/>
      <c r="DE180" s="179" t="n"/>
      <c r="DF180" s="130" t="n"/>
      <c r="DG180" s="178" t="n"/>
      <c r="DH180" s="184" t="n"/>
      <c r="DI180" s="130" t="n"/>
      <c r="DJ180" s="179" t="n"/>
      <c r="DK180" s="130" t="n"/>
      <c r="DL180" s="178" t="n"/>
      <c r="DM180" s="184" t="n"/>
      <c r="DN180" s="130" t="n"/>
      <c r="DO180" s="179" t="n"/>
      <c r="DP180" s="130" t="n"/>
      <c r="DQ180" s="178" t="n"/>
      <c r="DR180" s="184" t="n"/>
      <c r="DS180" s="130" t="n"/>
      <c r="DT180" s="109" t="n"/>
      <c r="DU180" s="130" t="n"/>
      <c r="DV180" s="180">
        <f>SUMPRODUCT(--(MOD(COLUMN($BN180:$DU180),5)=MOD(COLUMN($BN180),5)),$BN180:$DU180)</f>
        <v/>
      </c>
      <c r="DW180" s="181">
        <f>Автовик_разбивка[[#This Row],[Цена, 
юань, без НДС 1]]*DV180</f>
        <v/>
      </c>
      <c r="DX180" s="186">
        <f>SUMPRODUCT(--(MOD(COLUMN($BN180:$DU180),5)=MOD(COLUMN($BN180)+1,5)),$BN180:$DU180)</f>
        <v/>
      </c>
      <c r="DY180" s="186">
        <f>Автовик_разбивка[[#This Row],[Цена, 
юань, без НДС 1]]*DX180</f>
        <v/>
      </c>
      <c r="DZ180" s="130">
        <f>SUMPRODUCT(--(MOD(COLUMN($BN180:$DU180),5)=MOD(COLUMN($BN180)+2,5)),$BN180:$DU180)</f>
        <v/>
      </c>
      <c r="EA180" s="187">
        <f>Автовик_разбивка[[#This Row],[Цена, 
юань, без НДС 1]]*DZ180</f>
        <v/>
      </c>
      <c r="EB180" s="109">
        <f>SUMPRODUCT(--(MOD(COLUMN($BN180:$DU180),5)=MOD(COLUMN($BN180)+3,5)),$BN180:$DU180)</f>
        <v/>
      </c>
      <c r="EC180" s="224">
        <f>Автовик_разбивка[[#This Row],[Цена, 
юань, без НДС 1]]*EB180</f>
        <v/>
      </c>
    </row>
    <row r="181">
      <c r="A181" s="260" t="n">
        <v>33</v>
      </c>
      <c r="B181" s="172" t="inlineStr">
        <is>
          <t>ПК УСПТ</t>
        </is>
      </c>
      <c r="C181" s="173" t="inlineStr">
        <is>
          <t>TEBS</t>
        </is>
      </c>
      <c r="D181" s="173" t="inlineStr">
        <is>
          <t xml:space="preserve">TEBS 2s/2m 
15м </t>
        </is>
      </c>
      <c r="E181" s="174" t="n">
        <v>2</v>
      </c>
      <c r="F181" s="174" t="n"/>
      <c r="G181" s="174" t="n"/>
      <c r="H181" s="175" t="n">
        <v>4497230500</v>
      </c>
      <c r="I181" s="176" t="inlineStr">
        <is>
          <t>Кабель датчика, 5 м</t>
        </is>
      </c>
      <c r="J181" s="913" t="n"/>
      <c r="K181" s="912" t="n"/>
      <c r="L181" s="178" t="n"/>
      <c r="M181" s="130" t="n"/>
      <c r="N181" s="179" t="n">
        <v>2</v>
      </c>
      <c r="O181" s="130" t="n"/>
      <c r="P181" s="178" t="n"/>
      <c r="Q181" s="130" t="n"/>
      <c r="R181" s="179" t="n"/>
      <c r="S181" s="130" t="n"/>
      <c r="T181" s="178" t="n"/>
      <c r="U181" s="130" t="n"/>
      <c r="V181" s="179" t="n"/>
      <c r="W181" s="130" t="n"/>
      <c r="X181" s="178" t="n"/>
      <c r="Y181" s="130" t="n"/>
      <c r="Z181" s="179" t="n"/>
      <c r="AA181" s="130" t="n"/>
      <c r="AB181" s="178" t="n"/>
      <c r="AC181" s="130" t="n"/>
      <c r="AD181" s="179" t="n"/>
      <c r="AE181" s="130" t="n"/>
      <c r="AF181" s="178" t="n"/>
      <c r="AG181" s="130" t="n"/>
      <c r="AH181" s="179" t="n"/>
      <c r="AI181" s="130" t="n"/>
      <c r="AJ181" s="178" t="n"/>
      <c r="AK181" s="130" t="n"/>
      <c r="AL181" s="179" t="n"/>
      <c r="AM181" s="130" t="n"/>
      <c r="AN181" s="178" t="n"/>
      <c r="AO181" s="130" t="n"/>
      <c r="AP181" s="179" t="n"/>
      <c r="AQ181" s="130" t="n"/>
      <c r="AR181" s="178" t="n"/>
      <c r="AS181" s="130" t="n"/>
      <c r="AT181" s="179" t="n"/>
      <c r="AU181" s="130" t="n"/>
      <c r="AV181" s="178" t="n"/>
      <c r="AW181" s="130" t="n"/>
      <c r="AX181" s="179" t="n"/>
      <c r="AY181" s="130" t="n"/>
      <c r="AZ181" s="178" t="n"/>
      <c r="BA181" s="130" t="n"/>
      <c r="BB181" s="179" t="n"/>
      <c r="BC181" s="130" t="n"/>
      <c r="BD181" s="178" t="n"/>
      <c r="BE181" s="130" t="n"/>
      <c r="BF181" s="109" t="n"/>
      <c r="BG181" s="130" t="n"/>
      <c r="BH181" s="180">
        <f>SUMPRODUCT(--(MOD(COLUMN($L181:$BG181),4)=MOD(COLUMN($L181),4)),$L181:$BG181)</f>
        <v/>
      </c>
      <c r="BI181" s="181">
        <f>Автовик_разбивка[[#This Row],[Цена, 
юань, без НДС 1]]*BH181</f>
        <v/>
      </c>
      <c r="BJ181" s="130">
        <f>SUMPRODUCT(--(MOD(COLUMN($L181:$BG181),4)=MOD(COLUMN($L181)+1,4)),$L181:$BG181)</f>
        <v/>
      </c>
      <c r="BK181" s="187">
        <f>Автовик_разбивка[[#This Row],[Цена, 
юань, без НДС 1]]*BJ181</f>
        <v/>
      </c>
      <c r="BL181" s="109">
        <f>SUMPRODUCT(--(MOD(COLUMN($L181:$BG181),4)=MOD(COLUMN($L181)+2,4)),$L181:$BG181)</f>
        <v/>
      </c>
      <c r="BM181" s="224">
        <f>Автовик_разбивка[[#This Row],[Цена, 
юань, без НДС 1]]*BL181</f>
        <v/>
      </c>
      <c r="BN181" s="178" t="n"/>
      <c r="BO181" s="184" t="n"/>
      <c r="BP181" s="130" t="n"/>
      <c r="BQ181" s="179" t="n"/>
      <c r="BR181" s="130" t="n"/>
      <c r="BS181" s="178" t="n"/>
      <c r="BT181" s="184" t="n"/>
      <c r="BU181" s="130" t="n"/>
      <c r="BV181" s="179" t="n"/>
      <c r="BW181" s="130" t="n"/>
      <c r="BX181" s="178" t="n"/>
      <c r="BY181" s="184" t="n"/>
      <c r="BZ181" s="130" t="n"/>
      <c r="CA181" s="179" t="n"/>
      <c r="CB181" s="130" t="n"/>
      <c r="CC181" s="178" t="n"/>
      <c r="CD181" s="184" t="n"/>
      <c r="CE181" s="130" t="n"/>
      <c r="CF181" s="179" t="n"/>
      <c r="CG181" s="130" t="n"/>
      <c r="CH181" s="178" t="n"/>
      <c r="CI181" s="184" t="n"/>
      <c r="CJ181" s="130" t="n"/>
      <c r="CK181" s="179" t="n"/>
      <c r="CL181" s="130" t="n"/>
      <c r="CM181" s="178" t="n"/>
      <c r="CN181" s="184" t="n"/>
      <c r="CO181" s="130" t="n"/>
      <c r="CP181" s="179" t="n"/>
      <c r="CQ181" s="130" t="n"/>
      <c r="CR181" s="178" t="n"/>
      <c r="CS181" s="184" t="n"/>
      <c r="CT181" s="130" t="n"/>
      <c r="CU181" s="179" t="n"/>
      <c r="CV181" s="130" t="n"/>
      <c r="CW181" s="178" t="n"/>
      <c r="CX181" s="184" t="n"/>
      <c r="CY181" s="130" t="n"/>
      <c r="CZ181" s="179" t="n"/>
      <c r="DA181" s="130" t="n"/>
      <c r="DB181" s="178" t="n"/>
      <c r="DC181" s="184" t="n"/>
      <c r="DD181" s="130" t="n"/>
      <c r="DE181" s="179" t="n"/>
      <c r="DF181" s="130" t="n"/>
      <c r="DG181" s="178" t="n"/>
      <c r="DH181" s="184" t="n"/>
      <c r="DI181" s="130" t="n"/>
      <c r="DJ181" s="179" t="n"/>
      <c r="DK181" s="130" t="n"/>
      <c r="DL181" s="178" t="n"/>
      <c r="DM181" s="184" t="n"/>
      <c r="DN181" s="130" t="n"/>
      <c r="DO181" s="179" t="n"/>
      <c r="DP181" s="130" t="n"/>
      <c r="DQ181" s="178" t="n"/>
      <c r="DR181" s="184" t="n"/>
      <c r="DS181" s="130" t="n"/>
      <c r="DT181" s="109" t="n"/>
      <c r="DU181" s="130" t="n"/>
      <c r="DV181" s="180">
        <f>SUMPRODUCT(--(MOD(COLUMN($BN181:$DU181),5)=MOD(COLUMN($BN181),5)),$BN181:$DU181)</f>
        <v/>
      </c>
      <c r="DW181" s="181">
        <f>Автовик_разбивка[[#This Row],[Цена, 
юань, без НДС 1]]*DV181</f>
        <v/>
      </c>
      <c r="DX181" s="186">
        <f>SUMPRODUCT(--(MOD(COLUMN($BN181:$DU181),5)=MOD(COLUMN($BN181)+1,5)),$BN181:$DU181)</f>
        <v/>
      </c>
      <c r="DY181" s="186">
        <f>Автовик_разбивка[[#This Row],[Цена, 
юань, без НДС 1]]*DX181</f>
        <v/>
      </c>
      <c r="DZ181" s="130">
        <f>SUMPRODUCT(--(MOD(COLUMN($BN181:$DU181),5)=MOD(COLUMN($BN181)+2,5)),$BN181:$DU181)</f>
        <v/>
      </c>
      <c r="EA181" s="187">
        <f>Автовик_разбивка[[#This Row],[Цена, 
юань, без НДС 1]]*DZ181</f>
        <v/>
      </c>
      <c r="EB181" s="109">
        <f>SUMPRODUCT(--(MOD(COLUMN($BN181:$DU181),5)=MOD(COLUMN($BN181)+3,5)),$BN181:$DU181)</f>
        <v/>
      </c>
      <c r="EC181" s="224">
        <f>Автовик_разбивка[[#This Row],[Цена, 
юань, без НДС 1]]*EB181</f>
        <v/>
      </c>
    </row>
    <row r="182">
      <c r="A182" s="260" t="n">
        <v>33</v>
      </c>
      <c r="B182" s="172" t="inlineStr">
        <is>
          <t>ПК УСПТ</t>
        </is>
      </c>
      <c r="C182" s="173" t="inlineStr">
        <is>
          <t>TEBS</t>
        </is>
      </c>
      <c r="D182" s="173" t="inlineStr">
        <is>
          <t xml:space="preserve">TEBS 2s/2m 
15м </t>
        </is>
      </c>
      <c r="E182" s="174" t="n">
        <v>1</v>
      </c>
      <c r="F182" s="174" t="n"/>
      <c r="G182" s="174" t="n"/>
      <c r="H182" s="175" t="n">
        <v>4630320200</v>
      </c>
      <c r="I182" s="176" t="inlineStr">
        <is>
          <t>Кран ручного управления</t>
        </is>
      </c>
      <c r="J182" s="913" t="n"/>
      <c r="K182" s="912" t="n"/>
      <c r="L182" s="178" t="n"/>
      <c r="M182" s="130" t="n"/>
      <c r="N182" s="179" t="n">
        <v>1</v>
      </c>
      <c r="O182" s="130" t="n"/>
      <c r="P182" s="178" t="n"/>
      <c r="Q182" s="130" t="n"/>
      <c r="R182" s="179" t="n"/>
      <c r="S182" s="130" t="n"/>
      <c r="T182" s="178" t="n"/>
      <c r="U182" s="130" t="n"/>
      <c r="V182" s="179" t="n"/>
      <c r="W182" s="130" t="n"/>
      <c r="X182" s="178" t="n"/>
      <c r="Y182" s="130" t="n"/>
      <c r="Z182" s="179" t="n"/>
      <c r="AA182" s="130" t="n"/>
      <c r="AB182" s="178" t="n"/>
      <c r="AC182" s="130" t="n"/>
      <c r="AD182" s="179" t="n"/>
      <c r="AE182" s="130" t="n"/>
      <c r="AF182" s="178" t="n"/>
      <c r="AG182" s="130" t="n"/>
      <c r="AH182" s="179" t="n"/>
      <c r="AI182" s="130" t="n"/>
      <c r="AJ182" s="178" t="n"/>
      <c r="AK182" s="130" t="n"/>
      <c r="AL182" s="179" t="n"/>
      <c r="AM182" s="130" t="n"/>
      <c r="AN182" s="178" t="n"/>
      <c r="AO182" s="130" t="n"/>
      <c r="AP182" s="179" t="n"/>
      <c r="AQ182" s="130" t="n"/>
      <c r="AR182" s="178" t="n"/>
      <c r="AS182" s="130" t="n"/>
      <c r="AT182" s="179" t="n"/>
      <c r="AU182" s="130" t="n"/>
      <c r="AV182" s="178" t="n"/>
      <c r="AW182" s="130" t="n"/>
      <c r="AX182" s="179" t="n"/>
      <c r="AY182" s="130" t="n"/>
      <c r="AZ182" s="178" t="n"/>
      <c r="BA182" s="130" t="n"/>
      <c r="BB182" s="179" t="n"/>
      <c r="BC182" s="130" t="n"/>
      <c r="BD182" s="178" t="n"/>
      <c r="BE182" s="130" t="n"/>
      <c r="BF182" s="109" t="n"/>
      <c r="BG182" s="130" t="n"/>
      <c r="BH182" s="180">
        <f>SUMPRODUCT(--(MOD(COLUMN($L182:$BG182),4)=MOD(COLUMN($L182),4)),$L182:$BG182)</f>
        <v/>
      </c>
      <c r="BI182" s="181">
        <f>Автовик_разбивка[[#This Row],[Цена, 
юань, без НДС 1]]*BH182</f>
        <v/>
      </c>
      <c r="BJ182" s="130">
        <f>SUMPRODUCT(--(MOD(COLUMN($L182:$BG182),4)=MOD(COLUMN($L182)+1,4)),$L182:$BG182)</f>
        <v/>
      </c>
      <c r="BK182" s="187">
        <f>Автовик_разбивка[[#This Row],[Цена, 
юань, без НДС 1]]*BJ182</f>
        <v/>
      </c>
      <c r="BL182" s="109">
        <f>SUMPRODUCT(--(MOD(COLUMN($L182:$BG182),4)=MOD(COLUMN($L182)+2,4)),$L182:$BG182)</f>
        <v/>
      </c>
      <c r="BM182" s="224">
        <f>Автовик_разбивка[[#This Row],[Цена, 
юань, без НДС 1]]*BL182</f>
        <v/>
      </c>
      <c r="BN182" s="178" t="n"/>
      <c r="BO182" s="184" t="n"/>
      <c r="BP182" s="130" t="n"/>
      <c r="BQ182" s="179" t="n"/>
      <c r="BR182" s="130" t="n"/>
      <c r="BS182" s="178" t="n"/>
      <c r="BT182" s="184" t="n"/>
      <c r="BU182" s="130" t="n"/>
      <c r="BV182" s="179" t="n"/>
      <c r="BW182" s="130" t="n"/>
      <c r="BX182" s="178" t="n"/>
      <c r="BY182" s="184" t="n"/>
      <c r="BZ182" s="130" t="n"/>
      <c r="CA182" s="179" t="n"/>
      <c r="CB182" s="130" t="n"/>
      <c r="CC182" s="178" t="n"/>
      <c r="CD182" s="184" t="n"/>
      <c r="CE182" s="130" t="n"/>
      <c r="CF182" s="179" t="n"/>
      <c r="CG182" s="130" t="n"/>
      <c r="CH182" s="178" t="n"/>
      <c r="CI182" s="184" t="n"/>
      <c r="CJ182" s="130" t="n"/>
      <c r="CK182" s="179" t="n"/>
      <c r="CL182" s="130" t="n"/>
      <c r="CM182" s="178" t="n"/>
      <c r="CN182" s="184" t="n"/>
      <c r="CO182" s="130" t="n"/>
      <c r="CP182" s="179" t="n"/>
      <c r="CQ182" s="130" t="n"/>
      <c r="CR182" s="178" t="n"/>
      <c r="CS182" s="184" t="n"/>
      <c r="CT182" s="130" t="n"/>
      <c r="CU182" s="179" t="n"/>
      <c r="CV182" s="130" t="n"/>
      <c r="CW182" s="178" t="n"/>
      <c r="CX182" s="184" t="n"/>
      <c r="CY182" s="130" t="n"/>
      <c r="CZ182" s="179" t="n"/>
      <c r="DA182" s="130" t="n"/>
      <c r="DB182" s="178" t="n"/>
      <c r="DC182" s="184" t="n"/>
      <c r="DD182" s="130" t="n"/>
      <c r="DE182" s="179" t="n"/>
      <c r="DF182" s="130" t="n"/>
      <c r="DG182" s="178" t="n"/>
      <c r="DH182" s="184" t="n"/>
      <c r="DI182" s="130" t="n"/>
      <c r="DJ182" s="179" t="n"/>
      <c r="DK182" s="130" t="n"/>
      <c r="DL182" s="178" t="n"/>
      <c r="DM182" s="184" t="n"/>
      <c r="DN182" s="130" t="n"/>
      <c r="DO182" s="179" t="n"/>
      <c r="DP182" s="130" t="n"/>
      <c r="DQ182" s="178" t="n"/>
      <c r="DR182" s="184" t="n"/>
      <c r="DS182" s="130" t="n"/>
      <c r="DT182" s="109" t="n"/>
      <c r="DU182" s="130" t="n"/>
      <c r="DV182" s="180">
        <f>SUMPRODUCT(--(MOD(COLUMN($BN182:$DU182),5)=MOD(COLUMN($BN182),5)),$BN182:$DU182)</f>
        <v/>
      </c>
      <c r="DW182" s="181">
        <f>Автовик_разбивка[[#This Row],[Цена, 
юань, без НДС 1]]*DV182</f>
        <v/>
      </c>
      <c r="DX182" s="186">
        <f>SUMPRODUCT(--(MOD(COLUMN($BN182:$DU182),5)=MOD(COLUMN($BN182)+1,5)),$BN182:$DU182)</f>
        <v/>
      </c>
      <c r="DY182" s="186">
        <f>Автовик_разбивка[[#This Row],[Цена, 
юань, без НДС 1]]*DX182</f>
        <v/>
      </c>
      <c r="DZ182" s="130">
        <f>SUMPRODUCT(--(MOD(COLUMN($BN182:$DU182),5)=MOD(COLUMN($BN182)+2,5)),$BN182:$DU182)</f>
        <v/>
      </c>
      <c r="EA182" s="187">
        <f>Автовик_разбивка[[#This Row],[Цена, 
юань, без НДС 1]]*DZ182</f>
        <v/>
      </c>
      <c r="EB182" s="109">
        <f>SUMPRODUCT(--(MOD(COLUMN($BN182:$DU182),5)=MOD(COLUMN($BN182)+3,5)),$BN182:$DU182)</f>
        <v/>
      </c>
      <c r="EC182" s="224">
        <f>Автовик_разбивка[[#This Row],[Цена, 
юань, без НДС 1]]*EB182</f>
        <v/>
      </c>
    </row>
    <row r="183">
      <c r="A183" s="260" t="n">
        <v>33</v>
      </c>
      <c r="B183" s="172" t="inlineStr">
        <is>
          <t>ПК УСПТ</t>
        </is>
      </c>
      <c r="C183" s="173" t="inlineStr">
        <is>
          <t>TEBS</t>
        </is>
      </c>
      <c r="D183" s="173" t="inlineStr">
        <is>
          <t xml:space="preserve">TEBS 2s/2m 
15м </t>
        </is>
      </c>
      <c r="E183" s="174" t="n">
        <v>1</v>
      </c>
      <c r="F183" s="174" t="n"/>
      <c r="G183" s="174" t="n"/>
      <c r="H183" s="175" t="n">
        <v>4640061000</v>
      </c>
      <c r="I183" s="176" t="inlineStr">
        <is>
          <t>Кран уровня пола, 5-ти портовый</t>
        </is>
      </c>
      <c r="J183" s="913" t="n"/>
      <c r="K183" s="912" t="n"/>
      <c r="L183" s="178" t="n"/>
      <c r="M183" s="130" t="n"/>
      <c r="N183" s="179" t="n">
        <v>1</v>
      </c>
      <c r="O183" s="130" t="n"/>
      <c r="P183" s="178" t="n"/>
      <c r="Q183" s="130" t="n"/>
      <c r="R183" s="179" t="n"/>
      <c r="S183" s="130" t="n"/>
      <c r="T183" s="178" t="n"/>
      <c r="U183" s="130" t="n"/>
      <c r="V183" s="179" t="n"/>
      <c r="W183" s="130" t="n"/>
      <c r="X183" s="178" t="n"/>
      <c r="Y183" s="130" t="n"/>
      <c r="Z183" s="179" t="n"/>
      <c r="AA183" s="130" t="n"/>
      <c r="AB183" s="178" t="n"/>
      <c r="AC183" s="130" t="n"/>
      <c r="AD183" s="179" t="n"/>
      <c r="AE183" s="130" t="n"/>
      <c r="AF183" s="178" t="n"/>
      <c r="AG183" s="130" t="n"/>
      <c r="AH183" s="179" t="n"/>
      <c r="AI183" s="130" t="n"/>
      <c r="AJ183" s="178" t="n"/>
      <c r="AK183" s="130" t="n"/>
      <c r="AL183" s="179" t="n"/>
      <c r="AM183" s="130" t="n"/>
      <c r="AN183" s="178" t="n"/>
      <c r="AO183" s="130" t="n"/>
      <c r="AP183" s="179" t="n"/>
      <c r="AQ183" s="130" t="n"/>
      <c r="AR183" s="178" t="n"/>
      <c r="AS183" s="130" t="n"/>
      <c r="AT183" s="179" t="n"/>
      <c r="AU183" s="130" t="n"/>
      <c r="AV183" s="178" t="n"/>
      <c r="AW183" s="130" t="n"/>
      <c r="AX183" s="179" t="n"/>
      <c r="AY183" s="130" t="n"/>
      <c r="AZ183" s="178" t="n"/>
      <c r="BA183" s="130" t="n"/>
      <c r="BB183" s="179" t="n"/>
      <c r="BC183" s="130" t="n"/>
      <c r="BD183" s="178" t="n"/>
      <c r="BE183" s="130" t="n"/>
      <c r="BF183" s="109" t="n"/>
      <c r="BG183" s="130" t="n"/>
      <c r="BH183" s="180">
        <f>SUMPRODUCT(--(MOD(COLUMN($L183:$BG183),4)=MOD(COLUMN($L183),4)),$L183:$BG183)</f>
        <v/>
      </c>
      <c r="BI183" s="181">
        <f>Автовик_разбивка[[#This Row],[Цена, 
юань, без НДС 1]]*BH183</f>
        <v/>
      </c>
      <c r="BJ183" s="130">
        <f>SUMPRODUCT(--(MOD(COLUMN($L183:$BG183),4)=MOD(COLUMN($L183)+1,4)),$L183:$BG183)</f>
        <v/>
      </c>
      <c r="BK183" s="187">
        <f>Автовик_разбивка[[#This Row],[Цена, 
юань, без НДС 1]]*BJ183</f>
        <v/>
      </c>
      <c r="BL183" s="109">
        <f>SUMPRODUCT(--(MOD(COLUMN($L183:$BG183),4)=MOD(COLUMN($L183)+2,4)),$L183:$BG183)</f>
        <v/>
      </c>
      <c r="BM183" s="224">
        <f>Автовик_разбивка[[#This Row],[Цена, 
юань, без НДС 1]]*BL183</f>
        <v/>
      </c>
      <c r="BN183" s="178" t="n"/>
      <c r="BO183" s="184" t="n"/>
      <c r="BP183" s="130" t="n"/>
      <c r="BQ183" s="179" t="n"/>
      <c r="BR183" s="130" t="n"/>
      <c r="BS183" s="178" t="n"/>
      <c r="BT183" s="184" t="n"/>
      <c r="BU183" s="130" t="n"/>
      <c r="BV183" s="179" t="n"/>
      <c r="BW183" s="130" t="n"/>
      <c r="BX183" s="178" t="n"/>
      <c r="BY183" s="184" t="n"/>
      <c r="BZ183" s="130" t="n"/>
      <c r="CA183" s="179" t="n"/>
      <c r="CB183" s="130" t="n"/>
      <c r="CC183" s="178" t="n"/>
      <c r="CD183" s="184" t="n"/>
      <c r="CE183" s="130" t="n"/>
      <c r="CF183" s="179" t="n"/>
      <c r="CG183" s="130" t="n"/>
      <c r="CH183" s="178" t="n"/>
      <c r="CI183" s="184" t="n"/>
      <c r="CJ183" s="130" t="n"/>
      <c r="CK183" s="179" t="n"/>
      <c r="CL183" s="130" t="n"/>
      <c r="CM183" s="178" t="n"/>
      <c r="CN183" s="184" t="n"/>
      <c r="CO183" s="130" t="n"/>
      <c r="CP183" s="179" t="n"/>
      <c r="CQ183" s="130" t="n"/>
      <c r="CR183" s="178" t="n"/>
      <c r="CS183" s="184" t="n"/>
      <c r="CT183" s="130" t="n"/>
      <c r="CU183" s="179" t="n"/>
      <c r="CV183" s="130" t="n"/>
      <c r="CW183" s="178" t="n"/>
      <c r="CX183" s="184" t="n"/>
      <c r="CY183" s="130" t="n"/>
      <c r="CZ183" s="179" t="n"/>
      <c r="DA183" s="130" t="n"/>
      <c r="DB183" s="178" t="n"/>
      <c r="DC183" s="184" t="n"/>
      <c r="DD183" s="130" t="n"/>
      <c r="DE183" s="179" t="n"/>
      <c r="DF183" s="130" t="n"/>
      <c r="DG183" s="178" t="n"/>
      <c r="DH183" s="184" t="n"/>
      <c r="DI183" s="130" t="n"/>
      <c r="DJ183" s="179" t="n"/>
      <c r="DK183" s="130" t="n"/>
      <c r="DL183" s="178" t="n"/>
      <c r="DM183" s="184" t="n"/>
      <c r="DN183" s="130" t="n"/>
      <c r="DO183" s="179" t="n"/>
      <c r="DP183" s="130" t="n"/>
      <c r="DQ183" s="178" t="n"/>
      <c r="DR183" s="184" t="n"/>
      <c r="DS183" s="130" t="n"/>
      <c r="DT183" s="109" t="n"/>
      <c r="DU183" s="130" t="n"/>
      <c r="DV183" s="180">
        <f>SUMPRODUCT(--(MOD(COLUMN($BN183:$DU183),5)=MOD(COLUMN($BN183),5)),$BN183:$DU183)</f>
        <v/>
      </c>
      <c r="DW183" s="181">
        <f>Автовик_разбивка[[#This Row],[Цена, 
юань, без НДС 1]]*DV183</f>
        <v/>
      </c>
      <c r="DX183" s="186">
        <f>SUMPRODUCT(--(MOD(COLUMN($BN183:$DU183),5)=MOD(COLUMN($BN183)+1,5)),$BN183:$DU183)</f>
        <v/>
      </c>
      <c r="DY183" s="186">
        <f>Автовик_разбивка[[#This Row],[Цена, 
юань, без НДС 1]]*DX183</f>
        <v/>
      </c>
      <c r="DZ183" s="130">
        <f>SUMPRODUCT(--(MOD(COLUMN($BN183:$DU183),5)=MOD(COLUMN($BN183)+2,5)),$BN183:$DU183)</f>
        <v/>
      </c>
      <c r="EA183" s="187">
        <f>Автовик_разбивка[[#This Row],[Цена, 
юань, без НДС 1]]*DZ183</f>
        <v/>
      </c>
      <c r="EB183" s="109">
        <f>SUMPRODUCT(--(MOD(COLUMN($BN183:$DU183),5)=MOD(COLUMN($BN183)+3,5)),$BN183:$DU183)</f>
        <v/>
      </c>
      <c r="EC183" s="224">
        <f>Автовик_разбивка[[#This Row],[Цена, 
юань, без НДС 1]]*EB183</f>
        <v/>
      </c>
    </row>
    <row r="184">
      <c r="A184" s="260" t="n">
        <v>33</v>
      </c>
      <c r="B184" s="172" t="inlineStr">
        <is>
          <t>ПК УСПТ</t>
        </is>
      </c>
      <c r="C184" s="173" t="inlineStr">
        <is>
          <t>TEBS</t>
        </is>
      </c>
      <c r="D184" s="173" t="inlineStr">
        <is>
          <t xml:space="preserve">TEBS 2s/2m 
15м </t>
        </is>
      </c>
      <c r="E184" s="174" t="n">
        <v>1</v>
      </c>
      <c r="F184" s="174" t="n"/>
      <c r="G184" s="174" t="n"/>
      <c r="H184" s="175" t="n">
        <v>4801020640</v>
      </c>
      <c r="I184" s="176" t="inlineStr">
        <is>
          <t>Модулятор EBS, с PEM, без фит.</t>
        </is>
      </c>
      <c r="J184" s="913" t="n"/>
      <c r="K184" s="912" t="n"/>
      <c r="L184" s="178" t="n"/>
      <c r="M184" s="130" t="n"/>
      <c r="N184" s="179" t="n">
        <v>1</v>
      </c>
      <c r="O184" s="130" t="n"/>
      <c r="P184" s="178" t="n"/>
      <c r="Q184" s="130" t="n"/>
      <c r="R184" s="179" t="n"/>
      <c r="S184" s="130" t="n"/>
      <c r="T184" s="178" t="n"/>
      <c r="U184" s="130" t="n"/>
      <c r="V184" s="179" t="n"/>
      <c r="W184" s="130" t="n"/>
      <c r="X184" s="178" t="n"/>
      <c r="Y184" s="130" t="n"/>
      <c r="Z184" s="179" t="n"/>
      <c r="AA184" s="130" t="n"/>
      <c r="AB184" s="178" t="n"/>
      <c r="AC184" s="130" t="n"/>
      <c r="AD184" s="179" t="n"/>
      <c r="AE184" s="130" t="n"/>
      <c r="AF184" s="178" t="n"/>
      <c r="AG184" s="130" t="n"/>
      <c r="AH184" s="179" t="n"/>
      <c r="AI184" s="130" t="n"/>
      <c r="AJ184" s="178" t="n"/>
      <c r="AK184" s="130" t="n"/>
      <c r="AL184" s="179" t="n"/>
      <c r="AM184" s="130" t="n"/>
      <c r="AN184" s="178" t="n"/>
      <c r="AO184" s="130" t="n"/>
      <c r="AP184" s="179" t="n"/>
      <c r="AQ184" s="130" t="n"/>
      <c r="AR184" s="178" t="n"/>
      <c r="AS184" s="130" t="n"/>
      <c r="AT184" s="179" t="n"/>
      <c r="AU184" s="130" t="n"/>
      <c r="AV184" s="178" t="n"/>
      <c r="AW184" s="130" t="n"/>
      <c r="AX184" s="179" t="n"/>
      <c r="AY184" s="130" t="n"/>
      <c r="AZ184" s="178" t="n"/>
      <c r="BA184" s="130" t="n"/>
      <c r="BB184" s="179" t="n"/>
      <c r="BC184" s="130" t="n"/>
      <c r="BD184" s="178" t="n"/>
      <c r="BE184" s="130" t="n"/>
      <c r="BF184" s="109" t="n"/>
      <c r="BG184" s="130" t="n"/>
      <c r="BH184" s="180">
        <f>SUMPRODUCT(--(MOD(COLUMN($L184:$BG184),4)=MOD(COLUMN($L184),4)),$L184:$BG184)</f>
        <v/>
      </c>
      <c r="BI184" s="181">
        <f>Автовик_разбивка[[#This Row],[Цена, 
юань, без НДС 1]]*BH184</f>
        <v/>
      </c>
      <c r="BJ184" s="130">
        <f>SUMPRODUCT(--(MOD(COLUMN($L184:$BG184),4)=MOD(COLUMN($L184)+1,4)),$L184:$BG184)</f>
        <v/>
      </c>
      <c r="BK184" s="187">
        <f>Автовик_разбивка[[#This Row],[Цена, 
юань, без НДС 1]]*BJ184</f>
        <v/>
      </c>
      <c r="BL184" s="109">
        <f>SUMPRODUCT(--(MOD(COLUMN($L184:$BG184),4)=MOD(COLUMN($L184)+2,4)),$L184:$BG184)</f>
        <v/>
      </c>
      <c r="BM184" s="224">
        <f>Автовик_разбивка[[#This Row],[Цена, 
юань, без НДС 1]]*BL184</f>
        <v/>
      </c>
      <c r="BN184" s="178" t="n"/>
      <c r="BO184" s="184" t="n"/>
      <c r="BP184" s="130" t="n"/>
      <c r="BQ184" s="179" t="n"/>
      <c r="BR184" s="130" t="n"/>
      <c r="BS184" s="178" t="n"/>
      <c r="BT184" s="184" t="n"/>
      <c r="BU184" s="130" t="n"/>
      <c r="BV184" s="179" t="n"/>
      <c r="BW184" s="130" t="n"/>
      <c r="BX184" s="178" t="n"/>
      <c r="BY184" s="184" t="n"/>
      <c r="BZ184" s="130" t="n"/>
      <c r="CA184" s="179" t="n"/>
      <c r="CB184" s="130" t="n"/>
      <c r="CC184" s="178" t="n"/>
      <c r="CD184" s="184" t="n"/>
      <c r="CE184" s="130" t="n"/>
      <c r="CF184" s="179" t="n"/>
      <c r="CG184" s="130" t="n"/>
      <c r="CH184" s="178" t="n"/>
      <c r="CI184" s="184" t="n"/>
      <c r="CJ184" s="130" t="n"/>
      <c r="CK184" s="179" t="n"/>
      <c r="CL184" s="130" t="n"/>
      <c r="CM184" s="178" t="n"/>
      <c r="CN184" s="184" t="n"/>
      <c r="CO184" s="130" t="n"/>
      <c r="CP184" s="179" t="n"/>
      <c r="CQ184" s="130" t="n"/>
      <c r="CR184" s="178" t="n"/>
      <c r="CS184" s="184" t="n"/>
      <c r="CT184" s="130" t="n"/>
      <c r="CU184" s="179" t="n"/>
      <c r="CV184" s="130" t="n"/>
      <c r="CW184" s="178" t="n"/>
      <c r="CX184" s="184" t="n"/>
      <c r="CY184" s="130" t="n"/>
      <c r="CZ184" s="179" t="n"/>
      <c r="DA184" s="130" t="n"/>
      <c r="DB184" s="178" t="n"/>
      <c r="DC184" s="184" t="n"/>
      <c r="DD184" s="130" t="n"/>
      <c r="DE184" s="179" t="n"/>
      <c r="DF184" s="130" t="n"/>
      <c r="DG184" s="178" t="n"/>
      <c r="DH184" s="184" t="n"/>
      <c r="DI184" s="130" t="n"/>
      <c r="DJ184" s="179" t="n"/>
      <c r="DK184" s="130" t="n"/>
      <c r="DL184" s="178" t="n"/>
      <c r="DM184" s="184" t="n"/>
      <c r="DN184" s="130" t="n"/>
      <c r="DO184" s="179" t="n"/>
      <c r="DP184" s="130" t="n"/>
      <c r="DQ184" s="178" t="n"/>
      <c r="DR184" s="184" t="n"/>
      <c r="DS184" s="130" t="n"/>
      <c r="DT184" s="109" t="n"/>
      <c r="DU184" s="130" t="n"/>
      <c r="DV184" s="180">
        <f>SUMPRODUCT(--(MOD(COLUMN($BN184:$DU184),5)=MOD(COLUMN($BN184),5)),$BN184:$DU184)</f>
        <v/>
      </c>
      <c r="DW184" s="181">
        <f>Автовик_разбивка[[#This Row],[Цена, 
юань, без НДС 1]]*DV184</f>
        <v/>
      </c>
      <c r="DX184" s="186">
        <f>SUMPRODUCT(--(MOD(COLUMN($BN184:$DU184),5)=MOD(COLUMN($BN184)+1,5)),$BN184:$DU184)</f>
        <v/>
      </c>
      <c r="DY184" s="186">
        <f>Автовик_разбивка[[#This Row],[Цена, 
юань, без НДС 1]]*DX184</f>
        <v/>
      </c>
      <c r="DZ184" s="130">
        <f>SUMPRODUCT(--(MOD(COLUMN($BN184:$DU184),5)=MOD(COLUMN($BN184)+2,5)),$BN184:$DU184)</f>
        <v/>
      </c>
      <c r="EA184" s="187">
        <f>Автовик_разбивка[[#This Row],[Цена, 
юань, без НДС 1]]*DZ184</f>
        <v/>
      </c>
      <c r="EB184" s="109">
        <f>SUMPRODUCT(--(MOD(COLUMN($BN184:$DU184),5)=MOD(COLUMN($BN184)+3,5)),$BN184:$DU184)</f>
        <v/>
      </c>
      <c r="EC184" s="224">
        <f>Автовик_разбивка[[#This Row],[Цена, 
юань, без НДС 1]]*EB184</f>
        <v/>
      </c>
    </row>
    <row r="185">
      <c r="A185" s="260" t="n">
        <v>33</v>
      </c>
      <c r="B185" s="172" t="inlineStr">
        <is>
          <t>ПК УСПТ</t>
        </is>
      </c>
      <c r="C185" s="173" t="inlineStr">
        <is>
          <t>TEBS</t>
        </is>
      </c>
      <c r="D185" s="173" t="inlineStr">
        <is>
          <t xml:space="preserve">TEBS 2s/2m 
15м </t>
        </is>
      </c>
      <c r="E185" s="174" t="n">
        <v>1</v>
      </c>
      <c r="F185" s="174" t="n"/>
      <c r="G185" s="174" t="n"/>
      <c r="H185" s="175" t="n">
        <v>9522010010</v>
      </c>
      <c r="I185" s="176" t="inlineStr">
        <is>
          <t>Головка соединительная (управляющая)</t>
        </is>
      </c>
      <c r="J185" s="913" t="n"/>
      <c r="K185" s="912" t="n"/>
      <c r="L185" s="178" t="n"/>
      <c r="M185" s="130" t="n"/>
      <c r="N185" s="179" t="n">
        <v>1</v>
      </c>
      <c r="O185" s="130" t="n"/>
      <c r="P185" s="178" t="n"/>
      <c r="Q185" s="130" t="n"/>
      <c r="R185" s="179" t="n"/>
      <c r="S185" s="130" t="n"/>
      <c r="T185" s="178" t="n"/>
      <c r="U185" s="130" t="n"/>
      <c r="V185" s="179" t="n"/>
      <c r="W185" s="130" t="n"/>
      <c r="X185" s="178" t="n"/>
      <c r="Y185" s="130" t="n"/>
      <c r="Z185" s="179" t="n"/>
      <c r="AA185" s="130" t="n"/>
      <c r="AB185" s="178" t="n"/>
      <c r="AC185" s="130" t="n"/>
      <c r="AD185" s="179" t="n"/>
      <c r="AE185" s="130" t="n"/>
      <c r="AF185" s="178" t="n"/>
      <c r="AG185" s="130" t="n"/>
      <c r="AH185" s="179" t="n"/>
      <c r="AI185" s="130" t="n"/>
      <c r="AJ185" s="178" t="n"/>
      <c r="AK185" s="130" t="n"/>
      <c r="AL185" s="179" t="n"/>
      <c r="AM185" s="130" t="n"/>
      <c r="AN185" s="178" t="n"/>
      <c r="AO185" s="130" t="n"/>
      <c r="AP185" s="179" t="n"/>
      <c r="AQ185" s="130" t="n"/>
      <c r="AR185" s="178" t="n"/>
      <c r="AS185" s="130" t="n"/>
      <c r="AT185" s="179" t="n"/>
      <c r="AU185" s="130" t="n"/>
      <c r="AV185" s="178" t="n"/>
      <c r="AW185" s="130" t="n"/>
      <c r="AX185" s="179" t="n"/>
      <c r="AY185" s="130" t="n"/>
      <c r="AZ185" s="178" t="n"/>
      <c r="BA185" s="130" t="n"/>
      <c r="BB185" s="179" t="n"/>
      <c r="BC185" s="130" t="n"/>
      <c r="BD185" s="178" t="n"/>
      <c r="BE185" s="130" t="n"/>
      <c r="BF185" s="109" t="n"/>
      <c r="BG185" s="130" t="n"/>
      <c r="BH185" s="180">
        <f>SUMPRODUCT(--(MOD(COLUMN($L185:$BG185),4)=MOD(COLUMN($L185),4)),$L185:$BG185)</f>
        <v/>
      </c>
      <c r="BI185" s="181">
        <f>Автовик_разбивка[[#This Row],[Цена, 
юань, без НДС 1]]*BH185</f>
        <v/>
      </c>
      <c r="BJ185" s="130">
        <f>SUMPRODUCT(--(MOD(COLUMN($L185:$BG185),4)=MOD(COLUMN($L185)+1,4)),$L185:$BG185)</f>
        <v/>
      </c>
      <c r="BK185" s="187">
        <f>Автовик_разбивка[[#This Row],[Цена, 
юань, без НДС 1]]*BJ185</f>
        <v/>
      </c>
      <c r="BL185" s="109">
        <f>SUMPRODUCT(--(MOD(COLUMN($L185:$BG185),4)=MOD(COLUMN($L185)+2,4)),$L185:$BG185)</f>
        <v/>
      </c>
      <c r="BM185" s="224">
        <f>Автовик_разбивка[[#This Row],[Цена, 
юань, без НДС 1]]*BL185</f>
        <v/>
      </c>
      <c r="BN185" s="178" t="n"/>
      <c r="BO185" s="184" t="n"/>
      <c r="BP185" s="130" t="n"/>
      <c r="BQ185" s="179" t="n"/>
      <c r="BR185" s="130" t="n"/>
      <c r="BS185" s="178" t="n"/>
      <c r="BT185" s="184" t="n"/>
      <c r="BU185" s="130" t="n"/>
      <c r="BV185" s="179" t="n"/>
      <c r="BW185" s="130" t="n"/>
      <c r="BX185" s="178" t="n"/>
      <c r="BY185" s="184" t="n"/>
      <c r="BZ185" s="130" t="n"/>
      <c r="CA185" s="179" t="n"/>
      <c r="CB185" s="130" t="n"/>
      <c r="CC185" s="178" t="n"/>
      <c r="CD185" s="184" t="n"/>
      <c r="CE185" s="130" t="n"/>
      <c r="CF185" s="179" t="n"/>
      <c r="CG185" s="130" t="n"/>
      <c r="CH185" s="178" t="n"/>
      <c r="CI185" s="184" t="n"/>
      <c r="CJ185" s="130" t="n"/>
      <c r="CK185" s="179" t="n"/>
      <c r="CL185" s="130" t="n"/>
      <c r="CM185" s="178" t="n"/>
      <c r="CN185" s="184" t="n"/>
      <c r="CO185" s="130" t="n"/>
      <c r="CP185" s="179" t="n"/>
      <c r="CQ185" s="130" t="n"/>
      <c r="CR185" s="178" t="n"/>
      <c r="CS185" s="184" t="n"/>
      <c r="CT185" s="130" t="n"/>
      <c r="CU185" s="179" t="n"/>
      <c r="CV185" s="130" t="n"/>
      <c r="CW185" s="178" t="n"/>
      <c r="CX185" s="184" t="n"/>
      <c r="CY185" s="130" t="n"/>
      <c r="CZ185" s="179" t="n"/>
      <c r="DA185" s="130" t="n"/>
      <c r="DB185" s="178" t="n"/>
      <c r="DC185" s="184" t="n"/>
      <c r="DD185" s="130" t="n"/>
      <c r="DE185" s="179" t="n"/>
      <c r="DF185" s="130" t="n"/>
      <c r="DG185" s="178" t="n"/>
      <c r="DH185" s="184" t="n"/>
      <c r="DI185" s="130" t="n"/>
      <c r="DJ185" s="179" t="n"/>
      <c r="DK185" s="130" t="n"/>
      <c r="DL185" s="178" t="n"/>
      <c r="DM185" s="184" t="n"/>
      <c r="DN185" s="130" t="n"/>
      <c r="DO185" s="179" t="n"/>
      <c r="DP185" s="130" t="n"/>
      <c r="DQ185" s="178" t="n"/>
      <c r="DR185" s="184" t="n"/>
      <c r="DS185" s="130" t="n"/>
      <c r="DT185" s="109" t="n"/>
      <c r="DU185" s="130" t="n"/>
      <c r="DV185" s="180">
        <f>SUMPRODUCT(--(MOD(COLUMN($BN185:$DU185),5)=MOD(COLUMN($BN185),5)),$BN185:$DU185)</f>
        <v/>
      </c>
      <c r="DW185" s="181">
        <f>Автовик_разбивка[[#This Row],[Цена, 
юань, без НДС 1]]*DV185</f>
        <v/>
      </c>
      <c r="DX185" s="186">
        <f>SUMPRODUCT(--(MOD(COLUMN($BN185:$DU185),5)=MOD(COLUMN($BN185)+1,5)),$BN185:$DU185)</f>
        <v/>
      </c>
      <c r="DY185" s="186">
        <f>Автовик_разбивка[[#This Row],[Цена, 
юань, без НДС 1]]*DX185</f>
        <v/>
      </c>
      <c r="DZ185" s="130">
        <f>SUMPRODUCT(--(MOD(COLUMN($BN185:$DU185),5)=MOD(COLUMN($BN185)+2,5)),$BN185:$DU185)</f>
        <v/>
      </c>
      <c r="EA185" s="187">
        <f>Автовик_разбивка[[#This Row],[Цена, 
юань, без НДС 1]]*DZ185</f>
        <v/>
      </c>
      <c r="EB185" s="109">
        <f>SUMPRODUCT(--(MOD(COLUMN($BN185:$DU185),5)=MOD(COLUMN($BN185)+3,5)),$BN185:$DU185)</f>
        <v/>
      </c>
      <c r="EC185" s="224">
        <f>Автовик_разбивка[[#This Row],[Цена, 
юань, без НДС 1]]*EB185</f>
        <v/>
      </c>
    </row>
    <row r="186">
      <c r="A186" s="260" t="n">
        <v>33</v>
      </c>
      <c r="B186" s="172" t="inlineStr">
        <is>
          <t>ПК УСПТ</t>
        </is>
      </c>
      <c r="C186" s="173" t="inlineStr">
        <is>
          <t>TEBS</t>
        </is>
      </c>
      <c r="D186" s="173" t="inlineStr">
        <is>
          <t xml:space="preserve">TEBS 2s/2m 
15м </t>
        </is>
      </c>
      <c r="E186" s="174" t="n">
        <v>1</v>
      </c>
      <c r="F186" s="174" t="n"/>
      <c r="G186" s="174" t="n"/>
      <c r="H186" s="175" t="n">
        <v>9522010020</v>
      </c>
      <c r="I186" s="176" t="inlineStr">
        <is>
          <t>Головка соединительная (питающая)</t>
        </is>
      </c>
      <c r="J186" s="913" t="n"/>
      <c r="K186" s="912" t="n"/>
      <c r="L186" s="178" t="n"/>
      <c r="M186" s="130" t="n"/>
      <c r="N186" s="179" t="n">
        <v>1</v>
      </c>
      <c r="O186" s="130" t="n"/>
      <c r="P186" s="178" t="n"/>
      <c r="Q186" s="130" t="n"/>
      <c r="R186" s="179" t="n"/>
      <c r="S186" s="130" t="n"/>
      <c r="T186" s="178" t="n"/>
      <c r="U186" s="130" t="n"/>
      <c r="V186" s="179" t="n"/>
      <c r="W186" s="130" t="n"/>
      <c r="X186" s="178" t="n"/>
      <c r="Y186" s="130" t="n"/>
      <c r="Z186" s="179" t="n"/>
      <c r="AA186" s="130" t="n"/>
      <c r="AB186" s="178" t="n"/>
      <c r="AC186" s="130" t="n"/>
      <c r="AD186" s="179" t="n"/>
      <c r="AE186" s="130" t="n"/>
      <c r="AF186" s="178" t="n"/>
      <c r="AG186" s="130" t="n"/>
      <c r="AH186" s="179" t="n"/>
      <c r="AI186" s="130" t="n"/>
      <c r="AJ186" s="178" t="n"/>
      <c r="AK186" s="130" t="n"/>
      <c r="AL186" s="179" t="n"/>
      <c r="AM186" s="130" t="n"/>
      <c r="AN186" s="178" t="n"/>
      <c r="AO186" s="130" t="n"/>
      <c r="AP186" s="179" t="n"/>
      <c r="AQ186" s="130" t="n"/>
      <c r="AR186" s="178" t="n"/>
      <c r="AS186" s="130" t="n"/>
      <c r="AT186" s="179" t="n"/>
      <c r="AU186" s="130" t="n"/>
      <c r="AV186" s="178" t="n"/>
      <c r="AW186" s="130" t="n"/>
      <c r="AX186" s="179" t="n"/>
      <c r="AY186" s="130" t="n"/>
      <c r="AZ186" s="178" t="n"/>
      <c r="BA186" s="130" t="n"/>
      <c r="BB186" s="179" t="n"/>
      <c r="BC186" s="130" t="n"/>
      <c r="BD186" s="178" t="n"/>
      <c r="BE186" s="130" t="n"/>
      <c r="BF186" s="109" t="n"/>
      <c r="BG186" s="130" t="n"/>
      <c r="BH186" s="180">
        <f>SUMPRODUCT(--(MOD(COLUMN($L186:$BG186),4)=MOD(COLUMN($L186),4)),$L186:$BG186)</f>
        <v/>
      </c>
      <c r="BI186" s="181">
        <f>Автовик_разбивка[[#This Row],[Цена, 
юань, без НДС 1]]*BH186</f>
        <v/>
      </c>
      <c r="BJ186" s="130">
        <f>SUMPRODUCT(--(MOD(COLUMN($L186:$BG186),4)=MOD(COLUMN($L186)+1,4)),$L186:$BG186)</f>
        <v/>
      </c>
      <c r="BK186" s="187">
        <f>Автовик_разбивка[[#This Row],[Цена, 
юань, без НДС 1]]*BJ186</f>
        <v/>
      </c>
      <c r="BL186" s="109">
        <f>SUMPRODUCT(--(MOD(COLUMN($L186:$BG186),4)=MOD(COLUMN($L186)+2,4)),$L186:$BG186)</f>
        <v/>
      </c>
      <c r="BM186" s="224">
        <f>Автовик_разбивка[[#This Row],[Цена, 
юань, без НДС 1]]*BL186</f>
        <v/>
      </c>
      <c r="BN186" s="178" t="n"/>
      <c r="BO186" s="184" t="n"/>
      <c r="BP186" s="130" t="n"/>
      <c r="BQ186" s="179" t="n"/>
      <c r="BR186" s="130" t="n"/>
      <c r="BS186" s="178" t="n"/>
      <c r="BT186" s="184" t="n"/>
      <c r="BU186" s="130" t="n"/>
      <c r="BV186" s="179" t="n"/>
      <c r="BW186" s="130" t="n"/>
      <c r="BX186" s="178" t="n"/>
      <c r="BY186" s="184" t="n"/>
      <c r="BZ186" s="130" t="n"/>
      <c r="CA186" s="179" t="n"/>
      <c r="CB186" s="130" t="n"/>
      <c r="CC186" s="178" t="n"/>
      <c r="CD186" s="184" t="n"/>
      <c r="CE186" s="130" t="n"/>
      <c r="CF186" s="179" t="n"/>
      <c r="CG186" s="130" t="n"/>
      <c r="CH186" s="178" t="n"/>
      <c r="CI186" s="184" t="n"/>
      <c r="CJ186" s="130" t="n"/>
      <c r="CK186" s="179" t="n"/>
      <c r="CL186" s="130" t="n"/>
      <c r="CM186" s="178" t="n"/>
      <c r="CN186" s="184" t="n"/>
      <c r="CO186" s="130" t="n"/>
      <c r="CP186" s="179" t="n"/>
      <c r="CQ186" s="130" t="n"/>
      <c r="CR186" s="178" t="n"/>
      <c r="CS186" s="184" t="n"/>
      <c r="CT186" s="130" t="n"/>
      <c r="CU186" s="179" t="n"/>
      <c r="CV186" s="130" t="n"/>
      <c r="CW186" s="178" t="n"/>
      <c r="CX186" s="184" t="n"/>
      <c r="CY186" s="130" t="n"/>
      <c r="CZ186" s="179" t="n"/>
      <c r="DA186" s="130" t="n"/>
      <c r="DB186" s="178" t="n"/>
      <c r="DC186" s="184" t="n"/>
      <c r="DD186" s="130" t="n"/>
      <c r="DE186" s="179" t="n"/>
      <c r="DF186" s="130" t="n"/>
      <c r="DG186" s="178" t="n"/>
      <c r="DH186" s="184" t="n"/>
      <c r="DI186" s="130" t="n"/>
      <c r="DJ186" s="179" t="n"/>
      <c r="DK186" s="130" t="n"/>
      <c r="DL186" s="178" t="n"/>
      <c r="DM186" s="184" t="n"/>
      <c r="DN186" s="130" t="n"/>
      <c r="DO186" s="179" t="n"/>
      <c r="DP186" s="130" t="n"/>
      <c r="DQ186" s="178" t="n"/>
      <c r="DR186" s="184" t="n"/>
      <c r="DS186" s="130" t="n"/>
      <c r="DT186" s="109" t="n"/>
      <c r="DU186" s="130" t="n"/>
      <c r="DV186" s="180">
        <f>SUMPRODUCT(--(MOD(COLUMN($BN186:$DU186),5)=MOD(COLUMN($BN186),5)),$BN186:$DU186)</f>
        <v/>
      </c>
      <c r="DW186" s="181">
        <f>Автовик_разбивка[[#This Row],[Цена, 
юань, без НДС 1]]*DV186</f>
        <v/>
      </c>
      <c r="DX186" s="186">
        <f>SUMPRODUCT(--(MOD(COLUMN($BN186:$DU186),5)=MOD(COLUMN($BN186)+1,5)),$BN186:$DU186)</f>
        <v/>
      </c>
      <c r="DY186" s="186">
        <f>Автовик_разбивка[[#This Row],[Цена, 
юань, без НДС 1]]*DX186</f>
        <v/>
      </c>
      <c r="DZ186" s="130">
        <f>SUMPRODUCT(--(MOD(COLUMN($BN186:$DU186),5)=MOD(COLUMN($BN186)+2,5)),$BN186:$DU186)</f>
        <v/>
      </c>
      <c r="EA186" s="187">
        <f>Автовик_разбивка[[#This Row],[Цена, 
юань, без НДС 1]]*DZ186</f>
        <v/>
      </c>
      <c r="EB186" s="109">
        <f>SUMPRODUCT(--(MOD(COLUMN($BN186:$DU186),5)=MOD(COLUMN($BN186)+3,5)),$BN186:$DU186)</f>
        <v/>
      </c>
      <c r="EC186" s="224">
        <f>Автовик_разбивка[[#This Row],[Цена, 
юань, без НДС 1]]*EB186</f>
        <v/>
      </c>
    </row>
    <row r="187">
      <c r="A187" s="260" t="n">
        <v>33</v>
      </c>
      <c r="B187" s="172" t="inlineStr">
        <is>
          <t>ПК УСПТ</t>
        </is>
      </c>
      <c r="C187" s="173" t="inlineStr">
        <is>
          <t>TEBS</t>
        </is>
      </c>
      <c r="D187" s="173" t="inlineStr">
        <is>
          <t xml:space="preserve">TEBS 2s/2m 
15м </t>
        </is>
      </c>
      <c r="E187" s="174" t="n">
        <v>1</v>
      </c>
      <c r="F187" s="174" t="n"/>
      <c r="G187" s="174" t="n"/>
      <c r="H187" s="175" t="n">
        <v>9710029000</v>
      </c>
      <c r="I187" s="176" t="inlineStr">
        <is>
          <t>Воздухораспределитель с клапаном растормаживания</t>
        </is>
      </c>
      <c r="J187" s="913" t="n"/>
      <c r="K187" s="912" t="n"/>
      <c r="L187" s="178" t="n"/>
      <c r="M187" s="130" t="n"/>
      <c r="N187" s="179" t="n">
        <v>1</v>
      </c>
      <c r="O187" s="130" t="n"/>
      <c r="P187" s="178" t="n"/>
      <c r="Q187" s="130" t="n"/>
      <c r="R187" s="179" t="n"/>
      <c r="S187" s="130" t="n"/>
      <c r="T187" s="178" t="n"/>
      <c r="U187" s="130" t="n"/>
      <c r="V187" s="179" t="n"/>
      <c r="W187" s="130" t="n"/>
      <c r="X187" s="178" t="n"/>
      <c r="Y187" s="130" t="n"/>
      <c r="Z187" s="179" t="n"/>
      <c r="AA187" s="130" t="n"/>
      <c r="AB187" s="178" t="n"/>
      <c r="AC187" s="130" t="n"/>
      <c r="AD187" s="179" t="n"/>
      <c r="AE187" s="130" t="n"/>
      <c r="AF187" s="178" t="n"/>
      <c r="AG187" s="130" t="n"/>
      <c r="AH187" s="179" t="n"/>
      <c r="AI187" s="130" t="n"/>
      <c r="AJ187" s="178" t="n"/>
      <c r="AK187" s="130" t="n"/>
      <c r="AL187" s="179" t="n"/>
      <c r="AM187" s="130" t="n"/>
      <c r="AN187" s="178" t="n"/>
      <c r="AO187" s="130" t="n"/>
      <c r="AP187" s="179" t="n"/>
      <c r="AQ187" s="130" t="n"/>
      <c r="AR187" s="178" t="n"/>
      <c r="AS187" s="130" t="n"/>
      <c r="AT187" s="179" t="n"/>
      <c r="AU187" s="130" t="n"/>
      <c r="AV187" s="178" t="n"/>
      <c r="AW187" s="130" t="n"/>
      <c r="AX187" s="179" t="n"/>
      <c r="AY187" s="130" t="n"/>
      <c r="AZ187" s="178" t="n"/>
      <c r="BA187" s="130" t="n"/>
      <c r="BB187" s="179" t="n"/>
      <c r="BC187" s="130" t="n"/>
      <c r="BD187" s="178" t="n"/>
      <c r="BE187" s="130" t="n"/>
      <c r="BF187" s="109" t="n"/>
      <c r="BG187" s="130" t="n"/>
      <c r="BH187" s="180">
        <f>SUMPRODUCT(--(MOD(COLUMN($L187:$BG187),4)=MOD(COLUMN($L187),4)),$L187:$BG187)</f>
        <v/>
      </c>
      <c r="BI187" s="181">
        <f>Автовик_разбивка[[#This Row],[Цена, 
юань, без НДС 1]]*BH187</f>
        <v/>
      </c>
      <c r="BJ187" s="130">
        <f>SUMPRODUCT(--(MOD(COLUMN($L187:$BG187),4)=MOD(COLUMN($L187)+1,4)),$L187:$BG187)</f>
        <v/>
      </c>
      <c r="BK187" s="187">
        <f>Автовик_разбивка[[#This Row],[Цена, 
юань, без НДС 1]]*BJ187</f>
        <v/>
      </c>
      <c r="BL187" s="109">
        <f>SUMPRODUCT(--(MOD(COLUMN($L187:$BG187),4)=MOD(COLUMN($L187)+2,4)),$L187:$BG187)</f>
        <v/>
      </c>
      <c r="BM187" s="224">
        <f>Автовик_разбивка[[#This Row],[Цена, 
юань, без НДС 1]]*BL187</f>
        <v/>
      </c>
      <c r="BN187" s="178" t="n"/>
      <c r="BO187" s="184" t="n"/>
      <c r="BP187" s="130" t="n"/>
      <c r="BQ187" s="179" t="n"/>
      <c r="BR187" s="130" t="n"/>
      <c r="BS187" s="178" t="n"/>
      <c r="BT187" s="184" t="n"/>
      <c r="BU187" s="130" t="n"/>
      <c r="BV187" s="179" t="n"/>
      <c r="BW187" s="130" t="n"/>
      <c r="BX187" s="178" t="n"/>
      <c r="BY187" s="184" t="n"/>
      <c r="BZ187" s="130" t="n"/>
      <c r="CA187" s="179" t="n"/>
      <c r="CB187" s="130" t="n"/>
      <c r="CC187" s="178" t="n"/>
      <c r="CD187" s="184" t="n"/>
      <c r="CE187" s="130" t="n"/>
      <c r="CF187" s="179" t="n"/>
      <c r="CG187" s="130" t="n"/>
      <c r="CH187" s="178" t="n"/>
      <c r="CI187" s="184" t="n"/>
      <c r="CJ187" s="130" t="n"/>
      <c r="CK187" s="179" t="n"/>
      <c r="CL187" s="130" t="n"/>
      <c r="CM187" s="178" t="n"/>
      <c r="CN187" s="184" t="n"/>
      <c r="CO187" s="130" t="n"/>
      <c r="CP187" s="179" t="n"/>
      <c r="CQ187" s="130" t="n"/>
      <c r="CR187" s="178" t="n"/>
      <c r="CS187" s="184" t="n"/>
      <c r="CT187" s="130" t="n"/>
      <c r="CU187" s="179" t="n"/>
      <c r="CV187" s="130" t="n"/>
      <c r="CW187" s="178" t="n"/>
      <c r="CX187" s="184" t="n"/>
      <c r="CY187" s="130" t="n"/>
      <c r="CZ187" s="179" t="n"/>
      <c r="DA187" s="130" t="n"/>
      <c r="DB187" s="178" t="n"/>
      <c r="DC187" s="184" t="n"/>
      <c r="DD187" s="130" t="n"/>
      <c r="DE187" s="179" t="n"/>
      <c r="DF187" s="130" t="n"/>
      <c r="DG187" s="178" t="n"/>
      <c r="DH187" s="184" t="n"/>
      <c r="DI187" s="130" t="n"/>
      <c r="DJ187" s="179" t="n"/>
      <c r="DK187" s="130" t="n"/>
      <c r="DL187" s="178" t="n"/>
      <c r="DM187" s="184" t="n"/>
      <c r="DN187" s="130" t="n"/>
      <c r="DO187" s="179" t="n"/>
      <c r="DP187" s="130" t="n"/>
      <c r="DQ187" s="178" t="n"/>
      <c r="DR187" s="184" t="n"/>
      <c r="DS187" s="130" t="n"/>
      <c r="DT187" s="109" t="n"/>
      <c r="DU187" s="130" t="n"/>
      <c r="DV187" s="180">
        <f>SUMPRODUCT(--(MOD(COLUMN($BN187:$DU187),5)=MOD(COLUMN($BN187),5)),$BN187:$DU187)</f>
        <v/>
      </c>
      <c r="DW187" s="181">
        <f>Автовик_разбивка[[#This Row],[Цена, 
юань, без НДС 1]]*DV187</f>
        <v/>
      </c>
      <c r="DX187" s="186">
        <f>SUMPRODUCT(--(MOD(COLUMN($BN187:$DU187),5)=MOD(COLUMN($BN187)+1,5)),$BN187:$DU187)</f>
        <v/>
      </c>
      <c r="DY187" s="186">
        <f>Автовик_разбивка[[#This Row],[Цена, 
юань, без НДС 1]]*DX187</f>
        <v/>
      </c>
      <c r="DZ187" s="130">
        <f>SUMPRODUCT(--(MOD(COLUMN($BN187:$DU187),5)=MOD(COLUMN($BN187)+2,5)),$BN187:$DU187)</f>
        <v/>
      </c>
      <c r="EA187" s="187">
        <f>Автовик_разбивка[[#This Row],[Цена, 
юань, без НДС 1]]*DZ187</f>
        <v/>
      </c>
      <c r="EB187" s="109">
        <f>SUMPRODUCT(--(MOD(COLUMN($BN187:$DU187),5)=MOD(COLUMN($BN187)+3,5)),$BN187:$DU187)</f>
        <v/>
      </c>
      <c r="EC187" s="224">
        <f>Автовик_разбивка[[#This Row],[Цена, 
юань, без НДС 1]]*EB187</f>
        <v/>
      </c>
    </row>
    <row r="188">
      <c r="A188" s="260" t="n">
        <v>33</v>
      </c>
      <c r="B188" s="172" t="inlineStr">
        <is>
          <t>ПК УСПТ</t>
        </is>
      </c>
      <c r="C188" s="132" t="n"/>
      <c r="D188" s="132" t="n"/>
      <c r="E188" s="229" t="n"/>
      <c r="F188" s="229" t="n"/>
      <c r="G188" s="229" t="n"/>
      <c r="H188" s="230" t="n"/>
      <c r="I188" s="231" t="inlineStr">
        <is>
          <t>Итого</t>
        </is>
      </c>
      <c r="J188" s="914" t="n"/>
      <c r="K188" s="914" t="n"/>
      <c r="L188" s="233" t="n"/>
      <c r="M188" s="234" t="n"/>
      <c r="N188" s="235" t="n"/>
      <c r="O188" s="234" t="n"/>
      <c r="P188" s="233" t="n"/>
      <c r="Q188" s="234" t="n"/>
      <c r="R188" s="235" t="n"/>
      <c r="S188" s="234" t="n"/>
      <c r="T188" s="233" t="n"/>
      <c r="U188" s="234" t="n"/>
      <c r="V188" s="235" t="n"/>
      <c r="W188" s="234" t="n"/>
      <c r="X188" s="233" t="n"/>
      <c r="Y188" s="234" t="n"/>
      <c r="Z188" s="235" t="n"/>
      <c r="AA188" s="234" t="n"/>
      <c r="AB188" s="233" t="n"/>
      <c r="AC188" s="234" t="n"/>
      <c r="AD188" s="235" t="n"/>
      <c r="AE188" s="234" t="n"/>
      <c r="AF188" s="233" t="n"/>
      <c r="AG188" s="234" t="n"/>
      <c r="AH188" s="235" t="n"/>
      <c r="AI188" s="234" t="n"/>
      <c r="AJ188" s="233" t="n"/>
      <c r="AK188" s="234" t="n"/>
      <c r="AL188" s="235" t="n"/>
      <c r="AM188" s="234" t="n"/>
      <c r="AN188" s="233" t="n"/>
      <c r="AO188" s="234" t="n"/>
      <c r="AP188" s="235" t="n"/>
      <c r="AQ188" s="234" t="n"/>
      <c r="AR188" s="233" t="n"/>
      <c r="AS188" s="234" t="n"/>
      <c r="AT188" s="235" t="n"/>
      <c r="AU188" s="234" t="n"/>
      <c r="AV188" s="233" t="n"/>
      <c r="AW188" s="234" t="n"/>
      <c r="AX188" s="235" t="n"/>
      <c r="AY188" s="234" t="n"/>
      <c r="AZ188" s="233" t="n"/>
      <c r="BA188" s="234" t="n"/>
      <c r="BB188" s="235" t="n"/>
      <c r="BC188" s="234" t="n"/>
      <c r="BD188" s="233" t="n"/>
      <c r="BE188" s="234" t="n"/>
      <c r="BF188" s="235" t="n"/>
      <c r="BG188" s="234" t="n"/>
      <c r="BH188" s="233">
        <f>SUMPRODUCT(--(MOD(COLUMN($L188:$BG188),4)=MOD(COLUMN($L188),4)),$L188:$BG188)</f>
        <v/>
      </c>
      <c r="BI188" s="238">
        <f>Автовик_разбивка[[#This Row],[Цена, 
юань, без НДС 1]]*BH188</f>
        <v/>
      </c>
      <c r="BJ188" s="234">
        <f>SUMPRODUCT(--(MOD(COLUMN($L188:$BG188),4)=MOD(COLUMN($L188)+1,4)),$L188:$BG188)</f>
        <v/>
      </c>
      <c r="BK188" s="253">
        <f>Автовик_разбивка[[#This Row],[Цена, 
юань, без НДС 1]]*BJ188</f>
        <v/>
      </c>
      <c r="BL188" s="235">
        <f>SUMPRODUCT(--(MOD(COLUMN($L188:$BG188),4)=MOD(COLUMN($L188)+2,4)),$L188:$BG188)</f>
        <v/>
      </c>
      <c r="BM188" s="254">
        <f>Автовик_разбивка[[#This Row],[Цена, 
юань, без НДС 1]]*BL188</f>
        <v/>
      </c>
      <c r="BN188" s="233" t="n"/>
      <c r="BO188" s="241" t="n"/>
      <c r="BP188" s="234" t="n"/>
      <c r="BQ188" s="235" t="n"/>
      <c r="BR188" s="234" t="n"/>
      <c r="BS188" s="233" t="n"/>
      <c r="BT188" s="241" t="n"/>
      <c r="BU188" s="234" t="n"/>
      <c r="BV188" s="235" t="n"/>
      <c r="BW188" s="234" t="n"/>
      <c r="BX188" s="233" t="n"/>
      <c r="BY188" s="241" t="n"/>
      <c r="BZ188" s="234" t="n"/>
      <c r="CA188" s="235" t="n"/>
      <c r="CB188" s="234" t="n"/>
      <c r="CC188" s="233" t="n"/>
      <c r="CD188" s="241" t="n"/>
      <c r="CE188" s="234" t="n"/>
      <c r="CF188" s="235" t="n"/>
      <c r="CG188" s="234" t="n"/>
      <c r="CH188" s="233" t="n"/>
      <c r="CI188" s="241" t="n"/>
      <c r="CJ188" s="234" t="n"/>
      <c r="CK188" s="235" t="n"/>
      <c r="CL188" s="234" t="n"/>
      <c r="CM188" s="233" t="n"/>
      <c r="CN188" s="241" t="n"/>
      <c r="CO188" s="234" t="n"/>
      <c r="CP188" s="235" t="n"/>
      <c r="CQ188" s="234" t="n"/>
      <c r="CR188" s="233" t="n"/>
      <c r="CS188" s="241" t="n"/>
      <c r="CT188" s="234" t="n"/>
      <c r="CU188" s="235" t="n"/>
      <c r="CV188" s="234" t="n"/>
      <c r="CW188" s="233" t="n"/>
      <c r="CX188" s="241" t="n"/>
      <c r="CY188" s="234" t="n"/>
      <c r="CZ188" s="235" t="n"/>
      <c r="DA188" s="234" t="n"/>
      <c r="DB188" s="233" t="n"/>
      <c r="DC188" s="241" t="n"/>
      <c r="DD188" s="234" t="n"/>
      <c r="DE188" s="235" t="n"/>
      <c r="DF188" s="234" t="n"/>
      <c r="DG188" s="233" t="n"/>
      <c r="DH188" s="241" t="n"/>
      <c r="DI188" s="234" t="n"/>
      <c r="DJ188" s="235" t="n"/>
      <c r="DK188" s="234" t="n"/>
      <c r="DL188" s="233" t="n"/>
      <c r="DM188" s="241" t="n"/>
      <c r="DN188" s="234" t="n"/>
      <c r="DO188" s="235" t="n"/>
      <c r="DP188" s="234" t="n"/>
      <c r="DQ188" s="233" t="n"/>
      <c r="DR188" s="241" t="n"/>
      <c r="DS188" s="234" t="n"/>
      <c r="DT188" s="235" t="n"/>
      <c r="DU188" s="234" t="n"/>
      <c r="DV188" s="233">
        <f>SUMPRODUCT(--(MOD(COLUMN($BN188:$DU188),5)=MOD(COLUMN($BN188),5)),$BN188:$DU188)</f>
        <v/>
      </c>
      <c r="DW188" s="238">
        <f>Автовик_разбивка[[#This Row],[Цена, 
юань, без НДС 1]]*DV188</f>
        <v/>
      </c>
      <c r="DX188" s="242">
        <f>SUMPRODUCT(--(MOD(COLUMN($BN188:$DU188),5)=MOD(COLUMN($BN188)+1,5)),$BN188:$DU188)</f>
        <v/>
      </c>
      <c r="DY188" s="242">
        <f>Автовик_разбивка[[#This Row],[Цена, 
юань, без НДС 1]]*DX188</f>
        <v/>
      </c>
      <c r="DZ188" s="234">
        <f>SUMPRODUCT(--(MOD(COLUMN($BN188:$DU188),5)=MOD(COLUMN($BN188)+2,5)),$BN188:$DU188)</f>
        <v/>
      </c>
      <c r="EA188" s="253">
        <f>Автовик_разбивка[[#This Row],[Цена, 
юань, без НДС 1]]*DZ188</f>
        <v/>
      </c>
      <c r="EB188" s="235">
        <f>SUMPRODUCT(--(MOD(COLUMN($BN188:$DU188),5)=MOD(COLUMN($BN188)+3,5)),$BN188:$DU188)</f>
        <v/>
      </c>
      <c r="EC188" s="254">
        <f>Автовик_разбивка[[#This Row],[Цена, 
юань, без НДС 1]]*EB188</f>
        <v/>
      </c>
    </row>
    <row r="189">
      <c r="A189" s="260" t="n">
        <v>33</v>
      </c>
      <c r="B189" s="261" t="inlineStr">
        <is>
          <t>ПК УСПТ</t>
        </is>
      </c>
      <c r="C189" s="244" t="n"/>
      <c r="D189" s="244" t="n"/>
      <c r="E189" s="245" t="n"/>
      <c r="F189" s="245" t="n"/>
      <c r="G189" s="245" t="n"/>
      <c r="H189" s="246" t="n"/>
      <c r="I189" s="247" t="n"/>
      <c r="J189" s="915" t="n"/>
      <c r="K189" s="915" t="n"/>
      <c r="L189" s="249" t="n"/>
      <c r="M189" s="249" t="n"/>
      <c r="N189" s="249" t="n"/>
      <c r="O189" s="249" t="n"/>
      <c r="P189" s="249" t="n"/>
      <c r="Q189" s="249" t="n"/>
      <c r="R189" s="249" t="n"/>
      <c r="S189" s="249" t="n"/>
      <c r="T189" s="249" t="n"/>
      <c r="U189" s="249" t="n"/>
      <c r="V189" s="249" t="n"/>
      <c r="W189" s="249" t="n"/>
      <c r="X189" s="249" t="n"/>
      <c r="Y189" s="249" t="n"/>
      <c r="Z189" s="249" t="n"/>
      <c r="AA189" s="249" t="n"/>
      <c r="AB189" s="249" t="n"/>
      <c r="AC189" s="249" t="n"/>
      <c r="AD189" s="249" t="n"/>
      <c r="AE189" s="249" t="n"/>
      <c r="AF189" s="249" t="n"/>
      <c r="AG189" s="249" t="n"/>
      <c r="AH189" s="249" t="n"/>
      <c r="AI189" s="249" t="n"/>
      <c r="AJ189" s="249" t="n"/>
      <c r="AK189" s="249" t="n"/>
      <c r="AL189" s="249" t="n"/>
      <c r="AM189" s="249" t="n"/>
      <c r="AN189" s="249" t="n"/>
      <c r="AO189" s="249" t="n"/>
      <c r="AP189" s="249" t="n"/>
      <c r="AQ189" s="249" t="n"/>
      <c r="AR189" s="249" t="n"/>
      <c r="AS189" s="249" t="n"/>
      <c r="AT189" s="249" t="n"/>
      <c r="AU189" s="249" t="n"/>
      <c r="AV189" s="249" t="n"/>
      <c r="AW189" s="249" t="n"/>
      <c r="AX189" s="250" t="n"/>
      <c r="AY189" s="249" t="n"/>
      <c r="AZ189" s="250" t="n"/>
      <c r="BA189" s="250" t="n"/>
      <c r="BB189" s="250" t="n"/>
      <c r="BC189" s="249" t="n"/>
      <c r="BD189" s="250" t="n"/>
      <c r="BE189" s="250" t="n"/>
      <c r="BF189" s="250" t="n"/>
      <c r="BG189" s="249" t="n"/>
      <c r="BH189" s="250">
        <f>SUMPRODUCT(--(MOD(COLUMN($L189:$BG189),4)=MOD(COLUMN($L189),4)),$L189:$BG189)</f>
        <v/>
      </c>
      <c r="BI189" s="251">
        <f>Автовик_разбивка[[#This Row],[Цена, 
юань, без НДС 1]]*BH189</f>
        <v/>
      </c>
      <c r="BJ189" s="250">
        <f>SUMPRODUCT(--(MOD(COLUMN($L189:$BG189),4)=MOD(COLUMN($L189)+1,4)),$L189:$BG189)</f>
        <v/>
      </c>
      <c r="BK189" s="251">
        <f>Автовик_разбивка[[#This Row],[Цена, 
юань, без НДС 1]]*BJ189</f>
        <v/>
      </c>
      <c r="BL189" s="250">
        <f>SUMPRODUCT(--(MOD(COLUMN($L189:$BG189),4)=MOD(COLUMN($L189)+2,4)),$L189:$BG189)</f>
        <v/>
      </c>
      <c r="BM189" s="251">
        <f>Автовик_разбивка[[#This Row],[Цена, 
юань, без НДС 1]]*BL189</f>
        <v/>
      </c>
      <c r="BN189" s="249" t="n"/>
      <c r="BO189" s="249" t="n"/>
      <c r="BP189" s="249" t="n"/>
      <c r="BQ189" s="249" t="n"/>
      <c r="BR189" s="249" t="n"/>
      <c r="BS189" s="249" t="n"/>
      <c r="BT189" s="249" t="n"/>
      <c r="BU189" s="249" t="n"/>
      <c r="BV189" s="249" t="n"/>
      <c r="BW189" s="249" t="n"/>
      <c r="BX189" s="249" t="n"/>
      <c r="BY189" s="249" t="n"/>
      <c r="BZ189" s="249" t="n"/>
      <c r="CA189" s="249" t="n"/>
      <c r="CB189" s="249" t="n"/>
      <c r="CC189" s="249" t="n"/>
      <c r="CD189" s="249" t="n"/>
      <c r="CE189" s="249" t="n"/>
      <c r="CF189" s="249" t="n"/>
      <c r="CG189" s="249" t="n"/>
      <c r="CH189" s="249" t="n"/>
      <c r="CI189" s="249" t="n"/>
      <c r="CJ189" s="249" t="n"/>
      <c r="CK189" s="249" t="n"/>
      <c r="CL189" s="249" t="n"/>
      <c r="CM189" s="249" t="n"/>
      <c r="CN189" s="249" t="n"/>
      <c r="CO189" s="249" t="n"/>
      <c r="CP189" s="249" t="n"/>
      <c r="CQ189" s="249" t="n"/>
      <c r="CR189" s="249" t="n"/>
      <c r="CS189" s="249" t="n"/>
      <c r="CT189" s="249" t="n"/>
      <c r="CU189" s="249" t="n"/>
      <c r="CV189" s="249" t="n"/>
      <c r="CW189" s="249" t="n"/>
      <c r="CX189" s="249" t="n"/>
      <c r="CY189" s="249" t="n"/>
      <c r="CZ189" s="249" t="n"/>
      <c r="DA189" s="249" t="n"/>
      <c r="DB189" s="249" t="n"/>
      <c r="DC189" s="249" t="n"/>
      <c r="DD189" s="249" t="n"/>
      <c r="DE189" s="249" t="n"/>
      <c r="DF189" s="249" t="n"/>
      <c r="DG189" s="249" t="n"/>
      <c r="DH189" s="249" t="n"/>
      <c r="DI189" s="249" t="n"/>
      <c r="DJ189" s="250" t="n"/>
      <c r="DK189" s="249" t="n"/>
      <c r="DL189" s="250" t="n"/>
      <c r="DM189" s="250" t="n"/>
      <c r="DN189" s="250" t="n"/>
      <c r="DO189" s="250" t="n"/>
      <c r="DP189" s="249" t="n"/>
      <c r="DQ189" s="250" t="n"/>
      <c r="DR189" s="250" t="n"/>
      <c r="DS189" s="250" t="n"/>
      <c r="DT189" s="250" t="n"/>
      <c r="DU189" s="249" t="n"/>
      <c r="DV189" s="250">
        <f>SUMPRODUCT(--(MOD(COLUMN($BN189:$DU189),5)=MOD(COLUMN($BN189),5)),$BN189:$DU189)</f>
        <v/>
      </c>
      <c r="DW189" s="251">
        <f>Автовик_разбивка[[#This Row],[Цена, 
юань, без НДС 1]]*DV189</f>
        <v/>
      </c>
      <c r="DX189" s="251">
        <f>SUMPRODUCT(--(MOD(COLUMN($BN189:$DU189),5)=MOD(COLUMN($BN189)+1,5)),$BN189:$DU189)</f>
        <v/>
      </c>
      <c r="DY189" s="251">
        <f>Автовик_разбивка[[#This Row],[Цена, 
юань, без НДС 1]]*DX189</f>
        <v/>
      </c>
      <c r="DZ189" s="250">
        <f>SUMPRODUCT(--(MOD(COLUMN($BN189:$DU189),5)=MOD(COLUMN($BN189)+2,5)),$BN189:$DU189)</f>
        <v/>
      </c>
      <c r="EA189" s="251">
        <f>Автовик_разбивка[[#This Row],[Цена, 
юань, без НДС 1]]*DZ189</f>
        <v/>
      </c>
      <c r="EB189" s="250">
        <f>SUMPRODUCT(--(MOD(COLUMN($BN189:$DU189),5)=MOD(COLUMN($BN189)+3,5)),$BN189:$DU189)</f>
        <v/>
      </c>
      <c r="EC189" s="251">
        <f>Автовик_разбивка[[#This Row],[Цена, 
юань, без НДС 1]]*EB189</f>
        <v/>
      </c>
    </row>
    <row r="190">
      <c r="A190" s="260" t="n">
        <v>33</v>
      </c>
      <c r="B190" s="172" t="inlineStr">
        <is>
          <t>СГР</t>
        </is>
      </c>
      <c r="C190" s="173" t="inlineStr">
        <is>
          <t>TEBS</t>
        </is>
      </c>
      <c r="D190" s="173" t="inlineStr">
        <is>
          <t xml:space="preserve">TEBS 2s/2m 
15м </t>
        </is>
      </c>
      <c r="E190" s="174" t="n">
        <v>1</v>
      </c>
      <c r="F190" s="174" t="n"/>
      <c r="G190" s="174" t="n"/>
      <c r="H190" s="175" t="n">
        <v>4334010030</v>
      </c>
      <c r="I190" s="176" t="inlineStr">
        <is>
          <t>Упругий элемент</t>
        </is>
      </c>
      <c r="J190" s="913" t="n"/>
      <c r="K190" s="912" t="n"/>
      <c r="L190" s="178" t="n"/>
      <c r="M190" s="130" t="n"/>
      <c r="N190" s="179" t="n"/>
      <c r="O190" s="130" t="n"/>
      <c r="P190" s="178" t="n"/>
      <c r="Q190" s="130" t="n"/>
      <c r="R190" s="179" t="n"/>
      <c r="S190" s="130" t="n"/>
      <c r="T190" s="178" t="n"/>
      <c r="U190" s="130" t="n"/>
      <c r="V190" s="179" t="n"/>
      <c r="W190" s="130" t="n"/>
      <c r="X190" s="178" t="n"/>
      <c r="Y190" s="130" t="n">
        <v>0</v>
      </c>
      <c r="Z190" s="179" t="n">
        <v>1</v>
      </c>
      <c r="AA190" s="130" t="n"/>
      <c r="AB190" s="178" t="n"/>
      <c r="AC190" s="130" t="n"/>
      <c r="AD190" s="179" t="n"/>
      <c r="AE190" s="130" t="n"/>
      <c r="AF190" s="178" t="n"/>
      <c r="AG190" s="130" t="n"/>
      <c r="AH190" s="179" t="n"/>
      <c r="AI190" s="130" t="n"/>
      <c r="AJ190" s="178" t="n"/>
      <c r="AK190" s="130" t="n"/>
      <c r="AL190" s="179" t="n"/>
      <c r="AM190" s="130" t="n"/>
      <c r="AN190" s="178" t="n"/>
      <c r="AO190" s="130" t="n"/>
      <c r="AP190" s="179" t="n"/>
      <c r="AQ190" s="130" t="n"/>
      <c r="AR190" s="178" t="n"/>
      <c r="AS190" s="130" t="n"/>
      <c r="AT190" s="179" t="n"/>
      <c r="AU190" s="130" t="n"/>
      <c r="AV190" s="178" t="n"/>
      <c r="AW190" s="130" t="n"/>
      <c r="AX190" s="179" t="n"/>
      <c r="AY190" s="130" t="n"/>
      <c r="AZ190" s="178" t="n"/>
      <c r="BA190" s="130" t="n"/>
      <c r="BB190" s="179" t="n"/>
      <c r="BC190" s="130" t="n"/>
      <c r="BD190" s="178" t="n"/>
      <c r="BE190" s="130" t="n"/>
      <c r="BF190" s="109" t="n"/>
      <c r="BG190" s="130" t="n"/>
      <c r="BH190" s="180">
        <f>SUMPRODUCT(--(MOD(COLUMN($L190:$BG190),4)=MOD(COLUMN($L190),4)),$L190:$BG190)</f>
        <v/>
      </c>
      <c r="BI190" s="181">
        <f>Автовик_разбивка[[#This Row],[Цена, 
юань, без НДС 1]]*BH190</f>
        <v/>
      </c>
      <c r="BJ190" s="130">
        <f>SUMPRODUCT(--(MOD(COLUMN($L190:$BG190),4)=MOD(COLUMN($L190)+1,4)),$L190:$BG190)</f>
        <v/>
      </c>
      <c r="BK190" s="187">
        <f>Автовик_разбивка[[#This Row],[Цена, 
юань, без НДС 1]]*BJ190</f>
        <v/>
      </c>
      <c r="BL190" s="109">
        <f>SUMPRODUCT(--(MOD(COLUMN($L190:$BG190),4)=MOD(COLUMN($L190)+2,4)),$L190:$BG190)</f>
        <v/>
      </c>
      <c r="BM190" s="224">
        <f>Автовик_разбивка[[#This Row],[Цена, 
юань, без НДС 1]]*BL190</f>
        <v/>
      </c>
      <c r="BN190" s="178" t="n"/>
      <c r="BO190" s="184" t="n"/>
      <c r="BP190" s="130" t="n"/>
      <c r="BQ190" s="179" t="n"/>
      <c r="BR190" s="130" t="n"/>
      <c r="BS190" s="178" t="n"/>
      <c r="BT190" s="184" t="n"/>
      <c r="BU190" s="130" t="n"/>
      <c r="BV190" s="179" t="n"/>
      <c r="BW190" s="130" t="n"/>
      <c r="BX190" s="178" t="n"/>
      <c r="BY190" s="184" t="n"/>
      <c r="BZ190" s="130" t="n"/>
      <c r="CA190" s="179" t="n"/>
      <c r="CB190" s="130" t="n"/>
      <c r="CC190" s="178" t="n"/>
      <c r="CD190" s="184" t="n"/>
      <c r="CE190" s="130" t="n"/>
      <c r="CF190" s="179" t="n"/>
      <c r="CG190" s="130" t="n"/>
      <c r="CH190" s="178" t="n"/>
      <c r="CI190" s="184" t="n"/>
      <c r="CJ190" s="130" t="n"/>
      <c r="CK190" s="179" t="n"/>
      <c r="CL190" s="130" t="n"/>
      <c r="CM190" s="178" t="n"/>
      <c r="CN190" s="184" t="n"/>
      <c r="CO190" s="130" t="n"/>
      <c r="CP190" s="179" t="n"/>
      <c r="CQ190" s="130" t="n"/>
      <c r="CR190" s="178" t="n"/>
      <c r="CS190" s="184" t="n"/>
      <c r="CT190" s="130" t="n"/>
      <c r="CU190" s="179" t="n"/>
      <c r="CV190" s="130" t="n"/>
      <c r="CW190" s="178" t="n"/>
      <c r="CX190" s="184" t="n"/>
      <c r="CY190" s="130" t="n"/>
      <c r="CZ190" s="179" t="n"/>
      <c r="DA190" s="130" t="n"/>
      <c r="DB190" s="178" t="n"/>
      <c r="DC190" s="184" t="n"/>
      <c r="DD190" s="130" t="n"/>
      <c r="DE190" s="179" t="n"/>
      <c r="DF190" s="130" t="n"/>
      <c r="DG190" s="178" t="n"/>
      <c r="DH190" s="184" t="n"/>
      <c r="DI190" s="130" t="n"/>
      <c r="DJ190" s="179" t="n"/>
      <c r="DK190" s="130" t="n"/>
      <c r="DL190" s="178" t="n"/>
      <c r="DM190" s="184" t="n"/>
      <c r="DN190" s="130" t="n"/>
      <c r="DO190" s="179" t="n"/>
      <c r="DP190" s="130" t="n"/>
      <c r="DQ190" s="178" t="n"/>
      <c r="DR190" s="184" t="n"/>
      <c r="DS190" s="130" t="n"/>
      <c r="DT190" s="109" t="n"/>
      <c r="DU190" s="130" t="n"/>
      <c r="DV190" s="180">
        <f>SUMPRODUCT(--(MOD(COLUMN($BN190:$DU190),5)=MOD(COLUMN($BN190),5)),$BN190:$DU190)</f>
        <v/>
      </c>
      <c r="DW190" s="181">
        <f>Автовик_разбивка[[#This Row],[Цена, 
юань, без НДС 1]]*DV190</f>
        <v/>
      </c>
      <c r="DX190" s="186">
        <f>SUMPRODUCT(--(MOD(COLUMN($BN190:$DU190),5)=MOD(COLUMN($BN190)+1,5)),$BN190:$DU190)</f>
        <v/>
      </c>
      <c r="DY190" s="186">
        <f>Автовик_разбивка[[#This Row],[Цена, 
юань, без НДС 1]]*DX190</f>
        <v/>
      </c>
      <c r="DZ190" s="130">
        <f>SUMPRODUCT(--(MOD(COLUMN($BN190:$DU190),5)=MOD(COLUMN($BN190)+2,5)),$BN190:$DU190)</f>
        <v/>
      </c>
      <c r="EA190" s="187">
        <f>Автовик_разбивка[[#This Row],[Цена, 
юань, без НДС 1]]*DZ190</f>
        <v/>
      </c>
      <c r="EB190" s="109">
        <f>SUMPRODUCT(--(MOD(COLUMN($BN190:$DU190),5)=MOD(COLUMN($BN190)+3,5)),$BN190:$DU190)</f>
        <v/>
      </c>
      <c r="EC190" s="224">
        <f>Автовик_разбивка[[#This Row],[Цена, 
юань, без НДС 1]]*EB190</f>
        <v/>
      </c>
    </row>
    <row r="191">
      <c r="A191" s="260" t="n">
        <v>33</v>
      </c>
      <c r="B191" s="172" t="inlineStr">
        <is>
          <t>СГР</t>
        </is>
      </c>
      <c r="C191" s="173" t="inlineStr">
        <is>
          <t>TEBS</t>
        </is>
      </c>
      <c r="D191" s="173" t="inlineStr">
        <is>
          <t xml:space="preserve">TEBS 2s/2m 
15м </t>
        </is>
      </c>
      <c r="E191" s="174" t="n">
        <v>1</v>
      </c>
      <c r="F191" s="174" t="n"/>
      <c r="G191" s="174" t="n"/>
      <c r="H191" s="175" t="n">
        <v>4491731500</v>
      </c>
      <c r="I191" s="176" t="inlineStr">
        <is>
          <t>Кабель питания, 15 м</t>
        </is>
      </c>
      <c r="J191" s="913" t="n"/>
      <c r="K191" s="912" t="n"/>
      <c r="L191" s="178" t="n"/>
      <c r="M191" s="130" t="n"/>
      <c r="N191" s="179" t="n"/>
      <c r="O191" s="130" t="n"/>
      <c r="P191" s="178" t="n"/>
      <c r="Q191" s="130" t="n"/>
      <c r="R191" s="179" t="n"/>
      <c r="S191" s="130" t="n"/>
      <c r="T191" s="178" t="n"/>
      <c r="U191" s="130" t="n"/>
      <c r="V191" s="179" t="n"/>
      <c r="W191" s="130" t="n"/>
      <c r="X191" s="178" t="n"/>
      <c r="Y191" s="130" t="n">
        <v>0</v>
      </c>
      <c r="Z191" s="179" t="n">
        <v>1</v>
      </c>
      <c r="AA191" s="130" t="n"/>
      <c r="AB191" s="178" t="n"/>
      <c r="AC191" s="130" t="n"/>
      <c r="AD191" s="179" t="n"/>
      <c r="AE191" s="130" t="n"/>
      <c r="AF191" s="178" t="n"/>
      <c r="AG191" s="130" t="n"/>
      <c r="AH191" s="179" t="n"/>
      <c r="AI191" s="130" t="n"/>
      <c r="AJ191" s="178" t="n"/>
      <c r="AK191" s="130" t="n"/>
      <c r="AL191" s="179" t="n"/>
      <c r="AM191" s="130" t="n"/>
      <c r="AN191" s="178" t="n"/>
      <c r="AO191" s="130" t="n"/>
      <c r="AP191" s="179" t="n"/>
      <c r="AQ191" s="130" t="n"/>
      <c r="AR191" s="178" t="n"/>
      <c r="AS191" s="130" t="n"/>
      <c r="AT191" s="179" t="n"/>
      <c r="AU191" s="130" t="n"/>
      <c r="AV191" s="178" t="n"/>
      <c r="AW191" s="130" t="n"/>
      <c r="AX191" s="179" t="n"/>
      <c r="AY191" s="130" t="n"/>
      <c r="AZ191" s="178" t="n"/>
      <c r="BA191" s="130" t="n"/>
      <c r="BB191" s="179" t="n"/>
      <c r="BC191" s="130" t="n"/>
      <c r="BD191" s="178" t="n"/>
      <c r="BE191" s="130" t="n"/>
      <c r="BF191" s="109" t="n"/>
      <c r="BG191" s="130" t="n"/>
      <c r="BH191" s="180">
        <f>SUMPRODUCT(--(MOD(COLUMN($L191:$BG191),4)=MOD(COLUMN($L191),4)),$L191:$BG191)</f>
        <v/>
      </c>
      <c r="BI191" s="181">
        <f>Автовик_разбивка[[#This Row],[Цена, 
юань, без НДС 1]]*BH191</f>
        <v/>
      </c>
      <c r="BJ191" s="130">
        <f>SUMPRODUCT(--(MOD(COLUMN($L191:$BG191),4)=MOD(COLUMN($L191)+1,4)),$L191:$BG191)</f>
        <v/>
      </c>
      <c r="BK191" s="187">
        <f>Автовик_разбивка[[#This Row],[Цена, 
юань, без НДС 1]]*BJ191</f>
        <v/>
      </c>
      <c r="BL191" s="109">
        <f>SUMPRODUCT(--(MOD(COLUMN($L191:$BG191),4)=MOD(COLUMN($L191)+2,4)),$L191:$BG191)</f>
        <v/>
      </c>
      <c r="BM191" s="224">
        <f>Автовик_разбивка[[#This Row],[Цена, 
юань, без НДС 1]]*BL191</f>
        <v/>
      </c>
      <c r="BN191" s="178" t="n"/>
      <c r="BO191" s="184" t="n"/>
      <c r="BP191" s="130" t="n"/>
      <c r="BQ191" s="179" t="n"/>
      <c r="BR191" s="130" t="n"/>
      <c r="BS191" s="178" t="n"/>
      <c r="BT191" s="184" t="n"/>
      <c r="BU191" s="130" t="n"/>
      <c r="BV191" s="179" t="n"/>
      <c r="BW191" s="130" t="n"/>
      <c r="BX191" s="178" t="n"/>
      <c r="BY191" s="184" t="n"/>
      <c r="BZ191" s="130" t="n"/>
      <c r="CA191" s="179" t="n"/>
      <c r="CB191" s="130" t="n"/>
      <c r="CC191" s="178" t="n"/>
      <c r="CD191" s="184" t="n"/>
      <c r="CE191" s="130" t="n"/>
      <c r="CF191" s="179" t="n"/>
      <c r="CG191" s="130" t="n"/>
      <c r="CH191" s="178" t="n"/>
      <c r="CI191" s="184" t="n"/>
      <c r="CJ191" s="130" t="n"/>
      <c r="CK191" s="179" t="n"/>
      <c r="CL191" s="130" t="n"/>
      <c r="CM191" s="178" t="n"/>
      <c r="CN191" s="184" t="n"/>
      <c r="CO191" s="130" t="n"/>
      <c r="CP191" s="179" t="n"/>
      <c r="CQ191" s="130" t="n"/>
      <c r="CR191" s="178" t="n"/>
      <c r="CS191" s="184" t="n"/>
      <c r="CT191" s="130" t="n"/>
      <c r="CU191" s="179" t="n"/>
      <c r="CV191" s="130" t="n"/>
      <c r="CW191" s="178" t="n"/>
      <c r="CX191" s="184" t="n"/>
      <c r="CY191" s="130" t="n"/>
      <c r="CZ191" s="179" t="n"/>
      <c r="DA191" s="130" t="n"/>
      <c r="DB191" s="178" t="n"/>
      <c r="DC191" s="184" t="n"/>
      <c r="DD191" s="130" t="n"/>
      <c r="DE191" s="179" t="n"/>
      <c r="DF191" s="130" t="n"/>
      <c r="DG191" s="178" t="n"/>
      <c r="DH191" s="184" t="n"/>
      <c r="DI191" s="130" t="n"/>
      <c r="DJ191" s="179" t="n"/>
      <c r="DK191" s="130" t="n"/>
      <c r="DL191" s="178" t="n"/>
      <c r="DM191" s="184" t="n"/>
      <c r="DN191" s="130" t="n"/>
      <c r="DO191" s="179" t="n"/>
      <c r="DP191" s="130" t="n"/>
      <c r="DQ191" s="178" t="n"/>
      <c r="DR191" s="184" t="n"/>
      <c r="DS191" s="130" t="n"/>
      <c r="DT191" s="109" t="n"/>
      <c r="DU191" s="130" t="n"/>
      <c r="DV191" s="180">
        <f>SUMPRODUCT(--(MOD(COLUMN($BN191:$DU191),5)=MOD(COLUMN($BN191),5)),$BN191:$DU191)</f>
        <v/>
      </c>
      <c r="DW191" s="181">
        <f>Автовик_разбивка[[#This Row],[Цена, 
юань, без НДС 1]]*DV191</f>
        <v/>
      </c>
      <c r="DX191" s="186">
        <f>SUMPRODUCT(--(MOD(COLUMN($BN191:$DU191),5)=MOD(COLUMN($BN191)+1,5)),$BN191:$DU191)</f>
        <v/>
      </c>
      <c r="DY191" s="186">
        <f>Автовик_разбивка[[#This Row],[Цена, 
юань, без НДС 1]]*DX191</f>
        <v/>
      </c>
      <c r="DZ191" s="130">
        <f>SUMPRODUCT(--(MOD(COLUMN($BN191:$DU191),5)=MOD(COLUMN($BN191)+2,5)),$BN191:$DU191)</f>
        <v/>
      </c>
      <c r="EA191" s="187">
        <f>Автовик_разбивка[[#This Row],[Цена, 
юань, без НДС 1]]*DZ191</f>
        <v/>
      </c>
      <c r="EB191" s="109">
        <f>SUMPRODUCT(--(MOD(COLUMN($BN191:$DU191),5)=MOD(COLUMN($BN191)+3,5)),$BN191:$DU191)</f>
        <v/>
      </c>
      <c r="EC191" s="224">
        <f>Автовик_разбивка[[#This Row],[Цена, 
юань, без НДС 1]]*EB191</f>
        <v/>
      </c>
    </row>
    <row r="192">
      <c r="A192" s="260" t="n">
        <v>33</v>
      </c>
      <c r="B192" s="172" t="inlineStr">
        <is>
          <t>СГР</t>
        </is>
      </c>
      <c r="C192" s="173" t="inlineStr">
        <is>
          <t>TEBS</t>
        </is>
      </c>
      <c r="D192" s="173" t="inlineStr">
        <is>
          <t xml:space="preserve">TEBS 2s/2m 
15м </t>
        </is>
      </c>
      <c r="E192" s="174" t="n">
        <v>2</v>
      </c>
      <c r="F192" s="174" t="n"/>
      <c r="G192" s="174" t="n"/>
      <c r="H192" s="175" t="n">
        <v>4497230500</v>
      </c>
      <c r="I192" s="176" t="inlineStr">
        <is>
          <t>Кабель датчика, 5 м</t>
        </is>
      </c>
      <c r="J192" s="913" t="n"/>
      <c r="K192" s="912" t="n"/>
      <c r="L192" s="178" t="n"/>
      <c r="M192" s="130" t="n"/>
      <c r="N192" s="179" t="n"/>
      <c r="O192" s="130" t="n"/>
      <c r="P192" s="178" t="n"/>
      <c r="Q192" s="130" t="n"/>
      <c r="R192" s="179" t="n"/>
      <c r="S192" s="130" t="n"/>
      <c r="T192" s="178" t="n"/>
      <c r="U192" s="130" t="n"/>
      <c r="V192" s="179" t="n"/>
      <c r="W192" s="130" t="n"/>
      <c r="X192" s="178" t="n"/>
      <c r="Y192" s="130" t="n">
        <v>0</v>
      </c>
      <c r="Z192" s="179" t="n">
        <v>2</v>
      </c>
      <c r="AA192" s="130" t="n"/>
      <c r="AB192" s="178" t="n"/>
      <c r="AC192" s="130" t="n"/>
      <c r="AD192" s="179" t="n"/>
      <c r="AE192" s="130" t="n"/>
      <c r="AF192" s="178" t="n"/>
      <c r="AG192" s="130" t="n"/>
      <c r="AH192" s="179" t="n"/>
      <c r="AI192" s="130" t="n"/>
      <c r="AJ192" s="178" t="n"/>
      <c r="AK192" s="130" t="n"/>
      <c r="AL192" s="179" t="n"/>
      <c r="AM192" s="130" t="n"/>
      <c r="AN192" s="178" t="n"/>
      <c r="AO192" s="130" t="n"/>
      <c r="AP192" s="179" t="n"/>
      <c r="AQ192" s="130" t="n"/>
      <c r="AR192" s="178" t="n"/>
      <c r="AS192" s="130" t="n"/>
      <c r="AT192" s="179" t="n"/>
      <c r="AU192" s="130" t="n"/>
      <c r="AV192" s="178" t="n"/>
      <c r="AW192" s="130" t="n"/>
      <c r="AX192" s="179" t="n"/>
      <c r="AY192" s="130" t="n"/>
      <c r="AZ192" s="178" t="n"/>
      <c r="BA192" s="130" t="n"/>
      <c r="BB192" s="179" t="n"/>
      <c r="BC192" s="130" t="n"/>
      <c r="BD192" s="178" t="n"/>
      <c r="BE192" s="130" t="n"/>
      <c r="BF192" s="109" t="n"/>
      <c r="BG192" s="130" t="n"/>
      <c r="BH192" s="180">
        <f>SUMPRODUCT(--(MOD(COLUMN($L192:$BG192),4)=MOD(COLUMN($L192),4)),$L192:$BG192)</f>
        <v/>
      </c>
      <c r="BI192" s="181">
        <f>Автовик_разбивка[[#This Row],[Цена, 
юань, без НДС 1]]*BH192</f>
        <v/>
      </c>
      <c r="BJ192" s="130">
        <f>SUMPRODUCT(--(MOD(COLUMN($L192:$BG192),4)=MOD(COLUMN($L192)+1,4)),$L192:$BG192)</f>
        <v/>
      </c>
      <c r="BK192" s="187">
        <f>Автовик_разбивка[[#This Row],[Цена, 
юань, без НДС 1]]*BJ192</f>
        <v/>
      </c>
      <c r="BL192" s="109">
        <f>SUMPRODUCT(--(MOD(COLUMN($L192:$BG192),4)=MOD(COLUMN($L192)+2,4)),$L192:$BG192)</f>
        <v/>
      </c>
      <c r="BM192" s="224">
        <f>Автовик_разбивка[[#This Row],[Цена, 
юань, без НДС 1]]*BL192</f>
        <v/>
      </c>
      <c r="BN192" s="178" t="n"/>
      <c r="BO192" s="184" t="n"/>
      <c r="BP192" s="130" t="n"/>
      <c r="BQ192" s="179" t="n"/>
      <c r="BR192" s="130" t="n"/>
      <c r="BS192" s="178" t="n"/>
      <c r="BT192" s="184" t="n"/>
      <c r="BU192" s="130" t="n"/>
      <c r="BV192" s="179" t="n"/>
      <c r="BW192" s="130" t="n"/>
      <c r="BX192" s="178" t="n"/>
      <c r="BY192" s="184" t="n"/>
      <c r="BZ192" s="130" t="n"/>
      <c r="CA192" s="179" t="n"/>
      <c r="CB192" s="130" t="n"/>
      <c r="CC192" s="178" t="n"/>
      <c r="CD192" s="184" t="n"/>
      <c r="CE192" s="130" t="n"/>
      <c r="CF192" s="179" t="n"/>
      <c r="CG192" s="130" t="n"/>
      <c r="CH192" s="178" t="n"/>
      <c r="CI192" s="184" t="n"/>
      <c r="CJ192" s="130" t="n"/>
      <c r="CK192" s="179" t="n"/>
      <c r="CL192" s="130" t="n"/>
      <c r="CM192" s="178" t="n"/>
      <c r="CN192" s="184" t="n"/>
      <c r="CO192" s="130" t="n"/>
      <c r="CP192" s="179" t="n"/>
      <c r="CQ192" s="130" t="n"/>
      <c r="CR192" s="178" t="n"/>
      <c r="CS192" s="184" t="n"/>
      <c r="CT192" s="130" t="n"/>
      <c r="CU192" s="179" t="n"/>
      <c r="CV192" s="130" t="n"/>
      <c r="CW192" s="178" t="n"/>
      <c r="CX192" s="184" t="n"/>
      <c r="CY192" s="130" t="n"/>
      <c r="CZ192" s="179" t="n"/>
      <c r="DA192" s="130" t="n"/>
      <c r="DB192" s="178" t="n"/>
      <c r="DC192" s="184" t="n"/>
      <c r="DD192" s="130" t="n"/>
      <c r="DE192" s="179" t="n"/>
      <c r="DF192" s="130" t="n"/>
      <c r="DG192" s="178" t="n"/>
      <c r="DH192" s="184" t="n"/>
      <c r="DI192" s="130" t="n"/>
      <c r="DJ192" s="179" t="n"/>
      <c r="DK192" s="130" t="n"/>
      <c r="DL192" s="178" t="n"/>
      <c r="DM192" s="184" t="n"/>
      <c r="DN192" s="130" t="n"/>
      <c r="DO192" s="179" t="n"/>
      <c r="DP192" s="130" t="n"/>
      <c r="DQ192" s="178" t="n"/>
      <c r="DR192" s="184" t="n"/>
      <c r="DS192" s="130" t="n"/>
      <c r="DT192" s="109" t="n"/>
      <c r="DU192" s="130" t="n"/>
      <c r="DV192" s="180">
        <f>SUMPRODUCT(--(MOD(COLUMN($BN192:$DU192),5)=MOD(COLUMN($BN192),5)),$BN192:$DU192)</f>
        <v/>
      </c>
      <c r="DW192" s="181">
        <f>Автовик_разбивка[[#This Row],[Цена, 
юань, без НДС 1]]*DV192</f>
        <v/>
      </c>
      <c r="DX192" s="186">
        <f>SUMPRODUCT(--(MOD(COLUMN($BN192:$DU192),5)=MOD(COLUMN($BN192)+1,5)),$BN192:$DU192)</f>
        <v/>
      </c>
      <c r="DY192" s="186">
        <f>Автовик_разбивка[[#This Row],[Цена, 
юань, без НДС 1]]*DX192</f>
        <v/>
      </c>
      <c r="DZ192" s="130">
        <f>SUMPRODUCT(--(MOD(COLUMN($BN192:$DU192),5)=MOD(COLUMN($BN192)+2,5)),$BN192:$DU192)</f>
        <v/>
      </c>
      <c r="EA192" s="187">
        <f>Автовик_разбивка[[#This Row],[Цена, 
юань, без НДС 1]]*DZ192</f>
        <v/>
      </c>
      <c r="EB192" s="109">
        <f>SUMPRODUCT(--(MOD(COLUMN($BN192:$DU192),5)=MOD(COLUMN($BN192)+3,5)),$BN192:$DU192)</f>
        <v/>
      </c>
      <c r="EC192" s="224">
        <f>Автовик_разбивка[[#This Row],[Цена, 
юань, без НДС 1]]*EB192</f>
        <v/>
      </c>
    </row>
    <row r="193">
      <c r="A193" s="260" t="n">
        <v>33</v>
      </c>
      <c r="B193" s="172" t="inlineStr">
        <is>
          <t>СГР</t>
        </is>
      </c>
      <c r="C193" s="173" t="inlineStr">
        <is>
          <t>TEBS</t>
        </is>
      </c>
      <c r="D193" s="173" t="inlineStr">
        <is>
          <t xml:space="preserve">TEBS 2s/2m 
15м </t>
        </is>
      </c>
      <c r="E193" s="174" t="n">
        <v>1</v>
      </c>
      <c r="F193" s="174" t="n"/>
      <c r="G193" s="174" t="n"/>
      <c r="H193" s="175" t="n">
        <v>4630320200</v>
      </c>
      <c r="I193" s="176" t="inlineStr">
        <is>
          <t>Кран ручного управления</t>
        </is>
      </c>
      <c r="J193" s="913" t="n"/>
      <c r="K193" s="912" t="n"/>
      <c r="L193" s="178" t="n"/>
      <c r="M193" s="130" t="n"/>
      <c r="N193" s="179" t="n"/>
      <c r="O193" s="130" t="n"/>
      <c r="P193" s="178" t="n"/>
      <c r="Q193" s="130" t="n"/>
      <c r="R193" s="179" t="n"/>
      <c r="S193" s="130" t="n"/>
      <c r="T193" s="178" t="n"/>
      <c r="U193" s="130" t="n"/>
      <c r="V193" s="179" t="n"/>
      <c r="W193" s="130" t="n"/>
      <c r="X193" s="178" t="n"/>
      <c r="Y193" s="130" t="n">
        <v>0</v>
      </c>
      <c r="Z193" s="179" t="n">
        <v>1</v>
      </c>
      <c r="AA193" s="130" t="n"/>
      <c r="AB193" s="178" t="n"/>
      <c r="AC193" s="130" t="n"/>
      <c r="AD193" s="179" t="n"/>
      <c r="AE193" s="130" t="n"/>
      <c r="AF193" s="178" t="n"/>
      <c r="AG193" s="130" t="n"/>
      <c r="AH193" s="179" t="n"/>
      <c r="AI193" s="130" t="n"/>
      <c r="AJ193" s="178" t="n"/>
      <c r="AK193" s="130" t="n"/>
      <c r="AL193" s="179" t="n"/>
      <c r="AM193" s="130" t="n"/>
      <c r="AN193" s="178" t="n"/>
      <c r="AO193" s="130" t="n"/>
      <c r="AP193" s="179" t="n"/>
      <c r="AQ193" s="130" t="n"/>
      <c r="AR193" s="178" t="n"/>
      <c r="AS193" s="130" t="n"/>
      <c r="AT193" s="179" t="n"/>
      <c r="AU193" s="130" t="n"/>
      <c r="AV193" s="178" t="n"/>
      <c r="AW193" s="130" t="n"/>
      <c r="AX193" s="179" t="n"/>
      <c r="AY193" s="130" t="n"/>
      <c r="AZ193" s="178" t="n"/>
      <c r="BA193" s="130" t="n"/>
      <c r="BB193" s="179" t="n"/>
      <c r="BC193" s="130" t="n"/>
      <c r="BD193" s="178" t="n"/>
      <c r="BE193" s="130" t="n"/>
      <c r="BF193" s="109" t="n"/>
      <c r="BG193" s="130" t="n"/>
      <c r="BH193" s="180">
        <f>SUMPRODUCT(--(MOD(COLUMN($L193:$BG193),4)=MOD(COLUMN($L193),4)),$L193:$BG193)</f>
        <v/>
      </c>
      <c r="BI193" s="181">
        <f>Автовик_разбивка[[#This Row],[Цена, 
юань, без НДС 1]]*BH193</f>
        <v/>
      </c>
      <c r="BJ193" s="130">
        <f>SUMPRODUCT(--(MOD(COLUMN($L193:$BG193),4)=MOD(COLUMN($L193)+1,4)),$L193:$BG193)</f>
        <v/>
      </c>
      <c r="BK193" s="187">
        <f>Автовик_разбивка[[#This Row],[Цена, 
юань, без НДС 1]]*BJ193</f>
        <v/>
      </c>
      <c r="BL193" s="109">
        <f>SUMPRODUCT(--(MOD(COLUMN($L193:$BG193),4)=MOD(COLUMN($L193)+2,4)),$L193:$BG193)</f>
        <v/>
      </c>
      <c r="BM193" s="224">
        <f>Автовик_разбивка[[#This Row],[Цена, 
юань, без НДС 1]]*BL193</f>
        <v/>
      </c>
      <c r="BN193" s="178" t="n"/>
      <c r="BO193" s="184" t="n"/>
      <c r="BP193" s="130" t="n"/>
      <c r="BQ193" s="179" t="n"/>
      <c r="BR193" s="130" t="n"/>
      <c r="BS193" s="178" t="n"/>
      <c r="BT193" s="184" t="n"/>
      <c r="BU193" s="130" t="n"/>
      <c r="BV193" s="179" t="n"/>
      <c r="BW193" s="130" t="n"/>
      <c r="BX193" s="178" t="n"/>
      <c r="BY193" s="184" t="n"/>
      <c r="BZ193" s="130" t="n"/>
      <c r="CA193" s="179" t="n"/>
      <c r="CB193" s="130" t="n"/>
      <c r="CC193" s="178" t="n"/>
      <c r="CD193" s="184" t="n"/>
      <c r="CE193" s="130" t="n"/>
      <c r="CF193" s="179" t="n"/>
      <c r="CG193" s="130" t="n"/>
      <c r="CH193" s="178" t="n"/>
      <c r="CI193" s="184" t="n"/>
      <c r="CJ193" s="130" t="n"/>
      <c r="CK193" s="179" t="n"/>
      <c r="CL193" s="130" t="n"/>
      <c r="CM193" s="178" t="n"/>
      <c r="CN193" s="184" t="n"/>
      <c r="CO193" s="130" t="n"/>
      <c r="CP193" s="179" t="n"/>
      <c r="CQ193" s="130" t="n"/>
      <c r="CR193" s="178" t="n"/>
      <c r="CS193" s="184" t="n"/>
      <c r="CT193" s="130" t="n"/>
      <c r="CU193" s="179" t="n"/>
      <c r="CV193" s="130" t="n"/>
      <c r="CW193" s="178" t="n"/>
      <c r="CX193" s="184" t="n"/>
      <c r="CY193" s="130" t="n"/>
      <c r="CZ193" s="179" t="n"/>
      <c r="DA193" s="130" t="n"/>
      <c r="DB193" s="178" t="n"/>
      <c r="DC193" s="184" t="n"/>
      <c r="DD193" s="130" t="n"/>
      <c r="DE193" s="179" t="n"/>
      <c r="DF193" s="130" t="n"/>
      <c r="DG193" s="178" t="n"/>
      <c r="DH193" s="184" t="n"/>
      <c r="DI193" s="130" t="n"/>
      <c r="DJ193" s="179" t="n"/>
      <c r="DK193" s="130" t="n"/>
      <c r="DL193" s="178" t="n"/>
      <c r="DM193" s="184" t="n"/>
      <c r="DN193" s="130" t="n"/>
      <c r="DO193" s="179" t="n"/>
      <c r="DP193" s="130" t="n"/>
      <c r="DQ193" s="178" t="n"/>
      <c r="DR193" s="184" t="n"/>
      <c r="DS193" s="130" t="n"/>
      <c r="DT193" s="109" t="n"/>
      <c r="DU193" s="130" t="n"/>
      <c r="DV193" s="180">
        <f>SUMPRODUCT(--(MOD(COLUMN($BN193:$DU193),5)=MOD(COLUMN($BN193),5)),$BN193:$DU193)</f>
        <v/>
      </c>
      <c r="DW193" s="181">
        <f>Автовик_разбивка[[#This Row],[Цена, 
юань, без НДС 1]]*DV193</f>
        <v/>
      </c>
      <c r="DX193" s="186">
        <f>SUMPRODUCT(--(MOD(COLUMN($BN193:$DU193),5)=MOD(COLUMN($BN193)+1,5)),$BN193:$DU193)</f>
        <v/>
      </c>
      <c r="DY193" s="186">
        <f>Автовик_разбивка[[#This Row],[Цена, 
юань, без НДС 1]]*DX193</f>
        <v/>
      </c>
      <c r="DZ193" s="130">
        <f>SUMPRODUCT(--(MOD(COLUMN($BN193:$DU193),5)=MOD(COLUMN($BN193)+2,5)),$BN193:$DU193)</f>
        <v/>
      </c>
      <c r="EA193" s="187">
        <f>Автовик_разбивка[[#This Row],[Цена, 
юань, без НДС 1]]*DZ193</f>
        <v/>
      </c>
      <c r="EB193" s="109">
        <f>SUMPRODUCT(--(MOD(COLUMN($BN193:$DU193),5)=MOD(COLUMN($BN193)+3,5)),$BN193:$DU193)</f>
        <v/>
      </c>
      <c r="EC193" s="224">
        <f>Автовик_разбивка[[#This Row],[Цена, 
юань, без НДС 1]]*EB193</f>
        <v/>
      </c>
    </row>
    <row r="194">
      <c r="A194" s="260" t="n">
        <v>33</v>
      </c>
      <c r="B194" s="172" t="inlineStr">
        <is>
          <t>СГР</t>
        </is>
      </c>
      <c r="C194" s="173" t="inlineStr">
        <is>
          <t>TEBS</t>
        </is>
      </c>
      <c r="D194" s="173" t="inlineStr">
        <is>
          <t xml:space="preserve">TEBS 2s/2m 
15м </t>
        </is>
      </c>
      <c r="E194" s="174" t="n">
        <v>1</v>
      </c>
      <c r="F194" s="174" t="n"/>
      <c r="G194" s="174" t="n"/>
      <c r="H194" s="175" t="n">
        <v>4640061000</v>
      </c>
      <c r="I194" s="176" t="inlineStr">
        <is>
          <t>Кран уровня пола, 5-ти портовый</t>
        </is>
      </c>
      <c r="J194" s="913" t="n"/>
      <c r="K194" s="912" t="n"/>
      <c r="L194" s="178" t="n"/>
      <c r="M194" s="130" t="n"/>
      <c r="N194" s="179" t="n"/>
      <c r="O194" s="130" t="n"/>
      <c r="P194" s="178" t="n"/>
      <c r="Q194" s="130" t="n"/>
      <c r="R194" s="179" t="n"/>
      <c r="S194" s="130" t="n"/>
      <c r="T194" s="178" t="n"/>
      <c r="U194" s="130" t="n"/>
      <c r="V194" s="179" t="n"/>
      <c r="W194" s="130" t="n"/>
      <c r="X194" s="178" t="n"/>
      <c r="Y194" s="130" t="n">
        <v>0</v>
      </c>
      <c r="Z194" s="179" t="n">
        <v>1</v>
      </c>
      <c r="AA194" s="130" t="n"/>
      <c r="AB194" s="178" t="n"/>
      <c r="AC194" s="130" t="n"/>
      <c r="AD194" s="179" t="n"/>
      <c r="AE194" s="130" t="n"/>
      <c r="AF194" s="178" t="n"/>
      <c r="AG194" s="130" t="n"/>
      <c r="AH194" s="179" t="n"/>
      <c r="AI194" s="130" t="n"/>
      <c r="AJ194" s="178" t="n"/>
      <c r="AK194" s="130" t="n"/>
      <c r="AL194" s="179" t="n"/>
      <c r="AM194" s="130" t="n"/>
      <c r="AN194" s="178" t="n"/>
      <c r="AO194" s="130" t="n"/>
      <c r="AP194" s="179" t="n"/>
      <c r="AQ194" s="130" t="n"/>
      <c r="AR194" s="178" t="n"/>
      <c r="AS194" s="130" t="n"/>
      <c r="AT194" s="179" t="n"/>
      <c r="AU194" s="130" t="n"/>
      <c r="AV194" s="178" t="n"/>
      <c r="AW194" s="130" t="n"/>
      <c r="AX194" s="179" t="n"/>
      <c r="AY194" s="130" t="n"/>
      <c r="AZ194" s="178" t="n"/>
      <c r="BA194" s="130" t="n"/>
      <c r="BB194" s="179" t="n"/>
      <c r="BC194" s="130" t="n"/>
      <c r="BD194" s="178" t="n"/>
      <c r="BE194" s="130" t="n"/>
      <c r="BF194" s="109" t="n"/>
      <c r="BG194" s="130" t="n"/>
      <c r="BH194" s="180">
        <f>SUMPRODUCT(--(MOD(COLUMN($L194:$BG194),4)=MOD(COLUMN($L194),4)),$L194:$BG194)</f>
        <v/>
      </c>
      <c r="BI194" s="181">
        <f>Автовик_разбивка[[#This Row],[Цена, 
юань, без НДС 1]]*BH194</f>
        <v/>
      </c>
      <c r="BJ194" s="130">
        <f>SUMPRODUCT(--(MOD(COLUMN($L194:$BG194),4)=MOD(COLUMN($L194)+1,4)),$L194:$BG194)</f>
        <v/>
      </c>
      <c r="BK194" s="187">
        <f>Автовик_разбивка[[#This Row],[Цена, 
юань, без НДС 1]]*BJ194</f>
        <v/>
      </c>
      <c r="BL194" s="109">
        <f>SUMPRODUCT(--(MOD(COLUMN($L194:$BG194),4)=MOD(COLUMN($L194)+2,4)),$L194:$BG194)</f>
        <v/>
      </c>
      <c r="BM194" s="224">
        <f>Автовик_разбивка[[#This Row],[Цена, 
юань, без НДС 1]]*BL194</f>
        <v/>
      </c>
      <c r="BN194" s="178" t="n"/>
      <c r="BO194" s="184" t="n"/>
      <c r="BP194" s="130" t="n"/>
      <c r="BQ194" s="179" t="n"/>
      <c r="BR194" s="130" t="n"/>
      <c r="BS194" s="178" t="n"/>
      <c r="BT194" s="184" t="n"/>
      <c r="BU194" s="130" t="n"/>
      <c r="BV194" s="179" t="n"/>
      <c r="BW194" s="130" t="n"/>
      <c r="BX194" s="178" t="n"/>
      <c r="BY194" s="184" t="n"/>
      <c r="BZ194" s="130" t="n"/>
      <c r="CA194" s="179" t="n"/>
      <c r="CB194" s="130" t="n"/>
      <c r="CC194" s="178" t="n"/>
      <c r="CD194" s="184" t="n"/>
      <c r="CE194" s="130" t="n"/>
      <c r="CF194" s="179" t="n"/>
      <c r="CG194" s="130" t="n"/>
      <c r="CH194" s="178" t="n"/>
      <c r="CI194" s="184" t="n"/>
      <c r="CJ194" s="130" t="n"/>
      <c r="CK194" s="179" t="n"/>
      <c r="CL194" s="130" t="n"/>
      <c r="CM194" s="178" t="n"/>
      <c r="CN194" s="184" t="n"/>
      <c r="CO194" s="130" t="n"/>
      <c r="CP194" s="179" t="n"/>
      <c r="CQ194" s="130" t="n"/>
      <c r="CR194" s="178" t="n"/>
      <c r="CS194" s="184" t="n"/>
      <c r="CT194" s="130" t="n"/>
      <c r="CU194" s="179" t="n"/>
      <c r="CV194" s="130" t="n"/>
      <c r="CW194" s="178" t="n"/>
      <c r="CX194" s="184" t="n"/>
      <c r="CY194" s="130" t="n"/>
      <c r="CZ194" s="179" t="n"/>
      <c r="DA194" s="130" t="n"/>
      <c r="DB194" s="178" t="n"/>
      <c r="DC194" s="184" t="n"/>
      <c r="DD194" s="130" t="n"/>
      <c r="DE194" s="179" t="n"/>
      <c r="DF194" s="130" t="n"/>
      <c r="DG194" s="178" t="n"/>
      <c r="DH194" s="184" t="n"/>
      <c r="DI194" s="130" t="n"/>
      <c r="DJ194" s="179" t="n"/>
      <c r="DK194" s="130" t="n"/>
      <c r="DL194" s="178" t="n"/>
      <c r="DM194" s="184" t="n"/>
      <c r="DN194" s="130" t="n"/>
      <c r="DO194" s="179" t="n"/>
      <c r="DP194" s="130" t="n"/>
      <c r="DQ194" s="178" t="n"/>
      <c r="DR194" s="184" t="n"/>
      <c r="DS194" s="130" t="n"/>
      <c r="DT194" s="109" t="n"/>
      <c r="DU194" s="130" t="n"/>
      <c r="DV194" s="180">
        <f>SUMPRODUCT(--(MOD(COLUMN($BN194:$DU194),5)=MOD(COLUMN($BN194),5)),$BN194:$DU194)</f>
        <v/>
      </c>
      <c r="DW194" s="181">
        <f>Автовик_разбивка[[#This Row],[Цена, 
юань, без НДС 1]]*DV194</f>
        <v/>
      </c>
      <c r="DX194" s="186">
        <f>SUMPRODUCT(--(MOD(COLUMN($BN194:$DU194),5)=MOD(COLUMN($BN194)+1,5)),$BN194:$DU194)</f>
        <v/>
      </c>
      <c r="DY194" s="186">
        <f>Автовик_разбивка[[#This Row],[Цена, 
юань, без НДС 1]]*DX194</f>
        <v/>
      </c>
      <c r="DZ194" s="130">
        <f>SUMPRODUCT(--(MOD(COLUMN($BN194:$DU194),5)=MOD(COLUMN($BN194)+2,5)),$BN194:$DU194)</f>
        <v/>
      </c>
      <c r="EA194" s="187">
        <f>Автовик_разбивка[[#This Row],[Цена, 
юань, без НДС 1]]*DZ194</f>
        <v/>
      </c>
      <c r="EB194" s="109">
        <f>SUMPRODUCT(--(MOD(COLUMN($BN194:$DU194),5)=MOD(COLUMN($BN194)+3,5)),$BN194:$DU194)</f>
        <v/>
      </c>
      <c r="EC194" s="224">
        <f>Автовик_разбивка[[#This Row],[Цена, 
юань, без НДС 1]]*EB194</f>
        <v/>
      </c>
    </row>
    <row r="195">
      <c r="A195" s="260" t="n">
        <v>33</v>
      </c>
      <c r="B195" s="172" t="inlineStr">
        <is>
          <t>СГР</t>
        </is>
      </c>
      <c r="C195" s="173" t="inlineStr">
        <is>
          <t>TEBS</t>
        </is>
      </c>
      <c r="D195" s="173" t="inlineStr">
        <is>
          <t xml:space="preserve">TEBS 2s/2m 
15м </t>
        </is>
      </c>
      <c r="E195" s="174" t="n">
        <v>1</v>
      </c>
      <c r="F195" s="174" t="n"/>
      <c r="G195" s="174" t="n"/>
      <c r="H195" s="175" t="n">
        <v>4801020640</v>
      </c>
      <c r="I195" s="176" t="inlineStr">
        <is>
          <t>Модулятор EBS, с PEM, без фит.</t>
        </is>
      </c>
      <c r="J195" s="913" t="n"/>
      <c r="K195" s="912" t="n"/>
      <c r="L195" s="178" t="n"/>
      <c r="M195" s="130" t="n"/>
      <c r="N195" s="179" t="n"/>
      <c r="O195" s="130" t="n"/>
      <c r="P195" s="178" t="n"/>
      <c r="Q195" s="130" t="n"/>
      <c r="R195" s="179" t="n"/>
      <c r="S195" s="130" t="n"/>
      <c r="T195" s="178" t="n"/>
      <c r="U195" s="130" t="n"/>
      <c r="V195" s="179" t="n"/>
      <c r="W195" s="130" t="n"/>
      <c r="X195" s="178" t="n"/>
      <c r="Y195" s="130" t="n">
        <v>0</v>
      </c>
      <c r="Z195" s="179" t="n">
        <v>1</v>
      </c>
      <c r="AA195" s="130" t="n"/>
      <c r="AB195" s="178" t="n"/>
      <c r="AC195" s="130" t="n"/>
      <c r="AD195" s="179" t="n"/>
      <c r="AE195" s="130" t="n"/>
      <c r="AF195" s="178" t="n"/>
      <c r="AG195" s="130" t="n"/>
      <c r="AH195" s="179" t="n"/>
      <c r="AI195" s="130" t="n"/>
      <c r="AJ195" s="178" t="n"/>
      <c r="AK195" s="130" t="n"/>
      <c r="AL195" s="179" t="n"/>
      <c r="AM195" s="130" t="n"/>
      <c r="AN195" s="178" t="n"/>
      <c r="AO195" s="130" t="n"/>
      <c r="AP195" s="179" t="n"/>
      <c r="AQ195" s="130" t="n"/>
      <c r="AR195" s="178" t="n"/>
      <c r="AS195" s="130" t="n"/>
      <c r="AT195" s="179" t="n"/>
      <c r="AU195" s="130" t="n"/>
      <c r="AV195" s="178" t="n"/>
      <c r="AW195" s="130" t="n"/>
      <c r="AX195" s="179" t="n"/>
      <c r="AY195" s="130" t="n"/>
      <c r="AZ195" s="178" t="n"/>
      <c r="BA195" s="130" t="n"/>
      <c r="BB195" s="179" t="n"/>
      <c r="BC195" s="130" t="n"/>
      <c r="BD195" s="178" t="n"/>
      <c r="BE195" s="130" t="n"/>
      <c r="BF195" s="109" t="n"/>
      <c r="BG195" s="130" t="n"/>
      <c r="BH195" s="180">
        <f>SUMPRODUCT(--(MOD(COLUMN($L195:$BG195),4)=MOD(COLUMN($L195),4)),$L195:$BG195)</f>
        <v/>
      </c>
      <c r="BI195" s="181">
        <f>Автовик_разбивка[[#This Row],[Цена, 
юань, без НДС 1]]*BH195</f>
        <v/>
      </c>
      <c r="BJ195" s="130">
        <f>SUMPRODUCT(--(MOD(COLUMN($L195:$BG195),4)=MOD(COLUMN($L195)+1,4)),$L195:$BG195)</f>
        <v/>
      </c>
      <c r="BK195" s="187">
        <f>Автовик_разбивка[[#This Row],[Цена, 
юань, без НДС 1]]*BJ195</f>
        <v/>
      </c>
      <c r="BL195" s="109">
        <f>SUMPRODUCT(--(MOD(COLUMN($L195:$BG195),4)=MOD(COLUMN($L195)+2,4)),$L195:$BG195)</f>
        <v/>
      </c>
      <c r="BM195" s="224">
        <f>Автовик_разбивка[[#This Row],[Цена, 
юань, без НДС 1]]*BL195</f>
        <v/>
      </c>
      <c r="BN195" s="178" t="n"/>
      <c r="BO195" s="184" t="n"/>
      <c r="BP195" s="130" t="n"/>
      <c r="BQ195" s="179" t="n"/>
      <c r="BR195" s="130" t="n"/>
      <c r="BS195" s="178" t="n"/>
      <c r="BT195" s="184" t="n"/>
      <c r="BU195" s="130" t="n"/>
      <c r="BV195" s="179" t="n"/>
      <c r="BW195" s="130" t="n"/>
      <c r="BX195" s="178" t="n"/>
      <c r="BY195" s="184" t="n"/>
      <c r="BZ195" s="130" t="n"/>
      <c r="CA195" s="179" t="n"/>
      <c r="CB195" s="130" t="n"/>
      <c r="CC195" s="178" t="n"/>
      <c r="CD195" s="184" t="n"/>
      <c r="CE195" s="130" t="n"/>
      <c r="CF195" s="179" t="n"/>
      <c r="CG195" s="130" t="n"/>
      <c r="CH195" s="178" t="n"/>
      <c r="CI195" s="184" t="n"/>
      <c r="CJ195" s="130" t="n"/>
      <c r="CK195" s="179" t="n"/>
      <c r="CL195" s="130" t="n"/>
      <c r="CM195" s="178" t="n"/>
      <c r="CN195" s="184" t="n"/>
      <c r="CO195" s="130" t="n"/>
      <c r="CP195" s="179" t="n"/>
      <c r="CQ195" s="130" t="n"/>
      <c r="CR195" s="178" t="n"/>
      <c r="CS195" s="184" t="n"/>
      <c r="CT195" s="130" t="n"/>
      <c r="CU195" s="179" t="n"/>
      <c r="CV195" s="130" t="n"/>
      <c r="CW195" s="178" t="n"/>
      <c r="CX195" s="184" t="n"/>
      <c r="CY195" s="130" t="n"/>
      <c r="CZ195" s="179" t="n"/>
      <c r="DA195" s="130" t="n"/>
      <c r="DB195" s="178" t="n"/>
      <c r="DC195" s="184" t="n"/>
      <c r="DD195" s="130" t="n"/>
      <c r="DE195" s="179" t="n"/>
      <c r="DF195" s="130" t="n"/>
      <c r="DG195" s="178" t="n"/>
      <c r="DH195" s="184" t="n"/>
      <c r="DI195" s="130" t="n"/>
      <c r="DJ195" s="179" t="n"/>
      <c r="DK195" s="130" t="n"/>
      <c r="DL195" s="178" t="n"/>
      <c r="DM195" s="184" t="n"/>
      <c r="DN195" s="130" t="n"/>
      <c r="DO195" s="179" t="n"/>
      <c r="DP195" s="130" t="n"/>
      <c r="DQ195" s="178" t="n"/>
      <c r="DR195" s="184" t="n"/>
      <c r="DS195" s="130" t="n"/>
      <c r="DT195" s="109" t="n"/>
      <c r="DU195" s="130" t="n"/>
      <c r="DV195" s="180">
        <f>SUMPRODUCT(--(MOD(COLUMN($BN195:$DU195),5)=MOD(COLUMN($BN195),5)),$BN195:$DU195)</f>
        <v/>
      </c>
      <c r="DW195" s="181">
        <f>Автовик_разбивка[[#This Row],[Цена, 
юань, без НДС 1]]*DV195</f>
        <v/>
      </c>
      <c r="DX195" s="186">
        <f>SUMPRODUCT(--(MOD(COLUMN($BN195:$DU195),5)=MOD(COLUMN($BN195)+1,5)),$BN195:$DU195)</f>
        <v/>
      </c>
      <c r="DY195" s="186">
        <f>Автовик_разбивка[[#This Row],[Цена, 
юань, без НДС 1]]*DX195</f>
        <v/>
      </c>
      <c r="DZ195" s="130">
        <f>SUMPRODUCT(--(MOD(COLUMN($BN195:$DU195),5)=MOD(COLUMN($BN195)+2,5)),$BN195:$DU195)</f>
        <v/>
      </c>
      <c r="EA195" s="187">
        <f>Автовик_разбивка[[#This Row],[Цена, 
юань, без НДС 1]]*DZ195</f>
        <v/>
      </c>
      <c r="EB195" s="109">
        <f>SUMPRODUCT(--(MOD(COLUMN($BN195:$DU195),5)=MOD(COLUMN($BN195)+3,5)),$BN195:$DU195)</f>
        <v/>
      </c>
      <c r="EC195" s="224">
        <f>Автовик_разбивка[[#This Row],[Цена, 
юань, без НДС 1]]*EB195</f>
        <v/>
      </c>
    </row>
    <row r="196">
      <c r="A196" s="260" t="n">
        <v>33</v>
      </c>
      <c r="B196" s="172" t="inlineStr">
        <is>
          <t>СГР</t>
        </is>
      </c>
      <c r="C196" s="173" t="inlineStr">
        <is>
          <t>TEBS</t>
        </is>
      </c>
      <c r="D196" s="173" t="inlineStr">
        <is>
          <t xml:space="preserve">TEBS 2s/2m 
15м </t>
        </is>
      </c>
      <c r="E196" s="174" t="n">
        <v>1</v>
      </c>
      <c r="F196" s="174" t="n"/>
      <c r="G196" s="174" t="n"/>
      <c r="H196" s="175" t="n">
        <v>9522010010</v>
      </c>
      <c r="I196" s="176" t="inlineStr">
        <is>
          <t>Головка соединительная (управляющая)</t>
        </is>
      </c>
      <c r="J196" s="913" t="n"/>
      <c r="K196" s="912" t="n"/>
      <c r="L196" s="178" t="n"/>
      <c r="M196" s="130" t="n"/>
      <c r="N196" s="179" t="n"/>
      <c r="O196" s="130" t="n"/>
      <c r="P196" s="178" t="n"/>
      <c r="Q196" s="130" t="n"/>
      <c r="R196" s="179" t="n"/>
      <c r="S196" s="130" t="n"/>
      <c r="T196" s="178" t="n"/>
      <c r="U196" s="130" t="n"/>
      <c r="V196" s="179" t="n"/>
      <c r="W196" s="130" t="n"/>
      <c r="X196" s="178" t="n"/>
      <c r="Y196" s="130" t="n">
        <v>0</v>
      </c>
      <c r="Z196" s="179" t="n">
        <v>1</v>
      </c>
      <c r="AA196" s="130" t="n"/>
      <c r="AB196" s="178" t="n"/>
      <c r="AC196" s="130" t="n"/>
      <c r="AD196" s="179" t="n"/>
      <c r="AE196" s="130" t="n"/>
      <c r="AF196" s="178" t="n"/>
      <c r="AG196" s="130" t="n"/>
      <c r="AH196" s="179" t="n"/>
      <c r="AI196" s="130" t="n"/>
      <c r="AJ196" s="178" t="n"/>
      <c r="AK196" s="130" t="n"/>
      <c r="AL196" s="179" t="n"/>
      <c r="AM196" s="130" t="n"/>
      <c r="AN196" s="178" t="n"/>
      <c r="AO196" s="130" t="n"/>
      <c r="AP196" s="179" t="n"/>
      <c r="AQ196" s="130" t="n"/>
      <c r="AR196" s="178" t="n"/>
      <c r="AS196" s="130" t="n"/>
      <c r="AT196" s="179" t="n"/>
      <c r="AU196" s="130" t="n"/>
      <c r="AV196" s="178" t="n"/>
      <c r="AW196" s="130" t="n"/>
      <c r="AX196" s="179" t="n"/>
      <c r="AY196" s="130" t="n"/>
      <c r="AZ196" s="178" t="n"/>
      <c r="BA196" s="130" t="n"/>
      <c r="BB196" s="179" t="n"/>
      <c r="BC196" s="130" t="n"/>
      <c r="BD196" s="178" t="n"/>
      <c r="BE196" s="130" t="n"/>
      <c r="BF196" s="109" t="n"/>
      <c r="BG196" s="130" t="n"/>
      <c r="BH196" s="180">
        <f>SUMPRODUCT(--(MOD(COLUMN($L196:$BG196),4)=MOD(COLUMN($L196),4)),$L196:$BG196)</f>
        <v/>
      </c>
      <c r="BI196" s="181">
        <f>Автовик_разбивка[[#This Row],[Цена, 
юань, без НДС 1]]*BH196</f>
        <v/>
      </c>
      <c r="BJ196" s="130">
        <f>SUMPRODUCT(--(MOD(COLUMN($L196:$BG196),4)=MOD(COLUMN($L196)+1,4)),$L196:$BG196)</f>
        <v/>
      </c>
      <c r="BK196" s="187">
        <f>Автовик_разбивка[[#This Row],[Цена, 
юань, без НДС 1]]*BJ196</f>
        <v/>
      </c>
      <c r="BL196" s="109">
        <f>SUMPRODUCT(--(MOD(COLUMN($L196:$BG196),4)=MOD(COLUMN($L196)+2,4)),$L196:$BG196)</f>
        <v/>
      </c>
      <c r="BM196" s="224">
        <f>Автовик_разбивка[[#This Row],[Цена, 
юань, без НДС 1]]*BL196</f>
        <v/>
      </c>
      <c r="BN196" s="178" t="n"/>
      <c r="BO196" s="184" t="n"/>
      <c r="BP196" s="130" t="n"/>
      <c r="BQ196" s="179" t="n"/>
      <c r="BR196" s="130" t="n"/>
      <c r="BS196" s="178" t="n"/>
      <c r="BT196" s="184" t="n"/>
      <c r="BU196" s="130" t="n"/>
      <c r="BV196" s="179" t="n"/>
      <c r="BW196" s="130" t="n"/>
      <c r="BX196" s="178" t="n"/>
      <c r="BY196" s="184" t="n"/>
      <c r="BZ196" s="130" t="n"/>
      <c r="CA196" s="179" t="n"/>
      <c r="CB196" s="130" t="n"/>
      <c r="CC196" s="178" t="n"/>
      <c r="CD196" s="184" t="n"/>
      <c r="CE196" s="130" t="n"/>
      <c r="CF196" s="179" t="n"/>
      <c r="CG196" s="130" t="n"/>
      <c r="CH196" s="178" t="n"/>
      <c r="CI196" s="184" t="n"/>
      <c r="CJ196" s="130" t="n"/>
      <c r="CK196" s="179" t="n"/>
      <c r="CL196" s="130" t="n"/>
      <c r="CM196" s="178" t="n"/>
      <c r="CN196" s="184" t="n"/>
      <c r="CO196" s="130" t="n"/>
      <c r="CP196" s="179" t="n"/>
      <c r="CQ196" s="130" t="n"/>
      <c r="CR196" s="178" t="n"/>
      <c r="CS196" s="184" t="n"/>
      <c r="CT196" s="130" t="n"/>
      <c r="CU196" s="179" t="n"/>
      <c r="CV196" s="130" t="n"/>
      <c r="CW196" s="178" t="n"/>
      <c r="CX196" s="184" t="n"/>
      <c r="CY196" s="130" t="n"/>
      <c r="CZ196" s="179" t="n"/>
      <c r="DA196" s="130" t="n"/>
      <c r="DB196" s="178" t="n"/>
      <c r="DC196" s="184" t="n"/>
      <c r="DD196" s="130" t="n"/>
      <c r="DE196" s="179" t="n"/>
      <c r="DF196" s="130" t="n"/>
      <c r="DG196" s="178" t="n"/>
      <c r="DH196" s="184" t="n"/>
      <c r="DI196" s="130" t="n"/>
      <c r="DJ196" s="179" t="n"/>
      <c r="DK196" s="130" t="n"/>
      <c r="DL196" s="178" t="n"/>
      <c r="DM196" s="184" t="n"/>
      <c r="DN196" s="130" t="n"/>
      <c r="DO196" s="179" t="n"/>
      <c r="DP196" s="130" t="n"/>
      <c r="DQ196" s="178" t="n"/>
      <c r="DR196" s="184" t="n"/>
      <c r="DS196" s="130" t="n"/>
      <c r="DT196" s="109" t="n"/>
      <c r="DU196" s="130" t="n"/>
      <c r="DV196" s="180">
        <f>SUMPRODUCT(--(MOD(COLUMN($BN196:$DU196),5)=MOD(COLUMN($BN196),5)),$BN196:$DU196)</f>
        <v/>
      </c>
      <c r="DW196" s="181">
        <f>Автовик_разбивка[[#This Row],[Цена, 
юань, без НДС 1]]*DV196</f>
        <v/>
      </c>
      <c r="DX196" s="186">
        <f>SUMPRODUCT(--(MOD(COLUMN($BN196:$DU196),5)=MOD(COLUMN($BN196)+1,5)),$BN196:$DU196)</f>
        <v/>
      </c>
      <c r="DY196" s="186">
        <f>Автовик_разбивка[[#This Row],[Цена, 
юань, без НДС 1]]*DX196</f>
        <v/>
      </c>
      <c r="DZ196" s="130">
        <f>SUMPRODUCT(--(MOD(COLUMN($BN196:$DU196),5)=MOD(COLUMN($BN196)+2,5)),$BN196:$DU196)</f>
        <v/>
      </c>
      <c r="EA196" s="187">
        <f>Автовик_разбивка[[#This Row],[Цена, 
юань, без НДС 1]]*DZ196</f>
        <v/>
      </c>
      <c r="EB196" s="109">
        <f>SUMPRODUCT(--(MOD(COLUMN($BN196:$DU196),5)=MOD(COLUMN($BN196)+3,5)),$BN196:$DU196)</f>
        <v/>
      </c>
      <c r="EC196" s="224">
        <f>Автовик_разбивка[[#This Row],[Цена, 
юань, без НДС 1]]*EB196</f>
        <v/>
      </c>
    </row>
    <row r="197">
      <c r="A197" s="260" t="n">
        <v>33</v>
      </c>
      <c r="B197" s="172" t="inlineStr">
        <is>
          <t>СГР</t>
        </is>
      </c>
      <c r="C197" s="173" t="inlineStr">
        <is>
          <t>TEBS</t>
        </is>
      </c>
      <c r="D197" s="173" t="inlineStr">
        <is>
          <t xml:space="preserve">TEBS 2s/2m 
15м </t>
        </is>
      </c>
      <c r="E197" s="174" t="n">
        <v>1</v>
      </c>
      <c r="F197" s="174" t="n"/>
      <c r="G197" s="174" t="n"/>
      <c r="H197" s="175" t="n">
        <v>9522010020</v>
      </c>
      <c r="I197" s="176" t="inlineStr">
        <is>
          <t>Головка соединительная (питающая)</t>
        </is>
      </c>
      <c r="J197" s="913" t="n"/>
      <c r="K197" s="912" t="n"/>
      <c r="L197" s="178" t="n"/>
      <c r="M197" s="130" t="n"/>
      <c r="N197" s="179" t="n"/>
      <c r="O197" s="130" t="n"/>
      <c r="P197" s="178" t="n"/>
      <c r="Q197" s="130" t="n"/>
      <c r="R197" s="179" t="n"/>
      <c r="S197" s="130" t="n"/>
      <c r="T197" s="178" t="n"/>
      <c r="U197" s="130" t="n"/>
      <c r="V197" s="179" t="n"/>
      <c r="W197" s="130" t="n"/>
      <c r="X197" s="178" t="n"/>
      <c r="Y197" s="130" t="n">
        <v>0</v>
      </c>
      <c r="Z197" s="179" t="n">
        <v>1</v>
      </c>
      <c r="AA197" s="130" t="n"/>
      <c r="AB197" s="178" t="n"/>
      <c r="AC197" s="130" t="n"/>
      <c r="AD197" s="179" t="n"/>
      <c r="AE197" s="130" t="n"/>
      <c r="AF197" s="178" t="n"/>
      <c r="AG197" s="130" t="n"/>
      <c r="AH197" s="179" t="n"/>
      <c r="AI197" s="130" t="n"/>
      <c r="AJ197" s="178" t="n"/>
      <c r="AK197" s="130" t="n"/>
      <c r="AL197" s="179" t="n"/>
      <c r="AM197" s="130" t="n"/>
      <c r="AN197" s="178" t="n"/>
      <c r="AO197" s="130" t="n"/>
      <c r="AP197" s="179" t="n"/>
      <c r="AQ197" s="130" t="n"/>
      <c r="AR197" s="178" t="n"/>
      <c r="AS197" s="130" t="n"/>
      <c r="AT197" s="179" t="n"/>
      <c r="AU197" s="130" t="n"/>
      <c r="AV197" s="178" t="n"/>
      <c r="AW197" s="130" t="n"/>
      <c r="AX197" s="179" t="n"/>
      <c r="AY197" s="130" t="n"/>
      <c r="AZ197" s="178" t="n"/>
      <c r="BA197" s="130" t="n"/>
      <c r="BB197" s="179" t="n"/>
      <c r="BC197" s="130" t="n"/>
      <c r="BD197" s="178" t="n"/>
      <c r="BE197" s="130" t="n"/>
      <c r="BF197" s="109" t="n"/>
      <c r="BG197" s="130" t="n"/>
      <c r="BH197" s="180">
        <f>SUMPRODUCT(--(MOD(COLUMN($L197:$BG197),4)=MOD(COLUMN($L197),4)),$L197:$BG197)</f>
        <v/>
      </c>
      <c r="BI197" s="181">
        <f>Автовик_разбивка[[#This Row],[Цена, 
юань, без НДС 1]]*BH197</f>
        <v/>
      </c>
      <c r="BJ197" s="130">
        <f>SUMPRODUCT(--(MOD(COLUMN($L197:$BG197),4)=MOD(COLUMN($L197)+1,4)),$L197:$BG197)</f>
        <v/>
      </c>
      <c r="BK197" s="187">
        <f>Автовик_разбивка[[#This Row],[Цена, 
юань, без НДС 1]]*BJ197</f>
        <v/>
      </c>
      <c r="BL197" s="109">
        <f>SUMPRODUCT(--(MOD(COLUMN($L197:$BG197),4)=MOD(COLUMN($L197)+2,4)),$L197:$BG197)</f>
        <v/>
      </c>
      <c r="BM197" s="224">
        <f>Автовик_разбивка[[#This Row],[Цена, 
юань, без НДС 1]]*BL197</f>
        <v/>
      </c>
      <c r="BN197" s="178" t="n"/>
      <c r="BO197" s="184" t="n"/>
      <c r="BP197" s="130" t="n"/>
      <c r="BQ197" s="179" t="n"/>
      <c r="BR197" s="130" t="n"/>
      <c r="BS197" s="178" t="n"/>
      <c r="BT197" s="184" t="n"/>
      <c r="BU197" s="130" t="n"/>
      <c r="BV197" s="179" t="n"/>
      <c r="BW197" s="130" t="n"/>
      <c r="BX197" s="178" t="n"/>
      <c r="BY197" s="184" t="n"/>
      <c r="BZ197" s="130" t="n"/>
      <c r="CA197" s="179" t="n"/>
      <c r="CB197" s="130" t="n"/>
      <c r="CC197" s="178" t="n"/>
      <c r="CD197" s="184" t="n"/>
      <c r="CE197" s="130" t="n"/>
      <c r="CF197" s="179" t="n"/>
      <c r="CG197" s="130" t="n"/>
      <c r="CH197" s="178" t="n"/>
      <c r="CI197" s="184" t="n"/>
      <c r="CJ197" s="130" t="n"/>
      <c r="CK197" s="179" t="n"/>
      <c r="CL197" s="130" t="n"/>
      <c r="CM197" s="178" t="n"/>
      <c r="CN197" s="184" t="n"/>
      <c r="CO197" s="130" t="n"/>
      <c r="CP197" s="179" t="n"/>
      <c r="CQ197" s="130" t="n"/>
      <c r="CR197" s="178" t="n"/>
      <c r="CS197" s="184" t="n"/>
      <c r="CT197" s="130" t="n"/>
      <c r="CU197" s="179" t="n"/>
      <c r="CV197" s="130" t="n"/>
      <c r="CW197" s="178" t="n"/>
      <c r="CX197" s="184" t="n"/>
      <c r="CY197" s="130" t="n"/>
      <c r="CZ197" s="179" t="n"/>
      <c r="DA197" s="130" t="n"/>
      <c r="DB197" s="178" t="n"/>
      <c r="DC197" s="184" t="n"/>
      <c r="DD197" s="130" t="n"/>
      <c r="DE197" s="179" t="n"/>
      <c r="DF197" s="130" t="n"/>
      <c r="DG197" s="178" t="n"/>
      <c r="DH197" s="184" t="n"/>
      <c r="DI197" s="130" t="n"/>
      <c r="DJ197" s="179" t="n"/>
      <c r="DK197" s="130" t="n"/>
      <c r="DL197" s="178" t="n"/>
      <c r="DM197" s="184" t="n"/>
      <c r="DN197" s="130" t="n"/>
      <c r="DO197" s="179" t="n"/>
      <c r="DP197" s="130" t="n"/>
      <c r="DQ197" s="178" t="n"/>
      <c r="DR197" s="184" t="n"/>
      <c r="DS197" s="130" t="n"/>
      <c r="DT197" s="109" t="n"/>
      <c r="DU197" s="130" t="n"/>
      <c r="DV197" s="180">
        <f>SUMPRODUCT(--(MOD(COLUMN($BN197:$DU197),5)=MOD(COLUMN($BN197),5)),$BN197:$DU197)</f>
        <v/>
      </c>
      <c r="DW197" s="181">
        <f>Автовик_разбивка[[#This Row],[Цена, 
юань, без НДС 1]]*DV197</f>
        <v/>
      </c>
      <c r="DX197" s="186">
        <f>SUMPRODUCT(--(MOD(COLUMN($BN197:$DU197),5)=MOD(COLUMN($BN197)+1,5)),$BN197:$DU197)</f>
        <v/>
      </c>
      <c r="DY197" s="186">
        <f>Автовик_разбивка[[#This Row],[Цена, 
юань, без НДС 1]]*DX197</f>
        <v/>
      </c>
      <c r="DZ197" s="130">
        <f>SUMPRODUCT(--(MOD(COLUMN($BN197:$DU197),5)=MOD(COLUMN($BN197)+2,5)),$BN197:$DU197)</f>
        <v/>
      </c>
      <c r="EA197" s="187">
        <f>Автовик_разбивка[[#This Row],[Цена, 
юань, без НДС 1]]*DZ197</f>
        <v/>
      </c>
      <c r="EB197" s="109">
        <f>SUMPRODUCT(--(MOD(COLUMN($BN197:$DU197),5)=MOD(COLUMN($BN197)+3,5)),$BN197:$DU197)</f>
        <v/>
      </c>
      <c r="EC197" s="224">
        <f>Автовик_разбивка[[#This Row],[Цена, 
юань, без НДС 1]]*EB197</f>
        <v/>
      </c>
    </row>
    <row r="198">
      <c r="A198" s="260" t="n">
        <v>33</v>
      </c>
      <c r="B198" s="172" t="inlineStr">
        <is>
          <t>СГР</t>
        </is>
      </c>
      <c r="C198" s="173" t="inlineStr">
        <is>
          <t>TEBS</t>
        </is>
      </c>
      <c r="D198" s="173" t="inlineStr">
        <is>
          <t xml:space="preserve">TEBS 2s/2m 
15м </t>
        </is>
      </c>
      <c r="E198" s="174" t="n">
        <v>1</v>
      </c>
      <c r="F198" s="174" t="n"/>
      <c r="G198" s="174" t="n"/>
      <c r="H198" s="175" t="n">
        <v>9710029000</v>
      </c>
      <c r="I198" s="176" t="inlineStr">
        <is>
          <t>Воздухораспределитель с клапаном растормаживания</t>
        </is>
      </c>
      <c r="J198" s="913" t="n"/>
      <c r="K198" s="912" t="n"/>
      <c r="L198" s="178" t="n"/>
      <c r="M198" s="130" t="n"/>
      <c r="N198" s="179" t="n"/>
      <c r="O198" s="130" t="n"/>
      <c r="P198" s="178" t="n"/>
      <c r="Q198" s="130" t="n"/>
      <c r="R198" s="179" t="n"/>
      <c r="S198" s="130" t="n"/>
      <c r="T198" s="178" t="n"/>
      <c r="U198" s="130" t="n"/>
      <c r="V198" s="179" t="n"/>
      <c r="W198" s="130" t="n"/>
      <c r="X198" s="178" t="n"/>
      <c r="Y198" s="130" t="n">
        <v>0</v>
      </c>
      <c r="Z198" s="179" t="n">
        <v>1</v>
      </c>
      <c r="AA198" s="130" t="n"/>
      <c r="AB198" s="178" t="n"/>
      <c r="AC198" s="130" t="n"/>
      <c r="AD198" s="179" t="n"/>
      <c r="AE198" s="130" t="n"/>
      <c r="AF198" s="178" t="n"/>
      <c r="AG198" s="130" t="n"/>
      <c r="AH198" s="179" t="n"/>
      <c r="AI198" s="130" t="n"/>
      <c r="AJ198" s="178" t="n"/>
      <c r="AK198" s="130" t="n"/>
      <c r="AL198" s="179" t="n"/>
      <c r="AM198" s="130" t="n"/>
      <c r="AN198" s="178" t="n"/>
      <c r="AO198" s="130" t="n"/>
      <c r="AP198" s="179" t="n"/>
      <c r="AQ198" s="130" t="n"/>
      <c r="AR198" s="178" t="n"/>
      <c r="AS198" s="130" t="n"/>
      <c r="AT198" s="179" t="n"/>
      <c r="AU198" s="130" t="n"/>
      <c r="AV198" s="178" t="n"/>
      <c r="AW198" s="130" t="n"/>
      <c r="AX198" s="179" t="n"/>
      <c r="AY198" s="130" t="n"/>
      <c r="AZ198" s="178" t="n"/>
      <c r="BA198" s="130" t="n"/>
      <c r="BB198" s="179" t="n"/>
      <c r="BC198" s="130" t="n"/>
      <c r="BD198" s="178" t="n"/>
      <c r="BE198" s="130" t="n"/>
      <c r="BF198" s="109" t="n"/>
      <c r="BG198" s="130" t="n"/>
      <c r="BH198" s="180">
        <f>SUMPRODUCT(--(MOD(COLUMN($L198:$BG198),4)=MOD(COLUMN($L198),4)),$L198:$BG198)</f>
        <v/>
      </c>
      <c r="BI198" s="181">
        <f>Автовик_разбивка[[#This Row],[Цена, 
юань, без НДС 1]]*BH198</f>
        <v/>
      </c>
      <c r="BJ198" s="130">
        <f>SUMPRODUCT(--(MOD(COLUMN($L198:$BG198),4)=MOD(COLUMN($L198)+1,4)),$L198:$BG198)</f>
        <v/>
      </c>
      <c r="BK198" s="187">
        <f>Автовик_разбивка[[#This Row],[Цена, 
юань, без НДС 1]]*BJ198</f>
        <v/>
      </c>
      <c r="BL198" s="109">
        <f>SUMPRODUCT(--(MOD(COLUMN($L198:$BG198),4)=MOD(COLUMN($L198)+2,4)),$L198:$BG198)</f>
        <v/>
      </c>
      <c r="BM198" s="224">
        <f>Автовик_разбивка[[#This Row],[Цена, 
юань, без НДС 1]]*BL198</f>
        <v/>
      </c>
      <c r="BN198" s="178" t="n"/>
      <c r="BO198" s="184" t="n"/>
      <c r="BP198" s="130" t="n"/>
      <c r="BQ198" s="179" t="n"/>
      <c r="BR198" s="130" t="n"/>
      <c r="BS198" s="178" t="n"/>
      <c r="BT198" s="184" t="n"/>
      <c r="BU198" s="130" t="n"/>
      <c r="BV198" s="179" t="n"/>
      <c r="BW198" s="130" t="n"/>
      <c r="BX198" s="178" t="n"/>
      <c r="BY198" s="184" t="n"/>
      <c r="BZ198" s="130" t="n"/>
      <c r="CA198" s="179" t="n"/>
      <c r="CB198" s="130" t="n"/>
      <c r="CC198" s="178" t="n"/>
      <c r="CD198" s="184" t="n"/>
      <c r="CE198" s="130" t="n"/>
      <c r="CF198" s="179" t="n"/>
      <c r="CG198" s="130" t="n"/>
      <c r="CH198" s="178" t="n"/>
      <c r="CI198" s="184" t="n"/>
      <c r="CJ198" s="130" t="n"/>
      <c r="CK198" s="179" t="n"/>
      <c r="CL198" s="130" t="n"/>
      <c r="CM198" s="178" t="n"/>
      <c r="CN198" s="184" t="n"/>
      <c r="CO198" s="130" t="n"/>
      <c r="CP198" s="179" t="n"/>
      <c r="CQ198" s="130" t="n"/>
      <c r="CR198" s="178" t="n"/>
      <c r="CS198" s="184" t="n"/>
      <c r="CT198" s="130" t="n"/>
      <c r="CU198" s="179" t="n"/>
      <c r="CV198" s="130" t="n"/>
      <c r="CW198" s="178" t="n"/>
      <c r="CX198" s="184" t="n"/>
      <c r="CY198" s="130" t="n"/>
      <c r="CZ198" s="179" t="n"/>
      <c r="DA198" s="130" t="n"/>
      <c r="DB198" s="178" t="n"/>
      <c r="DC198" s="184" t="n"/>
      <c r="DD198" s="130" t="n"/>
      <c r="DE198" s="179" t="n"/>
      <c r="DF198" s="130" t="n"/>
      <c r="DG198" s="178" t="n"/>
      <c r="DH198" s="184" t="n"/>
      <c r="DI198" s="130" t="n"/>
      <c r="DJ198" s="179" t="n"/>
      <c r="DK198" s="130" t="n"/>
      <c r="DL198" s="178" t="n"/>
      <c r="DM198" s="184" t="n"/>
      <c r="DN198" s="130" t="n"/>
      <c r="DO198" s="179" t="n"/>
      <c r="DP198" s="130" t="n"/>
      <c r="DQ198" s="178" t="n"/>
      <c r="DR198" s="184" t="n"/>
      <c r="DS198" s="130" t="n"/>
      <c r="DT198" s="109" t="n"/>
      <c r="DU198" s="130" t="n"/>
      <c r="DV198" s="180">
        <f>SUMPRODUCT(--(MOD(COLUMN($BN198:$DU198),5)=MOD(COLUMN($BN198),5)),$BN198:$DU198)</f>
        <v/>
      </c>
      <c r="DW198" s="181">
        <f>Автовик_разбивка[[#This Row],[Цена, 
юань, без НДС 1]]*DV198</f>
        <v/>
      </c>
      <c r="DX198" s="186">
        <f>SUMPRODUCT(--(MOD(COLUMN($BN198:$DU198),5)=MOD(COLUMN($BN198)+1,5)),$BN198:$DU198)</f>
        <v/>
      </c>
      <c r="DY198" s="186">
        <f>Автовик_разбивка[[#This Row],[Цена, 
юань, без НДС 1]]*DX198</f>
        <v/>
      </c>
      <c r="DZ198" s="130">
        <f>SUMPRODUCT(--(MOD(COLUMN($BN198:$DU198),5)=MOD(COLUMN($BN198)+2,5)),$BN198:$DU198)</f>
        <v/>
      </c>
      <c r="EA198" s="187">
        <f>Автовик_разбивка[[#This Row],[Цена, 
юань, без НДС 1]]*DZ198</f>
        <v/>
      </c>
      <c r="EB198" s="109">
        <f>SUMPRODUCT(--(MOD(COLUMN($BN198:$DU198),5)=MOD(COLUMN($BN198)+3,5)),$BN198:$DU198)</f>
        <v/>
      </c>
      <c r="EC198" s="224">
        <f>Автовик_разбивка[[#This Row],[Цена, 
юань, без НДС 1]]*EB198</f>
        <v/>
      </c>
    </row>
    <row r="199">
      <c r="A199" s="260" t="n">
        <v>33</v>
      </c>
      <c r="B199" s="172" t="inlineStr">
        <is>
          <t>СГР</t>
        </is>
      </c>
      <c r="C199" s="132" t="n"/>
      <c r="D199" s="132" t="n"/>
      <c r="E199" s="229" t="n"/>
      <c r="F199" s="229" t="n"/>
      <c r="G199" s="229" t="n"/>
      <c r="H199" s="230" t="n"/>
      <c r="I199" s="231" t="inlineStr">
        <is>
          <t>Итого</t>
        </is>
      </c>
      <c r="J199" s="914" t="n"/>
      <c r="K199" s="914" t="n"/>
      <c r="L199" s="233" t="n"/>
      <c r="M199" s="234" t="n"/>
      <c r="N199" s="235" t="n"/>
      <c r="O199" s="234" t="n"/>
      <c r="P199" s="233" t="n"/>
      <c r="Q199" s="234" t="n"/>
      <c r="R199" s="235" t="n"/>
      <c r="S199" s="234" t="n"/>
      <c r="T199" s="233" t="n"/>
      <c r="U199" s="234" t="n"/>
      <c r="V199" s="235" t="n"/>
      <c r="W199" s="234" t="n"/>
      <c r="X199" s="233" t="n"/>
      <c r="Y199" s="234" t="n"/>
      <c r="Z199" s="235" t="n"/>
      <c r="AA199" s="234" t="n"/>
      <c r="AB199" s="233" t="n"/>
      <c r="AC199" s="234" t="n"/>
      <c r="AD199" s="235" t="n"/>
      <c r="AE199" s="234" t="n"/>
      <c r="AF199" s="233" t="n"/>
      <c r="AG199" s="234" t="n"/>
      <c r="AH199" s="235" t="n"/>
      <c r="AI199" s="234" t="n"/>
      <c r="AJ199" s="233" t="n"/>
      <c r="AK199" s="234" t="n"/>
      <c r="AL199" s="235" t="n"/>
      <c r="AM199" s="234" t="n"/>
      <c r="AN199" s="233" t="n"/>
      <c r="AO199" s="234" t="n"/>
      <c r="AP199" s="235" t="n"/>
      <c r="AQ199" s="234" t="n"/>
      <c r="AR199" s="233" t="n"/>
      <c r="AS199" s="234" t="n"/>
      <c r="AT199" s="235" t="n"/>
      <c r="AU199" s="234" t="n"/>
      <c r="AV199" s="233" t="n"/>
      <c r="AW199" s="234" t="n"/>
      <c r="AX199" s="235" t="n"/>
      <c r="AY199" s="234" t="n"/>
      <c r="AZ199" s="233" t="n"/>
      <c r="BA199" s="234" t="n"/>
      <c r="BB199" s="235" t="n"/>
      <c r="BC199" s="234" t="n"/>
      <c r="BD199" s="233" t="n"/>
      <c r="BE199" s="234" t="n"/>
      <c r="BF199" s="235" t="n"/>
      <c r="BG199" s="234" t="n"/>
      <c r="BH199" s="233">
        <f>SUMPRODUCT(--(MOD(COLUMN($L199:$BG199),4)=MOD(COLUMN($L199),4)),$L199:$BG199)</f>
        <v/>
      </c>
      <c r="BI199" s="238">
        <f>Автовик_разбивка[[#This Row],[Цена, 
юань, без НДС 1]]*BH199</f>
        <v/>
      </c>
      <c r="BJ199" s="234">
        <f>SUMPRODUCT(--(MOD(COLUMN($L199:$BG199),4)=MOD(COLUMN($L199)+1,4)),$L199:$BG199)</f>
        <v/>
      </c>
      <c r="BK199" s="253">
        <f>Автовик_разбивка[[#This Row],[Цена, 
юань, без НДС 1]]*BJ199</f>
        <v/>
      </c>
      <c r="BL199" s="235">
        <f>SUMPRODUCT(--(MOD(COLUMN($L199:$BG199),4)=MOD(COLUMN($L199)+2,4)),$L199:$BG199)</f>
        <v/>
      </c>
      <c r="BM199" s="254">
        <f>Автовик_разбивка[[#This Row],[Цена, 
юань, без НДС 1]]*BL199</f>
        <v/>
      </c>
      <c r="BN199" s="233" t="n"/>
      <c r="BO199" s="241" t="n"/>
      <c r="BP199" s="234" t="n"/>
      <c r="BQ199" s="235" t="n"/>
      <c r="BR199" s="234" t="n"/>
      <c r="BS199" s="233" t="n"/>
      <c r="BT199" s="241" t="n"/>
      <c r="BU199" s="234" t="n"/>
      <c r="BV199" s="235" t="n"/>
      <c r="BW199" s="234" t="n"/>
      <c r="BX199" s="233" t="n"/>
      <c r="BY199" s="241" t="n"/>
      <c r="BZ199" s="234" t="n"/>
      <c r="CA199" s="235" t="n"/>
      <c r="CB199" s="234" t="n"/>
      <c r="CC199" s="233" t="n"/>
      <c r="CD199" s="241" t="n"/>
      <c r="CE199" s="234" t="n"/>
      <c r="CF199" s="235" t="n"/>
      <c r="CG199" s="234" t="n"/>
      <c r="CH199" s="233" t="n"/>
      <c r="CI199" s="241" t="n"/>
      <c r="CJ199" s="234" t="n"/>
      <c r="CK199" s="235" t="n"/>
      <c r="CL199" s="234" t="n"/>
      <c r="CM199" s="233" t="n"/>
      <c r="CN199" s="241" t="n"/>
      <c r="CO199" s="234" t="n"/>
      <c r="CP199" s="235" t="n"/>
      <c r="CQ199" s="234" t="n"/>
      <c r="CR199" s="233" t="n"/>
      <c r="CS199" s="241" t="n"/>
      <c r="CT199" s="234" t="n"/>
      <c r="CU199" s="235" t="n"/>
      <c r="CV199" s="234" t="n"/>
      <c r="CW199" s="233" t="n"/>
      <c r="CX199" s="241" t="n"/>
      <c r="CY199" s="234" t="n"/>
      <c r="CZ199" s="235" t="n"/>
      <c r="DA199" s="234" t="n"/>
      <c r="DB199" s="233" t="n"/>
      <c r="DC199" s="241" t="n"/>
      <c r="DD199" s="234" t="n"/>
      <c r="DE199" s="235" t="n"/>
      <c r="DF199" s="234" t="n"/>
      <c r="DG199" s="233" t="n"/>
      <c r="DH199" s="241" t="n"/>
      <c r="DI199" s="234" t="n"/>
      <c r="DJ199" s="235" t="n"/>
      <c r="DK199" s="234" t="n"/>
      <c r="DL199" s="233" t="n"/>
      <c r="DM199" s="241" t="n"/>
      <c r="DN199" s="234" t="n"/>
      <c r="DO199" s="235" t="n"/>
      <c r="DP199" s="234" t="n"/>
      <c r="DQ199" s="233" t="n"/>
      <c r="DR199" s="241" t="n"/>
      <c r="DS199" s="234" t="n"/>
      <c r="DT199" s="235" t="n"/>
      <c r="DU199" s="234" t="n"/>
      <c r="DV199" s="233">
        <f>SUMPRODUCT(--(MOD(COLUMN($BN199:$DU199),5)=MOD(COLUMN($BN199),5)),$BN199:$DU199)</f>
        <v/>
      </c>
      <c r="DW199" s="238">
        <f>Автовик_разбивка[[#This Row],[Цена, 
юань, без НДС 1]]*DV199</f>
        <v/>
      </c>
      <c r="DX199" s="242">
        <f>SUMPRODUCT(--(MOD(COLUMN($BN199:$DU199),5)=MOD(COLUMN($BN199)+1,5)),$BN199:$DU199)</f>
        <v/>
      </c>
      <c r="DY199" s="242">
        <f>Автовик_разбивка[[#This Row],[Цена, 
юань, без НДС 1]]*DX199</f>
        <v/>
      </c>
      <c r="DZ199" s="234">
        <f>SUMPRODUCT(--(MOD(COLUMN($BN199:$DU199),5)=MOD(COLUMN($BN199)+2,5)),$BN199:$DU199)</f>
        <v/>
      </c>
      <c r="EA199" s="253">
        <f>Автовик_разбивка[[#This Row],[Цена, 
юань, без НДС 1]]*DZ199</f>
        <v/>
      </c>
      <c r="EB199" s="235">
        <f>SUMPRODUCT(--(MOD(COLUMN($BN199:$DU199),5)=MOD(COLUMN($BN199)+3,5)),$BN199:$DU199)</f>
        <v/>
      </c>
      <c r="EC199" s="254">
        <f>Автовик_разбивка[[#This Row],[Цена, 
юань, без НДС 1]]*EB199</f>
        <v/>
      </c>
    </row>
    <row r="200">
      <c r="A200" s="260" t="n">
        <v>33</v>
      </c>
      <c r="B200" s="261" t="inlineStr">
        <is>
          <t>СГР</t>
        </is>
      </c>
      <c r="C200" s="244" t="n"/>
      <c r="D200" s="244" t="n"/>
      <c r="E200" s="245" t="n"/>
      <c r="F200" s="245" t="n"/>
      <c r="G200" s="245" t="n"/>
      <c r="H200" s="246" t="n"/>
      <c r="I200" s="247" t="n"/>
      <c r="J200" s="915" t="n"/>
      <c r="K200" s="915" t="n"/>
      <c r="L200" s="249" t="n"/>
      <c r="M200" s="249" t="n"/>
      <c r="N200" s="249" t="n"/>
      <c r="O200" s="249" t="n"/>
      <c r="P200" s="249" t="n"/>
      <c r="Q200" s="249" t="n"/>
      <c r="R200" s="249" t="n"/>
      <c r="S200" s="249" t="n"/>
      <c r="T200" s="249" t="n"/>
      <c r="U200" s="249" t="n"/>
      <c r="V200" s="249" t="n"/>
      <c r="W200" s="249" t="n"/>
      <c r="X200" s="249" t="n"/>
      <c r="Y200" s="249" t="n"/>
      <c r="Z200" s="249" t="n"/>
      <c r="AA200" s="249" t="n"/>
      <c r="AB200" s="249" t="n"/>
      <c r="AC200" s="249" t="n"/>
      <c r="AD200" s="249" t="n"/>
      <c r="AE200" s="249" t="n"/>
      <c r="AF200" s="249" t="n"/>
      <c r="AG200" s="249" t="n"/>
      <c r="AH200" s="249" t="n"/>
      <c r="AI200" s="249" t="n"/>
      <c r="AJ200" s="249" t="n"/>
      <c r="AK200" s="249" t="n"/>
      <c r="AL200" s="249" t="n"/>
      <c r="AM200" s="249" t="n"/>
      <c r="AN200" s="249" t="n"/>
      <c r="AO200" s="249" t="n"/>
      <c r="AP200" s="249" t="n"/>
      <c r="AQ200" s="249" t="n"/>
      <c r="AR200" s="249" t="n"/>
      <c r="AS200" s="249" t="n"/>
      <c r="AT200" s="249" t="n"/>
      <c r="AU200" s="249" t="n"/>
      <c r="AV200" s="249" t="n"/>
      <c r="AW200" s="249" t="n"/>
      <c r="AX200" s="250" t="n"/>
      <c r="AY200" s="249" t="n"/>
      <c r="AZ200" s="250" t="n"/>
      <c r="BA200" s="250" t="n"/>
      <c r="BB200" s="250" t="n"/>
      <c r="BC200" s="249" t="n"/>
      <c r="BD200" s="250" t="n"/>
      <c r="BE200" s="250" t="n"/>
      <c r="BF200" s="250" t="n"/>
      <c r="BG200" s="249" t="n"/>
      <c r="BH200" s="250">
        <f>SUMPRODUCT(--(MOD(COLUMN($L200:$BG200),4)=MOD(COLUMN($L200),4)),$L200:$BG200)</f>
        <v/>
      </c>
      <c r="BI200" s="251">
        <f>Автовик_разбивка[[#This Row],[Цена, 
юань, без НДС 1]]*BH200</f>
        <v/>
      </c>
      <c r="BJ200" s="250">
        <f>SUMPRODUCT(--(MOD(COLUMN($L200:$BG200),4)=MOD(COLUMN($L200)+1,4)),$L200:$BG200)</f>
        <v/>
      </c>
      <c r="BK200" s="251">
        <f>Автовик_разбивка[[#This Row],[Цена, 
юань, без НДС 1]]*BJ200</f>
        <v/>
      </c>
      <c r="BL200" s="250">
        <f>SUMPRODUCT(--(MOD(COLUMN($L200:$BG200),4)=MOD(COLUMN($L200)+2,4)),$L200:$BG200)</f>
        <v/>
      </c>
      <c r="BM200" s="251">
        <f>Автовик_разбивка[[#This Row],[Цена, 
юань, без НДС 1]]*BL200</f>
        <v/>
      </c>
      <c r="BN200" s="249" t="n"/>
      <c r="BO200" s="249" t="n"/>
      <c r="BP200" s="249" t="n"/>
      <c r="BQ200" s="249" t="n"/>
      <c r="BR200" s="249" t="n"/>
      <c r="BS200" s="249" t="n"/>
      <c r="BT200" s="249" t="n"/>
      <c r="BU200" s="249" t="n"/>
      <c r="BV200" s="249" t="n"/>
      <c r="BW200" s="249" t="n"/>
      <c r="BX200" s="249" t="n"/>
      <c r="BY200" s="249" t="n"/>
      <c r="BZ200" s="249" t="n"/>
      <c r="CA200" s="249" t="n"/>
      <c r="CB200" s="249" t="n"/>
      <c r="CC200" s="249" t="n"/>
      <c r="CD200" s="249" t="n"/>
      <c r="CE200" s="249" t="n"/>
      <c r="CF200" s="249" t="n"/>
      <c r="CG200" s="249" t="n"/>
      <c r="CH200" s="249" t="n"/>
      <c r="CI200" s="249" t="n"/>
      <c r="CJ200" s="249" t="n"/>
      <c r="CK200" s="249" t="n"/>
      <c r="CL200" s="249" t="n"/>
      <c r="CM200" s="249" t="n"/>
      <c r="CN200" s="249" t="n"/>
      <c r="CO200" s="249" t="n"/>
      <c r="CP200" s="249" t="n"/>
      <c r="CQ200" s="249" t="n"/>
      <c r="CR200" s="249" t="n"/>
      <c r="CS200" s="249" t="n"/>
      <c r="CT200" s="249" t="n"/>
      <c r="CU200" s="249" t="n"/>
      <c r="CV200" s="249" t="n"/>
      <c r="CW200" s="249" t="n"/>
      <c r="CX200" s="249" t="n"/>
      <c r="CY200" s="249" t="n"/>
      <c r="CZ200" s="249" t="n"/>
      <c r="DA200" s="249" t="n"/>
      <c r="DB200" s="249" t="n"/>
      <c r="DC200" s="249" t="n"/>
      <c r="DD200" s="249" t="n"/>
      <c r="DE200" s="249" t="n"/>
      <c r="DF200" s="249" t="n"/>
      <c r="DG200" s="249" t="n"/>
      <c r="DH200" s="249" t="n"/>
      <c r="DI200" s="249" t="n"/>
      <c r="DJ200" s="250" t="n"/>
      <c r="DK200" s="249" t="n"/>
      <c r="DL200" s="250" t="n"/>
      <c r="DM200" s="250" t="n"/>
      <c r="DN200" s="250" t="n"/>
      <c r="DO200" s="250" t="n"/>
      <c r="DP200" s="249" t="n"/>
      <c r="DQ200" s="250" t="n"/>
      <c r="DR200" s="250" t="n"/>
      <c r="DS200" s="250" t="n"/>
      <c r="DT200" s="250" t="n"/>
      <c r="DU200" s="249" t="n"/>
      <c r="DV200" s="250">
        <f>SUMPRODUCT(--(MOD(COLUMN($BN200:$DU200),5)=MOD(COLUMN($BN200),5)),$BN200:$DU200)</f>
        <v/>
      </c>
      <c r="DW200" s="251">
        <f>Автовик_разбивка[[#This Row],[Цена, 
юань, без НДС 1]]*DV200</f>
        <v/>
      </c>
      <c r="DX200" s="251">
        <f>SUMPRODUCT(--(MOD(COLUMN($BN200:$DU200),5)=MOD(COLUMN($BN200)+1,5)),$BN200:$DU200)</f>
        <v/>
      </c>
      <c r="DY200" s="251">
        <f>Автовик_разбивка[[#This Row],[Цена, 
юань, без НДС 1]]*DX200</f>
        <v/>
      </c>
      <c r="DZ200" s="250">
        <f>SUMPRODUCT(--(MOD(COLUMN($BN200:$DU200),5)=MOD(COLUMN($BN200)+2,5)),$BN200:$DU200)</f>
        <v/>
      </c>
      <c r="EA200" s="251">
        <f>Автовик_разбивка[[#This Row],[Цена, 
юань, без НДС 1]]*DZ200</f>
        <v/>
      </c>
      <c r="EB200" s="250">
        <f>SUMPRODUCT(--(MOD(COLUMN($BN200:$DU200),5)=MOD(COLUMN($BN200)+3,5)),$BN200:$DU200)</f>
        <v/>
      </c>
      <c r="EC200" s="251">
        <f>Автовик_разбивка[[#This Row],[Цена, 
юань, без НДС 1]]*EB200</f>
        <v/>
      </c>
    </row>
    <row r="201">
      <c r="A201" s="262" t="n">
        <v>333</v>
      </c>
      <c r="B201" s="263" t="inlineStr">
        <is>
          <t>Дело техники</t>
        </is>
      </c>
      <c r="C201" s="132" t="n"/>
      <c r="D201" s="132" t="n"/>
      <c r="E201" s="229" t="n"/>
      <c r="F201" s="229" t="n"/>
      <c r="G201" s="229" t="n"/>
      <c r="H201" s="230" t="n"/>
      <c r="I201" s="231" t="inlineStr">
        <is>
          <t>Итого</t>
        </is>
      </c>
      <c r="J201" s="914" t="n"/>
      <c r="K201" s="914" t="n"/>
      <c r="L201" s="233" t="n"/>
      <c r="M201" s="234" t="n"/>
      <c r="N201" s="235" t="n"/>
      <c r="O201" s="234" t="n"/>
      <c r="P201" s="233" t="n"/>
      <c r="Q201" s="234" t="n"/>
      <c r="R201" s="235" t="n"/>
      <c r="S201" s="234" t="n"/>
      <c r="T201" s="233" t="n"/>
      <c r="U201" s="234" t="n"/>
      <c r="V201" s="235" t="n"/>
      <c r="W201" s="234" t="n"/>
      <c r="X201" s="233" t="n"/>
      <c r="Y201" s="234" t="n"/>
      <c r="Z201" s="235" t="n"/>
      <c r="AA201" s="234" t="n"/>
      <c r="AB201" s="233" t="n"/>
      <c r="AC201" s="234" t="n"/>
      <c r="AD201" s="235" t="n"/>
      <c r="AE201" s="234" t="n"/>
      <c r="AF201" s="233" t="n"/>
      <c r="AG201" s="234" t="n"/>
      <c r="AH201" s="235" t="n"/>
      <c r="AI201" s="234" t="n"/>
      <c r="AJ201" s="233" t="n"/>
      <c r="AK201" s="234" t="n"/>
      <c r="AL201" s="235" t="n"/>
      <c r="AM201" s="234" t="n"/>
      <c r="AN201" s="233" t="n"/>
      <c r="AO201" s="234" t="n"/>
      <c r="AP201" s="235" t="n"/>
      <c r="AQ201" s="234" t="n"/>
      <c r="AR201" s="233" t="n"/>
      <c r="AS201" s="234" t="n"/>
      <c r="AT201" s="235" t="n"/>
      <c r="AU201" s="234" t="n"/>
      <c r="AV201" s="233" t="n"/>
      <c r="AW201" s="234" t="n"/>
      <c r="AX201" s="235" t="n"/>
      <c r="AY201" s="234" t="n"/>
      <c r="AZ201" s="233" t="n"/>
      <c r="BA201" s="234" t="n"/>
      <c r="BB201" s="235" t="n"/>
      <c r="BC201" s="234" t="n"/>
      <c r="BD201" s="233" t="n"/>
      <c r="BE201" s="234" t="n"/>
      <c r="BF201" s="235" t="n"/>
      <c r="BG201" s="234" t="n"/>
      <c r="BH201" s="233">
        <f>SUMPRODUCT(--(MOD(COLUMN($L201:$BG201),4)=MOD(COLUMN($L201),4)),$L201:$BG201)</f>
        <v/>
      </c>
      <c r="BI201" s="238">
        <f>Автовик_разбивка[[#This Row],[Цена, 
юань, без НДС 1]]*BH201</f>
        <v/>
      </c>
      <c r="BJ201" s="234">
        <f>SUMPRODUCT(--(MOD(COLUMN($L201:$BG201),4)=MOD(COLUMN($L201)+1,4)),$L201:$BG201)</f>
        <v/>
      </c>
      <c r="BK201" s="253">
        <f>Автовик_разбивка[[#This Row],[Цена, 
юань, без НДС 1]]*BJ201</f>
        <v/>
      </c>
      <c r="BL201" s="235">
        <f>SUMPRODUCT(--(MOD(COLUMN($L201:$BG201),4)=MOD(COLUMN($L201)+2,4)),$L201:$BG201)</f>
        <v/>
      </c>
      <c r="BM201" s="254">
        <f>Автовик_разбивка[[#This Row],[Цена, 
юань, без НДС 1]]*BL201</f>
        <v/>
      </c>
      <c r="BN201" s="233" t="n"/>
      <c r="BO201" s="241" t="n"/>
      <c r="BP201" s="234" t="n"/>
      <c r="BQ201" s="235" t="n"/>
      <c r="BR201" s="234" t="n"/>
      <c r="BS201" s="233" t="n"/>
      <c r="BT201" s="241" t="n"/>
      <c r="BU201" s="234" t="n"/>
      <c r="BV201" s="235" t="n"/>
      <c r="BW201" s="234" t="n"/>
      <c r="BX201" s="233" t="n"/>
      <c r="BY201" s="241" t="n"/>
      <c r="BZ201" s="234" t="n"/>
      <c r="CA201" s="235" t="n"/>
      <c r="CB201" s="234" t="n"/>
      <c r="CC201" s="233" t="n"/>
      <c r="CD201" s="241" t="n"/>
      <c r="CE201" s="234" t="n"/>
      <c r="CF201" s="235" t="n"/>
      <c r="CG201" s="234" t="n"/>
      <c r="CH201" s="233" t="n"/>
      <c r="CI201" s="241" t="n"/>
      <c r="CJ201" s="234" t="n"/>
      <c r="CK201" s="235" t="n"/>
      <c r="CL201" s="234" t="n"/>
      <c r="CM201" s="233" t="n"/>
      <c r="CN201" s="241" t="n"/>
      <c r="CO201" s="234" t="n"/>
      <c r="CP201" s="235" t="n"/>
      <c r="CQ201" s="234" t="n"/>
      <c r="CR201" s="233" t="n"/>
      <c r="CS201" s="241" t="n"/>
      <c r="CT201" s="234" t="n"/>
      <c r="CU201" s="235" t="n"/>
      <c r="CV201" s="234" t="n"/>
      <c r="CW201" s="233" t="n"/>
      <c r="CX201" s="241" t="n"/>
      <c r="CY201" s="234" t="n"/>
      <c r="CZ201" s="235" t="n"/>
      <c r="DA201" s="234" t="n"/>
      <c r="DB201" s="233" t="n"/>
      <c r="DC201" s="241" t="n"/>
      <c r="DD201" s="234" t="n"/>
      <c r="DE201" s="235" t="n"/>
      <c r="DF201" s="234" t="n"/>
      <c r="DG201" s="233" t="n"/>
      <c r="DH201" s="241" t="n"/>
      <c r="DI201" s="234" t="n"/>
      <c r="DJ201" s="235" t="n"/>
      <c r="DK201" s="234" t="n"/>
      <c r="DL201" s="233" t="n"/>
      <c r="DM201" s="241" t="n"/>
      <c r="DN201" s="234" t="n"/>
      <c r="DO201" s="235" t="n"/>
      <c r="DP201" s="234" t="n"/>
      <c r="DQ201" s="233" t="n"/>
      <c r="DR201" s="241" t="n"/>
      <c r="DS201" s="234" t="n"/>
      <c r="DT201" s="235" t="n"/>
      <c r="DU201" s="234" t="n"/>
      <c r="DV201" s="233">
        <f>SUMPRODUCT(--(MOD(COLUMN($BN201:$DU201),5)=MOD(COLUMN($BN201),5)),$BN201:$DU201)</f>
        <v/>
      </c>
      <c r="DW201" s="238">
        <f>Автовик_разбивка[[#This Row],[Цена, 
юань, без НДС 1]]*DV201</f>
        <v/>
      </c>
      <c r="DX201" s="242">
        <f>SUMPRODUCT(--(MOD(COLUMN($BN201:$DU201),5)=MOD(COLUMN($BN201)+1,5)),$BN201:$DU201)</f>
        <v/>
      </c>
      <c r="DY201" s="242">
        <f>Автовик_разбивка[[#This Row],[Цена, 
юань, без НДС 1]]*DX201</f>
        <v/>
      </c>
      <c r="DZ201" s="234">
        <f>SUMPRODUCT(--(MOD(COLUMN($BN201:$DU201),5)=MOD(COLUMN($BN201)+2,5)),$BN201:$DU201)</f>
        <v/>
      </c>
      <c r="EA201" s="253">
        <f>Автовик_разбивка[[#This Row],[Цена, 
юань, без НДС 1]]*DZ201</f>
        <v/>
      </c>
      <c r="EB201" s="235">
        <f>SUMPRODUCT(--(MOD(COLUMN($BN201:$DU201),5)=MOD(COLUMN($BN201)+3,5)),$BN201:$DU201)</f>
        <v/>
      </c>
      <c r="EC201" s="254">
        <f>Автовик_разбивка[[#This Row],[Цена, 
юань, без НДС 1]]*EB201</f>
        <v/>
      </c>
    </row>
    <row r="202">
      <c r="A202" s="262" t="n">
        <v>333</v>
      </c>
      <c r="B202" s="263" t="inlineStr">
        <is>
          <t>Дело техники</t>
        </is>
      </c>
      <c r="C202" s="173" t="n"/>
      <c r="D202" s="173" t="n"/>
      <c r="E202" s="174" t="n"/>
      <c r="F202" s="174" t="n"/>
      <c r="G202" s="174" t="n"/>
      <c r="H202" s="175" t="n"/>
      <c r="I202" s="176" t="n"/>
      <c r="J202" s="913" t="n"/>
      <c r="K202" s="912" t="n"/>
      <c r="L202" s="178" t="n"/>
      <c r="M202" s="130" t="n"/>
      <c r="N202" s="179" t="n"/>
      <c r="O202" s="130" t="n"/>
      <c r="P202" s="178" t="n"/>
      <c r="Q202" s="130" t="n"/>
      <c r="R202" s="179" t="n"/>
      <c r="S202" s="130" t="n"/>
      <c r="T202" s="178" t="n"/>
      <c r="U202" s="130" t="n"/>
      <c r="V202" s="179" t="n"/>
      <c r="W202" s="130" t="n"/>
      <c r="X202" s="178" t="n"/>
      <c r="Y202" s="130" t="n"/>
      <c r="Z202" s="179" t="n"/>
      <c r="AA202" s="130" t="n"/>
      <c r="AB202" s="178" t="n"/>
      <c r="AC202" s="130" t="n"/>
      <c r="AD202" s="179" t="n"/>
      <c r="AE202" s="130" t="n"/>
      <c r="AF202" s="178" t="n"/>
      <c r="AG202" s="130" t="n"/>
      <c r="AH202" s="179" t="n"/>
      <c r="AI202" s="130" t="n"/>
      <c r="AJ202" s="178" t="n"/>
      <c r="AK202" s="130" t="n"/>
      <c r="AL202" s="179" t="n"/>
      <c r="AM202" s="130" t="n"/>
      <c r="AN202" s="178" t="n"/>
      <c r="AO202" s="130" t="n"/>
      <c r="AP202" s="179" t="n"/>
      <c r="AQ202" s="130" t="n"/>
      <c r="AR202" s="178" t="n"/>
      <c r="AS202" s="130" t="n"/>
      <c r="AT202" s="179" t="n"/>
      <c r="AU202" s="130" t="n"/>
      <c r="AV202" s="178" t="n"/>
      <c r="AW202" s="130" t="n"/>
      <c r="AX202" s="179" t="n"/>
      <c r="AY202" s="130" t="n"/>
      <c r="AZ202" s="178" t="n"/>
      <c r="BA202" s="130" t="n"/>
      <c r="BB202" s="179" t="n"/>
      <c r="BC202" s="130" t="n"/>
      <c r="BD202" s="178" t="n"/>
      <c r="BE202" s="130" t="n"/>
      <c r="BF202" s="109" t="n"/>
      <c r="BG202" s="130" t="n"/>
      <c r="BH202" s="180">
        <f>SUMPRODUCT(--(MOD(COLUMN($L202:$BG202),4)=MOD(COLUMN($L202),4)),$L202:$BG202)</f>
        <v/>
      </c>
      <c r="BI202" s="181">
        <f>Автовик_разбивка[[#This Row],[Цена, 
юань, без НДС 1]]*BH202</f>
        <v/>
      </c>
      <c r="BJ202" s="130">
        <f>SUMPRODUCT(--(MOD(COLUMN($L202:$BG202),4)=MOD(COLUMN($L202)+1,4)),$L202:$BG202)</f>
        <v/>
      </c>
      <c r="BK202" s="187">
        <f>Автовик_разбивка[[#This Row],[Цена, 
юань, без НДС 1]]*BJ202</f>
        <v/>
      </c>
      <c r="BL202" s="109">
        <f>SUMPRODUCT(--(MOD(COLUMN($L202:$BG202),4)=MOD(COLUMN($L202)+2,4)),$L202:$BG202)</f>
        <v/>
      </c>
      <c r="BM202" s="224">
        <f>Автовик_разбивка[[#This Row],[Цена, 
юань, без НДС 1]]*BL202</f>
        <v/>
      </c>
      <c r="BN202" s="178" t="n"/>
      <c r="BO202" s="184" t="n"/>
      <c r="BP202" s="130" t="n"/>
      <c r="BQ202" s="179" t="n"/>
      <c r="BR202" s="130" t="n"/>
      <c r="BS202" s="178" t="n"/>
      <c r="BT202" s="184" t="n"/>
      <c r="BU202" s="130" t="n"/>
      <c r="BV202" s="179" t="n"/>
      <c r="BW202" s="130" t="n"/>
      <c r="BX202" s="178" t="n"/>
      <c r="BY202" s="184" t="n"/>
      <c r="BZ202" s="130" t="n"/>
      <c r="CA202" s="179" t="n"/>
      <c r="CB202" s="130" t="n"/>
      <c r="CC202" s="178" t="n"/>
      <c r="CD202" s="184" t="n"/>
      <c r="CE202" s="130" t="n"/>
      <c r="CF202" s="179" t="n"/>
      <c r="CG202" s="130" t="n"/>
      <c r="CH202" s="178" t="n"/>
      <c r="CI202" s="184" t="n"/>
      <c r="CJ202" s="130" t="n"/>
      <c r="CK202" s="179" t="n"/>
      <c r="CL202" s="130" t="n"/>
      <c r="CM202" s="178" t="n"/>
      <c r="CN202" s="184" t="n"/>
      <c r="CO202" s="130" t="n"/>
      <c r="CP202" s="179" t="n"/>
      <c r="CQ202" s="130" t="n"/>
      <c r="CR202" s="178" t="n"/>
      <c r="CS202" s="184" t="n"/>
      <c r="CT202" s="130" t="n"/>
      <c r="CU202" s="179" t="n"/>
      <c r="CV202" s="130" t="n"/>
      <c r="CW202" s="178" t="n"/>
      <c r="CX202" s="184" t="n"/>
      <c r="CY202" s="130" t="n"/>
      <c r="CZ202" s="179" t="n"/>
      <c r="DA202" s="130" t="n"/>
      <c r="DB202" s="178" t="n"/>
      <c r="DC202" s="184" t="n"/>
      <c r="DD202" s="130" t="n"/>
      <c r="DE202" s="179" t="n"/>
      <c r="DF202" s="130" t="n"/>
      <c r="DG202" s="178" t="n"/>
      <c r="DH202" s="184" t="n"/>
      <c r="DI202" s="130" t="n"/>
      <c r="DJ202" s="179" t="n"/>
      <c r="DK202" s="130" t="n"/>
      <c r="DL202" s="178" t="n"/>
      <c r="DM202" s="184" t="n"/>
      <c r="DN202" s="130" t="n"/>
      <c r="DO202" s="179" t="n"/>
      <c r="DP202" s="130" t="n"/>
      <c r="DQ202" s="178" t="n"/>
      <c r="DR202" s="184" t="n"/>
      <c r="DS202" s="130" t="n"/>
      <c r="DT202" s="109" t="n"/>
      <c r="DU202" s="130" t="n"/>
      <c r="DV202" s="180">
        <f>SUMPRODUCT(--(MOD(COLUMN($BN202:$DU202),5)=MOD(COLUMN($BN202),5)),$BN202:$DU202)</f>
        <v/>
      </c>
      <c r="DW202" s="181">
        <f>Автовик_разбивка[[#This Row],[Цена, 
юань, без НДС 1]]*DV202</f>
        <v/>
      </c>
      <c r="DX202" s="186">
        <f>SUMPRODUCT(--(MOD(COLUMN($BN202:$DU202),5)=MOD(COLUMN($BN202)+1,5)),$BN202:$DU202)</f>
        <v/>
      </c>
      <c r="DY202" s="186">
        <f>Автовик_разбивка[[#This Row],[Цена, 
юань, без НДС 1]]*DX202</f>
        <v/>
      </c>
      <c r="DZ202" s="130">
        <f>SUMPRODUCT(--(MOD(COLUMN($BN202:$DU202),5)=MOD(COLUMN($BN202)+2,5)),$BN202:$DU202)</f>
        <v/>
      </c>
      <c r="EA202" s="187">
        <f>Автовик_разбивка[[#This Row],[Цена, 
юань, без НДС 1]]*DZ202</f>
        <v/>
      </c>
      <c r="EB202" s="109">
        <f>SUMPRODUCT(--(MOD(COLUMN($BN202:$DU202),5)=MOD(COLUMN($BN202)+3,5)),$BN202:$DU202)</f>
        <v/>
      </c>
      <c r="EC202" s="224">
        <f>Автовик_разбивка[[#This Row],[Цена, 
юань, без НДС 1]]*EB202</f>
        <v/>
      </c>
    </row>
    <row r="203">
      <c r="A203" s="262" t="n">
        <v>333</v>
      </c>
      <c r="B203" s="261" t="inlineStr">
        <is>
          <t>Дело техники</t>
        </is>
      </c>
      <c r="C203" s="244" t="n"/>
      <c r="D203" s="244" t="n"/>
      <c r="E203" s="245" t="n"/>
      <c r="F203" s="245" t="n"/>
      <c r="G203" s="245" t="n"/>
      <c r="H203" s="246" t="n"/>
      <c r="I203" s="247" t="n"/>
      <c r="J203" s="915" t="n"/>
      <c r="K203" s="915" t="n"/>
      <c r="L203" s="249" t="n"/>
      <c r="M203" s="249" t="n"/>
      <c r="N203" s="249" t="n"/>
      <c r="O203" s="249" t="n"/>
      <c r="P203" s="249" t="n"/>
      <c r="Q203" s="249" t="n"/>
      <c r="R203" s="249" t="n"/>
      <c r="S203" s="249" t="n"/>
      <c r="T203" s="249" t="n"/>
      <c r="U203" s="249" t="n"/>
      <c r="V203" s="249" t="n"/>
      <c r="W203" s="249" t="n"/>
      <c r="X203" s="249" t="n"/>
      <c r="Y203" s="249" t="n"/>
      <c r="Z203" s="249" t="n"/>
      <c r="AA203" s="249" t="n"/>
      <c r="AB203" s="249" t="n"/>
      <c r="AC203" s="249" t="n"/>
      <c r="AD203" s="249" t="n"/>
      <c r="AE203" s="249" t="n"/>
      <c r="AF203" s="249" t="n"/>
      <c r="AG203" s="249" t="n"/>
      <c r="AH203" s="249" t="n"/>
      <c r="AI203" s="249" t="n"/>
      <c r="AJ203" s="249" t="n"/>
      <c r="AK203" s="249" t="n"/>
      <c r="AL203" s="249" t="n"/>
      <c r="AM203" s="249" t="n"/>
      <c r="AN203" s="249" t="n"/>
      <c r="AO203" s="249" t="n"/>
      <c r="AP203" s="249" t="n"/>
      <c r="AQ203" s="249" t="n"/>
      <c r="AR203" s="249" t="n"/>
      <c r="AS203" s="249" t="n"/>
      <c r="AT203" s="249" t="n"/>
      <c r="AU203" s="249" t="n"/>
      <c r="AV203" s="249" t="n"/>
      <c r="AW203" s="249" t="n"/>
      <c r="AX203" s="250" t="n"/>
      <c r="AY203" s="249" t="n"/>
      <c r="AZ203" s="250" t="n"/>
      <c r="BA203" s="250" t="n"/>
      <c r="BB203" s="250" t="n"/>
      <c r="BC203" s="249" t="n"/>
      <c r="BD203" s="250" t="n"/>
      <c r="BE203" s="250" t="n"/>
      <c r="BF203" s="250" t="n"/>
      <c r="BG203" s="249" t="n"/>
      <c r="BH203" s="250">
        <f>SUMPRODUCT(--(MOD(COLUMN($L203:$BG203),4)=MOD(COLUMN($L203),4)),$L203:$BG203)</f>
        <v/>
      </c>
      <c r="BI203" s="251">
        <f>Автовик_разбивка[[#This Row],[Цена, 
юань, без НДС 1]]*BH203</f>
        <v/>
      </c>
      <c r="BJ203" s="250">
        <f>SUMPRODUCT(--(MOD(COLUMN($L203:$BG203),4)=MOD(COLUMN($L203)+1,4)),$L203:$BG203)</f>
        <v/>
      </c>
      <c r="BK203" s="251">
        <f>Автовик_разбивка[[#This Row],[Цена, 
юань, без НДС 1]]*BJ203</f>
        <v/>
      </c>
      <c r="BL203" s="250">
        <f>SUMPRODUCT(--(MOD(COLUMN($L203:$BG203),4)=MOD(COLUMN($L203)+2,4)),$L203:$BG203)</f>
        <v/>
      </c>
      <c r="BM203" s="251">
        <f>Автовик_разбивка[[#This Row],[Цена, 
юань, без НДС 1]]*BL203</f>
        <v/>
      </c>
      <c r="BN203" s="249" t="n"/>
      <c r="BO203" s="249" t="n"/>
      <c r="BP203" s="249" t="n"/>
      <c r="BQ203" s="249" t="n"/>
      <c r="BR203" s="249" t="n"/>
      <c r="BS203" s="249" t="n"/>
      <c r="BT203" s="249" t="n"/>
      <c r="BU203" s="249" t="n"/>
      <c r="BV203" s="249" t="n"/>
      <c r="BW203" s="249" t="n"/>
      <c r="BX203" s="249" t="n"/>
      <c r="BY203" s="249" t="n"/>
      <c r="BZ203" s="249" t="n"/>
      <c r="CA203" s="249" t="n"/>
      <c r="CB203" s="249" t="n"/>
      <c r="CC203" s="249" t="n"/>
      <c r="CD203" s="249" t="n"/>
      <c r="CE203" s="249" t="n"/>
      <c r="CF203" s="249" t="n"/>
      <c r="CG203" s="249" t="n"/>
      <c r="CH203" s="249" t="n"/>
      <c r="CI203" s="249" t="n"/>
      <c r="CJ203" s="249" t="n"/>
      <c r="CK203" s="249" t="n"/>
      <c r="CL203" s="249" t="n"/>
      <c r="CM203" s="249" t="n"/>
      <c r="CN203" s="249" t="n"/>
      <c r="CO203" s="249" t="n"/>
      <c r="CP203" s="249" t="n"/>
      <c r="CQ203" s="249" t="n"/>
      <c r="CR203" s="249" t="n"/>
      <c r="CS203" s="249" t="n"/>
      <c r="CT203" s="249" t="n"/>
      <c r="CU203" s="249" t="n"/>
      <c r="CV203" s="249" t="n"/>
      <c r="CW203" s="249" t="n"/>
      <c r="CX203" s="249" t="n"/>
      <c r="CY203" s="249" t="n"/>
      <c r="CZ203" s="249" t="n"/>
      <c r="DA203" s="249" t="n"/>
      <c r="DB203" s="249" t="n"/>
      <c r="DC203" s="249" t="n"/>
      <c r="DD203" s="249" t="n"/>
      <c r="DE203" s="249" t="n"/>
      <c r="DF203" s="249" t="n"/>
      <c r="DG203" s="249" t="n"/>
      <c r="DH203" s="249" t="n"/>
      <c r="DI203" s="249" t="n"/>
      <c r="DJ203" s="250" t="n"/>
      <c r="DK203" s="249" t="n"/>
      <c r="DL203" s="250" t="n"/>
      <c r="DM203" s="250" t="n"/>
      <c r="DN203" s="250" t="n"/>
      <c r="DO203" s="250" t="n"/>
      <c r="DP203" s="249" t="n"/>
      <c r="DQ203" s="250" t="n"/>
      <c r="DR203" s="250" t="n"/>
      <c r="DS203" s="250" t="n"/>
      <c r="DT203" s="250" t="n"/>
      <c r="DU203" s="249" t="n"/>
      <c r="DV203" s="250">
        <f>SUMPRODUCT(--(MOD(COLUMN($BN203:$DU203),5)=MOD(COLUMN($BN203),5)),$BN203:$DU203)</f>
        <v/>
      </c>
      <c r="DW203" s="251">
        <f>Автовик_разбивка[[#This Row],[Цена, 
юань, без НДС 1]]*DV203</f>
        <v/>
      </c>
      <c r="DX203" s="251">
        <f>SUMPRODUCT(--(MOD(COLUMN($BN203:$DU203),5)=MOD(COLUMN($BN203)+1,5)),$BN203:$DU203)</f>
        <v/>
      </c>
      <c r="DY203" s="251">
        <f>Автовик_разбивка[[#This Row],[Цена, 
юань, без НДС 1]]*DX203</f>
        <v/>
      </c>
      <c r="DZ203" s="250">
        <f>SUMPRODUCT(--(MOD(COLUMN($BN203:$DU203),5)=MOD(COLUMN($BN203)+2,5)),$BN203:$DU203)</f>
        <v/>
      </c>
      <c r="EA203" s="251">
        <f>Автовик_разбивка[[#This Row],[Цена, 
юань, без НДС 1]]*DZ203</f>
        <v/>
      </c>
      <c r="EB203" s="250">
        <f>SUMPRODUCT(--(MOD(COLUMN($BN203:$DU203),5)=MOD(COLUMN($BN203)+3,5)),$BN203:$DU203)</f>
        <v/>
      </c>
      <c r="EC203" s="251">
        <f>Автовик_разбивка[[#This Row],[Цена, 
юань, без НДС 1]]*EB203</f>
        <v/>
      </c>
    </row>
    <row r="204">
      <c r="A204" s="262" t="n">
        <v>333</v>
      </c>
      <c r="B204" s="264" t="inlineStr">
        <is>
          <t>ИксТехн</t>
        </is>
      </c>
      <c r="C204" s="132" t="n"/>
      <c r="D204" s="132" t="n"/>
      <c r="E204" s="229" t="n"/>
      <c r="F204" s="229" t="n"/>
      <c r="G204" s="229" t="n"/>
      <c r="H204" s="230" t="n"/>
      <c r="I204" s="231" t="inlineStr">
        <is>
          <t>Итого</t>
        </is>
      </c>
      <c r="J204" s="914" t="n"/>
      <c r="K204" s="914" t="n"/>
      <c r="L204" s="233" t="n"/>
      <c r="M204" s="234" t="n"/>
      <c r="N204" s="235" t="n"/>
      <c r="O204" s="234" t="n"/>
      <c r="P204" s="233" t="n"/>
      <c r="Q204" s="234" t="n"/>
      <c r="R204" s="235" t="n"/>
      <c r="S204" s="234" t="n"/>
      <c r="T204" s="233" t="n"/>
      <c r="U204" s="234" t="n"/>
      <c r="V204" s="235" t="n"/>
      <c r="W204" s="234" t="n"/>
      <c r="X204" s="233" t="n"/>
      <c r="Y204" s="234" t="n"/>
      <c r="Z204" s="235" t="n"/>
      <c r="AA204" s="234" t="n"/>
      <c r="AB204" s="233" t="n"/>
      <c r="AC204" s="234" t="n"/>
      <c r="AD204" s="235" t="n"/>
      <c r="AE204" s="234" t="n"/>
      <c r="AF204" s="233" t="n"/>
      <c r="AG204" s="234" t="n"/>
      <c r="AH204" s="235" t="n"/>
      <c r="AI204" s="234" t="n"/>
      <c r="AJ204" s="233" t="n"/>
      <c r="AK204" s="234" t="n"/>
      <c r="AL204" s="235" t="n"/>
      <c r="AM204" s="234" t="n"/>
      <c r="AN204" s="233" t="n"/>
      <c r="AO204" s="234" t="n"/>
      <c r="AP204" s="235" t="n"/>
      <c r="AQ204" s="234" t="n"/>
      <c r="AR204" s="233" t="n"/>
      <c r="AS204" s="234" t="n"/>
      <c r="AT204" s="235" t="n"/>
      <c r="AU204" s="234" t="n"/>
      <c r="AV204" s="233" t="n"/>
      <c r="AW204" s="234" t="n"/>
      <c r="AX204" s="235" t="n"/>
      <c r="AY204" s="234" t="n"/>
      <c r="AZ204" s="233" t="n"/>
      <c r="BA204" s="234" t="n"/>
      <c r="BB204" s="235" t="n"/>
      <c r="BC204" s="234" t="n"/>
      <c r="BD204" s="233" t="n"/>
      <c r="BE204" s="234" t="n"/>
      <c r="BF204" s="235" t="n"/>
      <c r="BG204" s="234" t="n"/>
      <c r="BH204" s="233">
        <f>SUMPRODUCT(--(MOD(COLUMN($L204:$BG204),4)=MOD(COLUMN($L204),4)),$L204:$BG204)</f>
        <v/>
      </c>
      <c r="BI204" s="238">
        <f>Автовик_разбивка[[#This Row],[Цена, 
юань, без НДС 1]]*BH204</f>
        <v/>
      </c>
      <c r="BJ204" s="234">
        <f>SUMPRODUCT(--(MOD(COLUMN($L204:$BG204),4)=MOD(COLUMN($L204)+1,4)),$L204:$BG204)</f>
        <v/>
      </c>
      <c r="BK204" s="253">
        <f>Автовик_разбивка[[#This Row],[Цена, 
юань, без НДС 1]]*BJ204</f>
        <v/>
      </c>
      <c r="BL204" s="235">
        <f>SUMPRODUCT(--(MOD(COLUMN($L204:$BG204),4)=MOD(COLUMN($L204)+2,4)),$L204:$BG204)</f>
        <v/>
      </c>
      <c r="BM204" s="254">
        <f>Автовик_разбивка[[#This Row],[Цена, 
юань, без НДС 1]]*BL204</f>
        <v/>
      </c>
      <c r="BN204" s="233" t="n"/>
      <c r="BO204" s="241" t="n"/>
      <c r="BP204" s="234" t="n"/>
      <c r="BQ204" s="235" t="n"/>
      <c r="BR204" s="234" t="n"/>
      <c r="BS204" s="233" t="n"/>
      <c r="BT204" s="241" t="n"/>
      <c r="BU204" s="234" t="n"/>
      <c r="BV204" s="235" t="n"/>
      <c r="BW204" s="234" t="n"/>
      <c r="BX204" s="233" t="n"/>
      <c r="BY204" s="241" t="n"/>
      <c r="BZ204" s="234" t="n"/>
      <c r="CA204" s="235" t="n"/>
      <c r="CB204" s="234" t="n"/>
      <c r="CC204" s="233" t="n"/>
      <c r="CD204" s="241" t="n"/>
      <c r="CE204" s="234" t="n"/>
      <c r="CF204" s="235" t="n"/>
      <c r="CG204" s="234" t="n"/>
      <c r="CH204" s="233" t="n"/>
      <c r="CI204" s="241" t="n"/>
      <c r="CJ204" s="234" t="n"/>
      <c r="CK204" s="235" t="n"/>
      <c r="CL204" s="234" t="n"/>
      <c r="CM204" s="233" t="n"/>
      <c r="CN204" s="241" t="n"/>
      <c r="CO204" s="234" t="n"/>
      <c r="CP204" s="235" t="n"/>
      <c r="CQ204" s="234" t="n"/>
      <c r="CR204" s="233" t="n"/>
      <c r="CS204" s="241" t="n"/>
      <c r="CT204" s="234" t="n"/>
      <c r="CU204" s="235" t="n"/>
      <c r="CV204" s="234" t="n"/>
      <c r="CW204" s="233" t="n"/>
      <c r="CX204" s="241" t="n"/>
      <c r="CY204" s="234" t="n"/>
      <c r="CZ204" s="235" t="n"/>
      <c r="DA204" s="234" t="n"/>
      <c r="DB204" s="233" t="n"/>
      <c r="DC204" s="241" t="n"/>
      <c r="DD204" s="234" t="n"/>
      <c r="DE204" s="235" t="n"/>
      <c r="DF204" s="234" t="n"/>
      <c r="DG204" s="233" t="n"/>
      <c r="DH204" s="241" t="n"/>
      <c r="DI204" s="234" t="n"/>
      <c r="DJ204" s="235" t="n"/>
      <c r="DK204" s="234" t="n"/>
      <c r="DL204" s="233" t="n"/>
      <c r="DM204" s="241" t="n"/>
      <c r="DN204" s="234" t="n"/>
      <c r="DO204" s="235" t="n"/>
      <c r="DP204" s="234" t="n"/>
      <c r="DQ204" s="233" t="n"/>
      <c r="DR204" s="241" t="n"/>
      <c r="DS204" s="234" t="n"/>
      <c r="DT204" s="235" t="n"/>
      <c r="DU204" s="234" t="n"/>
      <c r="DV204" s="233">
        <f>SUMPRODUCT(--(MOD(COLUMN($BN204:$DU204),5)=MOD(COLUMN($BN204),5)),$BN204:$DU204)</f>
        <v/>
      </c>
      <c r="DW204" s="238">
        <f>Автовик_разбивка[[#This Row],[Цена, 
юань, без НДС 1]]*DV204</f>
        <v/>
      </c>
      <c r="DX204" s="242">
        <f>SUMPRODUCT(--(MOD(COLUMN($BN204:$DU204),5)=MOD(COLUMN($BN204)+1,5)),$BN204:$DU204)</f>
        <v/>
      </c>
      <c r="DY204" s="242">
        <f>Автовик_разбивка[[#This Row],[Цена, 
юань, без НДС 1]]*DX204</f>
        <v/>
      </c>
      <c r="DZ204" s="234">
        <f>SUMPRODUCT(--(MOD(COLUMN($BN204:$DU204),5)=MOD(COLUMN($BN204)+2,5)),$BN204:$DU204)</f>
        <v/>
      </c>
      <c r="EA204" s="253">
        <f>Автовик_разбивка[[#This Row],[Цена, 
юань, без НДС 1]]*DZ204</f>
        <v/>
      </c>
      <c r="EB204" s="235">
        <f>SUMPRODUCT(--(MOD(COLUMN($BN204:$DU204),5)=MOD(COLUMN($BN204)+3,5)),$BN204:$DU204)</f>
        <v/>
      </c>
      <c r="EC204" s="254">
        <f>Автовик_разбивка[[#This Row],[Цена, 
юань, без НДС 1]]*EB204</f>
        <v/>
      </c>
    </row>
    <row r="205">
      <c r="A205" s="262" t="n">
        <v>333</v>
      </c>
      <c r="B205" s="264" t="inlineStr">
        <is>
          <t>ИксТехн</t>
        </is>
      </c>
      <c r="C205" s="173" t="n"/>
      <c r="D205" s="173" t="n"/>
      <c r="E205" s="174" t="n"/>
      <c r="F205" s="174" t="n"/>
      <c r="G205" s="174" t="n"/>
      <c r="H205" s="175" t="n"/>
      <c r="I205" s="176" t="n"/>
      <c r="J205" s="913" t="n"/>
      <c r="K205" s="912" t="n"/>
      <c r="L205" s="178" t="n"/>
      <c r="M205" s="130" t="n"/>
      <c r="N205" s="179" t="n"/>
      <c r="O205" s="130" t="n"/>
      <c r="P205" s="178" t="n"/>
      <c r="Q205" s="130" t="n"/>
      <c r="R205" s="179" t="n"/>
      <c r="S205" s="130" t="n"/>
      <c r="T205" s="178" t="n"/>
      <c r="U205" s="130" t="n"/>
      <c r="V205" s="179" t="n"/>
      <c r="W205" s="130" t="n"/>
      <c r="X205" s="178" t="n"/>
      <c r="Y205" s="130" t="n"/>
      <c r="Z205" s="179" t="n"/>
      <c r="AA205" s="130" t="n"/>
      <c r="AB205" s="178" t="n"/>
      <c r="AC205" s="130" t="n"/>
      <c r="AD205" s="179" t="n"/>
      <c r="AE205" s="130" t="n"/>
      <c r="AF205" s="178" t="n"/>
      <c r="AG205" s="130" t="n"/>
      <c r="AH205" s="179" t="n"/>
      <c r="AI205" s="130" t="n"/>
      <c r="AJ205" s="178" t="n"/>
      <c r="AK205" s="130" t="n"/>
      <c r="AL205" s="179" t="n"/>
      <c r="AM205" s="130" t="n"/>
      <c r="AN205" s="178" t="n"/>
      <c r="AO205" s="130" t="n"/>
      <c r="AP205" s="179" t="n"/>
      <c r="AQ205" s="130" t="n"/>
      <c r="AR205" s="178" t="n"/>
      <c r="AS205" s="130" t="n"/>
      <c r="AT205" s="179" t="n"/>
      <c r="AU205" s="130" t="n"/>
      <c r="AV205" s="178" t="n"/>
      <c r="AW205" s="130" t="n"/>
      <c r="AX205" s="179" t="n"/>
      <c r="AY205" s="130" t="n"/>
      <c r="AZ205" s="178" t="n"/>
      <c r="BA205" s="130" t="n"/>
      <c r="BB205" s="179" t="n"/>
      <c r="BC205" s="130" t="n"/>
      <c r="BD205" s="178" t="n"/>
      <c r="BE205" s="130" t="n"/>
      <c r="BF205" s="109" t="n"/>
      <c r="BG205" s="130" t="n"/>
      <c r="BH205" s="180">
        <f>SUMPRODUCT(--(MOD(COLUMN($L205:$BG205),4)=MOD(COLUMN($L205),4)),$L205:$BG205)</f>
        <v/>
      </c>
      <c r="BI205" s="181">
        <f>Автовик_разбивка[[#This Row],[Цена, 
юань, без НДС 1]]*BH205</f>
        <v/>
      </c>
      <c r="BJ205" s="130">
        <f>SUMPRODUCT(--(MOD(COLUMN($L205:$BG205),4)=MOD(COLUMN($L205)+1,4)),$L205:$BG205)</f>
        <v/>
      </c>
      <c r="BK205" s="187">
        <f>Автовик_разбивка[[#This Row],[Цена, 
юань, без НДС 1]]*BJ205</f>
        <v/>
      </c>
      <c r="BL205" s="109">
        <f>SUMPRODUCT(--(MOD(COLUMN($L205:$BG205),4)=MOD(COLUMN($L205)+2,4)),$L205:$BG205)</f>
        <v/>
      </c>
      <c r="BM205" s="224">
        <f>Автовик_разбивка[[#This Row],[Цена, 
юань, без НДС 1]]*BL205</f>
        <v/>
      </c>
      <c r="BN205" s="178" t="n"/>
      <c r="BO205" s="184" t="n"/>
      <c r="BP205" s="130" t="n"/>
      <c r="BQ205" s="179" t="n"/>
      <c r="BR205" s="130" t="n"/>
      <c r="BS205" s="178" t="n"/>
      <c r="BT205" s="184" t="n"/>
      <c r="BU205" s="130" t="n"/>
      <c r="BV205" s="179" t="n"/>
      <c r="BW205" s="130" t="n"/>
      <c r="BX205" s="178" t="n"/>
      <c r="BY205" s="184" t="n"/>
      <c r="BZ205" s="130" t="n"/>
      <c r="CA205" s="179" t="n"/>
      <c r="CB205" s="130" t="n"/>
      <c r="CC205" s="178" t="n"/>
      <c r="CD205" s="184" t="n"/>
      <c r="CE205" s="130" t="n"/>
      <c r="CF205" s="179" t="n"/>
      <c r="CG205" s="130" t="n"/>
      <c r="CH205" s="178" t="n"/>
      <c r="CI205" s="184" t="n"/>
      <c r="CJ205" s="130" t="n"/>
      <c r="CK205" s="179" t="n"/>
      <c r="CL205" s="130" t="n"/>
      <c r="CM205" s="178" t="n"/>
      <c r="CN205" s="184" t="n"/>
      <c r="CO205" s="130" t="n"/>
      <c r="CP205" s="179" t="n"/>
      <c r="CQ205" s="130" t="n"/>
      <c r="CR205" s="178" t="n"/>
      <c r="CS205" s="184" t="n"/>
      <c r="CT205" s="130" t="n"/>
      <c r="CU205" s="179" t="n"/>
      <c r="CV205" s="130" t="n"/>
      <c r="CW205" s="178" t="n"/>
      <c r="CX205" s="184" t="n"/>
      <c r="CY205" s="130" t="n"/>
      <c r="CZ205" s="179" t="n"/>
      <c r="DA205" s="130" t="n"/>
      <c r="DB205" s="178" t="n"/>
      <c r="DC205" s="184" t="n"/>
      <c r="DD205" s="130" t="n"/>
      <c r="DE205" s="179" t="n"/>
      <c r="DF205" s="130" t="n"/>
      <c r="DG205" s="178" t="n"/>
      <c r="DH205" s="184" t="n"/>
      <c r="DI205" s="130" t="n"/>
      <c r="DJ205" s="179" t="n"/>
      <c r="DK205" s="130" t="n"/>
      <c r="DL205" s="178" t="n"/>
      <c r="DM205" s="184" t="n"/>
      <c r="DN205" s="130" t="n"/>
      <c r="DO205" s="179" t="n"/>
      <c r="DP205" s="130" t="n"/>
      <c r="DQ205" s="178" t="n"/>
      <c r="DR205" s="184" t="n"/>
      <c r="DS205" s="130" t="n"/>
      <c r="DT205" s="109" t="n"/>
      <c r="DU205" s="130" t="n"/>
      <c r="DV205" s="180">
        <f>SUMPRODUCT(--(MOD(COLUMN($BN205:$DU205),5)=MOD(COLUMN($BN205),5)),$BN205:$DU205)</f>
        <v/>
      </c>
      <c r="DW205" s="181">
        <f>Автовик_разбивка[[#This Row],[Цена, 
юань, без НДС 1]]*DV205</f>
        <v/>
      </c>
      <c r="DX205" s="186">
        <f>SUMPRODUCT(--(MOD(COLUMN($BN205:$DU205),5)=MOD(COLUMN($BN205)+1,5)),$BN205:$DU205)</f>
        <v/>
      </c>
      <c r="DY205" s="186">
        <f>Автовик_разбивка[[#This Row],[Цена, 
юань, без НДС 1]]*DX205</f>
        <v/>
      </c>
      <c r="DZ205" s="130">
        <f>SUMPRODUCT(--(MOD(COLUMN($BN205:$DU205),5)=MOD(COLUMN($BN205)+2,5)),$BN205:$DU205)</f>
        <v/>
      </c>
      <c r="EA205" s="187">
        <f>Автовик_разбивка[[#This Row],[Цена, 
юань, без НДС 1]]*DZ205</f>
        <v/>
      </c>
      <c r="EB205" s="109">
        <f>SUMPRODUCT(--(MOD(COLUMN($BN205:$DU205),5)=MOD(COLUMN($BN205)+3,5)),$BN205:$DU205)</f>
        <v/>
      </c>
      <c r="EC205" s="224">
        <f>Автовик_разбивка[[#This Row],[Цена, 
юань, без НДС 1]]*EB205</f>
        <v/>
      </c>
    </row>
    <row r="206">
      <c r="A206" s="262" t="n">
        <v>333</v>
      </c>
      <c r="B206" s="261" t="inlineStr">
        <is>
          <t>ИксТехн</t>
        </is>
      </c>
      <c r="C206" s="244" t="n"/>
      <c r="D206" s="244" t="n"/>
      <c r="E206" s="245" t="n"/>
      <c r="F206" s="245" t="n"/>
      <c r="G206" s="245" t="n"/>
      <c r="H206" s="246" t="n"/>
      <c r="I206" s="247" t="n"/>
      <c r="J206" s="915" t="n"/>
      <c r="K206" s="915" t="n"/>
      <c r="L206" s="249" t="n"/>
      <c r="M206" s="249" t="n"/>
      <c r="N206" s="249" t="n"/>
      <c r="O206" s="249" t="n"/>
      <c r="P206" s="249" t="n"/>
      <c r="Q206" s="249" t="n"/>
      <c r="R206" s="249" t="n"/>
      <c r="S206" s="249" t="n"/>
      <c r="T206" s="249" t="n"/>
      <c r="U206" s="249" t="n"/>
      <c r="V206" s="249" t="n"/>
      <c r="W206" s="249" t="n"/>
      <c r="X206" s="249" t="n"/>
      <c r="Y206" s="249" t="n"/>
      <c r="Z206" s="249" t="n"/>
      <c r="AA206" s="249" t="n"/>
      <c r="AB206" s="249" t="n"/>
      <c r="AC206" s="249" t="n"/>
      <c r="AD206" s="249" t="n"/>
      <c r="AE206" s="249" t="n"/>
      <c r="AF206" s="249" t="n"/>
      <c r="AG206" s="249" t="n"/>
      <c r="AH206" s="249" t="n"/>
      <c r="AI206" s="249" t="n"/>
      <c r="AJ206" s="249" t="n"/>
      <c r="AK206" s="249" t="n"/>
      <c r="AL206" s="249" t="n"/>
      <c r="AM206" s="249" t="n"/>
      <c r="AN206" s="249" t="n"/>
      <c r="AO206" s="249" t="n"/>
      <c r="AP206" s="249" t="n"/>
      <c r="AQ206" s="249" t="n"/>
      <c r="AR206" s="249" t="n"/>
      <c r="AS206" s="249" t="n"/>
      <c r="AT206" s="249" t="n"/>
      <c r="AU206" s="249" t="n"/>
      <c r="AV206" s="249" t="n"/>
      <c r="AW206" s="249" t="n"/>
      <c r="AX206" s="250" t="n"/>
      <c r="AY206" s="249" t="n"/>
      <c r="AZ206" s="250" t="n"/>
      <c r="BA206" s="250" t="n"/>
      <c r="BB206" s="250" t="n"/>
      <c r="BC206" s="249" t="n"/>
      <c r="BD206" s="250" t="n"/>
      <c r="BE206" s="250" t="n"/>
      <c r="BF206" s="250" t="n"/>
      <c r="BG206" s="249" t="n"/>
      <c r="BH206" s="250">
        <f>SUMPRODUCT(--(MOD(COLUMN($L206:$BG206),4)=MOD(COLUMN($L206),4)),$L206:$BG206)</f>
        <v/>
      </c>
      <c r="BI206" s="251">
        <f>Автовик_разбивка[[#This Row],[Цена, 
юань, без НДС 1]]*BH206</f>
        <v/>
      </c>
      <c r="BJ206" s="250">
        <f>SUMPRODUCT(--(MOD(COLUMN($L206:$BG206),4)=MOD(COLUMN($L206)+1,4)),$L206:$BG206)</f>
        <v/>
      </c>
      <c r="BK206" s="251">
        <f>Автовик_разбивка[[#This Row],[Цена, 
юань, без НДС 1]]*BJ206</f>
        <v/>
      </c>
      <c r="BL206" s="250">
        <f>SUMPRODUCT(--(MOD(COLUMN($L206:$BG206),4)=MOD(COLUMN($L206)+2,4)),$L206:$BG206)</f>
        <v/>
      </c>
      <c r="BM206" s="251">
        <f>Автовик_разбивка[[#This Row],[Цена, 
юань, без НДС 1]]*BL206</f>
        <v/>
      </c>
      <c r="BN206" s="249" t="n"/>
      <c r="BO206" s="249" t="n"/>
      <c r="BP206" s="249" t="n"/>
      <c r="BQ206" s="249" t="n"/>
      <c r="BR206" s="249" t="n"/>
      <c r="BS206" s="249" t="n"/>
      <c r="BT206" s="249" t="n"/>
      <c r="BU206" s="249" t="n"/>
      <c r="BV206" s="249" t="n"/>
      <c r="BW206" s="249" t="n"/>
      <c r="BX206" s="249" t="n"/>
      <c r="BY206" s="249" t="n"/>
      <c r="BZ206" s="249" t="n"/>
      <c r="CA206" s="249" t="n"/>
      <c r="CB206" s="249" t="n"/>
      <c r="CC206" s="249" t="n"/>
      <c r="CD206" s="249" t="n"/>
      <c r="CE206" s="249" t="n"/>
      <c r="CF206" s="249" t="n"/>
      <c r="CG206" s="249" t="n"/>
      <c r="CH206" s="249" t="n"/>
      <c r="CI206" s="249" t="n"/>
      <c r="CJ206" s="249" t="n"/>
      <c r="CK206" s="249" t="n"/>
      <c r="CL206" s="249" t="n"/>
      <c r="CM206" s="249" t="n"/>
      <c r="CN206" s="249" t="n"/>
      <c r="CO206" s="249" t="n"/>
      <c r="CP206" s="249" t="n"/>
      <c r="CQ206" s="249" t="n"/>
      <c r="CR206" s="249" t="n"/>
      <c r="CS206" s="249" t="n"/>
      <c r="CT206" s="249" t="n"/>
      <c r="CU206" s="249" t="n"/>
      <c r="CV206" s="249" t="n"/>
      <c r="CW206" s="249" t="n"/>
      <c r="CX206" s="249" t="n"/>
      <c r="CY206" s="249" t="n"/>
      <c r="CZ206" s="249" t="n"/>
      <c r="DA206" s="249" t="n"/>
      <c r="DB206" s="249" t="n"/>
      <c r="DC206" s="249" t="n"/>
      <c r="DD206" s="249" t="n"/>
      <c r="DE206" s="249" t="n"/>
      <c r="DF206" s="249" t="n"/>
      <c r="DG206" s="249" t="n"/>
      <c r="DH206" s="249" t="n"/>
      <c r="DI206" s="249" t="n"/>
      <c r="DJ206" s="250" t="n"/>
      <c r="DK206" s="249" t="n"/>
      <c r="DL206" s="250" t="n"/>
      <c r="DM206" s="250" t="n"/>
      <c r="DN206" s="250" t="n"/>
      <c r="DO206" s="250" t="n"/>
      <c r="DP206" s="249" t="n"/>
      <c r="DQ206" s="250" t="n"/>
      <c r="DR206" s="250" t="n"/>
      <c r="DS206" s="250" t="n"/>
      <c r="DT206" s="250" t="n"/>
      <c r="DU206" s="249" t="n"/>
      <c r="DV206" s="250">
        <f>SUMPRODUCT(--(MOD(COLUMN($BN206:$DU206),5)=MOD(COLUMN($BN206),5)),$BN206:$DU206)</f>
        <v/>
      </c>
      <c r="DW206" s="251">
        <f>Автовик_разбивка[[#This Row],[Цена, 
юань, без НДС 1]]*DV206</f>
        <v/>
      </c>
      <c r="DX206" s="251">
        <f>SUMPRODUCT(--(MOD(COLUMN($BN206:$DU206),5)=MOD(COLUMN($BN206)+1,5)),$BN206:$DU206)</f>
        <v/>
      </c>
      <c r="DY206" s="251">
        <f>Автовик_разбивка[[#This Row],[Цена, 
юань, без НДС 1]]*DX206</f>
        <v/>
      </c>
      <c r="DZ206" s="250">
        <f>SUMPRODUCT(--(MOD(COLUMN($BN206:$DU206),5)=MOD(COLUMN($BN206)+2,5)),$BN206:$DU206)</f>
        <v/>
      </c>
      <c r="EA206" s="251">
        <f>Автовик_разбивка[[#This Row],[Цена, 
юань, без НДС 1]]*DZ206</f>
        <v/>
      </c>
      <c r="EB206" s="250">
        <f>SUMPRODUCT(--(MOD(COLUMN($BN206:$DU206),5)=MOD(COLUMN($BN206)+3,5)),$BN206:$DU206)</f>
        <v/>
      </c>
      <c r="EC206" s="251">
        <f>Автовик_разбивка[[#This Row],[Цена, 
юань, без НДС 1]]*EB206</f>
        <v/>
      </c>
    </row>
    <row r="207">
      <c r="A207" s="262" t="n">
        <v>333</v>
      </c>
      <c r="B207" s="263" t="inlineStr">
        <is>
          <t>САП</t>
        </is>
      </c>
      <c r="C207" s="132" t="n"/>
      <c r="D207" s="132" t="n"/>
      <c r="E207" s="229" t="n"/>
      <c r="F207" s="229" t="n"/>
      <c r="G207" s="229" t="n"/>
      <c r="H207" s="230" t="n"/>
      <c r="I207" s="231" t="inlineStr">
        <is>
          <t>Итого</t>
        </is>
      </c>
      <c r="J207" s="914" t="n"/>
      <c r="K207" s="914" t="n"/>
      <c r="L207" s="233" t="n"/>
      <c r="M207" s="234" t="n"/>
      <c r="N207" s="235" t="n"/>
      <c r="O207" s="234" t="n"/>
      <c r="P207" s="233" t="n"/>
      <c r="Q207" s="234" t="n"/>
      <c r="R207" s="235" t="n"/>
      <c r="S207" s="234" t="n"/>
      <c r="T207" s="233" t="n"/>
      <c r="U207" s="234" t="n"/>
      <c r="V207" s="235" t="n"/>
      <c r="W207" s="234" t="n"/>
      <c r="X207" s="233" t="n"/>
      <c r="Y207" s="234" t="n"/>
      <c r="Z207" s="235" t="n"/>
      <c r="AA207" s="234" t="n"/>
      <c r="AB207" s="233" t="n"/>
      <c r="AC207" s="234" t="n"/>
      <c r="AD207" s="235" t="n"/>
      <c r="AE207" s="234" t="n"/>
      <c r="AF207" s="233" t="n"/>
      <c r="AG207" s="234" t="n"/>
      <c r="AH207" s="235" t="n"/>
      <c r="AI207" s="234" t="n"/>
      <c r="AJ207" s="233" t="n"/>
      <c r="AK207" s="234" t="n"/>
      <c r="AL207" s="235" t="n"/>
      <c r="AM207" s="234" t="n"/>
      <c r="AN207" s="233" t="n"/>
      <c r="AO207" s="234" t="n"/>
      <c r="AP207" s="235" t="n"/>
      <c r="AQ207" s="234" t="n"/>
      <c r="AR207" s="233" t="n"/>
      <c r="AS207" s="234" t="n"/>
      <c r="AT207" s="235" t="n"/>
      <c r="AU207" s="234" t="n"/>
      <c r="AV207" s="233" t="n"/>
      <c r="AW207" s="234" t="n"/>
      <c r="AX207" s="235" t="n"/>
      <c r="AY207" s="234" t="n"/>
      <c r="AZ207" s="233" t="n"/>
      <c r="BA207" s="234" t="n"/>
      <c r="BB207" s="235" t="n"/>
      <c r="BC207" s="234" t="n"/>
      <c r="BD207" s="233" t="n"/>
      <c r="BE207" s="234" t="n"/>
      <c r="BF207" s="235" t="n"/>
      <c r="BG207" s="234" t="n"/>
      <c r="BH207" s="233">
        <f>SUMPRODUCT(--(MOD(COLUMN($L207:$BG207),4)=MOD(COLUMN($L207),4)),$L207:$BG207)</f>
        <v/>
      </c>
      <c r="BI207" s="238">
        <f>Автовик_разбивка[[#This Row],[Цена, 
юань, без НДС 1]]*BH207</f>
        <v/>
      </c>
      <c r="BJ207" s="234">
        <f>SUMPRODUCT(--(MOD(COLUMN($L207:$BG207),4)=MOD(COLUMN($L207)+1,4)),$L207:$BG207)</f>
        <v/>
      </c>
      <c r="BK207" s="253">
        <f>Автовик_разбивка[[#This Row],[Цена, 
юань, без НДС 1]]*BJ207</f>
        <v/>
      </c>
      <c r="BL207" s="235">
        <f>SUMPRODUCT(--(MOD(COLUMN($L207:$BG207),4)=MOD(COLUMN($L207)+2,4)),$L207:$BG207)</f>
        <v/>
      </c>
      <c r="BM207" s="254">
        <f>Автовик_разбивка[[#This Row],[Цена, 
юань, без НДС 1]]*BL207</f>
        <v/>
      </c>
      <c r="BN207" s="233" t="n"/>
      <c r="BO207" s="241" t="n"/>
      <c r="BP207" s="234" t="n"/>
      <c r="BQ207" s="235" t="n"/>
      <c r="BR207" s="234" t="n"/>
      <c r="BS207" s="233" t="n"/>
      <c r="BT207" s="241" t="n"/>
      <c r="BU207" s="234" t="n"/>
      <c r="BV207" s="235" t="n"/>
      <c r="BW207" s="234" t="n"/>
      <c r="BX207" s="233" t="n"/>
      <c r="BY207" s="241" t="n"/>
      <c r="BZ207" s="234" t="n"/>
      <c r="CA207" s="235" t="n"/>
      <c r="CB207" s="234" t="n"/>
      <c r="CC207" s="233" t="n"/>
      <c r="CD207" s="241" t="n"/>
      <c r="CE207" s="234" t="n"/>
      <c r="CF207" s="235" t="n"/>
      <c r="CG207" s="234" t="n"/>
      <c r="CH207" s="233" t="n"/>
      <c r="CI207" s="241" t="n"/>
      <c r="CJ207" s="234" t="n"/>
      <c r="CK207" s="235" t="n"/>
      <c r="CL207" s="234" t="n"/>
      <c r="CM207" s="233" t="n"/>
      <c r="CN207" s="241" t="n"/>
      <c r="CO207" s="234" t="n"/>
      <c r="CP207" s="235" t="n"/>
      <c r="CQ207" s="234" t="n"/>
      <c r="CR207" s="233" t="n"/>
      <c r="CS207" s="241" t="n"/>
      <c r="CT207" s="234" t="n"/>
      <c r="CU207" s="235" t="n"/>
      <c r="CV207" s="234" t="n"/>
      <c r="CW207" s="233" t="n"/>
      <c r="CX207" s="241" t="n"/>
      <c r="CY207" s="234" t="n"/>
      <c r="CZ207" s="235" t="n"/>
      <c r="DA207" s="234" t="n"/>
      <c r="DB207" s="233" t="n"/>
      <c r="DC207" s="241" t="n"/>
      <c r="DD207" s="234" t="n"/>
      <c r="DE207" s="235" t="n"/>
      <c r="DF207" s="234" t="n"/>
      <c r="DG207" s="233" t="n"/>
      <c r="DH207" s="241" t="n"/>
      <c r="DI207" s="234" t="n"/>
      <c r="DJ207" s="235" t="n"/>
      <c r="DK207" s="234" t="n"/>
      <c r="DL207" s="233" t="n"/>
      <c r="DM207" s="241" t="n"/>
      <c r="DN207" s="234" t="n"/>
      <c r="DO207" s="235" t="n"/>
      <c r="DP207" s="234" t="n"/>
      <c r="DQ207" s="233" t="n"/>
      <c r="DR207" s="241" t="n"/>
      <c r="DS207" s="234" t="n"/>
      <c r="DT207" s="235" t="n"/>
      <c r="DU207" s="234" t="n"/>
      <c r="DV207" s="233">
        <f>SUMPRODUCT(--(MOD(COLUMN($BN207:$DU207),5)=MOD(COLUMN($BN207),5)),$BN207:$DU207)</f>
        <v/>
      </c>
      <c r="DW207" s="238">
        <f>Автовик_разбивка[[#This Row],[Цена, 
юань, без НДС 1]]*DV207</f>
        <v/>
      </c>
      <c r="DX207" s="242">
        <f>SUMPRODUCT(--(MOD(COLUMN($BN207:$DU207),5)=MOD(COLUMN($BN207)+1,5)),$BN207:$DU207)</f>
        <v/>
      </c>
      <c r="DY207" s="242">
        <f>Автовик_разбивка[[#This Row],[Цена, 
юань, без НДС 1]]*DX207</f>
        <v/>
      </c>
      <c r="DZ207" s="234">
        <f>SUMPRODUCT(--(MOD(COLUMN($BN207:$DU207),5)=MOD(COLUMN($BN207)+2,5)),$BN207:$DU207)</f>
        <v/>
      </c>
      <c r="EA207" s="253">
        <f>Автовик_разбивка[[#This Row],[Цена, 
юань, без НДС 1]]*DZ207</f>
        <v/>
      </c>
      <c r="EB207" s="235">
        <f>SUMPRODUCT(--(MOD(COLUMN($BN207:$DU207),5)=MOD(COLUMN($BN207)+3,5)),$BN207:$DU207)</f>
        <v/>
      </c>
      <c r="EC207" s="254">
        <f>Автовик_разбивка[[#This Row],[Цена, 
юань, без НДС 1]]*EB207</f>
        <v/>
      </c>
    </row>
    <row r="208">
      <c r="A208" s="262" t="n">
        <v>333</v>
      </c>
      <c r="B208" s="263" t="inlineStr">
        <is>
          <t>САП</t>
        </is>
      </c>
      <c r="C208" s="173" t="n"/>
      <c r="D208" s="173" t="n"/>
      <c r="E208" s="174" t="n"/>
      <c r="F208" s="174" t="n"/>
      <c r="G208" s="174" t="n"/>
      <c r="H208" s="175" t="n"/>
      <c r="I208" s="176" t="n"/>
      <c r="J208" s="913" t="n"/>
      <c r="K208" s="912" t="n"/>
      <c r="L208" s="178" t="n"/>
      <c r="M208" s="130" t="n"/>
      <c r="N208" s="179" t="n"/>
      <c r="O208" s="130" t="n"/>
      <c r="P208" s="178" t="n"/>
      <c r="Q208" s="130" t="n"/>
      <c r="R208" s="179" t="n"/>
      <c r="S208" s="130" t="n"/>
      <c r="T208" s="178" t="n"/>
      <c r="U208" s="130" t="n"/>
      <c r="V208" s="179" t="n"/>
      <c r="W208" s="130" t="n"/>
      <c r="X208" s="178" t="n"/>
      <c r="Y208" s="130" t="n"/>
      <c r="Z208" s="179" t="n"/>
      <c r="AA208" s="130" t="n"/>
      <c r="AB208" s="178" t="n"/>
      <c r="AC208" s="130" t="n"/>
      <c r="AD208" s="179" t="n"/>
      <c r="AE208" s="130" t="n"/>
      <c r="AF208" s="178" t="n"/>
      <c r="AG208" s="130" t="n"/>
      <c r="AH208" s="179" t="n"/>
      <c r="AI208" s="130" t="n"/>
      <c r="AJ208" s="178" t="n"/>
      <c r="AK208" s="130" t="n"/>
      <c r="AL208" s="179" t="n"/>
      <c r="AM208" s="130" t="n"/>
      <c r="AN208" s="178" t="n"/>
      <c r="AO208" s="130" t="n"/>
      <c r="AP208" s="179" t="n"/>
      <c r="AQ208" s="130" t="n"/>
      <c r="AR208" s="178" t="n"/>
      <c r="AS208" s="130" t="n"/>
      <c r="AT208" s="179" t="n"/>
      <c r="AU208" s="130" t="n"/>
      <c r="AV208" s="178" t="n"/>
      <c r="AW208" s="130" t="n"/>
      <c r="AX208" s="179" t="n"/>
      <c r="AY208" s="130" t="n"/>
      <c r="AZ208" s="178" t="n"/>
      <c r="BA208" s="130" t="n"/>
      <c r="BB208" s="179" t="n"/>
      <c r="BC208" s="130" t="n"/>
      <c r="BD208" s="178" t="n"/>
      <c r="BE208" s="130" t="n"/>
      <c r="BF208" s="109" t="n"/>
      <c r="BG208" s="130" t="n"/>
      <c r="BH208" s="180">
        <f>SUMPRODUCT(--(MOD(COLUMN($L208:$BG208),4)=MOD(COLUMN($L208),4)),$L208:$BG208)</f>
        <v/>
      </c>
      <c r="BI208" s="181">
        <f>Автовик_разбивка[[#This Row],[Цена, 
юань, без НДС 1]]*BH208</f>
        <v/>
      </c>
      <c r="BJ208" s="130">
        <f>SUMPRODUCT(--(MOD(COLUMN($L208:$BG208),4)=MOD(COLUMN($L208)+1,4)),$L208:$BG208)</f>
        <v/>
      </c>
      <c r="BK208" s="187">
        <f>Автовик_разбивка[[#This Row],[Цена, 
юань, без НДС 1]]*BJ208</f>
        <v/>
      </c>
      <c r="BL208" s="109">
        <f>SUMPRODUCT(--(MOD(COLUMN($L208:$BG208),4)=MOD(COLUMN($L208)+2,4)),$L208:$BG208)</f>
        <v/>
      </c>
      <c r="BM208" s="224">
        <f>Автовик_разбивка[[#This Row],[Цена, 
юань, без НДС 1]]*BL208</f>
        <v/>
      </c>
      <c r="BN208" s="178" t="n"/>
      <c r="BO208" s="184" t="n"/>
      <c r="BP208" s="130" t="n"/>
      <c r="BQ208" s="179" t="n"/>
      <c r="BR208" s="130" t="n"/>
      <c r="BS208" s="178" t="n"/>
      <c r="BT208" s="184" t="n"/>
      <c r="BU208" s="130" t="n"/>
      <c r="BV208" s="179" t="n"/>
      <c r="BW208" s="130" t="n"/>
      <c r="BX208" s="178" t="n"/>
      <c r="BY208" s="184" t="n"/>
      <c r="BZ208" s="130" t="n"/>
      <c r="CA208" s="179" t="n"/>
      <c r="CB208" s="130" t="n"/>
      <c r="CC208" s="178" t="n"/>
      <c r="CD208" s="184" t="n"/>
      <c r="CE208" s="130" t="n"/>
      <c r="CF208" s="179" t="n"/>
      <c r="CG208" s="130" t="n"/>
      <c r="CH208" s="178" t="n"/>
      <c r="CI208" s="184" t="n"/>
      <c r="CJ208" s="130" t="n"/>
      <c r="CK208" s="179" t="n"/>
      <c r="CL208" s="130" t="n"/>
      <c r="CM208" s="178" t="n"/>
      <c r="CN208" s="184" t="n"/>
      <c r="CO208" s="130" t="n"/>
      <c r="CP208" s="179" t="n"/>
      <c r="CQ208" s="130" t="n"/>
      <c r="CR208" s="178" t="n"/>
      <c r="CS208" s="184" t="n"/>
      <c r="CT208" s="130" t="n"/>
      <c r="CU208" s="179" t="n"/>
      <c r="CV208" s="130" t="n"/>
      <c r="CW208" s="178" t="n"/>
      <c r="CX208" s="184" t="n"/>
      <c r="CY208" s="130" t="n"/>
      <c r="CZ208" s="179" t="n"/>
      <c r="DA208" s="130" t="n"/>
      <c r="DB208" s="178" t="n"/>
      <c r="DC208" s="184" t="n"/>
      <c r="DD208" s="130" t="n"/>
      <c r="DE208" s="179" t="n"/>
      <c r="DF208" s="130" t="n"/>
      <c r="DG208" s="178" t="n"/>
      <c r="DH208" s="184" t="n"/>
      <c r="DI208" s="130" t="n"/>
      <c r="DJ208" s="179" t="n"/>
      <c r="DK208" s="130" t="n"/>
      <c r="DL208" s="178" t="n"/>
      <c r="DM208" s="184" t="n"/>
      <c r="DN208" s="130" t="n"/>
      <c r="DO208" s="179" t="n"/>
      <c r="DP208" s="130" t="n"/>
      <c r="DQ208" s="178" t="n"/>
      <c r="DR208" s="184" t="n"/>
      <c r="DS208" s="130" t="n"/>
      <c r="DT208" s="109" t="n"/>
      <c r="DU208" s="130" t="n"/>
      <c r="DV208" s="180">
        <f>SUMPRODUCT(--(MOD(COLUMN($BN208:$DU208),5)=MOD(COLUMN($BN208),5)),$BN208:$DU208)</f>
        <v/>
      </c>
      <c r="DW208" s="181">
        <f>Автовик_разбивка[[#This Row],[Цена, 
юань, без НДС 1]]*DV208</f>
        <v/>
      </c>
      <c r="DX208" s="186">
        <f>SUMPRODUCT(--(MOD(COLUMN($BN208:$DU208),5)=MOD(COLUMN($BN208)+1,5)),$BN208:$DU208)</f>
        <v/>
      </c>
      <c r="DY208" s="186">
        <f>Автовик_разбивка[[#This Row],[Цена, 
юань, без НДС 1]]*DX208</f>
        <v/>
      </c>
      <c r="DZ208" s="130">
        <f>SUMPRODUCT(--(MOD(COLUMN($BN208:$DU208),5)=MOD(COLUMN($BN208)+2,5)),$BN208:$DU208)</f>
        <v/>
      </c>
      <c r="EA208" s="187">
        <f>Автовик_разбивка[[#This Row],[Цена, 
юань, без НДС 1]]*DZ208</f>
        <v/>
      </c>
      <c r="EB208" s="109">
        <f>SUMPRODUCT(--(MOD(COLUMN($BN208:$DU208),5)=MOD(COLUMN($BN208)+3,5)),$BN208:$DU208)</f>
        <v/>
      </c>
      <c r="EC208" s="224">
        <f>Автовик_разбивка[[#This Row],[Цена, 
юань, без НДС 1]]*EB208</f>
        <v/>
      </c>
    </row>
    <row r="209">
      <c r="A209" s="262" t="n">
        <v>333</v>
      </c>
      <c r="B209" s="261" t="inlineStr">
        <is>
          <t>САП</t>
        </is>
      </c>
      <c r="C209" s="244" t="n"/>
      <c r="D209" s="244" t="n"/>
      <c r="E209" s="245" t="n"/>
      <c r="F209" s="245" t="n"/>
      <c r="G209" s="245" t="n"/>
      <c r="H209" s="246" t="n"/>
      <c r="I209" s="247" t="n"/>
      <c r="J209" s="915" t="n"/>
      <c r="K209" s="915" t="n"/>
      <c r="L209" s="249" t="n"/>
      <c r="M209" s="249" t="n"/>
      <c r="N209" s="249" t="n"/>
      <c r="O209" s="249" t="n"/>
      <c r="P209" s="249" t="n"/>
      <c r="Q209" s="249" t="n"/>
      <c r="R209" s="249" t="n"/>
      <c r="S209" s="249" t="n"/>
      <c r="T209" s="249" t="n"/>
      <c r="U209" s="249" t="n"/>
      <c r="V209" s="249" t="n"/>
      <c r="W209" s="249" t="n"/>
      <c r="X209" s="249" t="n"/>
      <c r="Y209" s="249" t="n"/>
      <c r="Z209" s="249" t="n"/>
      <c r="AA209" s="249" t="n"/>
      <c r="AB209" s="249" t="n"/>
      <c r="AC209" s="249" t="n"/>
      <c r="AD209" s="249" t="n"/>
      <c r="AE209" s="249" t="n"/>
      <c r="AF209" s="249" t="n"/>
      <c r="AG209" s="249" t="n"/>
      <c r="AH209" s="249" t="n"/>
      <c r="AI209" s="249" t="n"/>
      <c r="AJ209" s="249" t="n"/>
      <c r="AK209" s="249" t="n"/>
      <c r="AL209" s="249" t="n"/>
      <c r="AM209" s="249" t="n"/>
      <c r="AN209" s="249" t="n"/>
      <c r="AO209" s="249" t="n"/>
      <c r="AP209" s="249" t="n"/>
      <c r="AQ209" s="249" t="n"/>
      <c r="AR209" s="249" t="n"/>
      <c r="AS209" s="249" t="n"/>
      <c r="AT209" s="249" t="n"/>
      <c r="AU209" s="249" t="n"/>
      <c r="AV209" s="249" t="n"/>
      <c r="AW209" s="249" t="n"/>
      <c r="AX209" s="250" t="n"/>
      <c r="AY209" s="249" t="n"/>
      <c r="AZ209" s="250" t="n"/>
      <c r="BA209" s="250" t="n"/>
      <c r="BB209" s="250" t="n"/>
      <c r="BC209" s="249" t="n"/>
      <c r="BD209" s="250" t="n"/>
      <c r="BE209" s="250" t="n"/>
      <c r="BF209" s="250" t="n"/>
      <c r="BG209" s="249" t="n"/>
      <c r="BH209" s="250">
        <f>SUMPRODUCT(--(MOD(COLUMN($L209:$BG209),4)=MOD(COLUMN($L209),4)),$L209:$BG209)</f>
        <v/>
      </c>
      <c r="BI209" s="251">
        <f>Автовик_разбивка[[#This Row],[Цена, 
юань, без НДС 1]]*BH209</f>
        <v/>
      </c>
      <c r="BJ209" s="250">
        <f>SUMPRODUCT(--(MOD(COLUMN($L209:$BG209),4)=MOD(COLUMN($L209)+1,4)),$L209:$BG209)</f>
        <v/>
      </c>
      <c r="BK209" s="251">
        <f>Автовик_разбивка[[#This Row],[Цена, 
юань, без НДС 1]]*BJ209</f>
        <v/>
      </c>
      <c r="BL209" s="250">
        <f>SUMPRODUCT(--(MOD(COLUMN($L209:$BG209),4)=MOD(COLUMN($L209)+2,4)),$L209:$BG209)</f>
        <v/>
      </c>
      <c r="BM209" s="251">
        <f>Автовик_разбивка[[#This Row],[Цена, 
юань, без НДС 1]]*BL209</f>
        <v/>
      </c>
      <c r="BN209" s="249" t="n"/>
      <c r="BO209" s="249" t="n"/>
      <c r="BP209" s="249" t="n"/>
      <c r="BQ209" s="249" t="n"/>
      <c r="BR209" s="249" t="n"/>
      <c r="BS209" s="249" t="n"/>
      <c r="BT209" s="249" t="n"/>
      <c r="BU209" s="249" t="n"/>
      <c r="BV209" s="249" t="n"/>
      <c r="BW209" s="249" t="n"/>
      <c r="BX209" s="249" t="n"/>
      <c r="BY209" s="249" t="n"/>
      <c r="BZ209" s="249" t="n"/>
      <c r="CA209" s="249" t="n"/>
      <c r="CB209" s="249" t="n"/>
      <c r="CC209" s="249" t="n"/>
      <c r="CD209" s="249" t="n"/>
      <c r="CE209" s="249" t="n"/>
      <c r="CF209" s="249" t="n"/>
      <c r="CG209" s="249" t="n"/>
      <c r="CH209" s="249" t="n"/>
      <c r="CI209" s="249" t="n"/>
      <c r="CJ209" s="249" t="n"/>
      <c r="CK209" s="249" t="n"/>
      <c r="CL209" s="249" t="n"/>
      <c r="CM209" s="249" t="n"/>
      <c r="CN209" s="249" t="n"/>
      <c r="CO209" s="249" t="n"/>
      <c r="CP209" s="249" t="n"/>
      <c r="CQ209" s="249" t="n"/>
      <c r="CR209" s="249" t="n"/>
      <c r="CS209" s="249" t="n"/>
      <c r="CT209" s="249" t="n"/>
      <c r="CU209" s="249" t="n"/>
      <c r="CV209" s="249" t="n"/>
      <c r="CW209" s="249" t="n"/>
      <c r="CX209" s="249" t="n"/>
      <c r="CY209" s="249" t="n"/>
      <c r="CZ209" s="249" t="n"/>
      <c r="DA209" s="249" t="n"/>
      <c r="DB209" s="249" t="n"/>
      <c r="DC209" s="249" t="n"/>
      <c r="DD209" s="249" t="n"/>
      <c r="DE209" s="249" t="n"/>
      <c r="DF209" s="249" t="n"/>
      <c r="DG209" s="249" t="n"/>
      <c r="DH209" s="249" t="n"/>
      <c r="DI209" s="249" t="n"/>
      <c r="DJ209" s="250" t="n"/>
      <c r="DK209" s="249" t="n"/>
      <c r="DL209" s="250" t="n"/>
      <c r="DM209" s="250" t="n"/>
      <c r="DN209" s="250" t="n"/>
      <c r="DO209" s="250" t="n"/>
      <c r="DP209" s="249" t="n"/>
      <c r="DQ209" s="250" t="n"/>
      <c r="DR209" s="250" t="n"/>
      <c r="DS209" s="250" t="n"/>
      <c r="DT209" s="250" t="n"/>
      <c r="DU209" s="249" t="n"/>
      <c r="DV209" s="250">
        <f>SUMPRODUCT(--(MOD(COLUMN($BN209:$DU209),5)=MOD(COLUMN($BN209),5)),$BN209:$DU209)</f>
        <v/>
      </c>
      <c r="DW209" s="251">
        <f>Автовик_разбивка[[#This Row],[Цена, 
юань, без НДС 1]]*DV209</f>
        <v/>
      </c>
      <c r="DX209" s="251">
        <f>SUMPRODUCT(--(MOD(COLUMN($BN209:$DU209),5)=MOD(COLUMN($BN209)+1,5)),$BN209:$DU209)</f>
        <v/>
      </c>
      <c r="DY209" s="251">
        <f>Автовик_разбивка[[#This Row],[Цена, 
юань, без НДС 1]]*DX209</f>
        <v/>
      </c>
      <c r="DZ209" s="250">
        <f>SUMPRODUCT(--(MOD(COLUMN($BN209:$DU209),5)=MOD(COLUMN($BN209)+2,5)),$BN209:$DU209)</f>
        <v/>
      </c>
      <c r="EA209" s="251">
        <f>Автовик_разбивка[[#This Row],[Цена, 
юань, без НДС 1]]*DZ209</f>
        <v/>
      </c>
      <c r="EB209" s="250">
        <f>SUMPRODUCT(--(MOD(COLUMN($BN209:$DU209),5)=MOD(COLUMN($BN209)+3,5)),$BN209:$DU209)</f>
        <v/>
      </c>
      <c r="EC209" s="251">
        <f>Автовик_разбивка[[#This Row],[Цена, 
юань, без НДС 1]]*EB209</f>
        <v/>
      </c>
    </row>
    <row r="210">
      <c r="A210" s="262" t="n">
        <v>333</v>
      </c>
      <c r="B210" s="263" t="inlineStr">
        <is>
          <t>Таганай</t>
        </is>
      </c>
      <c r="C210" s="132" t="n"/>
      <c r="D210" s="132" t="n"/>
      <c r="E210" s="229" t="n"/>
      <c r="F210" s="229" t="n"/>
      <c r="G210" s="229" t="n"/>
      <c r="H210" s="230" t="n"/>
      <c r="I210" s="231" t="inlineStr">
        <is>
          <t>Итого</t>
        </is>
      </c>
      <c r="J210" s="914" t="n"/>
      <c r="K210" s="914" t="n"/>
      <c r="L210" s="233" t="n"/>
      <c r="M210" s="234" t="n"/>
      <c r="N210" s="235" t="n"/>
      <c r="O210" s="234" t="n"/>
      <c r="P210" s="233" t="n"/>
      <c r="Q210" s="234" t="n"/>
      <c r="R210" s="235" t="n"/>
      <c r="S210" s="234" t="n"/>
      <c r="T210" s="233" t="n"/>
      <c r="U210" s="234" t="n"/>
      <c r="V210" s="235" t="n"/>
      <c r="W210" s="234" t="n"/>
      <c r="X210" s="233" t="n"/>
      <c r="Y210" s="234" t="n"/>
      <c r="Z210" s="235" t="n"/>
      <c r="AA210" s="234" t="n"/>
      <c r="AB210" s="233" t="n"/>
      <c r="AC210" s="234" t="n"/>
      <c r="AD210" s="235" t="n"/>
      <c r="AE210" s="234" t="n"/>
      <c r="AF210" s="233" t="n"/>
      <c r="AG210" s="234" t="n"/>
      <c r="AH210" s="235" t="n"/>
      <c r="AI210" s="234" t="n"/>
      <c r="AJ210" s="233" t="n"/>
      <c r="AK210" s="234" t="n"/>
      <c r="AL210" s="235" t="n"/>
      <c r="AM210" s="234" t="n"/>
      <c r="AN210" s="233" t="n"/>
      <c r="AO210" s="234" t="n"/>
      <c r="AP210" s="235" t="n"/>
      <c r="AQ210" s="234" t="n"/>
      <c r="AR210" s="233" t="n"/>
      <c r="AS210" s="234" t="n"/>
      <c r="AT210" s="235" t="n"/>
      <c r="AU210" s="234" t="n"/>
      <c r="AV210" s="233" t="n"/>
      <c r="AW210" s="234" t="n"/>
      <c r="AX210" s="235" t="n"/>
      <c r="AY210" s="234" t="n"/>
      <c r="AZ210" s="233" t="n"/>
      <c r="BA210" s="234" t="n"/>
      <c r="BB210" s="235" t="n"/>
      <c r="BC210" s="234" t="n"/>
      <c r="BD210" s="233" t="n"/>
      <c r="BE210" s="234" t="n"/>
      <c r="BF210" s="235" t="n"/>
      <c r="BG210" s="234" t="n"/>
      <c r="BH210" s="233">
        <f>SUMPRODUCT(--(MOD(COLUMN($L210:$BG210),4)=MOD(COLUMN($L210),4)),$L210:$BG210)</f>
        <v/>
      </c>
      <c r="BI210" s="238">
        <f>Автовик_разбивка[[#This Row],[Цена, 
юань, без НДС 1]]*BH210</f>
        <v/>
      </c>
      <c r="BJ210" s="234">
        <f>SUMPRODUCT(--(MOD(COLUMN($L210:$BG210),4)=MOD(COLUMN($L210)+1,4)),$L210:$BG210)</f>
        <v/>
      </c>
      <c r="BK210" s="253">
        <f>Автовик_разбивка[[#This Row],[Цена, 
юань, без НДС 1]]*BJ210</f>
        <v/>
      </c>
      <c r="BL210" s="235">
        <f>SUMPRODUCT(--(MOD(COLUMN($L210:$BG210),4)=MOD(COLUMN($L210)+2,4)),$L210:$BG210)</f>
        <v/>
      </c>
      <c r="BM210" s="254">
        <f>Автовик_разбивка[[#This Row],[Цена, 
юань, без НДС 1]]*BL210</f>
        <v/>
      </c>
      <c r="BN210" s="233" t="n"/>
      <c r="BO210" s="241" t="n"/>
      <c r="BP210" s="234" t="n"/>
      <c r="BQ210" s="235" t="n"/>
      <c r="BR210" s="234" t="n"/>
      <c r="BS210" s="233" t="n"/>
      <c r="BT210" s="241" t="n"/>
      <c r="BU210" s="234" t="n"/>
      <c r="BV210" s="235" t="n"/>
      <c r="BW210" s="234" t="n"/>
      <c r="BX210" s="233" t="n"/>
      <c r="BY210" s="241" t="n"/>
      <c r="BZ210" s="234" t="n"/>
      <c r="CA210" s="235" t="n"/>
      <c r="CB210" s="234" t="n"/>
      <c r="CC210" s="233" t="n"/>
      <c r="CD210" s="241" t="n"/>
      <c r="CE210" s="234" t="n"/>
      <c r="CF210" s="235" t="n"/>
      <c r="CG210" s="234" t="n"/>
      <c r="CH210" s="233" t="n"/>
      <c r="CI210" s="241" t="n"/>
      <c r="CJ210" s="234" t="n"/>
      <c r="CK210" s="235" t="n"/>
      <c r="CL210" s="234" t="n"/>
      <c r="CM210" s="233" t="n"/>
      <c r="CN210" s="241" t="n"/>
      <c r="CO210" s="234" t="n"/>
      <c r="CP210" s="235" t="n"/>
      <c r="CQ210" s="234" t="n"/>
      <c r="CR210" s="233" t="n"/>
      <c r="CS210" s="241" t="n"/>
      <c r="CT210" s="234" t="n"/>
      <c r="CU210" s="235" t="n"/>
      <c r="CV210" s="234" t="n"/>
      <c r="CW210" s="233" t="n"/>
      <c r="CX210" s="241" t="n"/>
      <c r="CY210" s="234" t="n"/>
      <c r="CZ210" s="235" t="n"/>
      <c r="DA210" s="234" t="n"/>
      <c r="DB210" s="233" t="n"/>
      <c r="DC210" s="241" t="n"/>
      <c r="DD210" s="234" t="n"/>
      <c r="DE210" s="235" t="n"/>
      <c r="DF210" s="234" t="n"/>
      <c r="DG210" s="233" t="n"/>
      <c r="DH210" s="241" t="n"/>
      <c r="DI210" s="234" t="n"/>
      <c r="DJ210" s="235" t="n"/>
      <c r="DK210" s="234" t="n"/>
      <c r="DL210" s="233" t="n"/>
      <c r="DM210" s="241" t="n"/>
      <c r="DN210" s="234" t="n"/>
      <c r="DO210" s="235" t="n"/>
      <c r="DP210" s="234" t="n"/>
      <c r="DQ210" s="233" t="n"/>
      <c r="DR210" s="241" t="n"/>
      <c r="DS210" s="234" t="n"/>
      <c r="DT210" s="235" t="n"/>
      <c r="DU210" s="234" t="n"/>
      <c r="DV210" s="233">
        <f>SUMPRODUCT(--(MOD(COLUMN($BN210:$DU210),5)=MOD(COLUMN($BN210),5)),$BN210:$DU210)</f>
        <v/>
      </c>
      <c r="DW210" s="238">
        <f>Автовик_разбивка[[#This Row],[Цена, 
юань, без НДС 1]]*DV210</f>
        <v/>
      </c>
      <c r="DX210" s="242">
        <f>SUMPRODUCT(--(MOD(COLUMN($BN210:$DU210),5)=MOD(COLUMN($BN210)+1,5)),$BN210:$DU210)</f>
        <v/>
      </c>
      <c r="DY210" s="242">
        <f>Автовик_разбивка[[#This Row],[Цена, 
юань, без НДС 1]]*DX210</f>
        <v/>
      </c>
      <c r="DZ210" s="234">
        <f>SUMPRODUCT(--(MOD(COLUMN($BN210:$DU210),5)=MOD(COLUMN($BN210)+2,5)),$BN210:$DU210)</f>
        <v/>
      </c>
      <c r="EA210" s="253">
        <f>Автовик_разбивка[[#This Row],[Цена, 
юань, без НДС 1]]*DZ210</f>
        <v/>
      </c>
      <c r="EB210" s="235">
        <f>SUMPRODUCT(--(MOD(COLUMN($BN210:$DU210),5)=MOD(COLUMN($BN210)+3,5)),$BN210:$DU210)</f>
        <v/>
      </c>
      <c r="EC210" s="254">
        <f>Автовик_разбивка[[#This Row],[Цена, 
юань, без НДС 1]]*EB210</f>
        <v/>
      </c>
    </row>
    <row r="211">
      <c r="A211" s="262" t="n">
        <v>333</v>
      </c>
      <c r="B211" s="263" t="inlineStr">
        <is>
          <t>Таганай</t>
        </is>
      </c>
      <c r="C211" s="173" t="n"/>
      <c r="D211" s="173" t="n"/>
      <c r="E211" s="174" t="n"/>
      <c r="F211" s="174" t="n"/>
      <c r="G211" s="174" t="n"/>
      <c r="H211" s="175" t="n"/>
      <c r="I211" s="176" t="n"/>
      <c r="J211" s="913" t="n"/>
      <c r="K211" s="912" t="n"/>
      <c r="L211" s="178" t="n"/>
      <c r="M211" s="130" t="n"/>
      <c r="N211" s="179" t="n"/>
      <c r="O211" s="130" t="n"/>
      <c r="P211" s="178" t="n"/>
      <c r="Q211" s="130" t="n"/>
      <c r="R211" s="179" t="n"/>
      <c r="S211" s="130" t="n"/>
      <c r="T211" s="178" t="n"/>
      <c r="U211" s="130" t="n"/>
      <c r="V211" s="179" t="n"/>
      <c r="W211" s="130" t="n"/>
      <c r="X211" s="178" t="n"/>
      <c r="Y211" s="130" t="n"/>
      <c r="Z211" s="179" t="n"/>
      <c r="AA211" s="130" t="n"/>
      <c r="AB211" s="178" t="n"/>
      <c r="AC211" s="130" t="n"/>
      <c r="AD211" s="179" t="n"/>
      <c r="AE211" s="130" t="n"/>
      <c r="AF211" s="178" t="n"/>
      <c r="AG211" s="130" t="n"/>
      <c r="AH211" s="179" t="n"/>
      <c r="AI211" s="130" t="n"/>
      <c r="AJ211" s="178" t="n"/>
      <c r="AK211" s="130" t="n"/>
      <c r="AL211" s="179" t="n"/>
      <c r="AM211" s="130" t="n"/>
      <c r="AN211" s="178" t="n"/>
      <c r="AO211" s="130" t="n"/>
      <c r="AP211" s="179" t="n"/>
      <c r="AQ211" s="130" t="n"/>
      <c r="AR211" s="178" t="n"/>
      <c r="AS211" s="130" t="n"/>
      <c r="AT211" s="179" t="n"/>
      <c r="AU211" s="130" t="n"/>
      <c r="AV211" s="178" t="n"/>
      <c r="AW211" s="130" t="n"/>
      <c r="AX211" s="179" t="n"/>
      <c r="AY211" s="130" t="n"/>
      <c r="AZ211" s="178" t="n"/>
      <c r="BA211" s="130" t="n"/>
      <c r="BB211" s="179" t="n"/>
      <c r="BC211" s="130" t="n"/>
      <c r="BD211" s="178" t="n"/>
      <c r="BE211" s="130" t="n"/>
      <c r="BF211" s="109" t="n"/>
      <c r="BG211" s="130" t="n"/>
      <c r="BH211" s="180">
        <f>SUMPRODUCT(--(MOD(COLUMN($L211:$BG211),4)=MOD(COLUMN($L211),4)),$L211:$BG211)</f>
        <v/>
      </c>
      <c r="BI211" s="181">
        <f>Автовик_разбивка[[#This Row],[Цена, 
юань, без НДС 1]]*BH211</f>
        <v/>
      </c>
      <c r="BJ211" s="130">
        <f>SUMPRODUCT(--(MOD(COLUMN($L211:$BG211),4)=MOD(COLUMN($L211)+1,4)),$L211:$BG211)</f>
        <v/>
      </c>
      <c r="BK211" s="187">
        <f>Автовик_разбивка[[#This Row],[Цена, 
юань, без НДС 1]]*BJ211</f>
        <v/>
      </c>
      <c r="BL211" s="109">
        <f>SUMPRODUCT(--(MOD(COLUMN($L211:$BG211),4)=MOD(COLUMN($L211)+2,4)),$L211:$BG211)</f>
        <v/>
      </c>
      <c r="BM211" s="224">
        <f>Автовик_разбивка[[#This Row],[Цена, 
юань, без НДС 1]]*BL211</f>
        <v/>
      </c>
      <c r="BN211" s="178" t="n"/>
      <c r="BO211" s="184" t="n"/>
      <c r="BP211" s="130" t="n"/>
      <c r="BQ211" s="179" t="n"/>
      <c r="BR211" s="130" t="n"/>
      <c r="BS211" s="178" t="n"/>
      <c r="BT211" s="184" t="n"/>
      <c r="BU211" s="130" t="n"/>
      <c r="BV211" s="179" t="n"/>
      <c r="BW211" s="130" t="n"/>
      <c r="BX211" s="178" t="n"/>
      <c r="BY211" s="184" t="n"/>
      <c r="BZ211" s="130" t="n"/>
      <c r="CA211" s="179" t="n"/>
      <c r="CB211" s="130" t="n"/>
      <c r="CC211" s="178" t="n"/>
      <c r="CD211" s="184" t="n"/>
      <c r="CE211" s="130" t="n"/>
      <c r="CF211" s="179" t="n"/>
      <c r="CG211" s="130" t="n"/>
      <c r="CH211" s="178" t="n"/>
      <c r="CI211" s="184" t="n"/>
      <c r="CJ211" s="130" t="n"/>
      <c r="CK211" s="179" t="n"/>
      <c r="CL211" s="130" t="n"/>
      <c r="CM211" s="178" t="n"/>
      <c r="CN211" s="184" t="n"/>
      <c r="CO211" s="130" t="n"/>
      <c r="CP211" s="179" t="n"/>
      <c r="CQ211" s="130" t="n"/>
      <c r="CR211" s="178" t="n"/>
      <c r="CS211" s="184" t="n"/>
      <c r="CT211" s="130" t="n"/>
      <c r="CU211" s="179" t="n"/>
      <c r="CV211" s="130" t="n"/>
      <c r="CW211" s="178" t="n"/>
      <c r="CX211" s="184" t="n"/>
      <c r="CY211" s="130" t="n"/>
      <c r="CZ211" s="179" t="n"/>
      <c r="DA211" s="130" t="n"/>
      <c r="DB211" s="178" t="n"/>
      <c r="DC211" s="184" t="n"/>
      <c r="DD211" s="130" t="n"/>
      <c r="DE211" s="179" t="n"/>
      <c r="DF211" s="130" t="n"/>
      <c r="DG211" s="178" t="n"/>
      <c r="DH211" s="184" t="n"/>
      <c r="DI211" s="130" t="n"/>
      <c r="DJ211" s="179" t="n"/>
      <c r="DK211" s="130" t="n"/>
      <c r="DL211" s="178" t="n"/>
      <c r="DM211" s="184" t="n"/>
      <c r="DN211" s="130" t="n"/>
      <c r="DO211" s="179" t="n"/>
      <c r="DP211" s="130" t="n"/>
      <c r="DQ211" s="178" t="n"/>
      <c r="DR211" s="184" t="n"/>
      <c r="DS211" s="130" t="n"/>
      <c r="DT211" s="109" t="n"/>
      <c r="DU211" s="130" t="n"/>
      <c r="DV211" s="180">
        <f>SUMPRODUCT(--(MOD(COLUMN($BN211:$DU211),5)=MOD(COLUMN($BN211),5)),$BN211:$DU211)</f>
        <v/>
      </c>
      <c r="DW211" s="181">
        <f>Автовик_разбивка[[#This Row],[Цена, 
юань, без НДС 1]]*DV211</f>
        <v/>
      </c>
      <c r="DX211" s="186">
        <f>SUMPRODUCT(--(MOD(COLUMN($BN211:$DU211),5)=MOD(COLUMN($BN211)+1,5)),$BN211:$DU211)</f>
        <v/>
      </c>
      <c r="DY211" s="186">
        <f>Автовик_разбивка[[#This Row],[Цена, 
юань, без НДС 1]]*DX211</f>
        <v/>
      </c>
      <c r="DZ211" s="130">
        <f>SUMPRODUCT(--(MOD(COLUMN($BN211:$DU211),5)=MOD(COLUMN($BN211)+2,5)),$BN211:$DU211)</f>
        <v/>
      </c>
      <c r="EA211" s="187">
        <f>Автовик_разбивка[[#This Row],[Цена, 
юань, без НДС 1]]*DZ211</f>
        <v/>
      </c>
      <c r="EB211" s="109">
        <f>SUMPRODUCT(--(MOD(COLUMN($BN211:$DU211),5)=MOD(COLUMN($BN211)+3,5)),$BN211:$DU211)</f>
        <v/>
      </c>
      <c r="EC211" s="224">
        <f>Автовик_разбивка[[#This Row],[Цена, 
юань, без НДС 1]]*EB211</f>
        <v/>
      </c>
    </row>
    <row r="212">
      <c r="A212" s="262" t="n">
        <v>333</v>
      </c>
      <c r="B212" s="261" t="inlineStr">
        <is>
          <t>Таганай</t>
        </is>
      </c>
      <c r="C212" s="244" t="n"/>
      <c r="D212" s="244" t="n"/>
      <c r="E212" s="245" t="n"/>
      <c r="F212" s="245" t="n"/>
      <c r="G212" s="245" t="n"/>
      <c r="H212" s="246" t="n"/>
      <c r="I212" s="247" t="n"/>
      <c r="J212" s="915" t="n"/>
      <c r="K212" s="915" t="n"/>
      <c r="L212" s="249" t="n"/>
      <c r="M212" s="249" t="n"/>
      <c r="N212" s="249" t="n"/>
      <c r="O212" s="249" t="n"/>
      <c r="P212" s="249" t="n"/>
      <c r="Q212" s="249" t="n"/>
      <c r="R212" s="249" t="n"/>
      <c r="S212" s="249" t="n"/>
      <c r="T212" s="249" t="n"/>
      <c r="U212" s="249" t="n"/>
      <c r="V212" s="249" t="n"/>
      <c r="W212" s="249" t="n"/>
      <c r="X212" s="249" t="n"/>
      <c r="Y212" s="249" t="n"/>
      <c r="Z212" s="249" t="n"/>
      <c r="AA212" s="249" t="n"/>
      <c r="AB212" s="249" t="n"/>
      <c r="AC212" s="249" t="n"/>
      <c r="AD212" s="249" t="n"/>
      <c r="AE212" s="249" t="n"/>
      <c r="AF212" s="249" t="n"/>
      <c r="AG212" s="249" t="n"/>
      <c r="AH212" s="249" t="n"/>
      <c r="AI212" s="249" t="n"/>
      <c r="AJ212" s="249" t="n"/>
      <c r="AK212" s="249" t="n"/>
      <c r="AL212" s="249" t="n"/>
      <c r="AM212" s="249" t="n"/>
      <c r="AN212" s="249" t="n"/>
      <c r="AO212" s="249" t="n"/>
      <c r="AP212" s="249" t="n"/>
      <c r="AQ212" s="249" t="n"/>
      <c r="AR212" s="249" t="n"/>
      <c r="AS212" s="249" t="n"/>
      <c r="AT212" s="249" t="n"/>
      <c r="AU212" s="249" t="n"/>
      <c r="AV212" s="249" t="n"/>
      <c r="AW212" s="249" t="n"/>
      <c r="AX212" s="250" t="n"/>
      <c r="AY212" s="249" t="n"/>
      <c r="AZ212" s="250" t="n"/>
      <c r="BA212" s="250" t="n"/>
      <c r="BB212" s="250" t="n"/>
      <c r="BC212" s="249" t="n"/>
      <c r="BD212" s="250" t="n"/>
      <c r="BE212" s="250" t="n"/>
      <c r="BF212" s="250" t="n"/>
      <c r="BG212" s="249" t="n"/>
      <c r="BH212" s="250">
        <f>SUMPRODUCT(--(MOD(COLUMN($L212:$BG212),4)=MOD(COLUMN($L212),4)),$L212:$BG212)</f>
        <v/>
      </c>
      <c r="BI212" s="251">
        <f>Автовик_разбивка[[#This Row],[Цена, 
юань, без НДС 1]]*BH212</f>
        <v/>
      </c>
      <c r="BJ212" s="250">
        <f>SUMPRODUCT(--(MOD(COLUMN($L212:$BG212),4)=MOD(COLUMN($L212)+1,4)),$L212:$BG212)</f>
        <v/>
      </c>
      <c r="BK212" s="251">
        <f>Автовик_разбивка[[#This Row],[Цена, 
юань, без НДС 1]]*BJ212</f>
        <v/>
      </c>
      <c r="BL212" s="250">
        <f>SUMPRODUCT(--(MOD(COLUMN($L212:$BG212),4)=MOD(COLUMN($L212)+2,4)),$L212:$BG212)</f>
        <v/>
      </c>
      <c r="BM212" s="251">
        <f>Автовик_разбивка[[#This Row],[Цена, 
юань, без НДС 1]]*BL212</f>
        <v/>
      </c>
      <c r="BN212" s="249" t="n"/>
      <c r="BO212" s="249" t="n"/>
      <c r="BP212" s="249" t="n"/>
      <c r="BQ212" s="249" t="n"/>
      <c r="BR212" s="249" t="n"/>
      <c r="BS212" s="249" t="n"/>
      <c r="BT212" s="249" t="n"/>
      <c r="BU212" s="249" t="n"/>
      <c r="BV212" s="249" t="n"/>
      <c r="BW212" s="249" t="n"/>
      <c r="BX212" s="249" t="n"/>
      <c r="BY212" s="249" t="n"/>
      <c r="BZ212" s="249" t="n"/>
      <c r="CA212" s="249" t="n"/>
      <c r="CB212" s="249" t="n"/>
      <c r="CC212" s="249" t="n"/>
      <c r="CD212" s="249" t="n"/>
      <c r="CE212" s="249" t="n"/>
      <c r="CF212" s="249" t="n"/>
      <c r="CG212" s="249" t="n"/>
      <c r="CH212" s="249" t="n"/>
      <c r="CI212" s="249" t="n"/>
      <c r="CJ212" s="249" t="n"/>
      <c r="CK212" s="249" t="n"/>
      <c r="CL212" s="249" t="n"/>
      <c r="CM212" s="249" t="n"/>
      <c r="CN212" s="249" t="n"/>
      <c r="CO212" s="249" t="n"/>
      <c r="CP212" s="249" t="n"/>
      <c r="CQ212" s="249" t="n"/>
      <c r="CR212" s="249" t="n"/>
      <c r="CS212" s="249" t="n"/>
      <c r="CT212" s="249" t="n"/>
      <c r="CU212" s="249" t="n"/>
      <c r="CV212" s="249" t="n"/>
      <c r="CW212" s="249" t="n"/>
      <c r="CX212" s="249" t="n"/>
      <c r="CY212" s="249" t="n"/>
      <c r="CZ212" s="249" t="n"/>
      <c r="DA212" s="249" t="n"/>
      <c r="DB212" s="249" t="n"/>
      <c r="DC212" s="249" t="n"/>
      <c r="DD212" s="249" t="n"/>
      <c r="DE212" s="249" t="n"/>
      <c r="DF212" s="249" t="n"/>
      <c r="DG212" s="249" t="n"/>
      <c r="DH212" s="249" t="n"/>
      <c r="DI212" s="249" t="n"/>
      <c r="DJ212" s="250" t="n"/>
      <c r="DK212" s="249" t="n"/>
      <c r="DL212" s="250" t="n"/>
      <c r="DM212" s="250" t="n"/>
      <c r="DN212" s="250" t="n"/>
      <c r="DO212" s="250" t="n"/>
      <c r="DP212" s="249" t="n"/>
      <c r="DQ212" s="250" t="n"/>
      <c r="DR212" s="250" t="n"/>
      <c r="DS212" s="250" t="n"/>
      <c r="DT212" s="250" t="n"/>
      <c r="DU212" s="249" t="n"/>
      <c r="DV212" s="250">
        <f>SUMPRODUCT(--(MOD(COLUMN($BN212:$DU212),5)=MOD(COLUMN($BN212),5)),$BN212:$DU212)</f>
        <v/>
      </c>
      <c r="DW212" s="251">
        <f>Автовик_разбивка[[#This Row],[Цена, 
юань, без НДС 1]]*DV212</f>
        <v/>
      </c>
      <c r="DX212" s="251">
        <f>SUMPRODUCT(--(MOD(COLUMN($BN212:$DU212),5)=MOD(COLUMN($BN212)+1,5)),$BN212:$DU212)</f>
        <v/>
      </c>
      <c r="DY212" s="251">
        <f>Автовик_разбивка[[#This Row],[Цена, 
юань, без НДС 1]]*DX212</f>
        <v/>
      </c>
      <c r="DZ212" s="250">
        <f>SUMPRODUCT(--(MOD(COLUMN($BN212:$DU212),5)=MOD(COLUMN($BN212)+2,5)),$BN212:$DU212)</f>
        <v/>
      </c>
      <c r="EA212" s="251">
        <f>Автовик_разбивка[[#This Row],[Цена, 
юань, без НДС 1]]*DZ212</f>
        <v/>
      </c>
      <c r="EB212" s="250">
        <f>SUMPRODUCT(--(MOD(COLUMN($BN212:$DU212),5)=MOD(COLUMN($BN212)+3,5)),$BN212:$DU212)</f>
        <v/>
      </c>
      <c r="EC212" s="251">
        <f>Автовик_разбивка[[#This Row],[Цена, 
юань, без НДС 1]]*EB212</f>
        <v/>
      </c>
    </row>
    <row r="213">
      <c r="A213" s="262" t="n">
        <v>333</v>
      </c>
      <c r="B213" s="263" t="inlineStr">
        <is>
          <t>ТрансПрицеп</t>
        </is>
      </c>
      <c r="C213" s="132" t="n"/>
      <c r="D213" s="132" t="n"/>
      <c r="E213" s="229" t="n"/>
      <c r="F213" s="229" t="n"/>
      <c r="G213" s="229" t="n"/>
      <c r="H213" s="230" t="n"/>
      <c r="I213" s="231" t="inlineStr">
        <is>
          <t>Итого</t>
        </is>
      </c>
      <c r="J213" s="914" t="n"/>
      <c r="K213" s="914" t="n"/>
      <c r="L213" s="233" t="n"/>
      <c r="M213" s="234" t="n"/>
      <c r="N213" s="235" t="n"/>
      <c r="O213" s="234" t="n"/>
      <c r="P213" s="233" t="n"/>
      <c r="Q213" s="234" t="n"/>
      <c r="R213" s="235" t="n"/>
      <c r="S213" s="234" t="n"/>
      <c r="T213" s="233" t="n"/>
      <c r="U213" s="234" t="n"/>
      <c r="V213" s="235" t="n"/>
      <c r="W213" s="234" t="n"/>
      <c r="X213" s="233" t="n"/>
      <c r="Y213" s="234" t="n"/>
      <c r="Z213" s="235" t="n"/>
      <c r="AA213" s="234" t="n"/>
      <c r="AB213" s="233" t="n"/>
      <c r="AC213" s="234" t="n"/>
      <c r="AD213" s="235" t="n"/>
      <c r="AE213" s="234" t="n"/>
      <c r="AF213" s="233" t="n"/>
      <c r="AG213" s="234" t="n"/>
      <c r="AH213" s="235" t="n"/>
      <c r="AI213" s="234" t="n"/>
      <c r="AJ213" s="233" t="n"/>
      <c r="AK213" s="234" t="n"/>
      <c r="AL213" s="235" t="n"/>
      <c r="AM213" s="234" t="n"/>
      <c r="AN213" s="233" t="n"/>
      <c r="AO213" s="234" t="n"/>
      <c r="AP213" s="235" t="n"/>
      <c r="AQ213" s="234" t="n"/>
      <c r="AR213" s="233" t="n"/>
      <c r="AS213" s="234" t="n"/>
      <c r="AT213" s="235" t="n"/>
      <c r="AU213" s="234" t="n"/>
      <c r="AV213" s="233" t="n"/>
      <c r="AW213" s="234" t="n"/>
      <c r="AX213" s="235" t="n"/>
      <c r="AY213" s="234" t="n"/>
      <c r="AZ213" s="233" t="n"/>
      <c r="BA213" s="234" t="n"/>
      <c r="BB213" s="235" t="n"/>
      <c r="BC213" s="234" t="n"/>
      <c r="BD213" s="233" t="n"/>
      <c r="BE213" s="234" t="n"/>
      <c r="BF213" s="235" t="n"/>
      <c r="BG213" s="234" t="n"/>
      <c r="BH213" s="233">
        <f>SUMPRODUCT(--(MOD(COLUMN($L213:$BG213),4)=MOD(COLUMN($L213),4)),$L213:$BG213)</f>
        <v/>
      </c>
      <c r="BI213" s="238">
        <f>Автовик_разбивка[[#This Row],[Цена, 
юань, без НДС 1]]*BH213</f>
        <v/>
      </c>
      <c r="BJ213" s="234">
        <f>SUMPRODUCT(--(MOD(COLUMN($L213:$BG213),4)=MOD(COLUMN($L213)+1,4)),$L213:$BG213)</f>
        <v/>
      </c>
      <c r="BK213" s="253">
        <f>Автовик_разбивка[[#This Row],[Цена, 
юань, без НДС 1]]*BJ213</f>
        <v/>
      </c>
      <c r="BL213" s="235">
        <f>SUMPRODUCT(--(MOD(COLUMN($L213:$BG213),4)=MOD(COLUMN($L213)+2,4)),$L213:$BG213)</f>
        <v/>
      </c>
      <c r="BM213" s="254">
        <f>Автовик_разбивка[[#This Row],[Цена, 
юань, без НДС 1]]*BL213</f>
        <v/>
      </c>
      <c r="BN213" s="233" t="n"/>
      <c r="BO213" s="241" t="n"/>
      <c r="BP213" s="234" t="n"/>
      <c r="BQ213" s="235" t="n"/>
      <c r="BR213" s="234" t="n"/>
      <c r="BS213" s="233" t="n"/>
      <c r="BT213" s="241" t="n"/>
      <c r="BU213" s="234" t="n"/>
      <c r="BV213" s="235" t="n"/>
      <c r="BW213" s="234" t="n"/>
      <c r="BX213" s="233" t="n"/>
      <c r="BY213" s="241" t="n"/>
      <c r="BZ213" s="234" t="n"/>
      <c r="CA213" s="235" t="n"/>
      <c r="CB213" s="234" t="n"/>
      <c r="CC213" s="233" t="n"/>
      <c r="CD213" s="241" t="n"/>
      <c r="CE213" s="234" t="n"/>
      <c r="CF213" s="235" t="n"/>
      <c r="CG213" s="234" t="n"/>
      <c r="CH213" s="233" t="n"/>
      <c r="CI213" s="241" t="n"/>
      <c r="CJ213" s="234" t="n"/>
      <c r="CK213" s="235" t="n"/>
      <c r="CL213" s="234" t="n"/>
      <c r="CM213" s="233" t="n"/>
      <c r="CN213" s="241" t="n"/>
      <c r="CO213" s="234" t="n"/>
      <c r="CP213" s="235" t="n"/>
      <c r="CQ213" s="234" t="n"/>
      <c r="CR213" s="233" t="n"/>
      <c r="CS213" s="241" t="n"/>
      <c r="CT213" s="234" t="n"/>
      <c r="CU213" s="235" t="n"/>
      <c r="CV213" s="234" t="n"/>
      <c r="CW213" s="233" t="n"/>
      <c r="CX213" s="241" t="n"/>
      <c r="CY213" s="234" t="n"/>
      <c r="CZ213" s="235" t="n"/>
      <c r="DA213" s="234" t="n"/>
      <c r="DB213" s="233" t="n"/>
      <c r="DC213" s="241" t="n"/>
      <c r="DD213" s="234" t="n"/>
      <c r="DE213" s="235" t="n"/>
      <c r="DF213" s="234" t="n"/>
      <c r="DG213" s="233" t="n"/>
      <c r="DH213" s="241" t="n"/>
      <c r="DI213" s="234" t="n"/>
      <c r="DJ213" s="235" t="n"/>
      <c r="DK213" s="234" t="n"/>
      <c r="DL213" s="233" t="n"/>
      <c r="DM213" s="241" t="n"/>
      <c r="DN213" s="234" t="n"/>
      <c r="DO213" s="235" t="n"/>
      <c r="DP213" s="234" t="n"/>
      <c r="DQ213" s="233" t="n"/>
      <c r="DR213" s="241" t="n"/>
      <c r="DS213" s="234" t="n"/>
      <c r="DT213" s="235" t="n"/>
      <c r="DU213" s="234" t="n"/>
      <c r="DV213" s="233">
        <f>SUMPRODUCT(--(MOD(COLUMN($BN213:$DU213),5)=MOD(COLUMN($BN213),5)),$BN213:$DU213)</f>
        <v/>
      </c>
      <c r="DW213" s="238">
        <f>Автовик_разбивка[[#This Row],[Цена, 
юань, без НДС 1]]*DV213</f>
        <v/>
      </c>
      <c r="DX213" s="242">
        <f>SUMPRODUCT(--(MOD(COLUMN($BN213:$DU213),5)=MOD(COLUMN($BN213)+1,5)),$BN213:$DU213)</f>
        <v/>
      </c>
      <c r="DY213" s="242">
        <f>Автовик_разбивка[[#This Row],[Цена, 
юань, без НДС 1]]*DX213</f>
        <v/>
      </c>
      <c r="DZ213" s="234">
        <f>SUMPRODUCT(--(MOD(COLUMN($BN213:$DU213),5)=MOD(COLUMN($BN213)+2,5)),$BN213:$DU213)</f>
        <v/>
      </c>
      <c r="EA213" s="253">
        <f>Автовик_разбивка[[#This Row],[Цена, 
юань, без НДС 1]]*DZ213</f>
        <v/>
      </c>
      <c r="EB213" s="235">
        <f>SUMPRODUCT(--(MOD(COLUMN($BN213:$DU213),5)=MOD(COLUMN($BN213)+3,5)),$BN213:$DU213)</f>
        <v/>
      </c>
      <c r="EC213" s="254">
        <f>Автовик_разбивка[[#This Row],[Цена, 
юань, без НДС 1]]*EB213</f>
        <v/>
      </c>
    </row>
    <row r="214">
      <c r="A214" s="262" t="n">
        <v>333</v>
      </c>
      <c r="B214" s="263" t="inlineStr">
        <is>
          <t>ТрансПрицеп</t>
        </is>
      </c>
      <c r="C214" s="173" t="n"/>
      <c r="D214" s="173" t="n"/>
      <c r="E214" s="174" t="n"/>
      <c r="F214" s="174" t="n"/>
      <c r="G214" s="174" t="n"/>
      <c r="H214" s="175" t="n"/>
      <c r="I214" s="176" t="n"/>
      <c r="J214" s="913" t="n"/>
      <c r="K214" s="912" t="n"/>
      <c r="L214" s="178" t="n"/>
      <c r="M214" s="130" t="n"/>
      <c r="N214" s="179" t="n"/>
      <c r="O214" s="130" t="n"/>
      <c r="P214" s="178" t="n"/>
      <c r="Q214" s="130" t="n"/>
      <c r="R214" s="179" t="n"/>
      <c r="S214" s="130" t="n"/>
      <c r="T214" s="178" t="n"/>
      <c r="U214" s="130" t="n"/>
      <c r="V214" s="179" t="n"/>
      <c r="W214" s="130" t="n"/>
      <c r="X214" s="178" t="n"/>
      <c r="Y214" s="130" t="n"/>
      <c r="Z214" s="179" t="n"/>
      <c r="AA214" s="130" t="n"/>
      <c r="AB214" s="178" t="n"/>
      <c r="AC214" s="130" t="n"/>
      <c r="AD214" s="179" t="n"/>
      <c r="AE214" s="130" t="n"/>
      <c r="AF214" s="178" t="n"/>
      <c r="AG214" s="130" t="n"/>
      <c r="AH214" s="179" t="n"/>
      <c r="AI214" s="130" t="n"/>
      <c r="AJ214" s="178" t="n"/>
      <c r="AK214" s="130" t="n"/>
      <c r="AL214" s="179" t="n"/>
      <c r="AM214" s="130" t="n"/>
      <c r="AN214" s="178" t="n"/>
      <c r="AO214" s="130" t="n"/>
      <c r="AP214" s="179" t="n"/>
      <c r="AQ214" s="130" t="n"/>
      <c r="AR214" s="178" t="n"/>
      <c r="AS214" s="130" t="n"/>
      <c r="AT214" s="179" t="n"/>
      <c r="AU214" s="130" t="n"/>
      <c r="AV214" s="178" t="n"/>
      <c r="AW214" s="130" t="n"/>
      <c r="AX214" s="179" t="n"/>
      <c r="AY214" s="130" t="n"/>
      <c r="AZ214" s="178" t="n"/>
      <c r="BA214" s="130" t="n"/>
      <c r="BB214" s="179" t="n"/>
      <c r="BC214" s="130" t="n"/>
      <c r="BD214" s="178" t="n"/>
      <c r="BE214" s="130" t="n"/>
      <c r="BF214" s="109" t="n"/>
      <c r="BG214" s="130" t="n"/>
      <c r="BH214" s="180">
        <f>SUMPRODUCT(--(MOD(COLUMN($L214:$BG214),4)=MOD(COLUMN($L214),4)),$L214:$BG214)</f>
        <v/>
      </c>
      <c r="BI214" s="181">
        <f>Автовик_разбивка[[#This Row],[Цена, 
юань, без НДС 1]]*BH214</f>
        <v/>
      </c>
      <c r="BJ214" s="130">
        <f>SUMPRODUCT(--(MOD(COLUMN($L214:$BG214),4)=MOD(COLUMN($L214)+1,4)),$L214:$BG214)</f>
        <v/>
      </c>
      <c r="BK214" s="187">
        <f>Автовик_разбивка[[#This Row],[Цена, 
юань, без НДС 1]]*BJ214</f>
        <v/>
      </c>
      <c r="BL214" s="109">
        <f>SUMPRODUCT(--(MOD(COLUMN($L214:$BG214),4)=MOD(COLUMN($L214)+2,4)),$L214:$BG214)</f>
        <v/>
      </c>
      <c r="BM214" s="224">
        <f>Автовик_разбивка[[#This Row],[Цена, 
юань, без НДС 1]]*BL214</f>
        <v/>
      </c>
      <c r="BN214" s="178" t="n"/>
      <c r="BO214" s="184" t="n"/>
      <c r="BP214" s="130" t="n"/>
      <c r="BQ214" s="179" t="n"/>
      <c r="BR214" s="130" t="n"/>
      <c r="BS214" s="178" t="n"/>
      <c r="BT214" s="184" t="n"/>
      <c r="BU214" s="130" t="n"/>
      <c r="BV214" s="179" t="n"/>
      <c r="BW214" s="130" t="n"/>
      <c r="BX214" s="178" t="n"/>
      <c r="BY214" s="184" t="n"/>
      <c r="BZ214" s="130" t="n"/>
      <c r="CA214" s="179" t="n"/>
      <c r="CB214" s="130" t="n"/>
      <c r="CC214" s="178" t="n"/>
      <c r="CD214" s="184" t="n"/>
      <c r="CE214" s="130" t="n"/>
      <c r="CF214" s="179" t="n"/>
      <c r="CG214" s="130" t="n"/>
      <c r="CH214" s="178" t="n"/>
      <c r="CI214" s="184" t="n"/>
      <c r="CJ214" s="130" t="n"/>
      <c r="CK214" s="179" t="n"/>
      <c r="CL214" s="130" t="n"/>
      <c r="CM214" s="178" t="n"/>
      <c r="CN214" s="184" t="n"/>
      <c r="CO214" s="130" t="n"/>
      <c r="CP214" s="179" t="n"/>
      <c r="CQ214" s="130" t="n"/>
      <c r="CR214" s="178" t="n"/>
      <c r="CS214" s="184" t="n"/>
      <c r="CT214" s="130" t="n"/>
      <c r="CU214" s="179" t="n"/>
      <c r="CV214" s="130" t="n"/>
      <c r="CW214" s="178" t="n"/>
      <c r="CX214" s="184" t="n"/>
      <c r="CY214" s="130" t="n"/>
      <c r="CZ214" s="179" t="n"/>
      <c r="DA214" s="130" t="n"/>
      <c r="DB214" s="178" t="n"/>
      <c r="DC214" s="184" t="n"/>
      <c r="DD214" s="130" t="n"/>
      <c r="DE214" s="179" t="n"/>
      <c r="DF214" s="130" t="n"/>
      <c r="DG214" s="178" t="n"/>
      <c r="DH214" s="184" t="n"/>
      <c r="DI214" s="130" t="n"/>
      <c r="DJ214" s="179" t="n"/>
      <c r="DK214" s="130" t="n"/>
      <c r="DL214" s="178" t="n"/>
      <c r="DM214" s="184" t="n"/>
      <c r="DN214" s="130" t="n"/>
      <c r="DO214" s="179" t="n"/>
      <c r="DP214" s="130" t="n"/>
      <c r="DQ214" s="178" t="n"/>
      <c r="DR214" s="184" t="n"/>
      <c r="DS214" s="130" t="n"/>
      <c r="DT214" s="109" t="n"/>
      <c r="DU214" s="130" t="n"/>
      <c r="DV214" s="180">
        <f>SUMPRODUCT(--(MOD(COLUMN($BN214:$DU214),5)=MOD(COLUMN($BN214),5)),$BN214:$DU214)</f>
        <v/>
      </c>
      <c r="DW214" s="181">
        <f>Автовик_разбивка[[#This Row],[Цена, 
юань, без НДС 1]]*DV214</f>
        <v/>
      </c>
      <c r="DX214" s="186">
        <f>SUMPRODUCT(--(MOD(COLUMN($BN214:$DU214),5)=MOD(COLUMN($BN214)+1,5)),$BN214:$DU214)</f>
        <v/>
      </c>
      <c r="DY214" s="186">
        <f>Автовик_разбивка[[#This Row],[Цена, 
юань, без НДС 1]]*DX214</f>
        <v/>
      </c>
      <c r="DZ214" s="130">
        <f>SUMPRODUCT(--(MOD(COLUMN($BN214:$DU214),5)=MOD(COLUMN($BN214)+2,5)),$BN214:$DU214)</f>
        <v/>
      </c>
      <c r="EA214" s="187">
        <f>Автовик_разбивка[[#This Row],[Цена, 
юань, без НДС 1]]*DZ214</f>
        <v/>
      </c>
      <c r="EB214" s="109">
        <f>SUMPRODUCT(--(MOD(COLUMN($BN214:$DU214),5)=MOD(COLUMN($BN214)+3,5)),$BN214:$DU214)</f>
        <v/>
      </c>
      <c r="EC214" s="224">
        <f>Автовик_разбивка[[#This Row],[Цена, 
юань, без НДС 1]]*EB214</f>
        <v/>
      </c>
    </row>
    <row r="215">
      <c r="A215" s="262" t="n">
        <v>333</v>
      </c>
      <c r="B215" s="261" t="inlineStr">
        <is>
          <t>ТрансПрицеп</t>
        </is>
      </c>
      <c r="C215" s="244" t="n"/>
      <c r="D215" s="244" t="n"/>
      <c r="E215" s="245" t="n"/>
      <c r="F215" s="245" t="n"/>
      <c r="G215" s="245" t="n"/>
      <c r="H215" s="246" t="n"/>
      <c r="I215" s="247" t="n"/>
      <c r="J215" s="915" t="n"/>
      <c r="K215" s="915" t="n"/>
      <c r="L215" s="249" t="n"/>
      <c r="M215" s="249" t="n"/>
      <c r="N215" s="249" t="n"/>
      <c r="O215" s="249" t="n"/>
      <c r="P215" s="249" t="n"/>
      <c r="Q215" s="249" t="n"/>
      <c r="R215" s="249" t="n"/>
      <c r="S215" s="249" t="n"/>
      <c r="T215" s="249" t="n"/>
      <c r="U215" s="249" t="n"/>
      <c r="V215" s="249" t="n"/>
      <c r="W215" s="249" t="n"/>
      <c r="X215" s="249" t="n"/>
      <c r="Y215" s="249" t="n"/>
      <c r="Z215" s="249" t="n"/>
      <c r="AA215" s="249" t="n"/>
      <c r="AB215" s="249" t="n"/>
      <c r="AC215" s="249" t="n"/>
      <c r="AD215" s="249" t="n"/>
      <c r="AE215" s="249" t="n"/>
      <c r="AF215" s="249" t="n"/>
      <c r="AG215" s="249" t="n"/>
      <c r="AH215" s="249" t="n"/>
      <c r="AI215" s="249" t="n"/>
      <c r="AJ215" s="249" t="n"/>
      <c r="AK215" s="249" t="n"/>
      <c r="AL215" s="249" t="n"/>
      <c r="AM215" s="249" t="n"/>
      <c r="AN215" s="249" t="n"/>
      <c r="AO215" s="249" t="n"/>
      <c r="AP215" s="249" t="n"/>
      <c r="AQ215" s="249" t="n"/>
      <c r="AR215" s="249" t="n"/>
      <c r="AS215" s="249" t="n"/>
      <c r="AT215" s="249" t="n"/>
      <c r="AU215" s="249" t="n"/>
      <c r="AV215" s="249" t="n"/>
      <c r="AW215" s="249" t="n"/>
      <c r="AX215" s="250" t="n"/>
      <c r="AY215" s="249" t="n"/>
      <c r="AZ215" s="250" t="n"/>
      <c r="BA215" s="250" t="n"/>
      <c r="BB215" s="250" t="n"/>
      <c r="BC215" s="249" t="n"/>
      <c r="BD215" s="250" t="n"/>
      <c r="BE215" s="250" t="n"/>
      <c r="BF215" s="250" t="n"/>
      <c r="BG215" s="249" t="n"/>
      <c r="BH215" s="250">
        <f>SUMPRODUCT(--(MOD(COLUMN($L215:$BG215),4)=MOD(COLUMN($L215),4)),$L215:$BG215)</f>
        <v/>
      </c>
      <c r="BI215" s="251">
        <f>Автовик_разбивка[[#This Row],[Цена, 
юань, без НДС 1]]*BH215</f>
        <v/>
      </c>
      <c r="BJ215" s="250">
        <f>SUMPRODUCT(--(MOD(COLUMN($L215:$BG215),4)=MOD(COLUMN($L215)+1,4)),$L215:$BG215)</f>
        <v/>
      </c>
      <c r="BK215" s="251">
        <f>Автовик_разбивка[[#This Row],[Цена, 
юань, без НДС 1]]*BJ215</f>
        <v/>
      </c>
      <c r="BL215" s="250">
        <f>SUMPRODUCT(--(MOD(COLUMN($L215:$BG215),4)=MOD(COLUMN($L215)+2,4)),$L215:$BG215)</f>
        <v/>
      </c>
      <c r="BM215" s="251">
        <f>Автовик_разбивка[[#This Row],[Цена, 
юань, без НДС 1]]*BL215</f>
        <v/>
      </c>
      <c r="BN215" s="249" t="n"/>
      <c r="BO215" s="249" t="n"/>
      <c r="BP215" s="249" t="n"/>
      <c r="BQ215" s="249" t="n"/>
      <c r="BR215" s="249" t="n"/>
      <c r="BS215" s="249" t="n"/>
      <c r="BT215" s="249" t="n"/>
      <c r="BU215" s="249" t="n"/>
      <c r="BV215" s="249" t="n"/>
      <c r="BW215" s="249" t="n"/>
      <c r="BX215" s="249" t="n"/>
      <c r="BY215" s="249" t="n"/>
      <c r="BZ215" s="249" t="n"/>
      <c r="CA215" s="249" t="n"/>
      <c r="CB215" s="249" t="n"/>
      <c r="CC215" s="249" t="n"/>
      <c r="CD215" s="249" t="n"/>
      <c r="CE215" s="249" t="n"/>
      <c r="CF215" s="249" t="n"/>
      <c r="CG215" s="249" t="n"/>
      <c r="CH215" s="249" t="n"/>
      <c r="CI215" s="249" t="n"/>
      <c r="CJ215" s="249" t="n"/>
      <c r="CK215" s="249" t="n"/>
      <c r="CL215" s="249" t="n"/>
      <c r="CM215" s="249" t="n"/>
      <c r="CN215" s="249" t="n"/>
      <c r="CO215" s="249" t="n"/>
      <c r="CP215" s="249" t="n"/>
      <c r="CQ215" s="249" t="n"/>
      <c r="CR215" s="249" t="n"/>
      <c r="CS215" s="249" t="n"/>
      <c r="CT215" s="249" t="n"/>
      <c r="CU215" s="249" t="n"/>
      <c r="CV215" s="249" t="n"/>
      <c r="CW215" s="249" t="n"/>
      <c r="CX215" s="249" t="n"/>
      <c r="CY215" s="249" t="n"/>
      <c r="CZ215" s="249" t="n"/>
      <c r="DA215" s="249" t="n"/>
      <c r="DB215" s="249" t="n"/>
      <c r="DC215" s="249" t="n"/>
      <c r="DD215" s="249" t="n"/>
      <c r="DE215" s="249" t="n"/>
      <c r="DF215" s="249" t="n"/>
      <c r="DG215" s="249" t="n"/>
      <c r="DH215" s="249" t="n"/>
      <c r="DI215" s="249" t="n"/>
      <c r="DJ215" s="250" t="n"/>
      <c r="DK215" s="249" t="n"/>
      <c r="DL215" s="250" t="n"/>
      <c r="DM215" s="250" t="n"/>
      <c r="DN215" s="250" t="n"/>
      <c r="DO215" s="250" t="n"/>
      <c r="DP215" s="249" t="n"/>
      <c r="DQ215" s="250" t="n"/>
      <c r="DR215" s="250" t="n"/>
      <c r="DS215" s="250" t="n"/>
      <c r="DT215" s="250" t="n"/>
      <c r="DU215" s="249" t="n"/>
      <c r="DV215" s="250">
        <f>SUMPRODUCT(--(MOD(COLUMN($BN215:$DU215),5)=MOD(COLUMN($BN215),5)),$BN215:$DU215)</f>
        <v/>
      </c>
      <c r="DW215" s="251">
        <f>Автовик_разбивка[[#This Row],[Цена, 
юань, без НДС 1]]*DV215</f>
        <v/>
      </c>
      <c r="DX215" s="251">
        <f>SUMPRODUCT(--(MOD(COLUMN($BN215:$DU215),5)=MOD(COLUMN($BN215)+1,5)),$BN215:$DU215)</f>
        <v/>
      </c>
      <c r="DY215" s="251">
        <f>Автовик_разбивка[[#This Row],[Цена, 
юань, без НДС 1]]*DX215</f>
        <v/>
      </c>
      <c r="DZ215" s="250">
        <f>SUMPRODUCT(--(MOD(COLUMN($BN215:$DU215),5)=MOD(COLUMN($BN215)+2,5)),$BN215:$DU215)</f>
        <v/>
      </c>
      <c r="EA215" s="251">
        <f>Автовик_разбивка[[#This Row],[Цена, 
юань, без НДС 1]]*DZ215</f>
        <v/>
      </c>
      <c r="EB215" s="250">
        <f>SUMPRODUCT(--(MOD(COLUMN($BN215:$DU215),5)=MOD(COLUMN($BN215)+3,5)),$BN215:$DU215)</f>
        <v/>
      </c>
      <c r="EC215" s="251">
        <f>Автовик_разбивка[[#This Row],[Цена, 
юань, без НДС 1]]*EB215</f>
        <v/>
      </c>
    </row>
    <row r="216">
      <c r="A216" s="262" t="n">
        <v>333</v>
      </c>
      <c r="B216" s="263" t="inlineStr">
        <is>
          <t>Форсмакс</t>
        </is>
      </c>
      <c r="C216" s="132" t="n"/>
      <c r="D216" s="132" t="n"/>
      <c r="E216" s="229" t="n"/>
      <c r="F216" s="229" t="n"/>
      <c r="G216" s="229" t="n"/>
      <c r="H216" s="230" t="n"/>
      <c r="I216" s="231" t="inlineStr">
        <is>
          <t>Итого</t>
        </is>
      </c>
      <c r="J216" s="914" t="n"/>
      <c r="K216" s="914" t="n"/>
      <c r="L216" s="233" t="n"/>
      <c r="M216" s="234" t="n"/>
      <c r="N216" s="235" t="n"/>
      <c r="O216" s="234" t="n"/>
      <c r="P216" s="233" t="n"/>
      <c r="Q216" s="234" t="n"/>
      <c r="R216" s="235" t="n"/>
      <c r="S216" s="234" t="n"/>
      <c r="T216" s="233" t="n"/>
      <c r="U216" s="234" t="n"/>
      <c r="V216" s="235" t="n"/>
      <c r="W216" s="234" t="n"/>
      <c r="X216" s="233" t="n"/>
      <c r="Y216" s="234" t="n"/>
      <c r="Z216" s="235" t="n"/>
      <c r="AA216" s="234" t="n"/>
      <c r="AB216" s="233" t="n"/>
      <c r="AC216" s="234" t="n"/>
      <c r="AD216" s="235" t="n"/>
      <c r="AE216" s="234" t="n"/>
      <c r="AF216" s="233" t="n"/>
      <c r="AG216" s="234" t="n"/>
      <c r="AH216" s="235" t="n"/>
      <c r="AI216" s="234" t="n"/>
      <c r="AJ216" s="233" t="n"/>
      <c r="AK216" s="234" t="n"/>
      <c r="AL216" s="235" t="n"/>
      <c r="AM216" s="234" t="n"/>
      <c r="AN216" s="233" t="n"/>
      <c r="AO216" s="234" t="n"/>
      <c r="AP216" s="235" t="n"/>
      <c r="AQ216" s="234" t="n"/>
      <c r="AR216" s="233" t="n"/>
      <c r="AS216" s="234" t="n"/>
      <c r="AT216" s="235" t="n"/>
      <c r="AU216" s="234" t="n"/>
      <c r="AV216" s="233" t="n"/>
      <c r="AW216" s="234" t="n"/>
      <c r="AX216" s="235" t="n"/>
      <c r="AY216" s="234" t="n"/>
      <c r="AZ216" s="233" t="n"/>
      <c r="BA216" s="234" t="n"/>
      <c r="BB216" s="235" t="n"/>
      <c r="BC216" s="234" t="n"/>
      <c r="BD216" s="233" t="n"/>
      <c r="BE216" s="234" t="n"/>
      <c r="BF216" s="235" t="n"/>
      <c r="BG216" s="234" t="n"/>
      <c r="BH216" s="233">
        <f>SUMPRODUCT(--(MOD(COLUMN($L216:$BG216),4)=MOD(COLUMN($L216),4)),$L216:$BG216)</f>
        <v/>
      </c>
      <c r="BI216" s="238">
        <f>Автовик_разбивка[[#This Row],[Цена, 
юань, без НДС 1]]*BH216</f>
        <v/>
      </c>
      <c r="BJ216" s="234">
        <f>SUMPRODUCT(--(MOD(COLUMN($L216:$BG216),4)=MOD(COLUMN($L216)+1,4)),$L216:$BG216)</f>
        <v/>
      </c>
      <c r="BK216" s="253">
        <f>Автовик_разбивка[[#This Row],[Цена, 
юань, без НДС 1]]*BJ216</f>
        <v/>
      </c>
      <c r="BL216" s="235">
        <f>SUMPRODUCT(--(MOD(COLUMN($L216:$BG216),4)=MOD(COLUMN($L216)+2,4)),$L216:$BG216)</f>
        <v/>
      </c>
      <c r="BM216" s="254">
        <f>Автовик_разбивка[[#This Row],[Цена, 
юань, без НДС 1]]*BL216</f>
        <v/>
      </c>
      <c r="BN216" s="233" t="n"/>
      <c r="BO216" s="241" t="n"/>
      <c r="BP216" s="234" t="n"/>
      <c r="BQ216" s="235" t="n"/>
      <c r="BR216" s="234" t="n"/>
      <c r="BS216" s="233" t="n"/>
      <c r="BT216" s="241" t="n"/>
      <c r="BU216" s="234" t="n"/>
      <c r="BV216" s="235" t="n"/>
      <c r="BW216" s="234" t="n"/>
      <c r="BX216" s="233" t="n"/>
      <c r="BY216" s="241" t="n"/>
      <c r="BZ216" s="234" t="n"/>
      <c r="CA216" s="235" t="n"/>
      <c r="CB216" s="234" t="n"/>
      <c r="CC216" s="233" t="n"/>
      <c r="CD216" s="241" t="n"/>
      <c r="CE216" s="234" t="n"/>
      <c r="CF216" s="235" t="n"/>
      <c r="CG216" s="234" t="n"/>
      <c r="CH216" s="233" t="n"/>
      <c r="CI216" s="241" t="n"/>
      <c r="CJ216" s="234" t="n"/>
      <c r="CK216" s="235" t="n"/>
      <c r="CL216" s="234" t="n"/>
      <c r="CM216" s="233" t="n"/>
      <c r="CN216" s="241" t="n"/>
      <c r="CO216" s="234" t="n"/>
      <c r="CP216" s="235" t="n"/>
      <c r="CQ216" s="234" t="n"/>
      <c r="CR216" s="233" t="n"/>
      <c r="CS216" s="241" t="n"/>
      <c r="CT216" s="234" t="n"/>
      <c r="CU216" s="235" t="n"/>
      <c r="CV216" s="234" t="n"/>
      <c r="CW216" s="233" t="n"/>
      <c r="CX216" s="241" t="n"/>
      <c r="CY216" s="234" t="n"/>
      <c r="CZ216" s="235" t="n"/>
      <c r="DA216" s="234" t="n"/>
      <c r="DB216" s="233" t="n"/>
      <c r="DC216" s="241" t="n"/>
      <c r="DD216" s="234" t="n"/>
      <c r="DE216" s="235" t="n"/>
      <c r="DF216" s="234" t="n"/>
      <c r="DG216" s="233" t="n"/>
      <c r="DH216" s="241" t="n"/>
      <c r="DI216" s="234" t="n"/>
      <c r="DJ216" s="235" t="n"/>
      <c r="DK216" s="234" t="n"/>
      <c r="DL216" s="233" t="n"/>
      <c r="DM216" s="241" t="n"/>
      <c r="DN216" s="234" t="n"/>
      <c r="DO216" s="235" t="n"/>
      <c r="DP216" s="234" t="n"/>
      <c r="DQ216" s="233" t="n"/>
      <c r="DR216" s="241" t="n"/>
      <c r="DS216" s="234" t="n"/>
      <c r="DT216" s="235" t="n"/>
      <c r="DU216" s="234" t="n"/>
      <c r="DV216" s="233">
        <f>SUMPRODUCT(--(MOD(COLUMN($BN216:$DU216),5)=MOD(COLUMN($BN216),5)),$BN216:$DU216)</f>
        <v/>
      </c>
      <c r="DW216" s="238">
        <f>Автовик_разбивка[[#This Row],[Цена, 
юань, без НДС 1]]*DV216</f>
        <v/>
      </c>
      <c r="DX216" s="242">
        <f>SUMPRODUCT(--(MOD(COLUMN($BN216:$DU216),5)=MOD(COLUMN($BN216)+1,5)),$BN216:$DU216)</f>
        <v/>
      </c>
      <c r="DY216" s="242">
        <f>Автовик_разбивка[[#This Row],[Цена, 
юань, без НДС 1]]*DX216</f>
        <v/>
      </c>
      <c r="DZ216" s="234">
        <f>SUMPRODUCT(--(MOD(COLUMN($BN216:$DU216),5)=MOD(COLUMN($BN216)+2,5)),$BN216:$DU216)</f>
        <v/>
      </c>
      <c r="EA216" s="253">
        <f>Автовик_разбивка[[#This Row],[Цена, 
юань, без НДС 1]]*DZ216</f>
        <v/>
      </c>
      <c r="EB216" s="235">
        <f>SUMPRODUCT(--(MOD(COLUMN($BN216:$DU216),5)=MOD(COLUMN($BN216)+3,5)),$BN216:$DU216)</f>
        <v/>
      </c>
      <c r="EC216" s="254">
        <f>Автовик_разбивка[[#This Row],[Цена, 
юань, без НДС 1]]*EB216</f>
        <v/>
      </c>
    </row>
    <row r="217">
      <c r="A217" s="262" t="n">
        <v>333</v>
      </c>
      <c r="B217" s="263" t="inlineStr">
        <is>
          <t>Форсмакс</t>
        </is>
      </c>
      <c r="C217" s="173" t="n"/>
      <c r="D217" s="173" t="n"/>
      <c r="E217" s="174" t="n"/>
      <c r="F217" s="174" t="n"/>
      <c r="G217" s="174" t="n"/>
      <c r="H217" s="175" t="n"/>
      <c r="I217" s="176" t="n"/>
      <c r="J217" s="913" t="n"/>
      <c r="K217" s="912" t="n"/>
      <c r="L217" s="178" t="n"/>
      <c r="M217" s="130" t="n"/>
      <c r="N217" s="179" t="n"/>
      <c r="O217" s="130" t="n"/>
      <c r="P217" s="178" t="n"/>
      <c r="Q217" s="130" t="n"/>
      <c r="R217" s="179" t="n"/>
      <c r="S217" s="130" t="n"/>
      <c r="T217" s="178" t="n"/>
      <c r="U217" s="130" t="n"/>
      <c r="V217" s="179" t="n"/>
      <c r="W217" s="130" t="n"/>
      <c r="X217" s="178" t="n"/>
      <c r="Y217" s="130" t="n"/>
      <c r="Z217" s="179" t="n"/>
      <c r="AA217" s="130" t="n"/>
      <c r="AB217" s="178" t="n"/>
      <c r="AC217" s="130" t="n"/>
      <c r="AD217" s="179" t="n"/>
      <c r="AE217" s="130" t="n"/>
      <c r="AF217" s="178" t="n"/>
      <c r="AG217" s="130" t="n"/>
      <c r="AH217" s="179" t="n"/>
      <c r="AI217" s="130" t="n"/>
      <c r="AJ217" s="178" t="n"/>
      <c r="AK217" s="130" t="n"/>
      <c r="AL217" s="179" t="n"/>
      <c r="AM217" s="130" t="n"/>
      <c r="AN217" s="178" t="n"/>
      <c r="AO217" s="130" t="n"/>
      <c r="AP217" s="179" t="n"/>
      <c r="AQ217" s="130" t="n"/>
      <c r="AR217" s="178" t="n"/>
      <c r="AS217" s="130" t="n"/>
      <c r="AT217" s="179" t="n"/>
      <c r="AU217" s="130" t="n"/>
      <c r="AV217" s="178" t="n"/>
      <c r="AW217" s="130" t="n"/>
      <c r="AX217" s="179" t="n"/>
      <c r="AY217" s="130" t="n"/>
      <c r="AZ217" s="178" t="n"/>
      <c r="BA217" s="130" t="n"/>
      <c r="BB217" s="179" t="n"/>
      <c r="BC217" s="130" t="n"/>
      <c r="BD217" s="178" t="n"/>
      <c r="BE217" s="130" t="n"/>
      <c r="BF217" s="109" t="n"/>
      <c r="BG217" s="130" t="n"/>
      <c r="BH217" s="180">
        <f>SUMPRODUCT(--(MOD(COLUMN($L217:$BG217),4)=MOD(COLUMN($L217),4)),$L217:$BG217)</f>
        <v/>
      </c>
      <c r="BI217" s="181">
        <f>Автовик_разбивка[[#This Row],[Цена, 
юань, без НДС 1]]*BH217</f>
        <v/>
      </c>
      <c r="BJ217" s="130">
        <f>SUMPRODUCT(--(MOD(COLUMN($L217:$BG217),4)=MOD(COLUMN($L217)+1,4)),$L217:$BG217)</f>
        <v/>
      </c>
      <c r="BK217" s="187">
        <f>Автовик_разбивка[[#This Row],[Цена, 
юань, без НДС 1]]*BJ217</f>
        <v/>
      </c>
      <c r="BL217" s="109">
        <f>SUMPRODUCT(--(MOD(COLUMN($L217:$BG217),4)=MOD(COLUMN($L217)+2,4)),$L217:$BG217)</f>
        <v/>
      </c>
      <c r="BM217" s="224">
        <f>Автовик_разбивка[[#This Row],[Цена, 
юань, без НДС 1]]*BL217</f>
        <v/>
      </c>
      <c r="BN217" s="178" t="n"/>
      <c r="BO217" s="184" t="n"/>
      <c r="BP217" s="130" t="n"/>
      <c r="BQ217" s="179" t="n"/>
      <c r="BR217" s="130" t="n"/>
      <c r="BS217" s="178" t="n"/>
      <c r="BT217" s="184" t="n"/>
      <c r="BU217" s="130" t="n"/>
      <c r="BV217" s="179" t="n"/>
      <c r="BW217" s="130" t="n"/>
      <c r="BX217" s="178" t="n"/>
      <c r="BY217" s="184" t="n"/>
      <c r="BZ217" s="130" t="n"/>
      <c r="CA217" s="179" t="n"/>
      <c r="CB217" s="130" t="n"/>
      <c r="CC217" s="178" t="n"/>
      <c r="CD217" s="184" t="n"/>
      <c r="CE217" s="130" t="n"/>
      <c r="CF217" s="179" t="n"/>
      <c r="CG217" s="130" t="n"/>
      <c r="CH217" s="178" t="n"/>
      <c r="CI217" s="184" t="n"/>
      <c r="CJ217" s="130" t="n"/>
      <c r="CK217" s="179" t="n"/>
      <c r="CL217" s="130" t="n"/>
      <c r="CM217" s="178" t="n"/>
      <c r="CN217" s="184" t="n"/>
      <c r="CO217" s="130" t="n"/>
      <c r="CP217" s="179" t="n"/>
      <c r="CQ217" s="130" t="n"/>
      <c r="CR217" s="178" t="n"/>
      <c r="CS217" s="184" t="n"/>
      <c r="CT217" s="130" t="n"/>
      <c r="CU217" s="179" t="n"/>
      <c r="CV217" s="130" t="n"/>
      <c r="CW217" s="178" t="n"/>
      <c r="CX217" s="184" t="n"/>
      <c r="CY217" s="130" t="n"/>
      <c r="CZ217" s="179" t="n"/>
      <c r="DA217" s="130" t="n"/>
      <c r="DB217" s="178" t="n"/>
      <c r="DC217" s="184" t="n"/>
      <c r="DD217" s="130" t="n"/>
      <c r="DE217" s="179" t="n"/>
      <c r="DF217" s="130" t="n"/>
      <c r="DG217" s="178" t="n"/>
      <c r="DH217" s="184" t="n"/>
      <c r="DI217" s="130" t="n"/>
      <c r="DJ217" s="179" t="n"/>
      <c r="DK217" s="130" t="n"/>
      <c r="DL217" s="178" t="n"/>
      <c r="DM217" s="184" t="n"/>
      <c r="DN217" s="130" t="n"/>
      <c r="DO217" s="179" t="n"/>
      <c r="DP217" s="130" t="n"/>
      <c r="DQ217" s="178" t="n"/>
      <c r="DR217" s="184" t="n"/>
      <c r="DS217" s="130" t="n"/>
      <c r="DT217" s="109" t="n"/>
      <c r="DU217" s="130" t="n"/>
      <c r="DV217" s="180">
        <f>SUMPRODUCT(--(MOD(COLUMN($BN217:$DU217),5)=MOD(COLUMN($BN217),5)),$BN217:$DU217)</f>
        <v/>
      </c>
      <c r="DW217" s="181">
        <f>Автовик_разбивка[[#This Row],[Цена, 
юань, без НДС 1]]*DV217</f>
        <v/>
      </c>
      <c r="DX217" s="186">
        <f>SUMPRODUCT(--(MOD(COLUMN($BN217:$DU217),5)=MOD(COLUMN($BN217)+1,5)),$BN217:$DU217)</f>
        <v/>
      </c>
      <c r="DY217" s="186">
        <f>Автовик_разбивка[[#This Row],[Цена, 
юань, без НДС 1]]*DX217</f>
        <v/>
      </c>
      <c r="DZ217" s="130">
        <f>SUMPRODUCT(--(MOD(COLUMN($BN217:$DU217),5)=MOD(COLUMN($BN217)+2,5)),$BN217:$DU217)</f>
        <v/>
      </c>
      <c r="EA217" s="187">
        <f>Автовик_разбивка[[#This Row],[Цена, 
юань, без НДС 1]]*DZ217</f>
        <v/>
      </c>
      <c r="EB217" s="109">
        <f>SUMPRODUCT(--(MOD(COLUMN($BN217:$DU217),5)=MOD(COLUMN($BN217)+3,5)),$BN217:$DU217)</f>
        <v/>
      </c>
      <c r="EC217" s="224">
        <f>Автовик_разбивка[[#This Row],[Цена, 
юань, без НДС 1]]*EB217</f>
        <v/>
      </c>
    </row>
    <row r="218">
      <c r="A218" s="262" t="n">
        <v>333</v>
      </c>
      <c r="B218" s="261" t="inlineStr">
        <is>
          <t>Форсмакс</t>
        </is>
      </c>
      <c r="C218" s="244" t="n"/>
      <c r="D218" s="244" t="n"/>
      <c r="E218" s="245" t="n"/>
      <c r="F218" s="245" t="n"/>
      <c r="G218" s="245" t="n"/>
      <c r="H218" s="246" t="n"/>
      <c r="I218" s="247" t="n"/>
      <c r="J218" s="915" t="n"/>
      <c r="K218" s="915" t="n"/>
      <c r="L218" s="249" t="n"/>
      <c r="M218" s="249" t="n"/>
      <c r="N218" s="249" t="n"/>
      <c r="O218" s="249" t="n"/>
      <c r="P218" s="249" t="n"/>
      <c r="Q218" s="249" t="n"/>
      <c r="R218" s="249" t="n"/>
      <c r="S218" s="249" t="n"/>
      <c r="T218" s="249" t="n"/>
      <c r="U218" s="249" t="n"/>
      <c r="V218" s="249" t="n"/>
      <c r="W218" s="249" t="n"/>
      <c r="X218" s="249" t="n"/>
      <c r="Y218" s="249" t="n"/>
      <c r="Z218" s="249" t="n"/>
      <c r="AA218" s="249" t="n"/>
      <c r="AB218" s="249" t="n"/>
      <c r="AC218" s="249" t="n"/>
      <c r="AD218" s="249" t="n"/>
      <c r="AE218" s="249" t="n"/>
      <c r="AF218" s="249" t="n"/>
      <c r="AG218" s="249" t="n"/>
      <c r="AH218" s="249" t="n"/>
      <c r="AI218" s="249" t="n"/>
      <c r="AJ218" s="249" t="n"/>
      <c r="AK218" s="249" t="n"/>
      <c r="AL218" s="249" t="n"/>
      <c r="AM218" s="249" t="n"/>
      <c r="AN218" s="249" t="n"/>
      <c r="AO218" s="249" t="n"/>
      <c r="AP218" s="249" t="n"/>
      <c r="AQ218" s="249" t="n"/>
      <c r="AR218" s="249" t="n"/>
      <c r="AS218" s="249" t="n"/>
      <c r="AT218" s="249" t="n"/>
      <c r="AU218" s="249" t="n"/>
      <c r="AV218" s="249" t="n"/>
      <c r="AW218" s="249" t="n"/>
      <c r="AX218" s="250" t="n"/>
      <c r="AY218" s="249" t="n"/>
      <c r="AZ218" s="250" t="n"/>
      <c r="BA218" s="250" t="n"/>
      <c r="BB218" s="250" t="n"/>
      <c r="BC218" s="249" t="n"/>
      <c r="BD218" s="250" t="n"/>
      <c r="BE218" s="250" t="n"/>
      <c r="BF218" s="250" t="n"/>
      <c r="BG218" s="249" t="n"/>
      <c r="BH218" s="250">
        <f>SUMPRODUCT(--(MOD(COLUMN($L218:$BG218),4)=MOD(COLUMN($L218),4)),$L218:$BG218)</f>
        <v/>
      </c>
      <c r="BI218" s="251">
        <f>Автовик_разбивка[[#This Row],[Цена, 
юань, без НДС 1]]*BH218</f>
        <v/>
      </c>
      <c r="BJ218" s="250">
        <f>SUMPRODUCT(--(MOD(COLUMN($L218:$BG218),4)=MOD(COLUMN($L218)+1,4)),$L218:$BG218)</f>
        <v/>
      </c>
      <c r="BK218" s="251">
        <f>Автовик_разбивка[[#This Row],[Цена, 
юань, без НДС 1]]*BJ218</f>
        <v/>
      </c>
      <c r="BL218" s="250">
        <f>SUMPRODUCT(--(MOD(COLUMN($L218:$BG218),4)=MOD(COLUMN($L218)+2,4)),$L218:$BG218)</f>
        <v/>
      </c>
      <c r="BM218" s="251">
        <f>Автовик_разбивка[[#This Row],[Цена, 
юань, без НДС 1]]*BL218</f>
        <v/>
      </c>
      <c r="BN218" s="249" t="n"/>
      <c r="BO218" s="249" t="n"/>
      <c r="BP218" s="249" t="n"/>
      <c r="BQ218" s="249" t="n"/>
      <c r="BR218" s="249" t="n"/>
      <c r="BS218" s="249" t="n"/>
      <c r="BT218" s="249" t="n"/>
      <c r="BU218" s="249" t="n"/>
      <c r="BV218" s="249" t="n"/>
      <c r="BW218" s="249" t="n"/>
      <c r="BX218" s="249" t="n"/>
      <c r="BY218" s="249" t="n"/>
      <c r="BZ218" s="249" t="n"/>
      <c r="CA218" s="249" t="n"/>
      <c r="CB218" s="249" t="n"/>
      <c r="CC218" s="249" t="n"/>
      <c r="CD218" s="249" t="n"/>
      <c r="CE218" s="249" t="n"/>
      <c r="CF218" s="249" t="n"/>
      <c r="CG218" s="249" t="n"/>
      <c r="CH218" s="249" t="n"/>
      <c r="CI218" s="249" t="n"/>
      <c r="CJ218" s="249" t="n"/>
      <c r="CK218" s="249" t="n"/>
      <c r="CL218" s="249" t="n"/>
      <c r="CM218" s="249" t="n"/>
      <c r="CN218" s="249" t="n"/>
      <c r="CO218" s="249" t="n"/>
      <c r="CP218" s="249" t="n"/>
      <c r="CQ218" s="249" t="n"/>
      <c r="CR218" s="249" t="n"/>
      <c r="CS218" s="249" t="n"/>
      <c r="CT218" s="249" t="n"/>
      <c r="CU218" s="249" t="n"/>
      <c r="CV218" s="249" t="n"/>
      <c r="CW218" s="249" t="n"/>
      <c r="CX218" s="249" t="n"/>
      <c r="CY218" s="249" t="n"/>
      <c r="CZ218" s="249" t="n"/>
      <c r="DA218" s="249" t="n"/>
      <c r="DB218" s="249" t="n"/>
      <c r="DC218" s="249" t="n"/>
      <c r="DD218" s="249" t="n"/>
      <c r="DE218" s="249" t="n"/>
      <c r="DF218" s="249" t="n"/>
      <c r="DG218" s="249" t="n"/>
      <c r="DH218" s="249" t="n"/>
      <c r="DI218" s="249" t="n"/>
      <c r="DJ218" s="250" t="n"/>
      <c r="DK218" s="249" t="n"/>
      <c r="DL218" s="250" t="n"/>
      <c r="DM218" s="250" t="n"/>
      <c r="DN218" s="250" t="n"/>
      <c r="DO218" s="250" t="n"/>
      <c r="DP218" s="249" t="n"/>
      <c r="DQ218" s="250" t="n"/>
      <c r="DR218" s="250" t="n"/>
      <c r="DS218" s="250" t="n"/>
      <c r="DT218" s="250" t="n"/>
      <c r="DU218" s="249" t="n"/>
      <c r="DV218" s="250">
        <f>SUMPRODUCT(--(MOD(COLUMN($BN218:$DU218),5)=MOD(COLUMN($BN218),5)),$BN218:$DU218)</f>
        <v/>
      </c>
      <c r="DW218" s="251">
        <f>Автовик_разбивка[[#This Row],[Цена, 
юань, без НДС 1]]*DV218</f>
        <v/>
      </c>
      <c r="DX218" s="251">
        <f>SUMPRODUCT(--(MOD(COLUMN($BN218:$DU218),5)=MOD(COLUMN($BN218)+1,5)),$BN218:$DU218)</f>
        <v/>
      </c>
      <c r="DY218" s="251">
        <f>Автовик_разбивка[[#This Row],[Цена, 
юань, без НДС 1]]*DX218</f>
        <v/>
      </c>
      <c r="DZ218" s="250">
        <f>SUMPRODUCT(--(MOD(COLUMN($BN218:$DU218),5)=MOD(COLUMN($BN218)+2,5)),$BN218:$DU218)</f>
        <v/>
      </c>
      <c r="EA218" s="251">
        <f>Автовик_разбивка[[#This Row],[Цена, 
юань, без НДС 1]]*DZ218</f>
        <v/>
      </c>
      <c r="EB218" s="250">
        <f>SUMPRODUCT(--(MOD(COLUMN($BN218:$DU218),5)=MOD(COLUMN($BN218)+3,5)),$BN218:$DU218)</f>
        <v/>
      </c>
      <c r="EC218" s="251">
        <f>Автовик_разбивка[[#This Row],[Цена, 
юань, без НДС 1]]*EB218</f>
        <v/>
      </c>
    </row>
    <row r="219">
      <c r="A219" s="262" t="n">
        <v>333</v>
      </c>
      <c r="B219" s="263" t="inlineStr">
        <is>
          <t>ЧДМ</t>
        </is>
      </c>
      <c r="C219" s="132" t="n"/>
      <c r="D219" s="132" t="n"/>
      <c r="E219" s="229" t="n"/>
      <c r="F219" s="229" t="n"/>
      <c r="G219" s="229" t="n"/>
      <c r="H219" s="230" t="n"/>
      <c r="I219" s="231" t="inlineStr">
        <is>
          <t>Итого</t>
        </is>
      </c>
      <c r="J219" s="914" t="n"/>
      <c r="K219" s="914" t="n"/>
      <c r="L219" s="233" t="n"/>
      <c r="M219" s="234" t="n"/>
      <c r="N219" s="235" t="n"/>
      <c r="O219" s="234" t="n"/>
      <c r="P219" s="233" t="n"/>
      <c r="Q219" s="234" t="n"/>
      <c r="R219" s="235" t="n"/>
      <c r="S219" s="234" t="n"/>
      <c r="T219" s="233" t="n"/>
      <c r="U219" s="234" t="n"/>
      <c r="V219" s="235" t="n"/>
      <c r="W219" s="234" t="n"/>
      <c r="X219" s="233" t="n"/>
      <c r="Y219" s="234" t="n"/>
      <c r="Z219" s="235" t="n"/>
      <c r="AA219" s="234" t="n"/>
      <c r="AB219" s="233" t="n"/>
      <c r="AC219" s="234" t="n"/>
      <c r="AD219" s="235" t="n"/>
      <c r="AE219" s="234" t="n"/>
      <c r="AF219" s="233" t="n"/>
      <c r="AG219" s="234" t="n"/>
      <c r="AH219" s="235" t="n"/>
      <c r="AI219" s="234" t="n"/>
      <c r="AJ219" s="233" t="n"/>
      <c r="AK219" s="234" t="n"/>
      <c r="AL219" s="235" t="n"/>
      <c r="AM219" s="234" t="n"/>
      <c r="AN219" s="233" t="n"/>
      <c r="AO219" s="234" t="n"/>
      <c r="AP219" s="235" t="n"/>
      <c r="AQ219" s="234" t="n"/>
      <c r="AR219" s="233" t="n"/>
      <c r="AS219" s="234" t="n"/>
      <c r="AT219" s="235" t="n"/>
      <c r="AU219" s="234" t="n"/>
      <c r="AV219" s="233" t="n"/>
      <c r="AW219" s="234" t="n"/>
      <c r="AX219" s="235" t="n"/>
      <c r="AY219" s="234" t="n"/>
      <c r="AZ219" s="233" t="n"/>
      <c r="BA219" s="234" t="n"/>
      <c r="BB219" s="235" t="n"/>
      <c r="BC219" s="234" t="n"/>
      <c r="BD219" s="233" t="n"/>
      <c r="BE219" s="234" t="n"/>
      <c r="BF219" s="235" t="n"/>
      <c r="BG219" s="234" t="n"/>
      <c r="BH219" s="233">
        <f>SUMPRODUCT(--(MOD(COLUMN($L219:$BG219),4)=MOD(COLUMN($L219),4)),$L219:$BG219)</f>
        <v/>
      </c>
      <c r="BI219" s="238">
        <f>Автовик_разбивка[[#This Row],[Цена, 
юань, без НДС 1]]*BH219</f>
        <v/>
      </c>
      <c r="BJ219" s="234">
        <f>SUMPRODUCT(--(MOD(COLUMN($L219:$BG219),4)=MOD(COLUMN($L219)+1,4)),$L219:$BG219)</f>
        <v/>
      </c>
      <c r="BK219" s="253">
        <f>Автовик_разбивка[[#This Row],[Цена, 
юань, без НДС 1]]*BJ219</f>
        <v/>
      </c>
      <c r="BL219" s="235">
        <f>SUMPRODUCT(--(MOD(COLUMN($L219:$BG219),4)=MOD(COLUMN($L219)+2,4)),$L219:$BG219)</f>
        <v/>
      </c>
      <c r="BM219" s="254">
        <f>Автовик_разбивка[[#This Row],[Цена, 
юань, без НДС 1]]*BL219</f>
        <v/>
      </c>
      <c r="BN219" s="233" t="n"/>
      <c r="BO219" s="241" t="n"/>
      <c r="BP219" s="234" t="n"/>
      <c r="BQ219" s="235" t="n"/>
      <c r="BR219" s="234" t="n"/>
      <c r="BS219" s="233" t="n"/>
      <c r="BT219" s="241" t="n"/>
      <c r="BU219" s="234" t="n"/>
      <c r="BV219" s="235" t="n"/>
      <c r="BW219" s="234" t="n"/>
      <c r="BX219" s="233" t="n"/>
      <c r="BY219" s="241" t="n"/>
      <c r="BZ219" s="234" t="n"/>
      <c r="CA219" s="235" t="n"/>
      <c r="CB219" s="234" t="n"/>
      <c r="CC219" s="233" t="n"/>
      <c r="CD219" s="241" t="n"/>
      <c r="CE219" s="234" t="n"/>
      <c r="CF219" s="235" t="n"/>
      <c r="CG219" s="234" t="n"/>
      <c r="CH219" s="233" t="n"/>
      <c r="CI219" s="241" t="n"/>
      <c r="CJ219" s="234" t="n"/>
      <c r="CK219" s="235" t="n"/>
      <c r="CL219" s="234" t="n"/>
      <c r="CM219" s="233" t="n"/>
      <c r="CN219" s="241" t="n"/>
      <c r="CO219" s="234" t="n"/>
      <c r="CP219" s="235" t="n"/>
      <c r="CQ219" s="234" t="n"/>
      <c r="CR219" s="233" t="n"/>
      <c r="CS219" s="241" t="n"/>
      <c r="CT219" s="234" t="n"/>
      <c r="CU219" s="235" t="n"/>
      <c r="CV219" s="234" t="n"/>
      <c r="CW219" s="233" t="n"/>
      <c r="CX219" s="241" t="n"/>
      <c r="CY219" s="234" t="n"/>
      <c r="CZ219" s="235" t="n"/>
      <c r="DA219" s="234" t="n"/>
      <c r="DB219" s="233" t="n"/>
      <c r="DC219" s="241" t="n"/>
      <c r="DD219" s="234" t="n"/>
      <c r="DE219" s="235" t="n"/>
      <c r="DF219" s="234" t="n"/>
      <c r="DG219" s="233" t="n"/>
      <c r="DH219" s="241" t="n"/>
      <c r="DI219" s="234" t="n"/>
      <c r="DJ219" s="235" t="n"/>
      <c r="DK219" s="234" t="n"/>
      <c r="DL219" s="233" t="n"/>
      <c r="DM219" s="241" t="n"/>
      <c r="DN219" s="234" t="n"/>
      <c r="DO219" s="235" t="n"/>
      <c r="DP219" s="234" t="n"/>
      <c r="DQ219" s="233" t="n"/>
      <c r="DR219" s="241" t="n"/>
      <c r="DS219" s="234" t="n"/>
      <c r="DT219" s="235" t="n"/>
      <c r="DU219" s="234" t="n"/>
      <c r="DV219" s="233">
        <f>SUMPRODUCT(--(MOD(COLUMN($BN219:$DU219),5)=MOD(COLUMN($BN219),5)),$BN219:$DU219)</f>
        <v/>
      </c>
      <c r="DW219" s="238">
        <f>Автовик_разбивка[[#This Row],[Цена, 
юань, без НДС 1]]*DV219</f>
        <v/>
      </c>
      <c r="DX219" s="242">
        <f>SUMPRODUCT(--(MOD(COLUMN($BN219:$DU219),5)=MOD(COLUMN($BN219)+1,5)),$BN219:$DU219)</f>
        <v/>
      </c>
      <c r="DY219" s="242">
        <f>Автовик_разбивка[[#This Row],[Цена, 
юань, без НДС 1]]*DX219</f>
        <v/>
      </c>
      <c r="DZ219" s="234">
        <f>SUMPRODUCT(--(MOD(COLUMN($BN219:$DU219),5)=MOD(COLUMN($BN219)+2,5)),$BN219:$DU219)</f>
        <v/>
      </c>
      <c r="EA219" s="253">
        <f>Автовик_разбивка[[#This Row],[Цена, 
юань, без НДС 1]]*DZ219</f>
        <v/>
      </c>
      <c r="EB219" s="235">
        <f>SUMPRODUCT(--(MOD(COLUMN($BN219:$DU219),5)=MOD(COLUMN($BN219)+3,5)),$BN219:$DU219)</f>
        <v/>
      </c>
      <c r="EC219" s="254">
        <f>Автовик_разбивка[[#This Row],[Цена, 
юань, без НДС 1]]*EB219</f>
        <v/>
      </c>
    </row>
    <row r="220">
      <c r="A220" s="262" t="n">
        <v>333</v>
      </c>
      <c r="B220" s="263" t="inlineStr">
        <is>
          <t>ЧДМ</t>
        </is>
      </c>
      <c r="C220" s="173" t="n"/>
      <c r="D220" s="173" t="n"/>
      <c r="E220" s="174" t="n"/>
      <c r="F220" s="174" t="n"/>
      <c r="G220" s="174" t="n"/>
      <c r="H220" s="175" t="n"/>
      <c r="I220" s="176" t="n"/>
      <c r="J220" s="913" t="n"/>
      <c r="K220" s="912" t="n"/>
      <c r="L220" s="178" t="n"/>
      <c r="M220" s="130" t="n"/>
      <c r="N220" s="179" t="n"/>
      <c r="O220" s="130" t="n"/>
      <c r="P220" s="178" t="n"/>
      <c r="Q220" s="130" t="n"/>
      <c r="R220" s="179" t="n"/>
      <c r="S220" s="130" t="n"/>
      <c r="T220" s="178" t="n"/>
      <c r="U220" s="130" t="n"/>
      <c r="V220" s="179" t="n"/>
      <c r="W220" s="130" t="n"/>
      <c r="X220" s="178" t="n"/>
      <c r="Y220" s="130" t="n"/>
      <c r="Z220" s="179" t="n"/>
      <c r="AA220" s="130" t="n"/>
      <c r="AB220" s="178" t="n"/>
      <c r="AC220" s="130" t="n"/>
      <c r="AD220" s="179" t="n"/>
      <c r="AE220" s="130" t="n"/>
      <c r="AF220" s="178" t="n"/>
      <c r="AG220" s="130" t="n"/>
      <c r="AH220" s="179" t="n"/>
      <c r="AI220" s="130" t="n"/>
      <c r="AJ220" s="178" t="n"/>
      <c r="AK220" s="130" t="n"/>
      <c r="AL220" s="179" t="n"/>
      <c r="AM220" s="130" t="n"/>
      <c r="AN220" s="178" t="n"/>
      <c r="AO220" s="130" t="n"/>
      <c r="AP220" s="179" t="n"/>
      <c r="AQ220" s="130" t="n"/>
      <c r="AR220" s="178" t="n"/>
      <c r="AS220" s="130" t="n"/>
      <c r="AT220" s="179" t="n"/>
      <c r="AU220" s="130" t="n"/>
      <c r="AV220" s="178" t="n"/>
      <c r="AW220" s="130" t="n"/>
      <c r="AX220" s="179" t="n"/>
      <c r="AY220" s="130" t="n"/>
      <c r="AZ220" s="178" t="n"/>
      <c r="BA220" s="130" t="n"/>
      <c r="BB220" s="179" t="n"/>
      <c r="BC220" s="130" t="n"/>
      <c r="BD220" s="178" t="n"/>
      <c r="BE220" s="130" t="n"/>
      <c r="BF220" s="109" t="n"/>
      <c r="BG220" s="130" t="n"/>
      <c r="BH220" s="180">
        <f>SUMPRODUCT(--(MOD(COLUMN($L220:$BG220),4)=MOD(COLUMN($L220),4)),$L220:$BG220)</f>
        <v/>
      </c>
      <c r="BI220" s="181">
        <f>Автовик_разбивка[[#This Row],[Цена, 
юань, без НДС 1]]*BH220</f>
        <v/>
      </c>
      <c r="BJ220" s="130">
        <f>SUMPRODUCT(--(MOD(COLUMN($L220:$BG220),4)=MOD(COLUMN($L220)+1,4)),$L220:$BG220)</f>
        <v/>
      </c>
      <c r="BK220" s="187">
        <f>Автовик_разбивка[[#This Row],[Цена, 
юань, без НДС 1]]*BJ220</f>
        <v/>
      </c>
      <c r="BL220" s="109">
        <f>SUMPRODUCT(--(MOD(COLUMN($L220:$BG220),4)=MOD(COLUMN($L220)+2,4)),$L220:$BG220)</f>
        <v/>
      </c>
      <c r="BM220" s="224">
        <f>Автовик_разбивка[[#This Row],[Цена, 
юань, без НДС 1]]*BL220</f>
        <v/>
      </c>
      <c r="BN220" s="178" t="n"/>
      <c r="BO220" s="184" t="n"/>
      <c r="BP220" s="130" t="n"/>
      <c r="BQ220" s="179" t="n"/>
      <c r="BR220" s="130" t="n"/>
      <c r="BS220" s="178" t="n"/>
      <c r="BT220" s="184" t="n"/>
      <c r="BU220" s="130" t="n"/>
      <c r="BV220" s="179" t="n"/>
      <c r="BW220" s="130" t="n"/>
      <c r="BX220" s="178" t="n"/>
      <c r="BY220" s="184" t="n"/>
      <c r="BZ220" s="130" t="n"/>
      <c r="CA220" s="179" t="n"/>
      <c r="CB220" s="130" t="n"/>
      <c r="CC220" s="178" t="n"/>
      <c r="CD220" s="184" t="n"/>
      <c r="CE220" s="130" t="n"/>
      <c r="CF220" s="179" t="n"/>
      <c r="CG220" s="130" t="n"/>
      <c r="CH220" s="178" t="n"/>
      <c r="CI220" s="184" t="n"/>
      <c r="CJ220" s="130" t="n"/>
      <c r="CK220" s="179" t="n"/>
      <c r="CL220" s="130" t="n"/>
      <c r="CM220" s="178" t="n"/>
      <c r="CN220" s="184" t="n"/>
      <c r="CO220" s="130" t="n"/>
      <c r="CP220" s="179" t="n"/>
      <c r="CQ220" s="130" t="n"/>
      <c r="CR220" s="178" t="n"/>
      <c r="CS220" s="184" t="n"/>
      <c r="CT220" s="130" t="n"/>
      <c r="CU220" s="179" t="n"/>
      <c r="CV220" s="130" t="n"/>
      <c r="CW220" s="178" t="n"/>
      <c r="CX220" s="184" t="n"/>
      <c r="CY220" s="130" t="n"/>
      <c r="CZ220" s="179" t="n"/>
      <c r="DA220" s="130" t="n"/>
      <c r="DB220" s="178" t="n"/>
      <c r="DC220" s="184" t="n"/>
      <c r="DD220" s="130" t="n"/>
      <c r="DE220" s="179" t="n"/>
      <c r="DF220" s="130" t="n"/>
      <c r="DG220" s="178" t="n"/>
      <c r="DH220" s="184" t="n"/>
      <c r="DI220" s="130" t="n"/>
      <c r="DJ220" s="179" t="n"/>
      <c r="DK220" s="130" t="n"/>
      <c r="DL220" s="178" t="n"/>
      <c r="DM220" s="184" t="n"/>
      <c r="DN220" s="130" t="n"/>
      <c r="DO220" s="179" t="n"/>
      <c r="DP220" s="130" t="n"/>
      <c r="DQ220" s="178" t="n"/>
      <c r="DR220" s="184" t="n"/>
      <c r="DS220" s="130" t="n"/>
      <c r="DT220" s="109" t="n"/>
      <c r="DU220" s="130" t="n"/>
      <c r="DV220" s="180">
        <f>SUMPRODUCT(--(MOD(COLUMN($BN220:$DU220),5)=MOD(COLUMN($BN220),5)),$BN220:$DU220)</f>
        <v/>
      </c>
      <c r="DW220" s="181">
        <f>Автовик_разбивка[[#This Row],[Цена, 
юань, без НДС 1]]*DV220</f>
        <v/>
      </c>
      <c r="DX220" s="186">
        <f>SUMPRODUCT(--(MOD(COLUMN($BN220:$DU220),5)=MOD(COLUMN($BN220)+1,5)),$BN220:$DU220)</f>
        <v/>
      </c>
      <c r="DY220" s="186">
        <f>Автовик_разбивка[[#This Row],[Цена, 
юань, без НДС 1]]*DX220</f>
        <v/>
      </c>
      <c r="DZ220" s="130">
        <f>SUMPRODUCT(--(MOD(COLUMN($BN220:$DU220),5)=MOD(COLUMN($BN220)+2,5)),$BN220:$DU220)</f>
        <v/>
      </c>
      <c r="EA220" s="187">
        <f>Автовик_разбивка[[#This Row],[Цена, 
юань, без НДС 1]]*DZ220</f>
        <v/>
      </c>
      <c r="EB220" s="109">
        <f>SUMPRODUCT(--(MOD(COLUMN($BN220:$DU220),5)=MOD(COLUMN($BN220)+3,5)),$BN220:$DU220)</f>
        <v/>
      </c>
      <c r="EC220" s="224">
        <f>Автовик_разбивка[[#This Row],[Цена, 
юань, без НДС 1]]*EB220</f>
        <v/>
      </c>
    </row>
    <row r="221">
      <c r="A221" s="262" t="n">
        <v>333</v>
      </c>
      <c r="B221" s="243" t="inlineStr">
        <is>
          <t>ЧДМ</t>
        </is>
      </c>
      <c r="C221" s="244" t="n"/>
      <c r="D221" s="244" t="n"/>
      <c r="E221" s="245" t="n"/>
      <c r="F221" s="245" t="n"/>
      <c r="G221" s="245" t="n"/>
      <c r="H221" s="246" t="n"/>
      <c r="I221" s="247" t="n"/>
      <c r="J221" s="915" t="n"/>
      <c r="K221" s="915" t="n"/>
      <c r="L221" s="249" t="n"/>
      <c r="M221" s="249" t="n"/>
      <c r="N221" s="249" t="n"/>
      <c r="O221" s="249" t="n"/>
      <c r="P221" s="249" t="n"/>
      <c r="Q221" s="249" t="n"/>
      <c r="R221" s="249" t="n"/>
      <c r="S221" s="249" t="n"/>
      <c r="T221" s="249" t="n"/>
      <c r="U221" s="249" t="n"/>
      <c r="V221" s="249" t="n"/>
      <c r="W221" s="249" t="n"/>
      <c r="X221" s="249" t="n"/>
      <c r="Y221" s="249" t="n"/>
      <c r="Z221" s="249" t="n"/>
      <c r="AA221" s="249" t="n"/>
      <c r="AB221" s="249" t="n"/>
      <c r="AC221" s="249" t="n"/>
      <c r="AD221" s="249" t="n"/>
      <c r="AE221" s="249" t="n"/>
      <c r="AF221" s="249" t="n"/>
      <c r="AG221" s="249" t="n"/>
      <c r="AH221" s="249" t="n"/>
      <c r="AI221" s="249" t="n"/>
      <c r="AJ221" s="249" t="n"/>
      <c r="AK221" s="249" t="n"/>
      <c r="AL221" s="249" t="n"/>
      <c r="AM221" s="249" t="n"/>
      <c r="AN221" s="249" t="n"/>
      <c r="AO221" s="249" t="n"/>
      <c r="AP221" s="249" t="n"/>
      <c r="AQ221" s="249" t="n"/>
      <c r="AR221" s="249" t="n"/>
      <c r="AS221" s="249" t="n"/>
      <c r="AT221" s="249" t="n"/>
      <c r="AU221" s="249" t="n"/>
      <c r="AV221" s="249" t="n"/>
      <c r="AW221" s="249" t="n"/>
      <c r="AX221" s="250" t="n"/>
      <c r="AY221" s="249" t="n"/>
      <c r="AZ221" s="250" t="n"/>
      <c r="BA221" s="250" t="n"/>
      <c r="BB221" s="250" t="n"/>
      <c r="BC221" s="249" t="n"/>
      <c r="BD221" s="250" t="n"/>
      <c r="BE221" s="250" t="n"/>
      <c r="BF221" s="250" t="n"/>
      <c r="BG221" s="249" t="n"/>
      <c r="BH221" s="250">
        <f>SUMPRODUCT(--(MOD(COLUMN($L221:$BG221),4)=MOD(COLUMN($L221),4)),$L221:$BG221)</f>
        <v/>
      </c>
      <c r="BI221" s="251">
        <f>Автовик_разбивка[[#This Row],[Цена, 
юань, без НДС 1]]*BH221</f>
        <v/>
      </c>
      <c r="BJ221" s="250">
        <f>SUMPRODUCT(--(MOD(COLUMN($L221:$BG221),4)=MOD(COLUMN($L221)+1,4)),$L221:$BG221)</f>
        <v/>
      </c>
      <c r="BK221" s="251">
        <f>Автовик_разбивка[[#This Row],[Цена, 
юань, без НДС 1]]*BJ221</f>
        <v/>
      </c>
      <c r="BL221" s="250">
        <f>SUMPRODUCT(--(MOD(COLUMN($L221:$BG221),4)=MOD(COLUMN($L221)+2,4)),$L221:$BG221)</f>
        <v/>
      </c>
      <c r="BM221" s="251">
        <f>Автовик_разбивка[[#This Row],[Цена, 
юань, без НДС 1]]*BL221</f>
        <v/>
      </c>
      <c r="BN221" s="249" t="n"/>
      <c r="BO221" s="249" t="n"/>
      <c r="BP221" s="249" t="n"/>
      <c r="BQ221" s="249" t="n"/>
      <c r="BR221" s="249" t="n"/>
      <c r="BS221" s="249" t="n"/>
      <c r="BT221" s="249" t="n"/>
      <c r="BU221" s="249" t="n"/>
      <c r="BV221" s="249" t="n"/>
      <c r="BW221" s="249" t="n"/>
      <c r="BX221" s="249" t="n"/>
      <c r="BY221" s="249" t="n"/>
      <c r="BZ221" s="249" t="n"/>
      <c r="CA221" s="249" t="n"/>
      <c r="CB221" s="249" t="n"/>
      <c r="CC221" s="249" t="n"/>
      <c r="CD221" s="249" t="n"/>
      <c r="CE221" s="249" t="n"/>
      <c r="CF221" s="249" t="n"/>
      <c r="CG221" s="249" t="n"/>
      <c r="CH221" s="249" t="n"/>
      <c r="CI221" s="249" t="n"/>
      <c r="CJ221" s="249" t="n"/>
      <c r="CK221" s="249" t="n"/>
      <c r="CL221" s="249" t="n"/>
      <c r="CM221" s="249" t="n"/>
      <c r="CN221" s="249" t="n"/>
      <c r="CO221" s="249" t="n"/>
      <c r="CP221" s="249" t="n"/>
      <c r="CQ221" s="249" t="n"/>
      <c r="CR221" s="249" t="n"/>
      <c r="CS221" s="249" t="n"/>
      <c r="CT221" s="249" t="n"/>
      <c r="CU221" s="249" t="n"/>
      <c r="CV221" s="249" t="n"/>
      <c r="CW221" s="249" t="n"/>
      <c r="CX221" s="249" t="n"/>
      <c r="CY221" s="249" t="n"/>
      <c r="CZ221" s="249" t="n"/>
      <c r="DA221" s="249" t="n"/>
      <c r="DB221" s="249" t="n"/>
      <c r="DC221" s="249" t="n"/>
      <c r="DD221" s="249" t="n"/>
      <c r="DE221" s="249" t="n"/>
      <c r="DF221" s="249" t="n"/>
      <c r="DG221" s="249" t="n"/>
      <c r="DH221" s="249" t="n"/>
      <c r="DI221" s="249" t="n"/>
      <c r="DJ221" s="250" t="n"/>
      <c r="DK221" s="249" t="n"/>
      <c r="DL221" s="250" t="n"/>
      <c r="DM221" s="250" t="n"/>
      <c r="DN221" s="250" t="n"/>
      <c r="DO221" s="250" t="n"/>
      <c r="DP221" s="249" t="n"/>
      <c r="DQ221" s="250" t="n"/>
      <c r="DR221" s="250" t="n"/>
      <c r="DS221" s="250" t="n"/>
      <c r="DT221" s="250" t="n"/>
      <c r="DU221" s="249" t="n"/>
      <c r="DV221" s="250">
        <f>SUMPRODUCT(--(MOD(COLUMN($BN221:$DU221),5)=MOD(COLUMN($BN221),5)),$BN221:$DU221)</f>
        <v/>
      </c>
      <c r="DW221" s="251">
        <f>Автовик_разбивка[[#This Row],[Цена, 
юань, без НДС 1]]*DV221</f>
        <v/>
      </c>
      <c r="DX221" s="251">
        <f>SUMPRODUCT(--(MOD(COLUMN($BN221:$DU221),5)=MOD(COLUMN($BN221)+1,5)),$BN221:$DU221)</f>
        <v/>
      </c>
      <c r="DY221" s="251">
        <f>Автовик_разбивка[[#This Row],[Цена, 
юань, без НДС 1]]*DX221</f>
        <v/>
      </c>
      <c r="DZ221" s="250">
        <f>SUMPRODUCT(--(MOD(COLUMN($BN221:$DU221),5)=MOD(COLUMN($BN221)+2,5)),$BN221:$DU221)</f>
        <v/>
      </c>
      <c r="EA221" s="251">
        <f>Автовик_разбивка[[#This Row],[Цена, 
юань, без НДС 1]]*DZ221</f>
        <v/>
      </c>
      <c r="EB221" s="250">
        <f>SUMPRODUCT(--(MOD(COLUMN($BN221:$DU221),5)=MOD(COLUMN($BN221)+3,5)),$BN221:$DU221)</f>
        <v/>
      </c>
      <c r="EC221" s="251">
        <f>Автовик_разбивка[[#This Row],[Цена, 
юань, без НДС 1]]*EB221</f>
        <v/>
      </c>
    </row>
    <row r="222">
      <c r="A222" s="265" t="n">
        <v>999</v>
      </c>
      <c r="B222" s="266" t="inlineStr">
        <is>
          <t>ЗАПАС</t>
        </is>
      </c>
      <c r="C222" s="173" t="inlineStr">
        <is>
          <t>TABS 3m</t>
        </is>
      </c>
      <c r="D222" s="173" t="inlineStr">
        <is>
          <t>TABS 3m</t>
        </is>
      </c>
      <c r="E222" s="174" t="n">
        <v>1</v>
      </c>
      <c r="F222" s="174" t="n"/>
      <c r="G222" s="195" t="n"/>
      <c r="H222" s="196" t="n">
        <v>4496161560</v>
      </c>
      <c r="I222" s="197" t="inlineStr">
        <is>
          <t>Кабель ускорительного клапана ABS / диа., 10 м / 3 м</t>
        </is>
      </c>
      <c r="J222" s="911" t="n"/>
      <c r="K222" s="912" t="n"/>
      <c r="L222" s="178" t="n">
        <v>10</v>
      </c>
      <c r="M222" s="130" t="n">
        <v>10</v>
      </c>
      <c r="N222" s="179" t="n"/>
      <c r="O222" s="130" t="n"/>
      <c r="P222" s="178" t="n">
        <v>10</v>
      </c>
      <c r="Q222" s="130" t="n"/>
      <c r="R222" s="179" t="n"/>
      <c r="S222" s="130" t="n"/>
      <c r="T222" s="178" t="n">
        <v>10</v>
      </c>
      <c r="U222" s="130" t="n"/>
      <c r="V222" s="179" t="n"/>
      <c r="W222" s="130" t="n"/>
      <c r="X222" s="178" t="n">
        <v>10</v>
      </c>
      <c r="Y222" s="130" t="n"/>
      <c r="Z222" s="179" t="n"/>
      <c r="AA222" s="130" t="n"/>
      <c r="AB222" s="178" t="n">
        <v>10</v>
      </c>
      <c r="AC222" s="130" t="n"/>
      <c r="AD222" s="179" t="n"/>
      <c r="AE222" s="130" t="n"/>
      <c r="AF222" s="178" t="n">
        <v>10</v>
      </c>
      <c r="AG222" s="130" t="n"/>
      <c r="AH222" s="179" t="n"/>
      <c r="AI222" s="130" t="n"/>
      <c r="AJ222" s="178" t="n">
        <v>10</v>
      </c>
      <c r="AK222" s="130" t="n"/>
      <c r="AL222" s="179" t="n"/>
      <c r="AM222" s="130" t="n"/>
      <c r="AN222" s="178" t="n">
        <v>10</v>
      </c>
      <c r="AO222" s="130" t="n"/>
      <c r="AP222" s="179" t="n"/>
      <c r="AQ222" s="130" t="n"/>
      <c r="AR222" s="178" t="n">
        <v>10</v>
      </c>
      <c r="AS222" s="130" t="n"/>
      <c r="AT222" s="179" t="n"/>
      <c r="AU222" s="130" t="n"/>
      <c r="AV222" s="178" t="n">
        <v>10</v>
      </c>
      <c r="AW222" s="130" t="n"/>
      <c r="AX222" s="179" t="n"/>
      <c r="AY222" s="130" t="n"/>
      <c r="AZ222" s="178" t="n">
        <v>10</v>
      </c>
      <c r="BA222" s="130" t="n"/>
      <c r="BB222" s="194" t="n"/>
      <c r="BC222" s="130" t="n"/>
      <c r="BD222" s="178" t="n">
        <v>10</v>
      </c>
      <c r="BE222" s="130" t="n"/>
      <c r="BF222" s="109" t="n"/>
      <c r="BG222" s="130" t="n"/>
      <c r="BH222" s="180">
        <f>SUMPRODUCT(--(MOD(COLUMN($L222:$BG222),4)=MOD(COLUMN($L222),4)),$L222:$BG222)</f>
        <v/>
      </c>
      <c r="BI222" s="181">
        <f>Автовик_разбивка[[#This Row],[Цена, 
юань, без НДС 1]]*BH222</f>
        <v/>
      </c>
      <c r="BJ222" s="130">
        <f>SUMPRODUCT(--(MOD(COLUMN($L222:$BG222),4)=MOD(COLUMN($L222)+1,4)),$L222:$BG222)</f>
        <v/>
      </c>
      <c r="BK222" s="187">
        <f>Автовик_разбивка[[#This Row],[Цена, 
юань, без НДС 1]]*BJ222</f>
        <v/>
      </c>
      <c r="BL222" s="109">
        <f>SUMPRODUCT(--(MOD(COLUMN($L222:$BG222),4)=MOD(COLUMN($L222)+2,4)),$L222:$BG222)</f>
        <v/>
      </c>
      <c r="BM222" s="224">
        <f>Автовик_разбивка[[#This Row],[Цена, 
юань, без НДС 1]]*BL222</f>
        <v/>
      </c>
      <c r="BN222" s="178" t="n"/>
      <c r="BO222" s="184" t="n"/>
      <c r="BP222" s="130" t="n"/>
      <c r="BQ222" s="179" t="n"/>
      <c r="BR222" s="130" t="n"/>
      <c r="BS222" s="178" t="n"/>
      <c r="BT222" s="184" t="n"/>
      <c r="BU222" s="130" t="n"/>
      <c r="BV222" s="179" t="n"/>
      <c r="BW222" s="130" t="n"/>
      <c r="BX222" s="178" t="n"/>
      <c r="BY222" s="184" t="n"/>
      <c r="BZ222" s="130" t="n"/>
      <c r="CA222" s="179" t="n"/>
      <c r="CB222" s="130" t="n"/>
      <c r="CC222" s="178" t="n"/>
      <c r="CD222" s="184" t="n"/>
      <c r="CE222" s="130" t="n"/>
      <c r="CF222" s="179" t="n"/>
      <c r="CG222" s="130" t="n"/>
      <c r="CH222" s="178" t="n"/>
      <c r="CI222" s="184" t="n"/>
      <c r="CJ222" s="130" t="n"/>
      <c r="CK222" s="179" t="n"/>
      <c r="CL222" s="130" t="n"/>
      <c r="CM222" s="178" t="n"/>
      <c r="CN222" s="184" t="n"/>
      <c r="CO222" s="130" t="n"/>
      <c r="CP222" s="179" t="n"/>
      <c r="CQ222" s="130" t="n"/>
      <c r="CR222" s="178" t="n"/>
      <c r="CS222" s="184" t="n"/>
      <c r="CT222" s="130" t="n"/>
      <c r="CU222" s="179" t="n"/>
      <c r="CV222" s="130" t="n"/>
      <c r="CW222" s="178" t="n"/>
      <c r="CX222" s="184" t="n"/>
      <c r="CY222" s="130" t="n"/>
      <c r="CZ222" s="179" t="n"/>
      <c r="DA222" s="130" t="n"/>
      <c r="DB222" s="178" t="n"/>
      <c r="DC222" s="184" t="n"/>
      <c r="DD222" s="130" t="n"/>
      <c r="DE222" s="179" t="n"/>
      <c r="DF222" s="130" t="n"/>
      <c r="DG222" s="178" t="n"/>
      <c r="DH222" s="184" t="n"/>
      <c r="DI222" s="130" t="n"/>
      <c r="DJ222" s="179" t="n"/>
      <c r="DK222" s="130" t="n"/>
      <c r="DL222" s="178" t="n"/>
      <c r="DM222" s="184" t="n"/>
      <c r="DN222" s="130" t="n"/>
      <c r="DO222" s="194" t="n"/>
      <c r="DP222" s="130" t="n"/>
      <c r="DQ222" s="178" t="n"/>
      <c r="DR222" s="184" t="n"/>
      <c r="DS222" s="130" t="n"/>
      <c r="DT222" s="109" t="n"/>
      <c r="DU222" s="130" t="n"/>
      <c r="DV222" s="180">
        <f>SUMPRODUCT(--(MOD(COLUMN($BN222:$DU222),5)=MOD(COLUMN($BN222),5)),$BN222:$DU222)</f>
        <v/>
      </c>
      <c r="DW222" s="181">
        <f>Автовик_разбивка[[#This Row],[Цена, 
юань, без НДС 1]]*DV222</f>
        <v/>
      </c>
      <c r="DX222" s="186">
        <f>SUMPRODUCT(--(MOD(COLUMN($BN222:$DU222),5)=MOD(COLUMN($BN222)+1,5)),$BN222:$DU222)</f>
        <v/>
      </c>
      <c r="DY222" s="186">
        <f>Автовик_разбивка[[#This Row],[Цена, 
юань, без НДС 1]]*DX222</f>
        <v/>
      </c>
      <c r="DZ222" s="130">
        <f>SUMPRODUCT(--(MOD(COLUMN($BN222:$DU222),5)=MOD(COLUMN($BN222)+2,5)),$BN222:$DU222)</f>
        <v/>
      </c>
      <c r="EA222" s="187">
        <f>Автовик_разбивка[[#This Row],[Цена, 
юань, без НДС 1]]*DZ222</f>
        <v/>
      </c>
      <c r="EB222" s="109">
        <f>SUMPRODUCT(--(MOD(COLUMN($BN222:$DU222),5)=MOD(COLUMN($BN222)+3,5)),$BN222:$DU222)</f>
        <v/>
      </c>
      <c r="EC222" s="224">
        <f>Автовик_разбивка[[#This Row],[Цена, 
юань, без НДС 1]]*EB222</f>
        <v/>
      </c>
    </row>
    <row r="223">
      <c r="A223" s="265" t="n">
        <v>999</v>
      </c>
      <c r="B223" s="266" t="inlineStr">
        <is>
          <t>ЗАПАС</t>
        </is>
      </c>
      <c r="C223" s="173" t="inlineStr">
        <is>
          <t>TABS 3m</t>
        </is>
      </c>
      <c r="D223" s="173" t="inlineStr">
        <is>
          <t>TABS 3m</t>
        </is>
      </c>
      <c r="E223" s="174" t="n">
        <v>2</v>
      </c>
      <c r="F223" s="174" t="n"/>
      <c r="G223" s="195" t="n">
        <v>2</v>
      </c>
      <c r="H223" s="196" t="n">
        <v>4497120300</v>
      </c>
      <c r="I223" s="197" t="inlineStr">
        <is>
          <t>Кабель-удлинитель датчика ABS, 3 м</t>
        </is>
      </c>
      <c r="J223" s="911" t="n"/>
      <c r="K223" s="912" t="n"/>
      <c r="L223" s="178" t="n"/>
      <c r="M223" s="130" t="n"/>
      <c r="N223" s="179" t="n"/>
      <c r="O223" s="130" t="n"/>
      <c r="P223" s="178" t="n"/>
      <c r="Q223" s="130" t="n"/>
      <c r="R223" s="179" t="n"/>
      <c r="S223" s="130" t="n"/>
      <c r="T223" s="178" t="n"/>
      <c r="U223" s="130" t="n"/>
      <c r="V223" s="179" t="n"/>
      <c r="W223" s="130" t="n"/>
      <c r="X223" s="178" t="n"/>
      <c r="Y223" s="130" t="n"/>
      <c r="Z223" s="179" t="n"/>
      <c r="AA223" s="130" t="n"/>
      <c r="AB223" s="178" t="n"/>
      <c r="AC223" s="130" t="n"/>
      <c r="AD223" s="179" t="n"/>
      <c r="AE223" s="130" t="n"/>
      <c r="AF223" s="178" t="n"/>
      <c r="AG223" s="130" t="n"/>
      <c r="AH223" s="179" t="n"/>
      <c r="AI223" s="130" t="n"/>
      <c r="AJ223" s="178" t="n"/>
      <c r="AK223" s="130" t="n"/>
      <c r="AL223" s="179" t="n"/>
      <c r="AM223" s="130" t="n"/>
      <c r="AN223" s="178" t="n"/>
      <c r="AO223" s="130" t="n"/>
      <c r="AP223" s="179" t="n"/>
      <c r="AQ223" s="130" t="n"/>
      <c r="AR223" s="178" t="n"/>
      <c r="AS223" s="130" t="n"/>
      <c r="AT223" s="179" t="n"/>
      <c r="AU223" s="130" t="n"/>
      <c r="AV223" s="178" t="n"/>
      <c r="AW223" s="130" t="n"/>
      <c r="AX223" s="179" t="n"/>
      <c r="AY223" s="130" t="n"/>
      <c r="AZ223" s="178" t="n"/>
      <c r="BA223" s="130" t="n"/>
      <c r="BB223" s="194" t="n"/>
      <c r="BC223" s="130" t="n"/>
      <c r="BD223" s="178" t="n"/>
      <c r="BE223" s="130" t="n"/>
      <c r="BF223" s="109" t="n"/>
      <c r="BG223" s="130" t="n"/>
      <c r="BH223" s="180">
        <f>SUMPRODUCT(--(MOD(COLUMN($L223:$BG223),4)=MOD(COLUMN($L223),4)),$L223:$BG223)</f>
        <v/>
      </c>
      <c r="BI223" s="181">
        <f>Автовик_разбивка[[#This Row],[Цена, 
юань, без НДС 1]]*BH223</f>
        <v/>
      </c>
      <c r="BJ223" s="130">
        <f>SUMPRODUCT(--(MOD(COLUMN($L223:$BG223),4)=MOD(COLUMN($L223)+1,4)),$L223:$BG223)</f>
        <v/>
      </c>
      <c r="BK223" s="187">
        <f>Автовик_разбивка[[#This Row],[Цена, 
юань, без НДС 1]]*BJ223</f>
        <v/>
      </c>
      <c r="BL223" s="109">
        <f>SUMPRODUCT(--(MOD(COLUMN($L223:$BG223),4)=MOD(COLUMN($L223)+2,4)),$L223:$BG223)</f>
        <v/>
      </c>
      <c r="BM223" s="224">
        <f>Автовик_разбивка[[#This Row],[Цена, 
юань, без НДС 1]]*BL223</f>
        <v/>
      </c>
      <c r="BN223" s="178" t="n"/>
      <c r="BO223" s="184" t="n"/>
      <c r="BP223" s="130" t="n"/>
      <c r="BQ223" s="179" t="n"/>
      <c r="BR223" s="130" t="n"/>
      <c r="BS223" s="178" t="n"/>
      <c r="BT223" s="184" t="n"/>
      <c r="BU223" s="130" t="n"/>
      <c r="BV223" s="179" t="n"/>
      <c r="BW223" s="130" t="n"/>
      <c r="BX223" s="178" t="n"/>
      <c r="BY223" s="184" t="n"/>
      <c r="BZ223" s="130" t="n"/>
      <c r="CA223" s="179" t="n"/>
      <c r="CB223" s="130" t="n"/>
      <c r="CC223" s="178" t="n"/>
      <c r="CD223" s="184" t="n"/>
      <c r="CE223" s="130" t="n"/>
      <c r="CF223" s="179" t="n"/>
      <c r="CG223" s="130" t="n"/>
      <c r="CH223" s="178" t="n"/>
      <c r="CI223" s="184" t="n"/>
      <c r="CJ223" s="130" t="n"/>
      <c r="CK223" s="179" t="n"/>
      <c r="CL223" s="130" t="n"/>
      <c r="CM223" s="178" t="n"/>
      <c r="CN223" s="184" t="n"/>
      <c r="CO223" s="130" t="n"/>
      <c r="CP223" s="179" t="n"/>
      <c r="CQ223" s="130" t="n"/>
      <c r="CR223" s="178" t="n"/>
      <c r="CS223" s="184" t="n"/>
      <c r="CT223" s="130" t="n"/>
      <c r="CU223" s="179" t="n"/>
      <c r="CV223" s="130" t="n"/>
      <c r="CW223" s="178" t="n"/>
      <c r="CX223" s="184" t="n"/>
      <c r="CY223" s="130" t="n"/>
      <c r="CZ223" s="179" t="n"/>
      <c r="DA223" s="130" t="n"/>
      <c r="DB223" s="178" t="n"/>
      <c r="DC223" s="184" t="n"/>
      <c r="DD223" s="130" t="n"/>
      <c r="DE223" s="179" t="n"/>
      <c r="DF223" s="130" t="n"/>
      <c r="DG223" s="178" t="n"/>
      <c r="DH223" s="184" t="n"/>
      <c r="DI223" s="130" t="n"/>
      <c r="DJ223" s="179" t="n"/>
      <c r="DK223" s="130" t="n"/>
      <c r="DL223" s="178" t="n"/>
      <c r="DM223" s="184" t="n"/>
      <c r="DN223" s="130" t="n"/>
      <c r="DO223" s="194" t="n"/>
      <c r="DP223" s="130" t="n"/>
      <c r="DQ223" s="178" t="n"/>
      <c r="DR223" s="184" t="n"/>
      <c r="DS223" s="130" t="n"/>
      <c r="DT223" s="109" t="n"/>
      <c r="DU223" s="130" t="n"/>
      <c r="DV223" s="180">
        <f>SUMPRODUCT(--(MOD(COLUMN($BN223:$DU223),5)=MOD(COLUMN($BN223),5)),$BN223:$DU223)</f>
        <v/>
      </c>
      <c r="DW223" s="181">
        <f>Автовик_разбивка[[#This Row],[Цена, 
юань, без НДС 1]]*DV223</f>
        <v/>
      </c>
      <c r="DX223" s="186">
        <f>SUMPRODUCT(--(MOD(COLUMN($BN223:$DU223),5)=MOD(COLUMN($BN223)+1,5)),$BN223:$DU223)</f>
        <v/>
      </c>
      <c r="DY223" s="186">
        <f>Автовик_разбивка[[#This Row],[Цена, 
юань, без НДС 1]]*DX223</f>
        <v/>
      </c>
      <c r="DZ223" s="130">
        <f>SUMPRODUCT(--(MOD(COLUMN($BN223:$DU223),5)=MOD(COLUMN($BN223)+2,5)),$BN223:$DU223)</f>
        <v/>
      </c>
      <c r="EA223" s="187">
        <f>Автовик_разбивка[[#This Row],[Цена, 
юань, без НДС 1]]*DZ223</f>
        <v/>
      </c>
      <c r="EB223" s="109">
        <f>SUMPRODUCT(--(MOD(COLUMN($BN223:$DU223),5)=MOD(COLUMN($BN223)+3,5)),$BN223:$DU223)</f>
        <v/>
      </c>
      <c r="EC223" s="224">
        <f>Автовик_разбивка[[#This Row],[Цена, 
юань, без НДС 1]]*EB223</f>
        <v/>
      </c>
    </row>
    <row r="224">
      <c r="A224" s="265" t="n">
        <v>999</v>
      </c>
      <c r="B224" s="266" t="inlineStr">
        <is>
          <t>ЗАПАС</t>
        </is>
      </c>
      <c r="C224" s="173" t="inlineStr">
        <is>
          <t>TABS 3m</t>
        </is>
      </c>
      <c r="D224" s="173" t="inlineStr">
        <is>
          <t>TABS 3m</t>
        </is>
      </c>
      <c r="E224" s="174" t="n"/>
      <c r="F224" s="174" t="n"/>
      <c r="G224" s="195" t="n">
        <v>2</v>
      </c>
      <c r="H224" s="196" t="n">
        <v>4497490300</v>
      </c>
      <c r="I224" s="197" t="inlineStr">
        <is>
          <t>Кабель-удлинитель датчика ABS, 3 м</t>
        </is>
      </c>
      <c r="J224" s="911" t="n"/>
      <c r="K224" s="912" t="n"/>
      <c r="L224" s="178" t="n">
        <v>20</v>
      </c>
      <c r="M224" s="130" t="n">
        <v>20</v>
      </c>
      <c r="N224" s="179" t="n"/>
      <c r="O224" s="130" t="n"/>
      <c r="P224" s="178" t="n">
        <v>20</v>
      </c>
      <c r="Q224" s="130" t="n"/>
      <c r="R224" s="179" t="n"/>
      <c r="S224" s="130" t="n"/>
      <c r="T224" s="178" t="n">
        <v>20</v>
      </c>
      <c r="U224" s="130" t="n"/>
      <c r="V224" s="179" t="n"/>
      <c r="W224" s="130" t="n"/>
      <c r="X224" s="178" t="n">
        <v>20</v>
      </c>
      <c r="Y224" s="130" t="n"/>
      <c r="Z224" s="179" t="n"/>
      <c r="AA224" s="130" t="n"/>
      <c r="AB224" s="178" t="n">
        <v>20</v>
      </c>
      <c r="AC224" s="130" t="n"/>
      <c r="AD224" s="179" t="n"/>
      <c r="AE224" s="130" t="n"/>
      <c r="AF224" s="178" t="n">
        <v>20</v>
      </c>
      <c r="AG224" s="130" t="n"/>
      <c r="AH224" s="179" t="n"/>
      <c r="AI224" s="130" t="n"/>
      <c r="AJ224" s="178" t="n">
        <v>20</v>
      </c>
      <c r="AK224" s="130" t="n"/>
      <c r="AL224" s="179" t="n"/>
      <c r="AM224" s="130" t="n"/>
      <c r="AN224" s="178" t="n">
        <v>20</v>
      </c>
      <c r="AO224" s="130" t="n"/>
      <c r="AP224" s="179" t="n"/>
      <c r="AQ224" s="130" t="n"/>
      <c r="AR224" s="178" t="n">
        <v>20</v>
      </c>
      <c r="AS224" s="130" t="n"/>
      <c r="AT224" s="179" t="n"/>
      <c r="AU224" s="130" t="n"/>
      <c r="AV224" s="178" t="n">
        <v>20</v>
      </c>
      <c r="AW224" s="130" t="n"/>
      <c r="AX224" s="179" t="n"/>
      <c r="AY224" s="130" t="n"/>
      <c r="AZ224" s="178" t="n">
        <v>20</v>
      </c>
      <c r="BA224" s="130" t="n"/>
      <c r="BB224" s="194" t="n"/>
      <c r="BC224" s="130" t="n"/>
      <c r="BD224" s="178" t="n">
        <v>20</v>
      </c>
      <c r="BE224" s="130" t="n"/>
      <c r="BF224" s="109" t="n"/>
      <c r="BG224" s="130" t="n"/>
      <c r="BH224" s="180">
        <f>SUMPRODUCT(--(MOD(COLUMN($L224:$BG224),4)=MOD(COLUMN($L224),4)),$L224:$BG224)</f>
        <v/>
      </c>
      <c r="BI224" s="181">
        <f>Автовик_разбивка[[#This Row],[Цена, 
юань, без НДС 1]]*BH224</f>
        <v/>
      </c>
      <c r="BJ224" s="130">
        <f>SUMPRODUCT(--(MOD(COLUMN($L224:$BG224),4)=MOD(COLUMN($L224)+1,4)),$L224:$BG224)</f>
        <v/>
      </c>
      <c r="BK224" s="187">
        <f>Автовик_разбивка[[#This Row],[Цена, 
юань, без НДС 1]]*BJ224</f>
        <v/>
      </c>
      <c r="BL224" s="109">
        <f>SUMPRODUCT(--(MOD(COLUMN($L224:$BG224),4)=MOD(COLUMN($L224)+2,4)),$L224:$BG224)</f>
        <v/>
      </c>
      <c r="BM224" s="224">
        <f>Автовик_разбивка[[#This Row],[Цена, 
юань, без НДС 1]]*BL224</f>
        <v/>
      </c>
      <c r="BN224" s="178" t="n"/>
      <c r="BO224" s="184" t="n"/>
      <c r="BP224" s="130" t="n"/>
      <c r="BQ224" s="179" t="n"/>
      <c r="BR224" s="130" t="n"/>
      <c r="BS224" s="178" t="n"/>
      <c r="BT224" s="184" t="n"/>
      <c r="BU224" s="130" t="n"/>
      <c r="BV224" s="179" t="n"/>
      <c r="BW224" s="130" t="n"/>
      <c r="BX224" s="178" t="n"/>
      <c r="BY224" s="184" t="n"/>
      <c r="BZ224" s="130" t="n"/>
      <c r="CA224" s="179" t="n"/>
      <c r="CB224" s="130" t="n"/>
      <c r="CC224" s="178" t="n"/>
      <c r="CD224" s="184" t="n"/>
      <c r="CE224" s="130" t="n"/>
      <c r="CF224" s="179" t="n"/>
      <c r="CG224" s="130" t="n"/>
      <c r="CH224" s="178" t="n"/>
      <c r="CI224" s="184" t="n"/>
      <c r="CJ224" s="130" t="n"/>
      <c r="CK224" s="179" t="n"/>
      <c r="CL224" s="130" t="n"/>
      <c r="CM224" s="178" t="n"/>
      <c r="CN224" s="184" t="n"/>
      <c r="CO224" s="130" t="n"/>
      <c r="CP224" s="179" t="n"/>
      <c r="CQ224" s="130" t="n"/>
      <c r="CR224" s="178" t="n"/>
      <c r="CS224" s="184" t="n"/>
      <c r="CT224" s="130" t="n"/>
      <c r="CU224" s="179" t="n"/>
      <c r="CV224" s="130" t="n"/>
      <c r="CW224" s="178" t="n"/>
      <c r="CX224" s="184" t="n"/>
      <c r="CY224" s="130" t="n"/>
      <c r="CZ224" s="179" t="n"/>
      <c r="DA224" s="130" t="n"/>
      <c r="DB224" s="178" t="n"/>
      <c r="DC224" s="184" t="n"/>
      <c r="DD224" s="130" t="n"/>
      <c r="DE224" s="179" t="n"/>
      <c r="DF224" s="130" t="n"/>
      <c r="DG224" s="178" t="n"/>
      <c r="DH224" s="184" t="n"/>
      <c r="DI224" s="130" t="n"/>
      <c r="DJ224" s="179" t="n"/>
      <c r="DK224" s="130" t="n"/>
      <c r="DL224" s="178" t="n"/>
      <c r="DM224" s="184" t="n"/>
      <c r="DN224" s="130" t="n"/>
      <c r="DO224" s="194" t="n"/>
      <c r="DP224" s="130" t="n"/>
      <c r="DQ224" s="178" t="n"/>
      <c r="DR224" s="184" t="n"/>
      <c r="DS224" s="130" t="n"/>
      <c r="DT224" s="109" t="n"/>
      <c r="DU224" s="130" t="n"/>
      <c r="DV224" s="180">
        <f>SUMPRODUCT(--(MOD(COLUMN($BN224:$DU224),5)=MOD(COLUMN($BN224),5)),$BN224:$DU224)</f>
        <v/>
      </c>
      <c r="DW224" s="181">
        <f>Автовик_разбивка[[#This Row],[Цена, 
юань, без НДС 1]]*DV224</f>
        <v/>
      </c>
      <c r="DX224" s="186">
        <f>SUMPRODUCT(--(MOD(COLUMN($BN224:$DU224),5)=MOD(COLUMN($BN224)+1,5)),$BN224:$DU224)</f>
        <v/>
      </c>
      <c r="DY224" s="186">
        <f>Автовик_разбивка[[#This Row],[Цена, 
юань, без НДС 1]]*DX224</f>
        <v/>
      </c>
      <c r="DZ224" s="130">
        <f>SUMPRODUCT(--(MOD(COLUMN($BN224:$DU224),5)=MOD(COLUMN($BN224)+2,5)),$BN224:$DU224)</f>
        <v/>
      </c>
      <c r="EA224" s="187">
        <f>Автовик_разбивка[[#This Row],[Цена, 
юань, без НДС 1]]*DZ224</f>
        <v/>
      </c>
      <c r="EB224" s="109">
        <f>SUMPRODUCT(--(MOD(COLUMN($BN224:$DU224),5)=MOD(COLUMN($BN224)+3,5)),$BN224:$DU224)</f>
        <v/>
      </c>
      <c r="EC224" s="224">
        <f>Автовик_разбивка[[#This Row],[Цена, 
юань, без НДС 1]]*EB224</f>
        <v/>
      </c>
    </row>
    <row r="225">
      <c r="A225" s="265" t="n">
        <v>999</v>
      </c>
      <c r="B225" s="266" t="inlineStr">
        <is>
          <t>ЗАПАС</t>
        </is>
      </c>
      <c r="C225" s="173" t="inlineStr">
        <is>
          <t>TABS 3m</t>
        </is>
      </c>
      <c r="D225" s="173" t="inlineStr">
        <is>
          <t>TABS 3m</t>
        </is>
      </c>
      <c r="E225" s="174" t="n">
        <v>1</v>
      </c>
      <c r="F225" s="174" t="n"/>
      <c r="G225" s="195" t="n"/>
      <c r="H225" s="196" t="n">
        <v>4721950310</v>
      </c>
      <c r="I225" s="197" t="inlineStr">
        <is>
          <t>Ускорительный клапан ABS</t>
        </is>
      </c>
      <c r="J225" s="911" t="n"/>
      <c r="K225" s="912" t="n"/>
      <c r="L225" s="178" t="n">
        <v>10</v>
      </c>
      <c r="M225" s="130" t="n">
        <v>10</v>
      </c>
      <c r="N225" s="179" t="n"/>
      <c r="O225" s="130" t="n"/>
      <c r="P225" s="178" t="n">
        <v>10</v>
      </c>
      <c r="Q225" s="130" t="n"/>
      <c r="R225" s="179" t="n"/>
      <c r="S225" s="130" t="n"/>
      <c r="T225" s="178" t="n">
        <v>10</v>
      </c>
      <c r="U225" s="130" t="n"/>
      <c r="V225" s="179" t="n"/>
      <c r="W225" s="130" t="n"/>
      <c r="X225" s="178" t="n">
        <v>10</v>
      </c>
      <c r="Y225" s="130" t="n"/>
      <c r="Z225" s="179" t="n"/>
      <c r="AA225" s="130" t="n"/>
      <c r="AB225" s="178" t="n">
        <v>10</v>
      </c>
      <c r="AC225" s="130" t="n"/>
      <c r="AD225" s="179" t="n"/>
      <c r="AE225" s="130" t="n"/>
      <c r="AF225" s="178" t="n">
        <v>10</v>
      </c>
      <c r="AG225" s="130" t="n"/>
      <c r="AH225" s="179" t="n"/>
      <c r="AI225" s="130" t="n"/>
      <c r="AJ225" s="178" t="n">
        <v>10</v>
      </c>
      <c r="AK225" s="130" t="n"/>
      <c r="AL225" s="179" t="n"/>
      <c r="AM225" s="130" t="n"/>
      <c r="AN225" s="178" t="n">
        <v>10</v>
      </c>
      <c r="AO225" s="130" t="n"/>
      <c r="AP225" s="179" t="n"/>
      <c r="AQ225" s="130" t="n"/>
      <c r="AR225" s="178" t="n">
        <v>10</v>
      </c>
      <c r="AS225" s="130" t="n"/>
      <c r="AT225" s="179" t="n"/>
      <c r="AU225" s="130" t="n"/>
      <c r="AV225" s="178" t="n">
        <v>10</v>
      </c>
      <c r="AW225" s="130" t="n"/>
      <c r="AX225" s="179" t="n"/>
      <c r="AY225" s="130" t="n"/>
      <c r="AZ225" s="178" t="n">
        <v>10</v>
      </c>
      <c r="BA225" s="130" t="n"/>
      <c r="BB225" s="194" t="n"/>
      <c r="BC225" s="130" t="n"/>
      <c r="BD225" s="178" t="n">
        <v>10</v>
      </c>
      <c r="BE225" s="130" t="n"/>
      <c r="BF225" s="109" t="n"/>
      <c r="BG225" s="130" t="n"/>
      <c r="BH225" s="180">
        <f>SUMPRODUCT(--(MOD(COLUMN($L225:$BG225),4)=MOD(COLUMN($L225),4)),$L225:$BG225)</f>
        <v/>
      </c>
      <c r="BI225" s="181">
        <f>Автовик_разбивка[[#This Row],[Цена, 
юань, без НДС 1]]*BH225</f>
        <v/>
      </c>
      <c r="BJ225" s="130">
        <f>SUMPRODUCT(--(MOD(COLUMN($L225:$BG225),4)=MOD(COLUMN($L225)+1,4)),$L225:$BG225)</f>
        <v/>
      </c>
      <c r="BK225" s="187">
        <f>Автовик_разбивка[[#This Row],[Цена, 
юань, без НДС 1]]*BJ225</f>
        <v/>
      </c>
      <c r="BL225" s="109">
        <f>SUMPRODUCT(--(MOD(COLUMN($L225:$BG225),4)=MOD(COLUMN($L225)+2,4)),$L225:$BG225)</f>
        <v/>
      </c>
      <c r="BM225" s="224">
        <f>Автовик_разбивка[[#This Row],[Цена, 
юань, без НДС 1]]*BL225</f>
        <v/>
      </c>
      <c r="BN225" s="178" t="n"/>
      <c r="BO225" s="184" t="n"/>
      <c r="BP225" s="130" t="n"/>
      <c r="BQ225" s="179" t="n"/>
      <c r="BR225" s="130" t="n"/>
      <c r="BS225" s="178" t="n"/>
      <c r="BT225" s="184" t="n"/>
      <c r="BU225" s="130" t="n"/>
      <c r="BV225" s="179" t="n"/>
      <c r="BW225" s="130" t="n"/>
      <c r="BX225" s="178" t="n"/>
      <c r="BY225" s="184" t="n"/>
      <c r="BZ225" s="130" t="n"/>
      <c r="CA225" s="179" t="n"/>
      <c r="CB225" s="130" t="n"/>
      <c r="CC225" s="178" t="n"/>
      <c r="CD225" s="184" t="n"/>
      <c r="CE225" s="130" t="n"/>
      <c r="CF225" s="179" t="n"/>
      <c r="CG225" s="130" t="n"/>
      <c r="CH225" s="178" t="n"/>
      <c r="CI225" s="184" t="n"/>
      <c r="CJ225" s="130" t="n"/>
      <c r="CK225" s="179" t="n"/>
      <c r="CL225" s="130" t="n"/>
      <c r="CM225" s="178" t="n"/>
      <c r="CN225" s="184" t="n"/>
      <c r="CO225" s="130" t="n"/>
      <c r="CP225" s="179" t="n"/>
      <c r="CQ225" s="130" t="n"/>
      <c r="CR225" s="178" t="n"/>
      <c r="CS225" s="184" t="n"/>
      <c r="CT225" s="130" t="n"/>
      <c r="CU225" s="179" t="n"/>
      <c r="CV225" s="130" t="n"/>
      <c r="CW225" s="178" t="n"/>
      <c r="CX225" s="184" t="n"/>
      <c r="CY225" s="130" t="n"/>
      <c r="CZ225" s="179" t="n"/>
      <c r="DA225" s="130" t="n"/>
      <c r="DB225" s="178" t="n"/>
      <c r="DC225" s="184" t="n"/>
      <c r="DD225" s="130" t="n"/>
      <c r="DE225" s="179" t="n"/>
      <c r="DF225" s="130" t="n"/>
      <c r="DG225" s="178" t="n"/>
      <c r="DH225" s="184" t="n"/>
      <c r="DI225" s="130" t="n"/>
      <c r="DJ225" s="179" t="n"/>
      <c r="DK225" s="130" t="n"/>
      <c r="DL225" s="178" t="n"/>
      <c r="DM225" s="184" t="n"/>
      <c r="DN225" s="130" t="n"/>
      <c r="DO225" s="194" t="n"/>
      <c r="DP225" s="130" t="n"/>
      <c r="DQ225" s="178" t="n"/>
      <c r="DR225" s="184" t="n"/>
      <c r="DS225" s="130" t="n"/>
      <c r="DT225" s="109" t="n"/>
      <c r="DU225" s="130" t="n"/>
      <c r="DV225" s="180">
        <f>SUMPRODUCT(--(MOD(COLUMN($BN225:$DU225),5)=MOD(COLUMN($BN225),5)),$BN225:$DU225)</f>
        <v/>
      </c>
      <c r="DW225" s="181">
        <f>Автовик_разбивка[[#This Row],[Цена, 
юань, без НДС 1]]*DV225</f>
        <v/>
      </c>
      <c r="DX225" s="186">
        <f>SUMPRODUCT(--(MOD(COLUMN($BN225:$DU225),5)=MOD(COLUMN($BN225)+1,5)),$BN225:$DU225)</f>
        <v/>
      </c>
      <c r="DY225" s="186">
        <f>Автовик_разбивка[[#This Row],[Цена, 
юань, без НДС 1]]*DX225</f>
        <v/>
      </c>
      <c r="DZ225" s="130">
        <f>SUMPRODUCT(--(MOD(COLUMN($BN225:$DU225),5)=MOD(COLUMN($BN225)+2,5)),$BN225:$DU225)</f>
        <v/>
      </c>
      <c r="EA225" s="187">
        <f>Автовик_разбивка[[#This Row],[Цена, 
юань, без НДС 1]]*DZ225</f>
        <v/>
      </c>
      <c r="EB225" s="109">
        <f>SUMPRODUCT(--(MOD(COLUMN($BN225:$DU225),5)=MOD(COLUMN($BN225)+3,5)),$BN225:$DU225)</f>
        <v/>
      </c>
      <c r="EC225" s="224">
        <f>Автовик_разбивка[[#This Row],[Цена, 
юань, без НДС 1]]*EB225</f>
        <v/>
      </c>
    </row>
    <row r="226">
      <c r="A226" s="265" t="n">
        <v>999</v>
      </c>
      <c r="B226" s="266" t="inlineStr">
        <is>
          <t>ЗАПАС</t>
        </is>
      </c>
      <c r="C226" s="173" t="inlineStr">
        <is>
          <t>TABS W</t>
        </is>
      </c>
      <c r="D226" s="173" t="inlineStr">
        <is>
          <t>TABS 2s/2m 12м W</t>
        </is>
      </c>
      <c r="E226" s="174" t="n">
        <v>1</v>
      </c>
      <c r="F226" s="174" t="n"/>
      <c r="G226" s="190" t="n">
        <v>2</v>
      </c>
      <c r="H226" s="191" t="n">
        <v>4005000880</v>
      </c>
      <c r="I226" s="192" t="inlineStr">
        <is>
          <t>Модулятор ABS</t>
        </is>
      </c>
      <c r="J226" s="911" t="n"/>
      <c r="K226" s="912" t="n"/>
      <c r="L226" s="178" t="n">
        <v>50</v>
      </c>
      <c r="M226" s="130" t="n">
        <v>50</v>
      </c>
      <c r="N226" s="179" t="n"/>
      <c r="O226" s="130" t="n"/>
      <c r="P226" s="178" t="n">
        <v>50</v>
      </c>
      <c r="Q226" s="130" t="n"/>
      <c r="R226" s="179" t="n"/>
      <c r="S226" s="130" t="n"/>
      <c r="T226" s="178" t="n">
        <v>50</v>
      </c>
      <c r="U226" s="130" t="n"/>
      <c r="V226" s="179" t="n"/>
      <c r="W226" s="130" t="n"/>
      <c r="X226" s="178" t="n">
        <v>50</v>
      </c>
      <c r="Y226" s="130" t="n"/>
      <c r="Z226" s="179" t="n"/>
      <c r="AA226" s="130" t="n"/>
      <c r="AB226" s="178" t="n">
        <v>50</v>
      </c>
      <c r="AC226" s="130" t="n"/>
      <c r="AD226" s="179" t="n"/>
      <c r="AE226" s="130" t="n"/>
      <c r="AF226" s="178" t="n">
        <v>50</v>
      </c>
      <c r="AG226" s="130" t="n"/>
      <c r="AH226" s="179" t="n"/>
      <c r="AI226" s="130" t="n"/>
      <c r="AJ226" s="178" t="n">
        <v>50</v>
      </c>
      <c r="AK226" s="130" t="n"/>
      <c r="AL226" s="179" t="n"/>
      <c r="AM226" s="130" t="n"/>
      <c r="AN226" s="178" t="n">
        <v>50</v>
      </c>
      <c r="AO226" s="130" t="n"/>
      <c r="AP226" s="179" t="n"/>
      <c r="AQ226" s="130" t="n"/>
      <c r="AR226" s="178" t="n">
        <v>50</v>
      </c>
      <c r="AS226" s="130" t="n"/>
      <c r="AT226" s="179" t="n"/>
      <c r="AU226" s="130" t="n"/>
      <c r="AV226" s="178" t="n">
        <v>50</v>
      </c>
      <c r="AW226" s="130" t="n"/>
      <c r="AX226" s="179" t="n"/>
      <c r="AY226" s="130" t="n"/>
      <c r="AZ226" s="178" t="n">
        <v>50</v>
      </c>
      <c r="BA226" s="130" t="n"/>
      <c r="BB226" s="194" t="n"/>
      <c r="BC226" s="130" t="n"/>
      <c r="BD226" s="178" t="n">
        <v>50</v>
      </c>
      <c r="BE226" s="130" t="n"/>
      <c r="BF226" s="109" t="n"/>
      <c r="BG226" s="130" t="n"/>
      <c r="BH226" s="180">
        <f>SUMPRODUCT(--(MOD(COLUMN($L226:$BG226),4)=MOD(COLUMN($L226),4)),$L226:$BG226)</f>
        <v/>
      </c>
      <c r="BI226" s="181">
        <f>Автовик_разбивка[[#This Row],[Цена, 
юань, без НДС 1]]*BH226</f>
        <v/>
      </c>
      <c r="BJ226" s="130">
        <f>SUMPRODUCT(--(MOD(COLUMN($L226:$BG226),4)=MOD(COLUMN($L226)+1,4)),$L226:$BG226)</f>
        <v/>
      </c>
      <c r="BK226" s="187">
        <f>Автовик_разбивка[[#This Row],[Цена, 
юань, без НДС 1]]*BJ226</f>
        <v/>
      </c>
      <c r="BL226" s="109">
        <f>SUMPRODUCT(--(MOD(COLUMN($L226:$BG226),4)=MOD(COLUMN($L226)+2,4)),$L226:$BG226)</f>
        <v/>
      </c>
      <c r="BM226" s="224">
        <f>Автовик_разбивка[[#This Row],[Цена, 
юань, без НДС 1]]*BL226</f>
        <v/>
      </c>
      <c r="BN226" s="178" t="n"/>
      <c r="BO226" s="184" t="n"/>
      <c r="BP226" s="130" t="n"/>
      <c r="BQ226" s="179" t="n"/>
      <c r="BR226" s="130" t="n"/>
      <c r="BS226" s="178" t="n"/>
      <c r="BT226" s="184" t="n"/>
      <c r="BU226" s="130" t="n"/>
      <c r="BV226" s="179" t="n"/>
      <c r="BW226" s="130" t="n"/>
      <c r="BX226" s="178" t="n"/>
      <c r="BY226" s="184" t="n"/>
      <c r="BZ226" s="130" t="n"/>
      <c r="CA226" s="179" t="n"/>
      <c r="CB226" s="130" t="n"/>
      <c r="CC226" s="178" t="n"/>
      <c r="CD226" s="184" t="n"/>
      <c r="CE226" s="130" t="n"/>
      <c r="CF226" s="179" t="n"/>
      <c r="CG226" s="130" t="n"/>
      <c r="CH226" s="178" t="n"/>
      <c r="CI226" s="184" t="n"/>
      <c r="CJ226" s="130" t="n"/>
      <c r="CK226" s="179" t="n"/>
      <c r="CL226" s="130" t="n"/>
      <c r="CM226" s="178" t="n"/>
      <c r="CN226" s="184" t="n"/>
      <c r="CO226" s="130" t="n"/>
      <c r="CP226" s="179" t="n"/>
      <c r="CQ226" s="130" t="n"/>
      <c r="CR226" s="178" t="n"/>
      <c r="CS226" s="184" t="n"/>
      <c r="CT226" s="130" t="n"/>
      <c r="CU226" s="179" t="n"/>
      <c r="CV226" s="130" t="n"/>
      <c r="CW226" s="178" t="n"/>
      <c r="CX226" s="184" t="n"/>
      <c r="CY226" s="130" t="n"/>
      <c r="CZ226" s="179" t="n"/>
      <c r="DA226" s="130" t="n"/>
      <c r="DB226" s="178" t="n"/>
      <c r="DC226" s="184" t="n"/>
      <c r="DD226" s="130" t="n"/>
      <c r="DE226" s="179" t="n"/>
      <c r="DF226" s="130" t="n"/>
      <c r="DG226" s="178" t="n"/>
      <c r="DH226" s="184" t="n"/>
      <c r="DI226" s="130" t="n"/>
      <c r="DJ226" s="179" t="n"/>
      <c r="DK226" s="130" t="n"/>
      <c r="DL226" s="178" t="n"/>
      <c r="DM226" s="184" t="n"/>
      <c r="DN226" s="130" t="n"/>
      <c r="DO226" s="194" t="n"/>
      <c r="DP226" s="130" t="n"/>
      <c r="DQ226" s="178" t="n"/>
      <c r="DR226" s="184" t="n"/>
      <c r="DS226" s="130" t="n"/>
      <c r="DT226" s="109" t="n"/>
      <c r="DU226" s="130" t="n"/>
      <c r="DV226" s="180">
        <f>SUMPRODUCT(--(MOD(COLUMN($BN226:$DU226),5)=MOD(COLUMN($BN226),5)),$BN226:$DU226)</f>
        <v/>
      </c>
      <c r="DW226" s="181">
        <f>Автовик_разбивка[[#This Row],[Цена, 
юань, без НДС 1]]*DV226</f>
        <v/>
      </c>
      <c r="DX226" s="186">
        <f>SUMPRODUCT(--(MOD(COLUMN($BN226:$DU226),5)=MOD(COLUMN($BN226)+1,5)),$BN226:$DU226)</f>
        <v/>
      </c>
      <c r="DY226" s="186">
        <f>Автовик_разбивка[[#This Row],[Цена, 
юань, без НДС 1]]*DX226</f>
        <v/>
      </c>
      <c r="DZ226" s="130">
        <f>SUMPRODUCT(--(MOD(COLUMN($BN226:$DU226),5)=MOD(COLUMN($BN226)+2,5)),$BN226:$DU226)</f>
        <v/>
      </c>
      <c r="EA226" s="187">
        <f>Автовик_разбивка[[#This Row],[Цена, 
юань, без НДС 1]]*DZ226</f>
        <v/>
      </c>
      <c r="EB226" s="109">
        <f>SUMPRODUCT(--(MOD(COLUMN($BN226:$DU226),5)=MOD(COLUMN($BN226)+3,5)),$BN226:$DU226)</f>
        <v/>
      </c>
      <c r="EC226" s="224">
        <f>Автовик_разбивка[[#This Row],[Цена, 
юань, без НДС 1]]*EB226</f>
        <v/>
      </c>
    </row>
    <row r="227">
      <c r="A227" s="265" t="n">
        <v>999</v>
      </c>
      <c r="B227" s="266" t="inlineStr">
        <is>
          <t>ЗАПАС</t>
        </is>
      </c>
      <c r="C227" s="173" t="inlineStr">
        <is>
          <t>TABS W</t>
        </is>
      </c>
      <c r="D227" s="173" t="inlineStr">
        <is>
          <t>TABS 2s/2m 12м W</t>
        </is>
      </c>
      <c r="E227" s="174" t="n">
        <v>1</v>
      </c>
      <c r="F227" s="174" t="n"/>
      <c r="G227" s="190" t="n">
        <v>2</v>
      </c>
      <c r="H227" s="191" t="n">
        <v>4491301200</v>
      </c>
      <c r="I227" s="192" t="inlineStr">
        <is>
          <t>Кабель питания ABS, часть 2, 12 м</t>
        </is>
      </c>
      <c r="J227" s="911" t="n"/>
      <c r="K227" s="912" t="n"/>
      <c r="L227" s="178" t="n">
        <v>50</v>
      </c>
      <c r="M227" s="130" t="n">
        <v>50</v>
      </c>
      <c r="N227" s="179" t="n"/>
      <c r="O227" s="130" t="n"/>
      <c r="P227" s="178" t="n">
        <v>50</v>
      </c>
      <c r="Q227" s="130" t="n"/>
      <c r="R227" s="179" t="n"/>
      <c r="S227" s="130" t="n"/>
      <c r="T227" s="178" t="n">
        <v>50</v>
      </c>
      <c r="U227" s="130" t="n"/>
      <c r="V227" s="179" t="n"/>
      <c r="W227" s="130" t="n"/>
      <c r="X227" s="178" t="n">
        <v>50</v>
      </c>
      <c r="Y227" s="130" t="n"/>
      <c r="Z227" s="179" t="n"/>
      <c r="AA227" s="130" t="n"/>
      <c r="AB227" s="178" t="n">
        <v>50</v>
      </c>
      <c r="AC227" s="130" t="n"/>
      <c r="AD227" s="179" t="n"/>
      <c r="AE227" s="130" t="n"/>
      <c r="AF227" s="178" t="n">
        <v>50</v>
      </c>
      <c r="AG227" s="130" t="n"/>
      <c r="AH227" s="179" t="n"/>
      <c r="AI227" s="130" t="n"/>
      <c r="AJ227" s="178" t="n">
        <v>50</v>
      </c>
      <c r="AK227" s="130" t="n"/>
      <c r="AL227" s="179" t="n"/>
      <c r="AM227" s="130" t="n"/>
      <c r="AN227" s="178" t="n">
        <v>50</v>
      </c>
      <c r="AO227" s="130" t="n"/>
      <c r="AP227" s="179" t="n"/>
      <c r="AQ227" s="130" t="n"/>
      <c r="AR227" s="178" t="n">
        <v>50</v>
      </c>
      <c r="AS227" s="130" t="n"/>
      <c r="AT227" s="179" t="n"/>
      <c r="AU227" s="130" t="n"/>
      <c r="AV227" s="178" t="n">
        <v>50</v>
      </c>
      <c r="AW227" s="130" t="n"/>
      <c r="AX227" s="179" t="n"/>
      <c r="AY227" s="130" t="n"/>
      <c r="AZ227" s="178" t="n">
        <v>50</v>
      </c>
      <c r="BA227" s="130" t="n"/>
      <c r="BB227" s="194" t="n"/>
      <c r="BC227" s="130" t="n"/>
      <c r="BD227" s="178" t="n">
        <v>50</v>
      </c>
      <c r="BE227" s="130" t="n"/>
      <c r="BF227" s="109" t="n"/>
      <c r="BG227" s="130" t="n"/>
      <c r="BH227" s="180">
        <f>SUMPRODUCT(--(MOD(COLUMN($L227:$BG227),4)=MOD(COLUMN($L227),4)),$L227:$BG227)</f>
        <v/>
      </c>
      <c r="BI227" s="181">
        <f>Автовик_разбивка[[#This Row],[Цена, 
юань, без НДС 1]]*BH227</f>
        <v/>
      </c>
      <c r="BJ227" s="130">
        <f>SUMPRODUCT(--(MOD(COLUMN($L227:$BG227),4)=MOD(COLUMN($L227)+1,4)),$L227:$BG227)</f>
        <v/>
      </c>
      <c r="BK227" s="187">
        <f>Автовик_разбивка[[#This Row],[Цена, 
юань, без НДС 1]]*BJ227</f>
        <v/>
      </c>
      <c r="BL227" s="109">
        <f>SUMPRODUCT(--(MOD(COLUMN($L227:$BG227),4)=MOD(COLUMN($L227)+2,4)),$L227:$BG227)</f>
        <v/>
      </c>
      <c r="BM227" s="224">
        <f>Автовик_разбивка[[#This Row],[Цена, 
юань, без НДС 1]]*BL227</f>
        <v/>
      </c>
      <c r="BN227" s="178" t="n"/>
      <c r="BO227" s="184" t="n"/>
      <c r="BP227" s="130" t="n"/>
      <c r="BQ227" s="179" t="n"/>
      <c r="BR227" s="130" t="n"/>
      <c r="BS227" s="178" t="n"/>
      <c r="BT227" s="184" t="n"/>
      <c r="BU227" s="130" t="n"/>
      <c r="BV227" s="179" t="n"/>
      <c r="BW227" s="130" t="n"/>
      <c r="BX227" s="178" t="n"/>
      <c r="BY227" s="184" t="n"/>
      <c r="BZ227" s="130" t="n"/>
      <c r="CA227" s="179" t="n"/>
      <c r="CB227" s="130" t="n"/>
      <c r="CC227" s="178" t="n"/>
      <c r="CD227" s="184" t="n"/>
      <c r="CE227" s="130" t="n"/>
      <c r="CF227" s="179" t="n"/>
      <c r="CG227" s="130" t="n"/>
      <c r="CH227" s="178" t="n"/>
      <c r="CI227" s="184" t="n"/>
      <c r="CJ227" s="130" t="n"/>
      <c r="CK227" s="179" t="n"/>
      <c r="CL227" s="130" t="n"/>
      <c r="CM227" s="178" t="n"/>
      <c r="CN227" s="184" t="n"/>
      <c r="CO227" s="130" t="n"/>
      <c r="CP227" s="179" t="n"/>
      <c r="CQ227" s="130" t="n"/>
      <c r="CR227" s="178" t="n"/>
      <c r="CS227" s="184" t="n"/>
      <c r="CT227" s="130" t="n"/>
      <c r="CU227" s="179" t="n"/>
      <c r="CV227" s="130" t="n"/>
      <c r="CW227" s="178" t="n"/>
      <c r="CX227" s="184" t="n"/>
      <c r="CY227" s="130" t="n"/>
      <c r="CZ227" s="179" t="n"/>
      <c r="DA227" s="130" t="n"/>
      <c r="DB227" s="178" t="n"/>
      <c r="DC227" s="184" t="n"/>
      <c r="DD227" s="130" t="n"/>
      <c r="DE227" s="179" t="n"/>
      <c r="DF227" s="130" t="n"/>
      <c r="DG227" s="178" t="n"/>
      <c r="DH227" s="184" t="n"/>
      <c r="DI227" s="130" t="n"/>
      <c r="DJ227" s="179" t="n"/>
      <c r="DK227" s="130" t="n"/>
      <c r="DL227" s="178" t="n"/>
      <c r="DM227" s="184" t="n"/>
      <c r="DN227" s="130" t="n"/>
      <c r="DO227" s="194" t="n"/>
      <c r="DP227" s="130" t="n"/>
      <c r="DQ227" s="178" t="n"/>
      <c r="DR227" s="184" t="n"/>
      <c r="DS227" s="130" t="n"/>
      <c r="DT227" s="109" t="n"/>
      <c r="DU227" s="130" t="n"/>
      <c r="DV227" s="180">
        <f>SUMPRODUCT(--(MOD(COLUMN($BN227:$DU227),5)=MOD(COLUMN($BN227),5)),$BN227:$DU227)</f>
        <v/>
      </c>
      <c r="DW227" s="181">
        <f>Автовик_разбивка[[#This Row],[Цена, 
юань, без НДС 1]]*DV227</f>
        <v/>
      </c>
      <c r="DX227" s="186">
        <f>SUMPRODUCT(--(MOD(COLUMN($BN227:$DU227),5)=MOD(COLUMN($BN227)+1,5)),$BN227:$DU227)</f>
        <v/>
      </c>
      <c r="DY227" s="186">
        <f>Автовик_разбивка[[#This Row],[Цена, 
юань, без НДС 1]]*DX227</f>
        <v/>
      </c>
      <c r="DZ227" s="130">
        <f>SUMPRODUCT(--(MOD(COLUMN($BN227:$DU227),5)=MOD(COLUMN($BN227)+2,5)),$BN227:$DU227)</f>
        <v/>
      </c>
      <c r="EA227" s="187">
        <f>Автовик_разбивка[[#This Row],[Цена, 
юань, без НДС 1]]*DZ227</f>
        <v/>
      </c>
      <c r="EB227" s="109">
        <f>SUMPRODUCT(--(MOD(COLUMN($BN227:$DU227),5)=MOD(COLUMN($BN227)+3,5)),$BN227:$DU227)</f>
        <v/>
      </c>
      <c r="EC227" s="224">
        <f>Автовик_разбивка[[#This Row],[Цена, 
юань, без НДС 1]]*EB227</f>
        <v/>
      </c>
    </row>
    <row r="228">
      <c r="A228" s="265" t="n">
        <v>999</v>
      </c>
      <c r="B228" s="266" t="inlineStr">
        <is>
          <t>ЗАПАС</t>
        </is>
      </c>
      <c r="C228" s="173" t="inlineStr">
        <is>
          <t>TABS W</t>
        </is>
      </c>
      <c r="D228" s="173" t="inlineStr">
        <is>
          <t>TABS 2s/2m 12м W</t>
        </is>
      </c>
      <c r="E228" s="174" t="n">
        <v>1</v>
      </c>
      <c r="F228" s="174" t="n"/>
      <c r="G228" s="190" t="n">
        <v>2</v>
      </c>
      <c r="H228" s="191" t="n">
        <v>4493702820</v>
      </c>
      <c r="I228" s="192" t="inlineStr">
        <is>
          <t>Кабель питания ABS, часть 1</t>
        </is>
      </c>
      <c r="J228" s="911" t="n"/>
      <c r="K228" s="912" t="n"/>
      <c r="L228" s="178" t="n">
        <v>50</v>
      </c>
      <c r="M228" s="130" t="n">
        <v>50</v>
      </c>
      <c r="N228" s="179" t="n"/>
      <c r="O228" s="130" t="n"/>
      <c r="P228" s="178" t="n">
        <v>50</v>
      </c>
      <c r="Q228" s="130" t="n"/>
      <c r="R228" s="179" t="n"/>
      <c r="S228" s="130" t="n"/>
      <c r="T228" s="178" t="n">
        <v>50</v>
      </c>
      <c r="U228" s="130" t="n"/>
      <c r="V228" s="179" t="n"/>
      <c r="W228" s="130" t="n"/>
      <c r="X228" s="178" t="n">
        <v>50</v>
      </c>
      <c r="Y228" s="130" t="n"/>
      <c r="Z228" s="179" t="n"/>
      <c r="AA228" s="130" t="n"/>
      <c r="AB228" s="178" t="n">
        <v>50</v>
      </c>
      <c r="AC228" s="130" t="n"/>
      <c r="AD228" s="179" t="n"/>
      <c r="AE228" s="130" t="n"/>
      <c r="AF228" s="178" t="n">
        <v>50</v>
      </c>
      <c r="AG228" s="130" t="n"/>
      <c r="AH228" s="179" t="n"/>
      <c r="AI228" s="130" t="n"/>
      <c r="AJ228" s="178" t="n">
        <v>50</v>
      </c>
      <c r="AK228" s="130" t="n"/>
      <c r="AL228" s="179" t="n"/>
      <c r="AM228" s="130" t="n"/>
      <c r="AN228" s="178" t="n">
        <v>50</v>
      </c>
      <c r="AO228" s="130" t="n"/>
      <c r="AP228" s="179" t="n"/>
      <c r="AQ228" s="130" t="n"/>
      <c r="AR228" s="178" t="n">
        <v>50</v>
      </c>
      <c r="AS228" s="130" t="n"/>
      <c r="AT228" s="179" t="n"/>
      <c r="AU228" s="130" t="n"/>
      <c r="AV228" s="178" t="n">
        <v>50</v>
      </c>
      <c r="AW228" s="130" t="n"/>
      <c r="AX228" s="179" t="n"/>
      <c r="AY228" s="130" t="n"/>
      <c r="AZ228" s="178" t="n">
        <v>50</v>
      </c>
      <c r="BA228" s="130" t="n"/>
      <c r="BB228" s="194" t="n"/>
      <c r="BC228" s="130" t="n"/>
      <c r="BD228" s="178" t="n">
        <v>50</v>
      </c>
      <c r="BE228" s="130" t="n"/>
      <c r="BF228" s="109" t="n"/>
      <c r="BG228" s="130" t="n"/>
      <c r="BH228" s="180">
        <f>SUMPRODUCT(--(MOD(COLUMN($L228:$BG228),4)=MOD(COLUMN($L228),4)),$L228:$BG228)</f>
        <v/>
      </c>
      <c r="BI228" s="181">
        <f>Автовик_разбивка[[#This Row],[Цена, 
юань, без НДС 1]]*BH228</f>
        <v/>
      </c>
      <c r="BJ228" s="130">
        <f>SUMPRODUCT(--(MOD(COLUMN($L228:$BG228),4)=MOD(COLUMN($L228)+1,4)),$L228:$BG228)</f>
        <v/>
      </c>
      <c r="BK228" s="187">
        <f>Автовик_разбивка[[#This Row],[Цена, 
юань, без НДС 1]]*BJ228</f>
        <v/>
      </c>
      <c r="BL228" s="109">
        <f>SUMPRODUCT(--(MOD(COLUMN($L228:$BG228),4)=MOD(COLUMN($L228)+2,4)),$L228:$BG228)</f>
        <v/>
      </c>
      <c r="BM228" s="224">
        <f>Автовик_разбивка[[#This Row],[Цена, 
юань, без НДС 1]]*BL228</f>
        <v/>
      </c>
      <c r="BN228" s="178" t="n"/>
      <c r="BO228" s="184" t="n"/>
      <c r="BP228" s="130" t="n"/>
      <c r="BQ228" s="179" t="n"/>
      <c r="BR228" s="130" t="n"/>
      <c r="BS228" s="178" t="n"/>
      <c r="BT228" s="184" t="n"/>
      <c r="BU228" s="130" t="n"/>
      <c r="BV228" s="179" t="n"/>
      <c r="BW228" s="130" t="n"/>
      <c r="BX228" s="178" t="n"/>
      <c r="BY228" s="184" t="n"/>
      <c r="BZ228" s="130" t="n"/>
      <c r="CA228" s="179" t="n"/>
      <c r="CB228" s="130" t="n"/>
      <c r="CC228" s="178" t="n"/>
      <c r="CD228" s="184" t="n"/>
      <c r="CE228" s="130" t="n"/>
      <c r="CF228" s="179" t="n"/>
      <c r="CG228" s="130" t="n"/>
      <c r="CH228" s="178" t="n"/>
      <c r="CI228" s="184" t="n"/>
      <c r="CJ228" s="130" t="n"/>
      <c r="CK228" s="179" t="n"/>
      <c r="CL228" s="130" t="n"/>
      <c r="CM228" s="178" t="n"/>
      <c r="CN228" s="184" t="n"/>
      <c r="CO228" s="130" t="n"/>
      <c r="CP228" s="179" t="n"/>
      <c r="CQ228" s="130" t="n"/>
      <c r="CR228" s="178" t="n"/>
      <c r="CS228" s="184" t="n"/>
      <c r="CT228" s="130" t="n"/>
      <c r="CU228" s="179" t="n"/>
      <c r="CV228" s="130" t="n"/>
      <c r="CW228" s="178" t="n"/>
      <c r="CX228" s="184" t="n"/>
      <c r="CY228" s="130" t="n"/>
      <c r="CZ228" s="179" t="n"/>
      <c r="DA228" s="130" t="n"/>
      <c r="DB228" s="178" t="n"/>
      <c r="DC228" s="184" t="n"/>
      <c r="DD228" s="130" t="n"/>
      <c r="DE228" s="179" t="n"/>
      <c r="DF228" s="130" t="n"/>
      <c r="DG228" s="178" t="n"/>
      <c r="DH228" s="184" t="n"/>
      <c r="DI228" s="130" t="n"/>
      <c r="DJ228" s="179" t="n"/>
      <c r="DK228" s="130" t="n"/>
      <c r="DL228" s="178" t="n"/>
      <c r="DM228" s="184" t="n"/>
      <c r="DN228" s="130" t="n"/>
      <c r="DO228" s="194" t="n"/>
      <c r="DP228" s="130" t="n"/>
      <c r="DQ228" s="178" t="n"/>
      <c r="DR228" s="184" t="n"/>
      <c r="DS228" s="130" t="n"/>
      <c r="DT228" s="109" t="n"/>
      <c r="DU228" s="130" t="n"/>
      <c r="DV228" s="180">
        <f>SUMPRODUCT(--(MOD(COLUMN($BN228:$DU228),5)=MOD(COLUMN($BN228),5)),$BN228:$DU228)</f>
        <v/>
      </c>
      <c r="DW228" s="181">
        <f>Автовик_разбивка[[#This Row],[Цена, 
юань, без НДС 1]]*DV228</f>
        <v/>
      </c>
      <c r="DX228" s="186">
        <f>SUMPRODUCT(--(MOD(COLUMN($BN228:$DU228),5)=MOD(COLUMN($BN228)+1,5)),$BN228:$DU228)</f>
        <v/>
      </c>
      <c r="DY228" s="186">
        <f>Автовик_разбивка[[#This Row],[Цена, 
юань, без НДС 1]]*DX228</f>
        <v/>
      </c>
      <c r="DZ228" s="130">
        <f>SUMPRODUCT(--(MOD(COLUMN($BN228:$DU228),5)=MOD(COLUMN($BN228)+2,5)),$BN228:$DU228)</f>
        <v/>
      </c>
      <c r="EA228" s="187">
        <f>Автовик_разбивка[[#This Row],[Цена, 
юань, без НДС 1]]*DZ228</f>
        <v/>
      </c>
      <c r="EB228" s="109">
        <f>SUMPRODUCT(--(MOD(COLUMN($BN228:$DU228),5)=MOD(COLUMN($BN228)+3,5)),$BN228:$DU228)</f>
        <v/>
      </c>
      <c r="EC228" s="224">
        <f>Автовик_разбивка[[#This Row],[Цена, 
юань, без НДС 1]]*EB228</f>
        <v/>
      </c>
    </row>
    <row r="229">
      <c r="A229" s="265" t="n">
        <v>999</v>
      </c>
      <c r="B229" s="266" t="inlineStr">
        <is>
          <t>ЗАПАС</t>
        </is>
      </c>
      <c r="C229" s="173" t="inlineStr">
        <is>
          <t>TABS W</t>
        </is>
      </c>
      <c r="D229" s="173" t="inlineStr">
        <is>
          <t>TABS 2s/2m 12м W</t>
        </is>
      </c>
      <c r="E229" s="174" t="n"/>
      <c r="F229" s="174" t="n"/>
      <c r="G229" s="190" t="n">
        <v>2</v>
      </c>
      <c r="H229" s="191" t="n">
        <v>4497120300</v>
      </c>
      <c r="I229" s="192" t="inlineStr">
        <is>
          <t>Кабель-удлинитель датчика ABS, 3 м</t>
        </is>
      </c>
      <c r="J229" s="911" t="n"/>
      <c r="K229" s="912" t="n"/>
      <c r="L229" s="178" t="n">
        <v>200</v>
      </c>
      <c r="M229" s="130" t="n">
        <v>200</v>
      </c>
      <c r="N229" s="179" t="n"/>
      <c r="O229" s="130" t="n"/>
      <c r="P229" s="178" t="n">
        <v>200</v>
      </c>
      <c r="Q229" s="130" t="n"/>
      <c r="R229" s="179" t="n"/>
      <c r="S229" s="130" t="n"/>
      <c r="T229" s="178" t="n">
        <v>200</v>
      </c>
      <c r="U229" s="130" t="n"/>
      <c r="V229" s="179" t="n"/>
      <c r="W229" s="130" t="n"/>
      <c r="X229" s="178" t="n">
        <v>200</v>
      </c>
      <c r="Y229" s="130" t="n"/>
      <c r="Z229" s="179" t="n"/>
      <c r="AA229" s="130" t="n"/>
      <c r="AB229" s="178" t="n">
        <v>200</v>
      </c>
      <c r="AC229" s="130" t="n"/>
      <c r="AD229" s="179" t="n"/>
      <c r="AE229" s="130" t="n"/>
      <c r="AF229" s="178" t="n">
        <v>200</v>
      </c>
      <c r="AG229" s="130" t="n"/>
      <c r="AH229" s="179" t="n"/>
      <c r="AI229" s="130" t="n"/>
      <c r="AJ229" s="178" t="n">
        <v>200</v>
      </c>
      <c r="AK229" s="130" t="n"/>
      <c r="AL229" s="179" t="n"/>
      <c r="AM229" s="130" t="n"/>
      <c r="AN229" s="178" t="n">
        <v>200</v>
      </c>
      <c r="AO229" s="130" t="n"/>
      <c r="AP229" s="179" t="n"/>
      <c r="AQ229" s="130" t="n"/>
      <c r="AR229" s="178" t="n">
        <v>200</v>
      </c>
      <c r="AS229" s="130" t="n"/>
      <c r="AT229" s="179" t="n"/>
      <c r="AU229" s="130" t="n"/>
      <c r="AV229" s="178" t="n">
        <v>200</v>
      </c>
      <c r="AW229" s="130" t="n"/>
      <c r="AX229" s="179" t="n"/>
      <c r="AY229" s="130" t="n"/>
      <c r="AZ229" s="178" t="n">
        <v>200</v>
      </c>
      <c r="BA229" s="130" t="n"/>
      <c r="BB229" s="194" t="n"/>
      <c r="BC229" s="130" t="n"/>
      <c r="BD229" s="178" t="n">
        <v>200</v>
      </c>
      <c r="BE229" s="130" t="n"/>
      <c r="BF229" s="109" t="n"/>
      <c r="BG229" s="130" t="n"/>
      <c r="BH229" s="180">
        <f>SUMPRODUCT(--(MOD(COLUMN($L229:$BG229),4)=MOD(COLUMN($L229),4)),$L229:$BG229)</f>
        <v/>
      </c>
      <c r="BI229" s="181">
        <f>Автовик_разбивка[[#This Row],[Цена, 
юань, без НДС 1]]*BH229</f>
        <v/>
      </c>
      <c r="BJ229" s="130">
        <f>SUMPRODUCT(--(MOD(COLUMN($L229:$BG229),4)=MOD(COLUMN($L229)+1,4)),$L229:$BG229)</f>
        <v/>
      </c>
      <c r="BK229" s="187">
        <f>Автовик_разбивка[[#This Row],[Цена, 
юань, без НДС 1]]*BJ229</f>
        <v/>
      </c>
      <c r="BL229" s="109">
        <f>SUMPRODUCT(--(MOD(COLUMN($L229:$BG229),4)=MOD(COLUMN($L229)+2,4)),$L229:$BG229)</f>
        <v/>
      </c>
      <c r="BM229" s="224">
        <f>Автовик_разбивка[[#This Row],[Цена, 
юань, без НДС 1]]*BL229</f>
        <v/>
      </c>
      <c r="BN229" s="178" t="n"/>
      <c r="BO229" s="184" t="n"/>
      <c r="BP229" s="130" t="n"/>
      <c r="BQ229" s="179" t="n"/>
      <c r="BR229" s="130" t="n"/>
      <c r="BS229" s="178" t="n"/>
      <c r="BT229" s="184" t="n"/>
      <c r="BU229" s="130" t="n"/>
      <c r="BV229" s="179" t="n"/>
      <c r="BW229" s="130" t="n"/>
      <c r="BX229" s="178" t="n"/>
      <c r="BY229" s="184" t="n"/>
      <c r="BZ229" s="130" t="n"/>
      <c r="CA229" s="179" t="n"/>
      <c r="CB229" s="130" t="n"/>
      <c r="CC229" s="178" t="n"/>
      <c r="CD229" s="184" t="n"/>
      <c r="CE229" s="130" t="n"/>
      <c r="CF229" s="179" t="n"/>
      <c r="CG229" s="130" t="n"/>
      <c r="CH229" s="178" t="n"/>
      <c r="CI229" s="184" t="n"/>
      <c r="CJ229" s="130" t="n"/>
      <c r="CK229" s="179" t="n"/>
      <c r="CL229" s="130" t="n"/>
      <c r="CM229" s="178" t="n"/>
      <c r="CN229" s="184" t="n"/>
      <c r="CO229" s="130" t="n"/>
      <c r="CP229" s="179" t="n"/>
      <c r="CQ229" s="130" t="n"/>
      <c r="CR229" s="178" t="n"/>
      <c r="CS229" s="184" t="n"/>
      <c r="CT229" s="130" t="n"/>
      <c r="CU229" s="179" t="n"/>
      <c r="CV229" s="130" t="n"/>
      <c r="CW229" s="178" t="n"/>
      <c r="CX229" s="184" t="n"/>
      <c r="CY229" s="130" t="n"/>
      <c r="CZ229" s="179" t="n"/>
      <c r="DA229" s="130" t="n"/>
      <c r="DB229" s="178" t="n"/>
      <c r="DC229" s="184" t="n"/>
      <c r="DD229" s="130" t="n"/>
      <c r="DE229" s="179" t="n"/>
      <c r="DF229" s="130" t="n"/>
      <c r="DG229" s="178" t="n"/>
      <c r="DH229" s="184" t="n"/>
      <c r="DI229" s="130" t="n"/>
      <c r="DJ229" s="179" t="n"/>
      <c r="DK229" s="130" t="n"/>
      <c r="DL229" s="178" t="n"/>
      <c r="DM229" s="184" t="n"/>
      <c r="DN229" s="130" t="n"/>
      <c r="DO229" s="194" t="n"/>
      <c r="DP229" s="130" t="n"/>
      <c r="DQ229" s="178" t="n"/>
      <c r="DR229" s="184" t="n"/>
      <c r="DS229" s="130" t="n"/>
      <c r="DT229" s="109" t="n"/>
      <c r="DU229" s="130" t="n"/>
      <c r="DV229" s="180">
        <f>SUMPRODUCT(--(MOD(COLUMN($BN229:$DU229),5)=MOD(COLUMN($BN229),5)),$BN229:$DU229)</f>
        <v/>
      </c>
      <c r="DW229" s="181">
        <f>Автовик_разбивка[[#This Row],[Цена, 
юань, без НДС 1]]*DV229</f>
        <v/>
      </c>
      <c r="DX229" s="186">
        <f>SUMPRODUCT(--(MOD(COLUMN($BN229:$DU229),5)=MOD(COLUMN($BN229)+1,5)),$BN229:$DU229)</f>
        <v/>
      </c>
      <c r="DY229" s="186">
        <f>Автовик_разбивка[[#This Row],[Цена, 
юань, без НДС 1]]*DX229</f>
        <v/>
      </c>
      <c r="DZ229" s="130">
        <f>SUMPRODUCT(--(MOD(COLUMN($BN229:$DU229),5)=MOD(COLUMN($BN229)+2,5)),$BN229:$DU229)</f>
        <v/>
      </c>
      <c r="EA229" s="187">
        <f>Автовик_разбивка[[#This Row],[Цена, 
юань, без НДС 1]]*DZ229</f>
        <v/>
      </c>
      <c r="EB229" s="109">
        <f>SUMPRODUCT(--(MOD(COLUMN($BN229:$DU229),5)=MOD(COLUMN($BN229)+3,5)),$BN229:$DU229)</f>
        <v/>
      </c>
      <c r="EC229" s="224">
        <f>Автовик_разбивка[[#This Row],[Цена, 
юань, без НДС 1]]*EB229</f>
        <v/>
      </c>
    </row>
    <row r="230">
      <c r="A230" s="265" t="n">
        <v>999</v>
      </c>
      <c r="B230" s="266" t="inlineStr">
        <is>
          <t>ЗАПАС</t>
        </is>
      </c>
      <c r="C230" s="173" t="inlineStr">
        <is>
          <t>TABS W</t>
        </is>
      </c>
      <c r="D230" s="173" t="inlineStr">
        <is>
          <t>TABS 2s/2m 12м W</t>
        </is>
      </c>
      <c r="E230" s="174" t="n">
        <v>2</v>
      </c>
      <c r="F230" s="174" t="n"/>
      <c r="G230" s="190" t="n">
        <v>2</v>
      </c>
      <c r="H230" s="191" t="n">
        <v>4497490300</v>
      </c>
      <c r="I230" s="192" t="inlineStr">
        <is>
          <t>Кабель-удлинитель датчика ABS, 3 м</t>
        </is>
      </c>
      <c r="J230" s="911" t="n"/>
      <c r="K230" s="912" t="n"/>
      <c r="L230" s="178" t="n"/>
      <c r="M230" s="130" t="n"/>
      <c r="N230" s="179" t="n"/>
      <c r="O230" s="130" t="n"/>
      <c r="P230" s="178" t="n"/>
      <c r="Q230" s="130" t="n"/>
      <c r="R230" s="179" t="n"/>
      <c r="S230" s="130" t="n"/>
      <c r="T230" s="178" t="n"/>
      <c r="U230" s="130" t="n"/>
      <c r="V230" s="179" t="n"/>
      <c r="W230" s="130" t="n"/>
      <c r="X230" s="178" t="n"/>
      <c r="Y230" s="130" t="n"/>
      <c r="Z230" s="179" t="n"/>
      <c r="AA230" s="130" t="n"/>
      <c r="AB230" s="178" t="n"/>
      <c r="AC230" s="130" t="n"/>
      <c r="AD230" s="179" t="n"/>
      <c r="AE230" s="130" t="n"/>
      <c r="AF230" s="178" t="n"/>
      <c r="AG230" s="130" t="n"/>
      <c r="AH230" s="179" t="n"/>
      <c r="AI230" s="130" t="n"/>
      <c r="AJ230" s="178" t="n"/>
      <c r="AK230" s="130" t="n"/>
      <c r="AL230" s="179" t="n"/>
      <c r="AM230" s="130" t="n"/>
      <c r="AN230" s="178" t="n"/>
      <c r="AO230" s="130" t="n"/>
      <c r="AP230" s="179" t="n"/>
      <c r="AQ230" s="130" t="n"/>
      <c r="AR230" s="178" t="n"/>
      <c r="AS230" s="130" t="n"/>
      <c r="AT230" s="179" t="n"/>
      <c r="AU230" s="130" t="n"/>
      <c r="AV230" s="178" t="n"/>
      <c r="AW230" s="130" t="n"/>
      <c r="AX230" s="179" t="n"/>
      <c r="AY230" s="130" t="n"/>
      <c r="AZ230" s="178" t="n"/>
      <c r="BA230" s="130" t="n"/>
      <c r="BB230" s="194" t="n"/>
      <c r="BC230" s="130" t="n"/>
      <c r="BD230" s="178" t="n"/>
      <c r="BE230" s="130" t="n"/>
      <c r="BF230" s="109" t="n"/>
      <c r="BG230" s="130" t="n"/>
      <c r="BH230" s="180">
        <f>SUMPRODUCT(--(MOD(COLUMN($L230:$BG230),4)=MOD(COLUMN($L230),4)),$L230:$BG230)</f>
        <v/>
      </c>
      <c r="BI230" s="181">
        <f>Автовик_разбивка[[#This Row],[Цена, 
юань, без НДС 1]]*BH230</f>
        <v/>
      </c>
      <c r="BJ230" s="130">
        <f>SUMPRODUCT(--(MOD(COLUMN($L230:$BG230),4)=MOD(COLUMN($L230)+1,4)),$L230:$BG230)</f>
        <v/>
      </c>
      <c r="BK230" s="187">
        <f>Автовик_разбивка[[#This Row],[Цена, 
юань, без НДС 1]]*BJ230</f>
        <v/>
      </c>
      <c r="BL230" s="109">
        <f>SUMPRODUCT(--(MOD(COLUMN($L230:$BG230),4)=MOD(COLUMN($L230)+2,4)),$L230:$BG230)</f>
        <v/>
      </c>
      <c r="BM230" s="224">
        <f>Автовик_разбивка[[#This Row],[Цена, 
юань, без НДС 1]]*BL230</f>
        <v/>
      </c>
      <c r="BN230" s="178" t="n"/>
      <c r="BO230" s="184" t="n"/>
      <c r="BP230" s="130" t="n"/>
      <c r="BQ230" s="179" t="n"/>
      <c r="BR230" s="130" t="n"/>
      <c r="BS230" s="178" t="n"/>
      <c r="BT230" s="184" t="n"/>
      <c r="BU230" s="130" t="n"/>
      <c r="BV230" s="179" t="n"/>
      <c r="BW230" s="130" t="n"/>
      <c r="BX230" s="178" t="n"/>
      <c r="BY230" s="184" t="n"/>
      <c r="BZ230" s="130" t="n"/>
      <c r="CA230" s="179" t="n"/>
      <c r="CB230" s="130" t="n"/>
      <c r="CC230" s="178" t="n"/>
      <c r="CD230" s="184" t="n"/>
      <c r="CE230" s="130" t="n"/>
      <c r="CF230" s="179" t="n"/>
      <c r="CG230" s="130" t="n"/>
      <c r="CH230" s="178" t="n"/>
      <c r="CI230" s="184" t="n"/>
      <c r="CJ230" s="130" t="n"/>
      <c r="CK230" s="179" t="n"/>
      <c r="CL230" s="130" t="n"/>
      <c r="CM230" s="178" t="n"/>
      <c r="CN230" s="184" t="n"/>
      <c r="CO230" s="130" t="n"/>
      <c r="CP230" s="179" t="n"/>
      <c r="CQ230" s="130" t="n"/>
      <c r="CR230" s="178" t="n"/>
      <c r="CS230" s="184" t="n"/>
      <c r="CT230" s="130" t="n"/>
      <c r="CU230" s="179" t="n"/>
      <c r="CV230" s="130" t="n"/>
      <c r="CW230" s="178" t="n"/>
      <c r="CX230" s="184" t="n"/>
      <c r="CY230" s="130" t="n"/>
      <c r="CZ230" s="179" t="n"/>
      <c r="DA230" s="130" t="n"/>
      <c r="DB230" s="178" t="n"/>
      <c r="DC230" s="184" t="n"/>
      <c r="DD230" s="130" t="n"/>
      <c r="DE230" s="179" t="n"/>
      <c r="DF230" s="130" t="n"/>
      <c r="DG230" s="178" t="n"/>
      <c r="DH230" s="184" t="n"/>
      <c r="DI230" s="130" t="n"/>
      <c r="DJ230" s="179" t="n"/>
      <c r="DK230" s="130" t="n"/>
      <c r="DL230" s="178" t="n"/>
      <c r="DM230" s="184" t="n"/>
      <c r="DN230" s="130" t="n"/>
      <c r="DO230" s="194" t="n"/>
      <c r="DP230" s="130" t="n"/>
      <c r="DQ230" s="178" t="n"/>
      <c r="DR230" s="184" t="n"/>
      <c r="DS230" s="130" t="n"/>
      <c r="DT230" s="109" t="n"/>
      <c r="DU230" s="130" t="n"/>
      <c r="DV230" s="180">
        <f>SUMPRODUCT(--(MOD(COLUMN($BN230:$DU230),5)=MOD(COLUMN($BN230),5)),$BN230:$DU230)</f>
        <v/>
      </c>
      <c r="DW230" s="181">
        <f>Автовик_разбивка[[#This Row],[Цена, 
юань, без НДС 1]]*DV230</f>
        <v/>
      </c>
      <c r="DX230" s="186">
        <f>SUMPRODUCT(--(MOD(COLUMN($BN230:$DU230),5)=MOD(COLUMN($BN230)+1,5)),$BN230:$DU230)</f>
        <v/>
      </c>
      <c r="DY230" s="186">
        <f>Автовик_разбивка[[#This Row],[Цена, 
юань, без НДС 1]]*DX230</f>
        <v/>
      </c>
      <c r="DZ230" s="130">
        <f>SUMPRODUCT(--(MOD(COLUMN($BN230:$DU230),5)=MOD(COLUMN($BN230)+2,5)),$BN230:$DU230)</f>
        <v/>
      </c>
      <c r="EA230" s="187">
        <f>Автовик_разбивка[[#This Row],[Цена, 
юань, без НДС 1]]*DZ230</f>
        <v/>
      </c>
      <c r="EB230" s="109">
        <f>SUMPRODUCT(--(MOD(COLUMN($BN230:$DU230),5)=MOD(COLUMN($BN230)+3,5)),$BN230:$DU230)</f>
        <v/>
      </c>
      <c r="EC230" s="224">
        <f>Автовик_разбивка[[#This Row],[Цена, 
юань, без НДС 1]]*EB230</f>
        <v/>
      </c>
    </row>
    <row r="231">
      <c r="A231" s="265" t="n">
        <v>999</v>
      </c>
      <c r="B231" s="266" t="inlineStr">
        <is>
          <t>ЗАПАС</t>
        </is>
      </c>
      <c r="C231" s="173" t="inlineStr">
        <is>
          <t>TABS W</t>
        </is>
      </c>
      <c r="D231" s="173" t="inlineStr">
        <is>
          <t>TABS 2s/2m 12м W</t>
        </is>
      </c>
      <c r="E231" s="174" t="n">
        <v>1</v>
      </c>
      <c r="F231" s="174" t="n"/>
      <c r="G231" s="190" t="n">
        <v>2</v>
      </c>
      <c r="H231" s="191" t="n">
        <v>9522010010</v>
      </c>
      <c r="I231" s="192" t="inlineStr">
        <is>
          <t>Головка соединительная (управляющая)</t>
        </is>
      </c>
      <c r="J231" s="911" t="n"/>
      <c r="K231" s="912" t="n"/>
      <c r="L231" s="178" t="n">
        <v>50</v>
      </c>
      <c r="M231" s="130" t="n">
        <v>50</v>
      </c>
      <c r="N231" s="179" t="n"/>
      <c r="O231" s="130" t="n"/>
      <c r="P231" s="178" t="n">
        <v>50</v>
      </c>
      <c r="Q231" s="130" t="n"/>
      <c r="R231" s="179" t="n"/>
      <c r="S231" s="130" t="n"/>
      <c r="T231" s="178" t="n">
        <v>50</v>
      </c>
      <c r="U231" s="130" t="n"/>
      <c r="V231" s="179" t="n"/>
      <c r="W231" s="130" t="n"/>
      <c r="X231" s="178" t="n">
        <v>50</v>
      </c>
      <c r="Y231" s="130" t="n"/>
      <c r="Z231" s="179" t="n"/>
      <c r="AA231" s="130" t="n"/>
      <c r="AB231" s="178" t="n">
        <v>50</v>
      </c>
      <c r="AC231" s="130" t="n"/>
      <c r="AD231" s="179" t="n"/>
      <c r="AE231" s="130" t="n"/>
      <c r="AF231" s="178" t="n">
        <v>50</v>
      </c>
      <c r="AG231" s="130" t="n"/>
      <c r="AH231" s="179" t="n"/>
      <c r="AI231" s="130" t="n"/>
      <c r="AJ231" s="178" t="n">
        <v>50</v>
      </c>
      <c r="AK231" s="130" t="n"/>
      <c r="AL231" s="179" t="n"/>
      <c r="AM231" s="130" t="n"/>
      <c r="AN231" s="178" t="n">
        <v>50</v>
      </c>
      <c r="AO231" s="130" t="n"/>
      <c r="AP231" s="179" t="n"/>
      <c r="AQ231" s="130" t="n"/>
      <c r="AR231" s="178" t="n">
        <v>50</v>
      </c>
      <c r="AS231" s="130" t="n"/>
      <c r="AT231" s="179" t="n"/>
      <c r="AU231" s="130" t="n"/>
      <c r="AV231" s="178" t="n">
        <v>50</v>
      </c>
      <c r="AW231" s="130" t="n"/>
      <c r="AX231" s="179" t="n"/>
      <c r="AY231" s="130" t="n"/>
      <c r="AZ231" s="178" t="n">
        <v>50</v>
      </c>
      <c r="BA231" s="130" t="n"/>
      <c r="BB231" s="194" t="n"/>
      <c r="BC231" s="130" t="n"/>
      <c r="BD231" s="178" t="n">
        <v>50</v>
      </c>
      <c r="BE231" s="130" t="n"/>
      <c r="BF231" s="109" t="n"/>
      <c r="BG231" s="130" t="n"/>
      <c r="BH231" s="180">
        <f>SUMPRODUCT(--(MOD(COLUMN($L231:$BG231),4)=MOD(COLUMN($L231),4)),$L231:$BG231)</f>
        <v/>
      </c>
      <c r="BI231" s="181">
        <f>Автовик_разбивка[[#This Row],[Цена, 
юань, без НДС 1]]*BH231</f>
        <v/>
      </c>
      <c r="BJ231" s="130">
        <f>SUMPRODUCT(--(MOD(COLUMN($L231:$BG231),4)=MOD(COLUMN($L231)+1,4)),$L231:$BG231)</f>
        <v/>
      </c>
      <c r="BK231" s="187">
        <f>Автовик_разбивка[[#This Row],[Цена, 
юань, без НДС 1]]*BJ231</f>
        <v/>
      </c>
      <c r="BL231" s="109">
        <f>SUMPRODUCT(--(MOD(COLUMN($L231:$BG231),4)=MOD(COLUMN($L231)+2,4)),$L231:$BG231)</f>
        <v/>
      </c>
      <c r="BM231" s="224">
        <f>Автовик_разбивка[[#This Row],[Цена, 
юань, без НДС 1]]*BL231</f>
        <v/>
      </c>
      <c r="BN231" s="178" t="n"/>
      <c r="BO231" s="184" t="n"/>
      <c r="BP231" s="130" t="n"/>
      <c r="BQ231" s="179" t="n"/>
      <c r="BR231" s="130" t="n"/>
      <c r="BS231" s="178" t="n"/>
      <c r="BT231" s="184" t="n"/>
      <c r="BU231" s="130" t="n"/>
      <c r="BV231" s="179" t="n"/>
      <c r="BW231" s="130" t="n"/>
      <c r="BX231" s="178" t="n"/>
      <c r="BY231" s="184" t="n"/>
      <c r="BZ231" s="130" t="n"/>
      <c r="CA231" s="179" t="n"/>
      <c r="CB231" s="130" t="n"/>
      <c r="CC231" s="178" t="n"/>
      <c r="CD231" s="184" t="n"/>
      <c r="CE231" s="130" t="n"/>
      <c r="CF231" s="179" t="n"/>
      <c r="CG231" s="130" t="n"/>
      <c r="CH231" s="178" t="n"/>
      <c r="CI231" s="184" t="n"/>
      <c r="CJ231" s="130" t="n"/>
      <c r="CK231" s="179" t="n"/>
      <c r="CL231" s="130" t="n"/>
      <c r="CM231" s="178" t="n"/>
      <c r="CN231" s="184" t="n"/>
      <c r="CO231" s="130" t="n"/>
      <c r="CP231" s="179" t="n"/>
      <c r="CQ231" s="130" t="n"/>
      <c r="CR231" s="178" t="n"/>
      <c r="CS231" s="184" t="n"/>
      <c r="CT231" s="130" t="n"/>
      <c r="CU231" s="179" t="n"/>
      <c r="CV231" s="130" t="n"/>
      <c r="CW231" s="178" t="n"/>
      <c r="CX231" s="184" t="n"/>
      <c r="CY231" s="130" t="n"/>
      <c r="CZ231" s="179" t="n"/>
      <c r="DA231" s="130" t="n"/>
      <c r="DB231" s="178" t="n"/>
      <c r="DC231" s="184" t="n"/>
      <c r="DD231" s="130" t="n"/>
      <c r="DE231" s="179" t="n"/>
      <c r="DF231" s="130" t="n"/>
      <c r="DG231" s="178" t="n"/>
      <c r="DH231" s="184" t="n"/>
      <c r="DI231" s="130" t="n"/>
      <c r="DJ231" s="179" t="n"/>
      <c r="DK231" s="130" t="n"/>
      <c r="DL231" s="178" t="n"/>
      <c r="DM231" s="184" t="n"/>
      <c r="DN231" s="130" t="n"/>
      <c r="DO231" s="194" t="n"/>
      <c r="DP231" s="130" t="n"/>
      <c r="DQ231" s="178" t="n"/>
      <c r="DR231" s="184" t="n"/>
      <c r="DS231" s="130" t="n"/>
      <c r="DT231" s="109" t="n"/>
      <c r="DU231" s="130" t="n"/>
      <c r="DV231" s="180">
        <f>SUMPRODUCT(--(MOD(COLUMN($BN231:$DU231),5)=MOD(COLUMN($BN231),5)),$BN231:$DU231)</f>
        <v/>
      </c>
      <c r="DW231" s="181">
        <f>Автовик_разбивка[[#This Row],[Цена, 
юань, без НДС 1]]*DV231</f>
        <v/>
      </c>
      <c r="DX231" s="186">
        <f>SUMPRODUCT(--(MOD(COLUMN($BN231:$DU231),5)=MOD(COLUMN($BN231)+1,5)),$BN231:$DU231)</f>
        <v/>
      </c>
      <c r="DY231" s="186">
        <f>Автовик_разбивка[[#This Row],[Цена, 
юань, без НДС 1]]*DX231</f>
        <v/>
      </c>
      <c r="DZ231" s="130">
        <f>SUMPRODUCT(--(MOD(COLUMN($BN231:$DU231),5)=MOD(COLUMN($BN231)+2,5)),$BN231:$DU231)</f>
        <v/>
      </c>
      <c r="EA231" s="187">
        <f>Автовик_разбивка[[#This Row],[Цена, 
юань, без НДС 1]]*DZ231</f>
        <v/>
      </c>
      <c r="EB231" s="109">
        <f>SUMPRODUCT(--(MOD(COLUMN($BN231:$DU231),5)=MOD(COLUMN($BN231)+3,5)),$BN231:$DU231)</f>
        <v/>
      </c>
      <c r="EC231" s="224">
        <f>Автовик_разбивка[[#This Row],[Цена, 
юань, без НДС 1]]*EB231</f>
        <v/>
      </c>
    </row>
    <row r="232">
      <c r="A232" s="265" t="n">
        <v>999</v>
      </c>
      <c r="B232" s="266" t="inlineStr">
        <is>
          <t>ЗАПАС</t>
        </is>
      </c>
      <c r="C232" s="173" t="inlineStr">
        <is>
          <t>TABS W</t>
        </is>
      </c>
      <c r="D232" s="173" t="inlineStr">
        <is>
          <t>TABS 2s/2m 12м W</t>
        </is>
      </c>
      <c r="E232" s="174" t="n">
        <v>1</v>
      </c>
      <c r="F232" s="174" t="n"/>
      <c r="G232" s="190" t="n">
        <v>2</v>
      </c>
      <c r="H232" s="191" t="n">
        <v>9522010020</v>
      </c>
      <c r="I232" s="192" t="inlineStr">
        <is>
          <t>Головка соединительная (питающая)</t>
        </is>
      </c>
      <c r="J232" s="911" t="n"/>
      <c r="K232" s="912" t="n"/>
      <c r="L232" s="178" t="n">
        <v>50</v>
      </c>
      <c r="M232" s="130" t="n">
        <v>50</v>
      </c>
      <c r="N232" s="179" t="n"/>
      <c r="O232" s="130" t="n"/>
      <c r="P232" s="178" t="n">
        <v>50</v>
      </c>
      <c r="Q232" s="130" t="n"/>
      <c r="R232" s="179" t="n"/>
      <c r="S232" s="130" t="n"/>
      <c r="T232" s="178" t="n">
        <v>50</v>
      </c>
      <c r="U232" s="130" t="n"/>
      <c r="V232" s="179" t="n"/>
      <c r="W232" s="130" t="n"/>
      <c r="X232" s="178" t="n">
        <v>50</v>
      </c>
      <c r="Y232" s="130" t="n"/>
      <c r="Z232" s="179" t="n"/>
      <c r="AA232" s="130" t="n"/>
      <c r="AB232" s="178" t="n">
        <v>50</v>
      </c>
      <c r="AC232" s="130" t="n"/>
      <c r="AD232" s="179" t="n"/>
      <c r="AE232" s="130" t="n"/>
      <c r="AF232" s="178" t="n">
        <v>50</v>
      </c>
      <c r="AG232" s="130" t="n"/>
      <c r="AH232" s="179" t="n"/>
      <c r="AI232" s="130" t="n"/>
      <c r="AJ232" s="178" t="n">
        <v>50</v>
      </c>
      <c r="AK232" s="130" t="n"/>
      <c r="AL232" s="179" t="n"/>
      <c r="AM232" s="130" t="n"/>
      <c r="AN232" s="178" t="n">
        <v>50</v>
      </c>
      <c r="AO232" s="130" t="n"/>
      <c r="AP232" s="179" t="n"/>
      <c r="AQ232" s="130" t="n"/>
      <c r="AR232" s="178" t="n">
        <v>50</v>
      </c>
      <c r="AS232" s="130" t="n"/>
      <c r="AT232" s="179" t="n"/>
      <c r="AU232" s="130" t="n"/>
      <c r="AV232" s="178" t="n">
        <v>50</v>
      </c>
      <c r="AW232" s="130" t="n"/>
      <c r="AX232" s="179" t="n"/>
      <c r="AY232" s="130" t="n"/>
      <c r="AZ232" s="178" t="n">
        <v>50</v>
      </c>
      <c r="BA232" s="130" t="n"/>
      <c r="BB232" s="194" t="n"/>
      <c r="BC232" s="130" t="n"/>
      <c r="BD232" s="178" t="n">
        <v>50</v>
      </c>
      <c r="BE232" s="130" t="n"/>
      <c r="BF232" s="109" t="n"/>
      <c r="BG232" s="130" t="n"/>
      <c r="BH232" s="180">
        <f>SUMPRODUCT(--(MOD(COLUMN($L232:$BG232),4)=MOD(COLUMN($L232),4)),$L232:$BG232)</f>
        <v/>
      </c>
      <c r="BI232" s="181">
        <f>Автовик_разбивка[[#This Row],[Цена, 
юань, без НДС 1]]*BH232</f>
        <v/>
      </c>
      <c r="BJ232" s="130">
        <f>SUMPRODUCT(--(MOD(COLUMN($L232:$BG232),4)=MOD(COLUMN($L232)+1,4)),$L232:$BG232)</f>
        <v/>
      </c>
      <c r="BK232" s="187">
        <f>Автовик_разбивка[[#This Row],[Цена, 
юань, без НДС 1]]*BJ232</f>
        <v/>
      </c>
      <c r="BL232" s="109">
        <f>SUMPRODUCT(--(MOD(COLUMN($L232:$BG232),4)=MOD(COLUMN($L232)+2,4)),$L232:$BG232)</f>
        <v/>
      </c>
      <c r="BM232" s="224">
        <f>Автовик_разбивка[[#This Row],[Цена, 
юань, без НДС 1]]*BL232</f>
        <v/>
      </c>
      <c r="BN232" s="178" t="n"/>
      <c r="BO232" s="184" t="n"/>
      <c r="BP232" s="130" t="n"/>
      <c r="BQ232" s="179" t="n"/>
      <c r="BR232" s="130" t="n"/>
      <c r="BS232" s="178" t="n"/>
      <c r="BT232" s="184" t="n"/>
      <c r="BU232" s="130" t="n"/>
      <c r="BV232" s="179" t="n"/>
      <c r="BW232" s="130" t="n"/>
      <c r="BX232" s="178" t="n"/>
      <c r="BY232" s="184" t="n"/>
      <c r="BZ232" s="130" t="n"/>
      <c r="CA232" s="179" t="n"/>
      <c r="CB232" s="130" t="n"/>
      <c r="CC232" s="178" t="n"/>
      <c r="CD232" s="184" t="n"/>
      <c r="CE232" s="130" t="n"/>
      <c r="CF232" s="179" t="n"/>
      <c r="CG232" s="130" t="n"/>
      <c r="CH232" s="178" t="n"/>
      <c r="CI232" s="184" t="n"/>
      <c r="CJ232" s="130" t="n"/>
      <c r="CK232" s="179" t="n"/>
      <c r="CL232" s="130" t="n"/>
      <c r="CM232" s="178" t="n"/>
      <c r="CN232" s="184" t="n"/>
      <c r="CO232" s="130" t="n"/>
      <c r="CP232" s="179" t="n"/>
      <c r="CQ232" s="130" t="n"/>
      <c r="CR232" s="178" t="n"/>
      <c r="CS232" s="184" t="n"/>
      <c r="CT232" s="130" t="n"/>
      <c r="CU232" s="179" t="n"/>
      <c r="CV232" s="130" t="n"/>
      <c r="CW232" s="178" t="n"/>
      <c r="CX232" s="184" t="n"/>
      <c r="CY232" s="130" t="n"/>
      <c r="CZ232" s="179" t="n"/>
      <c r="DA232" s="130" t="n"/>
      <c r="DB232" s="178" t="n"/>
      <c r="DC232" s="184" t="n"/>
      <c r="DD232" s="130" t="n"/>
      <c r="DE232" s="179" t="n"/>
      <c r="DF232" s="130" t="n"/>
      <c r="DG232" s="178" t="n"/>
      <c r="DH232" s="184" t="n"/>
      <c r="DI232" s="130" t="n"/>
      <c r="DJ232" s="179" t="n"/>
      <c r="DK232" s="130" t="n"/>
      <c r="DL232" s="178" t="n"/>
      <c r="DM232" s="184" t="n"/>
      <c r="DN232" s="130" t="n"/>
      <c r="DO232" s="194" t="n"/>
      <c r="DP232" s="130" t="n"/>
      <c r="DQ232" s="178" t="n"/>
      <c r="DR232" s="184" t="n"/>
      <c r="DS232" s="130" t="n"/>
      <c r="DT232" s="109" t="n"/>
      <c r="DU232" s="130" t="n"/>
      <c r="DV232" s="180">
        <f>SUMPRODUCT(--(MOD(COLUMN($BN232:$DU232),5)=MOD(COLUMN($BN232),5)),$BN232:$DU232)</f>
        <v/>
      </c>
      <c r="DW232" s="181">
        <f>Автовик_разбивка[[#This Row],[Цена, 
юань, без НДС 1]]*DV232</f>
        <v/>
      </c>
      <c r="DX232" s="186">
        <f>SUMPRODUCT(--(MOD(COLUMN($BN232:$DU232),5)=MOD(COLUMN($BN232)+1,5)),$BN232:$DU232)</f>
        <v/>
      </c>
      <c r="DY232" s="186">
        <f>Автовик_разбивка[[#This Row],[Цена, 
юань, без НДС 1]]*DX232</f>
        <v/>
      </c>
      <c r="DZ232" s="130">
        <f>SUMPRODUCT(--(MOD(COLUMN($BN232:$DU232),5)=MOD(COLUMN($BN232)+2,5)),$BN232:$DU232)</f>
        <v/>
      </c>
      <c r="EA232" s="187">
        <f>Автовик_разбивка[[#This Row],[Цена, 
юань, без НДС 1]]*DZ232</f>
        <v/>
      </c>
      <c r="EB232" s="109">
        <f>SUMPRODUCT(--(MOD(COLUMN($BN232:$DU232),5)=MOD(COLUMN($BN232)+3,5)),$BN232:$DU232)</f>
        <v/>
      </c>
      <c r="EC232" s="224">
        <f>Автовик_разбивка[[#This Row],[Цена, 
юань, без НДС 1]]*EB232</f>
        <v/>
      </c>
    </row>
    <row r="233">
      <c r="A233" s="265" t="n">
        <v>999</v>
      </c>
      <c r="B233" s="266" t="inlineStr">
        <is>
          <t>ЗАПАС</t>
        </is>
      </c>
      <c r="C233" s="173" t="inlineStr">
        <is>
          <t>TABS W</t>
        </is>
      </c>
      <c r="D233" s="173" t="inlineStr">
        <is>
          <t>TABS 2s/2m 12м W</t>
        </is>
      </c>
      <c r="E233" s="174" t="n">
        <v>1</v>
      </c>
      <c r="F233" s="174" t="n"/>
      <c r="G233" s="190" t="n">
        <v>2</v>
      </c>
      <c r="H233" s="191" t="n">
        <v>9710020400</v>
      </c>
      <c r="I233" s="192" t="inlineStr">
        <is>
          <t>Воздухораспределитель (без кл. растормаживания)</t>
        </is>
      </c>
      <c r="J233" s="911" t="n"/>
      <c r="K233" s="912" t="n"/>
      <c r="L233" s="178" t="n">
        <v>50</v>
      </c>
      <c r="M233" s="130" t="n">
        <v>50</v>
      </c>
      <c r="N233" s="179" t="n"/>
      <c r="O233" s="130" t="n"/>
      <c r="P233" s="178" t="n">
        <v>50</v>
      </c>
      <c r="Q233" s="130" t="n"/>
      <c r="R233" s="179" t="n"/>
      <c r="S233" s="130" t="n"/>
      <c r="T233" s="178" t="n">
        <v>50</v>
      </c>
      <c r="U233" s="130" t="n"/>
      <c r="V233" s="179" t="n"/>
      <c r="W233" s="130" t="n"/>
      <c r="X233" s="178" t="n">
        <v>50</v>
      </c>
      <c r="Y233" s="130" t="n"/>
      <c r="Z233" s="179" t="n"/>
      <c r="AA233" s="130" t="n"/>
      <c r="AB233" s="178" t="n">
        <v>50</v>
      </c>
      <c r="AC233" s="130" t="n"/>
      <c r="AD233" s="179" t="n"/>
      <c r="AE233" s="130" t="n"/>
      <c r="AF233" s="178" t="n">
        <v>50</v>
      </c>
      <c r="AG233" s="130" t="n"/>
      <c r="AH233" s="179" t="n"/>
      <c r="AI233" s="130" t="n"/>
      <c r="AJ233" s="178" t="n">
        <v>50</v>
      </c>
      <c r="AK233" s="130" t="n"/>
      <c r="AL233" s="179" t="n"/>
      <c r="AM233" s="130" t="n"/>
      <c r="AN233" s="178" t="n">
        <v>50</v>
      </c>
      <c r="AO233" s="130" t="n"/>
      <c r="AP233" s="179" t="n"/>
      <c r="AQ233" s="130" t="n"/>
      <c r="AR233" s="178" t="n">
        <v>50</v>
      </c>
      <c r="AS233" s="130" t="n"/>
      <c r="AT233" s="179" t="n"/>
      <c r="AU233" s="130" t="n"/>
      <c r="AV233" s="178" t="n">
        <v>50</v>
      </c>
      <c r="AW233" s="130" t="n"/>
      <c r="AX233" s="179" t="n"/>
      <c r="AY233" s="130" t="n"/>
      <c r="AZ233" s="178" t="n">
        <v>50</v>
      </c>
      <c r="BA233" s="130" t="n"/>
      <c r="BB233" s="194" t="n"/>
      <c r="BC233" s="130" t="n"/>
      <c r="BD233" s="178" t="n">
        <v>50</v>
      </c>
      <c r="BE233" s="130" t="n"/>
      <c r="BF233" s="109" t="n"/>
      <c r="BG233" s="130" t="n"/>
      <c r="BH233" s="180">
        <f>SUMPRODUCT(--(MOD(COLUMN($L233:$BG233),4)=MOD(COLUMN($L233),4)),$L233:$BG233)</f>
        <v/>
      </c>
      <c r="BI233" s="181">
        <f>Автовик_разбивка[[#This Row],[Цена, 
юань, без НДС 1]]*BH233</f>
        <v/>
      </c>
      <c r="BJ233" s="130">
        <f>SUMPRODUCT(--(MOD(COLUMN($L233:$BG233),4)=MOD(COLUMN($L233)+1,4)),$L233:$BG233)</f>
        <v/>
      </c>
      <c r="BK233" s="187">
        <f>Автовик_разбивка[[#This Row],[Цена, 
юань, без НДС 1]]*BJ233</f>
        <v/>
      </c>
      <c r="BL233" s="109">
        <f>SUMPRODUCT(--(MOD(COLUMN($L233:$BG233),4)=MOD(COLUMN($L233)+2,4)),$L233:$BG233)</f>
        <v/>
      </c>
      <c r="BM233" s="224">
        <f>Автовик_разбивка[[#This Row],[Цена, 
юань, без НДС 1]]*BL233</f>
        <v/>
      </c>
      <c r="BN233" s="178" t="n"/>
      <c r="BO233" s="184" t="n"/>
      <c r="BP233" s="130" t="n"/>
      <c r="BQ233" s="179" t="n"/>
      <c r="BR233" s="130" t="n"/>
      <c r="BS233" s="178" t="n"/>
      <c r="BT233" s="184" t="n"/>
      <c r="BU233" s="130" t="n"/>
      <c r="BV233" s="179" t="n"/>
      <c r="BW233" s="130" t="n"/>
      <c r="BX233" s="178" t="n"/>
      <c r="BY233" s="184" t="n"/>
      <c r="BZ233" s="130" t="n"/>
      <c r="CA233" s="179" t="n"/>
      <c r="CB233" s="130" t="n"/>
      <c r="CC233" s="178" t="n"/>
      <c r="CD233" s="184" t="n"/>
      <c r="CE233" s="130" t="n"/>
      <c r="CF233" s="179" t="n"/>
      <c r="CG233" s="130" t="n"/>
      <c r="CH233" s="178" t="n"/>
      <c r="CI233" s="184" t="n"/>
      <c r="CJ233" s="130" t="n"/>
      <c r="CK233" s="179" t="n"/>
      <c r="CL233" s="130" t="n"/>
      <c r="CM233" s="178" t="n"/>
      <c r="CN233" s="184" t="n"/>
      <c r="CO233" s="130" t="n"/>
      <c r="CP233" s="179" t="n"/>
      <c r="CQ233" s="130" t="n"/>
      <c r="CR233" s="178" t="n"/>
      <c r="CS233" s="184" t="n"/>
      <c r="CT233" s="130" t="n"/>
      <c r="CU233" s="179" t="n"/>
      <c r="CV233" s="130" t="n"/>
      <c r="CW233" s="178" t="n"/>
      <c r="CX233" s="184" t="n"/>
      <c r="CY233" s="130" t="n"/>
      <c r="CZ233" s="179" t="n"/>
      <c r="DA233" s="130" t="n"/>
      <c r="DB233" s="178" t="n"/>
      <c r="DC233" s="184" t="n"/>
      <c r="DD233" s="130" t="n"/>
      <c r="DE233" s="179" t="n"/>
      <c r="DF233" s="130" t="n"/>
      <c r="DG233" s="178" t="n"/>
      <c r="DH233" s="184" t="n"/>
      <c r="DI233" s="130" t="n"/>
      <c r="DJ233" s="179" t="n"/>
      <c r="DK233" s="130" t="n"/>
      <c r="DL233" s="178" t="n"/>
      <c r="DM233" s="184" t="n"/>
      <c r="DN233" s="130" t="n"/>
      <c r="DO233" s="194" t="n"/>
      <c r="DP233" s="130" t="n"/>
      <c r="DQ233" s="178" t="n"/>
      <c r="DR233" s="184" t="n"/>
      <c r="DS233" s="130" t="n"/>
      <c r="DT233" s="109" t="n"/>
      <c r="DU233" s="130" t="n"/>
      <c r="DV233" s="180">
        <f>SUMPRODUCT(--(MOD(COLUMN($BN233:$DU233),5)=MOD(COLUMN($BN233),5)),$BN233:$DU233)</f>
        <v/>
      </c>
      <c r="DW233" s="181">
        <f>Автовик_разбивка[[#This Row],[Цена, 
юань, без НДС 1]]*DV233</f>
        <v/>
      </c>
      <c r="DX233" s="186">
        <f>SUMPRODUCT(--(MOD(COLUMN($BN233:$DU233),5)=MOD(COLUMN($BN233)+1,5)),$BN233:$DU233)</f>
        <v/>
      </c>
      <c r="DY233" s="186">
        <f>Автовик_разбивка[[#This Row],[Цена, 
юань, без НДС 1]]*DX233</f>
        <v/>
      </c>
      <c r="DZ233" s="130">
        <f>SUMPRODUCT(--(MOD(COLUMN($BN233:$DU233),5)=MOD(COLUMN($BN233)+2,5)),$BN233:$DU233)</f>
        <v/>
      </c>
      <c r="EA233" s="187">
        <f>Автовик_разбивка[[#This Row],[Цена, 
юань, без НДС 1]]*DZ233</f>
        <v/>
      </c>
      <c r="EB233" s="109">
        <f>SUMPRODUCT(--(MOD(COLUMN($BN233:$DU233),5)=MOD(COLUMN($BN233)+3,5)),$BN233:$DU233)</f>
        <v/>
      </c>
      <c r="EC233" s="224">
        <f>Автовик_разбивка[[#This Row],[Цена, 
юань, без НДС 1]]*EB233</f>
        <v/>
      </c>
    </row>
    <row r="234">
      <c r="A234" s="265" t="n">
        <v>999</v>
      </c>
      <c r="B234" s="266" t="inlineStr">
        <is>
          <t>ЗАПАС</t>
        </is>
      </c>
      <c r="C234" s="173" t="inlineStr">
        <is>
          <t>TEBS</t>
        </is>
      </c>
      <c r="D234" s="173" t="inlineStr">
        <is>
          <t>LACV</t>
        </is>
      </c>
      <c r="E234" s="174" t="n">
        <v>1</v>
      </c>
      <c r="F234" s="174" t="n"/>
      <c r="G234" s="174" t="n"/>
      <c r="H234" s="175" t="n">
        <v>4494430600</v>
      </c>
      <c r="I234" s="176" t="inlineStr">
        <is>
          <t>Кабель клапана управления подъемом оси, 6 м</t>
        </is>
      </c>
      <c r="J234" s="911" t="n"/>
      <c r="K234" s="912" t="n"/>
      <c r="L234" s="178" t="n"/>
      <c r="M234" s="130" t="n"/>
      <c r="N234" s="179" t="n"/>
      <c r="O234" s="130" t="n"/>
      <c r="P234" s="178" t="n"/>
      <c r="Q234" s="130" t="n"/>
      <c r="R234" s="179" t="n"/>
      <c r="S234" s="130" t="n"/>
      <c r="T234" s="178" t="n"/>
      <c r="U234" s="130" t="n"/>
      <c r="V234" s="179" t="n"/>
      <c r="W234" s="130" t="n"/>
      <c r="X234" s="178" t="n"/>
      <c r="Y234" s="130" t="n"/>
      <c r="Z234" s="179" t="n"/>
      <c r="AA234" s="130" t="n"/>
      <c r="AB234" s="178" t="n"/>
      <c r="AC234" s="130" t="n"/>
      <c r="AD234" s="179" t="n"/>
      <c r="AE234" s="130" t="n"/>
      <c r="AF234" s="178" t="n"/>
      <c r="AG234" s="130" t="n"/>
      <c r="AH234" s="179" t="n"/>
      <c r="AI234" s="130" t="n"/>
      <c r="AJ234" s="178" t="n"/>
      <c r="AK234" s="130" t="n"/>
      <c r="AL234" s="179" t="n"/>
      <c r="AM234" s="130" t="n"/>
      <c r="AN234" s="178" t="n"/>
      <c r="AO234" s="130" t="n">
        <v>-16</v>
      </c>
      <c r="AP234" s="179" t="n"/>
      <c r="AQ234" s="130" t="n"/>
      <c r="AR234" s="178" t="n"/>
      <c r="AS234" s="130" t="n">
        <v>20</v>
      </c>
      <c r="AT234" s="179" t="n"/>
      <c r="AU234" s="130" t="n"/>
      <c r="AV234" s="178" t="n"/>
      <c r="AW234" s="130" t="n">
        <v>25</v>
      </c>
      <c r="AX234" s="179" t="n"/>
      <c r="AY234" s="130" t="n"/>
      <c r="AZ234" s="178" t="n"/>
      <c r="BA234" s="130" t="n">
        <v>30</v>
      </c>
      <c r="BB234" s="194" t="n"/>
      <c r="BC234" s="130" t="n"/>
      <c r="BD234" s="178" t="n"/>
      <c r="BE234" s="130" t="n">
        <v>36</v>
      </c>
      <c r="BF234" s="109" t="n"/>
      <c r="BG234" s="130" t="n"/>
      <c r="BH234" s="180">
        <f>SUMPRODUCT(--(MOD(COLUMN($L234:$BG234),4)=MOD(COLUMN($L234),4)),$L234:$BG234)</f>
        <v/>
      </c>
      <c r="BI234" s="181">
        <f>Автовик_разбивка[[#This Row],[Цена, 
юань, без НДС 1]]*BH234</f>
        <v/>
      </c>
      <c r="BJ234" s="130">
        <f>SUMPRODUCT(--(MOD(COLUMN($L234:$BG234),4)=MOD(COLUMN($L234)+1,4)),$L234:$BG234)</f>
        <v/>
      </c>
      <c r="BK234" s="187">
        <f>Автовик_разбивка[[#This Row],[Цена, 
юань, без НДС 1]]*BJ234</f>
        <v/>
      </c>
      <c r="BL234" s="109">
        <f>SUMPRODUCT(--(MOD(COLUMN($L234:$BG234),4)=MOD(COLUMN($L234)+2,4)),$L234:$BG234)</f>
        <v/>
      </c>
      <c r="BM234" s="224">
        <f>Автовик_разбивка[[#This Row],[Цена, 
юань, без НДС 1]]*BL234</f>
        <v/>
      </c>
      <c r="BN234" s="178" t="n"/>
      <c r="BO234" s="184" t="n"/>
      <c r="BP234" s="130" t="n"/>
      <c r="BQ234" s="179" t="n"/>
      <c r="BR234" s="130" t="n"/>
      <c r="BS234" s="178" t="n"/>
      <c r="BT234" s="184" t="n"/>
      <c r="BU234" s="130" t="n"/>
      <c r="BV234" s="179" t="n"/>
      <c r="BW234" s="130" t="n"/>
      <c r="BX234" s="178" t="n"/>
      <c r="BY234" s="184" t="n"/>
      <c r="BZ234" s="130" t="n"/>
      <c r="CA234" s="179" t="n"/>
      <c r="CB234" s="130" t="n"/>
      <c r="CC234" s="178" t="n"/>
      <c r="CD234" s="184" t="n"/>
      <c r="CE234" s="130" t="n"/>
      <c r="CF234" s="179" t="n"/>
      <c r="CG234" s="130" t="n"/>
      <c r="CH234" s="178" t="n"/>
      <c r="CI234" s="184" t="n"/>
      <c r="CJ234" s="130" t="n"/>
      <c r="CK234" s="179" t="n"/>
      <c r="CL234" s="130" t="n"/>
      <c r="CM234" s="178" t="n"/>
      <c r="CN234" s="184" t="n"/>
      <c r="CO234" s="130" t="n"/>
      <c r="CP234" s="179" t="n"/>
      <c r="CQ234" s="130" t="n"/>
      <c r="CR234" s="178" t="n"/>
      <c r="CS234" s="184" t="n"/>
      <c r="CT234" s="130" t="n"/>
      <c r="CU234" s="179" t="n"/>
      <c r="CV234" s="130" t="n"/>
      <c r="CW234" s="178" t="n"/>
      <c r="CX234" s="184" t="n"/>
      <c r="CY234" s="130" t="n"/>
      <c r="CZ234" s="179" t="n"/>
      <c r="DA234" s="130" t="n"/>
      <c r="DB234" s="178" t="n"/>
      <c r="DC234" s="184" t="n"/>
      <c r="DD234" s="130" t="n"/>
      <c r="DE234" s="179" t="n"/>
      <c r="DF234" s="130" t="n"/>
      <c r="DG234" s="178" t="n"/>
      <c r="DH234" s="184" t="n"/>
      <c r="DI234" s="130" t="n"/>
      <c r="DJ234" s="179" t="n"/>
      <c r="DK234" s="130" t="n"/>
      <c r="DL234" s="178" t="n"/>
      <c r="DM234" s="184" t="n"/>
      <c r="DN234" s="130" t="n"/>
      <c r="DO234" s="194" t="n"/>
      <c r="DP234" s="130" t="n"/>
      <c r="DQ234" s="178" t="n"/>
      <c r="DR234" s="184" t="n"/>
      <c r="DS234" s="130">
        <f>$E234*20</f>
        <v/>
      </c>
      <c r="DT234" s="109" t="n"/>
      <c r="DU234" s="130" t="n"/>
      <c r="DV234" s="180">
        <f>SUMPRODUCT(--(MOD(COLUMN($BN234:$DU234),5)=MOD(COLUMN($BN234),5)),$BN234:$DU234)</f>
        <v/>
      </c>
      <c r="DW234" s="181">
        <f>Автовик_разбивка[[#This Row],[Цена, 
юань, без НДС 1]]*DV234</f>
        <v/>
      </c>
      <c r="DX234" s="186">
        <f>SUMPRODUCT(--(MOD(COLUMN($BN234:$DU234),5)=MOD(COLUMN($BN234)+1,5)),$BN234:$DU234)</f>
        <v/>
      </c>
      <c r="DY234" s="186">
        <f>Автовик_разбивка[[#This Row],[Цена, 
юань, без НДС 1]]*DX234</f>
        <v/>
      </c>
      <c r="DZ234" s="130">
        <f>SUMPRODUCT(--(MOD(COLUMN($BN234:$DU234),5)=MOD(COLUMN($BN234)+2,5)),$BN234:$DU234)</f>
        <v/>
      </c>
      <c r="EA234" s="187">
        <f>Автовик_разбивка[[#This Row],[Цена, 
юань, без НДС 1]]*DZ234</f>
        <v/>
      </c>
      <c r="EB234" s="109">
        <f>SUMPRODUCT(--(MOD(COLUMN($BN234:$DU234),5)=MOD(COLUMN($BN234)+3,5)),$BN234:$DU234)</f>
        <v/>
      </c>
      <c r="EC234" s="224">
        <f>Автовик_разбивка[[#This Row],[Цена, 
юань, без НДС 1]]*EB234</f>
        <v/>
      </c>
    </row>
    <row r="235">
      <c r="A235" s="265" t="n">
        <v>999</v>
      </c>
      <c r="B235" s="266" t="inlineStr">
        <is>
          <t>ЗАПАС</t>
        </is>
      </c>
      <c r="C235" s="173" t="inlineStr">
        <is>
          <t>TEBS</t>
        </is>
      </c>
      <c r="D235" s="173" t="inlineStr">
        <is>
          <t>LACV</t>
        </is>
      </c>
      <c r="E235" s="174" t="n">
        <v>1</v>
      </c>
      <c r="F235" s="174" t="n"/>
      <c r="G235" s="174" t="n"/>
      <c r="H235" s="175" t="n">
        <v>4630840310</v>
      </c>
      <c r="I235" s="176" t="inlineStr">
        <is>
          <t>Клапан управления подъемом оси (LACV)</t>
        </is>
      </c>
      <c r="J235" s="911" t="n"/>
      <c r="K235" s="912" t="n"/>
      <c r="L235" s="178" t="n"/>
      <c r="M235" s="130" t="n"/>
      <c r="N235" s="179" t="n"/>
      <c r="O235" s="130" t="n"/>
      <c r="P235" s="178" t="n"/>
      <c r="Q235" s="130" t="n"/>
      <c r="R235" s="179" t="n"/>
      <c r="S235" s="130" t="n"/>
      <c r="T235" s="178" t="n"/>
      <c r="U235" s="130" t="n"/>
      <c r="V235" s="179" t="n"/>
      <c r="W235" s="130" t="n"/>
      <c r="X235" s="178" t="n"/>
      <c r="Y235" s="130" t="n"/>
      <c r="Z235" s="179" t="n"/>
      <c r="AA235" s="130" t="n"/>
      <c r="AB235" s="178" t="n"/>
      <c r="AC235" s="130" t="n"/>
      <c r="AD235" s="179" t="n"/>
      <c r="AE235" s="130" t="n"/>
      <c r="AF235" s="178" t="n"/>
      <c r="AG235" s="130" t="n"/>
      <c r="AH235" s="179" t="n"/>
      <c r="AI235" s="130" t="n"/>
      <c r="AJ235" s="178" t="n"/>
      <c r="AK235" s="130" t="n"/>
      <c r="AL235" s="179" t="n"/>
      <c r="AM235" s="130" t="n"/>
      <c r="AN235" s="178" t="n"/>
      <c r="AO235" s="130" t="n">
        <v>-16</v>
      </c>
      <c r="AP235" s="179" t="n"/>
      <c r="AQ235" s="130" t="n"/>
      <c r="AR235" s="178" t="n"/>
      <c r="AS235" s="130" t="n">
        <v>20</v>
      </c>
      <c r="AT235" s="179" t="n"/>
      <c r="AU235" s="130" t="n"/>
      <c r="AV235" s="178" t="n"/>
      <c r="AW235" s="130" t="n">
        <v>25</v>
      </c>
      <c r="AX235" s="179" t="n"/>
      <c r="AY235" s="130" t="n"/>
      <c r="AZ235" s="178" t="n"/>
      <c r="BA235" s="130" t="n">
        <v>30</v>
      </c>
      <c r="BB235" s="194" t="n"/>
      <c r="BC235" s="130" t="n"/>
      <c r="BD235" s="178" t="n"/>
      <c r="BE235" s="130" t="n">
        <v>36</v>
      </c>
      <c r="BF235" s="109" t="n"/>
      <c r="BG235" s="130" t="n"/>
      <c r="BH235" s="180">
        <f>SUMPRODUCT(--(MOD(COLUMN($L235:$BG235),4)=MOD(COLUMN($L235),4)),$L235:$BG235)</f>
        <v/>
      </c>
      <c r="BI235" s="181">
        <f>Автовик_разбивка[[#This Row],[Цена, 
юань, без НДС 1]]*BH235</f>
        <v/>
      </c>
      <c r="BJ235" s="130">
        <f>SUMPRODUCT(--(MOD(COLUMN($L235:$BG235),4)=MOD(COLUMN($L235)+1,4)),$L235:$BG235)</f>
        <v/>
      </c>
      <c r="BK235" s="187">
        <f>Автовик_разбивка[[#This Row],[Цена, 
юань, без НДС 1]]*BJ235</f>
        <v/>
      </c>
      <c r="BL235" s="109">
        <f>SUMPRODUCT(--(MOD(COLUMN($L235:$BG235),4)=MOD(COLUMN($L235)+2,4)),$L235:$BG235)</f>
        <v/>
      </c>
      <c r="BM235" s="224">
        <f>Автовик_разбивка[[#This Row],[Цена, 
юань, без НДС 1]]*BL235</f>
        <v/>
      </c>
      <c r="BN235" s="178" t="n"/>
      <c r="BO235" s="184" t="n"/>
      <c r="BP235" s="130" t="n"/>
      <c r="BQ235" s="179" t="n"/>
      <c r="BR235" s="130" t="n"/>
      <c r="BS235" s="178" t="n"/>
      <c r="BT235" s="184" t="n"/>
      <c r="BU235" s="130" t="n"/>
      <c r="BV235" s="179" t="n"/>
      <c r="BW235" s="130" t="n"/>
      <c r="BX235" s="178" t="n"/>
      <c r="BY235" s="184" t="n"/>
      <c r="BZ235" s="130" t="n"/>
      <c r="CA235" s="179" t="n"/>
      <c r="CB235" s="130" t="n"/>
      <c r="CC235" s="178" t="n"/>
      <c r="CD235" s="184" t="n"/>
      <c r="CE235" s="130" t="n"/>
      <c r="CF235" s="179" t="n"/>
      <c r="CG235" s="130" t="n"/>
      <c r="CH235" s="178" t="n"/>
      <c r="CI235" s="184" t="n"/>
      <c r="CJ235" s="130" t="n"/>
      <c r="CK235" s="179" t="n"/>
      <c r="CL235" s="130" t="n"/>
      <c r="CM235" s="178" t="n"/>
      <c r="CN235" s="184" t="n"/>
      <c r="CO235" s="130" t="n"/>
      <c r="CP235" s="179" t="n"/>
      <c r="CQ235" s="130" t="n"/>
      <c r="CR235" s="178" t="n"/>
      <c r="CS235" s="184" t="n"/>
      <c r="CT235" s="130" t="n"/>
      <c r="CU235" s="179" t="n"/>
      <c r="CV235" s="130" t="n"/>
      <c r="CW235" s="178" t="n"/>
      <c r="CX235" s="184" t="n"/>
      <c r="CY235" s="130" t="n"/>
      <c r="CZ235" s="179" t="n"/>
      <c r="DA235" s="130" t="n"/>
      <c r="DB235" s="178" t="n"/>
      <c r="DC235" s="184" t="n"/>
      <c r="DD235" s="130" t="n"/>
      <c r="DE235" s="179" t="n"/>
      <c r="DF235" s="130" t="n"/>
      <c r="DG235" s="178" t="n"/>
      <c r="DH235" s="184" t="n"/>
      <c r="DI235" s="130" t="n"/>
      <c r="DJ235" s="179" t="n"/>
      <c r="DK235" s="130" t="n"/>
      <c r="DL235" s="178" t="n"/>
      <c r="DM235" s="184" t="n"/>
      <c r="DN235" s="130" t="n"/>
      <c r="DO235" s="194" t="n"/>
      <c r="DP235" s="130" t="n"/>
      <c r="DQ235" s="178" t="n"/>
      <c r="DR235" s="184" t="n"/>
      <c r="DS235" s="130">
        <f>$E235*20</f>
        <v/>
      </c>
      <c r="DT235" s="109" t="n"/>
      <c r="DU235" s="130" t="n"/>
      <c r="DV235" s="180">
        <f>SUMPRODUCT(--(MOD(COLUMN($BN235:$DU235),5)=MOD(COLUMN($BN235),5)),$BN235:$DU235)</f>
        <v/>
      </c>
      <c r="DW235" s="181">
        <f>Автовик_разбивка[[#This Row],[Цена, 
юань, без НДС 1]]*DV235</f>
        <v/>
      </c>
      <c r="DX235" s="186">
        <f>SUMPRODUCT(--(MOD(COLUMN($BN235:$DU235),5)=MOD(COLUMN($BN235)+1,5)),$BN235:$DU235)</f>
        <v/>
      </c>
      <c r="DY235" s="186">
        <f>Автовик_разбивка[[#This Row],[Цена, 
юань, без НДС 1]]*DX235</f>
        <v/>
      </c>
      <c r="DZ235" s="130">
        <f>SUMPRODUCT(--(MOD(COLUMN($BN235:$DU235),5)=MOD(COLUMN($BN235)+2,5)),$BN235:$DU235)</f>
        <v/>
      </c>
      <c r="EA235" s="187">
        <f>Автовик_разбивка[[#This Row],[Цена, 
юань, без НДС 1]]*DZ235</f>
        <v/>
      </c>
      <c r="EB235" s="109">
        <f>SUMPRODUCT(--(MOD(COLUMN($BN235:$DU235),5)=MOD(COLUMN($BN235)+3,5)),$BN235:$DU235)</f>
        <v/>
      </c>
      <c r="EC235" s="224">
        <f>Автовик_разбивка[[#This Row],[Цена, 
юань, без НДС 1]]*EB235</f>
        <v/>
      </c>
    </row>
    <row r="236">
      <c r="A236" s="265" t="n">
        <v>999</v>
      </c>
      <c r="B236" s="266" t="inlineStr">
        <is>
          <t>ЗАПАС</t>
        </is>
      </c>
      <c r="C236" s="173" t="inlineStr">
        <is>
          <t>TEBS</t>
        </is>
      </c>
      <c r="D236" s="173" t="inlineStr">
        <is>
          <t xml:space="preserve">TEBS 2s/2m 
15м </t>
        </is>
      </c>
      <c r="E236" s="174" t="n">
        <v>1</v>
      </c>
      <c r="F236" s="174" t="n"/>
      <c r="G236" s="174" t="n"/>
      <c r="H236" s="175" t="n">
        <v>4334010030</v>
      </c>
      <c r="I236" s="176" t="inlineStr">
        <is>
          <t>Упругий элемент</t>
        </is>
      </c>
      <c r="J236" s="911" t="n"/>
      <c r="K236" s="912" t="n"/>
      <c r="L236" s="178" t="n"/>
      <c r="M236" s="130" t="n"/>
      <c r="N236" s="179" t="n"/>
      <c r="O236" s="130" t="n"/>
      <c r="P236" s="178" t="n"/>
      <c r="Q236" s="130" t="n"/>
      <c r="R236" s="179" t="n"/>
      <c r="S236" s="130" t="n"/>
      <c r="T236" s="178" t="n"/>
      <c r="U236" s="130" t="n"/>
      <c r="V236" s="179" t="n"/>
      <c r="W236" s="130" t="n"/>
      <c r="X236" s="178" t="n"/>
      <c r="Y236" s="130" t="n"/>
      <c r="Z236" s="179" t="n"/>
      <c r="AA236" s="130" t="n"/>
      <c r="AB236" s="178" t="n"/>
      <c r="AC236" s="130" t="n"/>
      <c r="AD236" s="179" t="n"/>
      <c r="AE236" s="130" t="n"/>
      <c r="AF236" s="178" t="n"/>
      <c r="AG236" s="130" t="n"/>
      <c r="AH236" s="179" t="n"/>
      <c r="AI236" s="130" t="n"/>
      <c r="AJ236" s="178" t="n"/>
      <c r="AK236" s="130" t="n"/>
      <c r="AL236" s="179" t="n"/>
      <c r="AM236" s="130" t="n"/>
      <c r="AN236" s="178" t="n"/>
      <c r="AO236" s="130">
        <f>$E236*-34</f>
        <v/>
      </c>
      <c r="AP236" s="179" t="n"/>
      <c r="AQ236" s="130" t="n"/>
      <c r="AR236" s="178" t="n"/>
      <c r="AS236" s="130" t="n"/>
      <c r="AT236" s="179" t="n"/>
      <c r="AU236" s="130" t="n"/>
      <c r="AV236" s="178" t="n"/>
      <c r="AW236" s="130" t="n"/>
      <c r="AX236" s="179" t="n"/>
      <c r="AY236" s="130" t="n"/>
      <c r="AZ236" s="178" t="n"/>
      <c r="BA236" s="130" t="n"/>
      <c r="BB236" s="194" t="n"/>
      <c r="BC236" s="130" t="n"/>
      <c r="BD236" s="178" t="n"/>
      <c r="BE236" s="130">
        <f>$E236*46</f>
        <v/>
      </c>
      <c r="BF236" s="109" t="n"/>
      <c r="BG236" s="130" t="n"/>
      <c r="BH236" s="180">
        <f>SUMPRODUCT(--(MOD(COLUMN($L236:$BG236),4)=MOD(COLUMN($L236),4)),$L236:$BG236)</f>
        <v/>
      </c>
      <c r="BI236" s="181">
        <f>Автовик_разбивка[[#This Row],[Цена, 
юань, без НДС 1]]*BH236</f>
        <v/>
      </c>
      <c r="BJ236" s="130">
        <f>SUMPRODUCT(--(MOD(COLUMN($L236:$BG236),4)=MOD(COLUMN($L236)+1,4)),$L236:$BG236)</f>
        <v/>
      </c>
      <c r="BK236" s="187">
        <f>Автовик_разбивка[[#This Row],[Цена, 
юань, без НДС 1]]*BJ236</f>
        <v/>
      </c>
      <c r="BL236" s="109">
        <f>SUMPRODUCT(--(MOD(COLUMN($L236:$BG236),4)=MOD(COLUMN($L236)+2,4)),$L236:$BG236)</f>
        <v/>
      </c>
      <c r="BM236" s="224">
        <f>Автовик_разбивка[[#This Row],[Цена, 
юань, без НДС 1]]*BL236</f>
        <v/>
      </c>
      <c r="BN236" s="178" t="n"/>
      <c r="BO236" s="184" t="n"/>
      <c r="BP236" s="130" t="n"/>
      <c r="BQ236" s="179" t="n"/>
      <c r="BR236" s="130" t="n"/>
      <c r="BS236" s="178" t="n"/>
      <c r="BT236" s="184" t="n"/>
      <c r="BU236" s="130" t="n"/>
      <c r="BV236" s="179" t="n"/>
      <c r="BW236" s="130" t="n"/>
      <c r="BX236" s="178" t="n"/>
      <c r="BY236" s="184" t="n"/>
      <c r="BZ236" s="130" t="n"/>
      <c r="CA236" s="179" t="n"/>
      <c r="CB236" s="130" t="n"/>
      <c r="CC236" s="178" t="n"/>
      <c r="CD236" s="184" t="n"/>
      <c r="CE236" s="130" t="n"/>
      <c r="CF236" s="179" t="n"/>
      <c r="CG236" s="130" t="n"/>
      <c r="CH236" s="178" t="n"/>
      <c r="CI236" s="184" t="n"/>
      <c r="CJ236" s="130" t="n"/>
      <c r="CK236" s="179" t="n"/>
      <c r="CL236" s="130" t="n"/>
      <c r="CM236" s="178" t="n"/>
      <c r="CN236" s="184" t="n"/>
      <c r="CO236" s="130" t="n"/>
      <c r="CP236" s="179" t="n"/>
      <c r="CQ236" s="130" t="n"/>
      <c r="CR236" s="178" t="n"/>
      <c r="CS236" s="184" t="n"/>
      <c r="CT236" s="130" t="n"/>
      <c r="CU236" s="179" t="n"/>
      <c r="CV236" s="130" t="n"/>
      <c r="CW236" s="178" t="n"/>
      <c r="CX236" s="184" t="n"/>
      <c r="CY236" s="130" t="n"/>
      <c r="CZ236" s="179" t="n"/>
      <c r="DA236" s="130" t="n"/>
      <c r="DB236" s="178" t="n"/>
      <c r="DC236" s="184" t="n"/>
      <c r="DD236" s="130" t="n"/>
      <c r="DE236" s="179" t="n"/>
      <c r="DF236" s="130" t="n"/>
      <c r="DG236" s="178" t="n"/>
      <c r="DH236" s="184" t="n"/>
      <c r="DI236" s="130" t="n"/>
      <c r="DJ236" s="179" t="n"/>
      <c r="DK236" s="130" t="n"/>
      <c r="DL236" s="178" t="n"/>
      <c r="DM236" s="184" t="n"/>
      <c r="DN236" s="130" t="n"/>
      <c r="DO236" s="194" t="n"/>
      <c r="DP236" s="130" t="n"/>
      <c r="DQ236" s="178" t="n"/>
      <c r="DR236" s="184" t="n"/>
      <c r="DS236" s="130">
        <f>$E236*20</f>
        <v/>
      </c>
      <c r="DT236" s="109" t="n"/>
      <c r="DU236" s="130" t="n"/>
      <c r="DV236" s="180">
        <f>SUMPRODUCT(--(MOD(COLUMN($BN236:$DU236),5)=MOD(COLUMN($BN236),5)),$BN236:$DU236)</f>
        <v/>
      </c>
      <c r="DW236" s="181">
        <f>Автовик_разбивка[[#This Row],[Цена, 
юань, без НДС 1]]*DV236</f>
        <v/>
      </c>
      <c r="DX236" s="186">
        <f>SUMPRODUCT(--(MOD(COLUMN($BN236:$DU236),5)=MOD(COLUMN($BN236)+1,5)),$BN236:$DU236)</f>
        <v/>
      </c>
      <c r="DY236" s="186">
        <f>Автовик_разбивка[[#This Row],[Цена, 
юань, без НДС 1]]*DX236</f>
        <v/>
      </c>
      <c r="DZ236" s="130">
        <f>SUMPRODUCT(--(MOD(COLUMN($BN236:$DU236),5)=MOD(COLUMN($BN236)+2,5)),$BN236:$DU236)</f>
        <v/>
      </c>
      <c r="EA236" s="187">
        <f>Автовик_разбивка[[#This Row],[Цена, 
юань, без НДС 1]]*DZ236</f>
        <v/>
      </c>
      <c r="EB236" s="109">
        <f>SUMPRODUCT(--(MOD(COLUMN($BN236:$DU236),5)=MOD(COLUMN($BN236)+3,5)),$BN236:$DU236)</f>
        <v/>
      </c>
      <c r="EC236" s="224">
        <f>Автовик_разбивка[[#This Row],[Цена, 
юань, без НДС 1]]*EB236</f>
        <v/>
      </c>
    </row>
    <row r="237">
      <c r="A237" s="265" t="n">
        <v>999</v>
      </c>
      <c r="B237" s="266" t="inlineStr">
        <is>
          <t>ЗАПАС</t>
        </is>
      </c>
      <c r="C237" s="173" t="inlineStr">
        <is>
          <t>TEBS</t>
        </is>
      </c>
      <c r="D237" s="173" t="inlineStr">
        <is>
          <t xml:space="preserve">TEBS 2s/2m 
15м </t>
        </is>
      </c>
      <c r="E237" s="174" t="n">
        <v>1</v>
      </c>
      <c r="F237" s="174" t="n"/>
      <c r="G237" s="174" t="n"/>
      <c r="H237" s="175" t="n">
        <v>4491731500</v>
      </c>
      <c r="I237" s="176" t="inlineStr">
        <is>
          <t>Кабель питания, 15 м</t>
        </is>
      </c>
      <c r="J237" s="911" t="n"/>
      <c r="K237" s="912" t="n"/>
      <c r="L237" s="178" t="n"/>
      <c r="M237" s="130" t="n"/>
      <c r="N237" s="179" t="n"/>
      <c r="O237" s="130" t="n"/>
      <c r="P237" s="178" t="n"/>
      <c r="Q237" s="130" t="n"/>
      <c r="R237" s="179" t="n"/>
      <c r="S237" s="130" t="n"/>
      <c r="T237" s="178" t="n"/>
      <c r="U237" s="130" t="n"/>
      <c r="V237" s="179" t="n"/>
      <c r="W237" s="130" t="n"/>
      <c r="X237" s="178" t="n"/>
      <c r="Y237" s="130" t="n"/>
      <c r="Z237" s="179" t="n"/>
      <c r="AA237" s="130" t="n"/>
      <c r="AB237" s="178" t="n"/>
      <c r="AC237" s="130" t="n"/>
      <c r="AD237" s="179" t="n"/>
      <c r="AE237" s="130" t="n"/>
      <c r="AF237" s="178" t="n"/>
      <c r="AG237" s="130" t="n"/>
      <c r="AH237" s="179" t="n"/>
      <c r="AI237" s="130" t="n"/>
      <c r="AJ237" s="178" t="n"/>
      <c r="AK237" s="130" t="n"/>
      <c r="AL237" s="179" t="n"/>
      <c r="AM237" s="130" t="n"/>
      <c r="AN237" s="178" t="n"/>
      <c r="AO237" s="130">
        <f>$E237*-34</f>
        <v/>
      </c>
      <c r="AP237" s="179" t="n"/>
      <c r="AQ237" s="130" t="n"/>
      <c r="AR237" s="178" t="n"/>
      <c r="AS237" s="130" t="n"/>
      <c r="AT237" s="179" t="n"/>
      <c r="AU237" s="130" t="n"/>
      <c r="AV237" s="178" t="n"/>
      <c r="AW237" s="130" t="n"/>
      <c r="AX237" s="179" t="n"/>
      <c r="AY237" s="130" t="n"/>
      <c r="AZ237" s="178" t="n"/>
      <c r="BA237" s="130" t="n"/>
      <c r="BB237" s="194" t="n"/>
      <c r="BC237" s="130" t="n"/>
      <c r="BD237" s="178" t="n"/>
      <c r="BE237" s="130">
        <f>$E237*46</f>
        <v/>
      </c>
      <c r="BF237" s="109" t="n"/>
      <c r="BG237" s="130" t="n"/>
      <c r="BH237" s="180">
        <f>SUMPRODUCT(--(MOD(COLUMN($L237:$BG237),4)=MOD(COLUMN($L237),4)),$L237:$BG237)</f>
        <v/>
      </c>
      <c r="BI237" s="181">
        <f>Автовик_разбивка[[#This Row],[Цена, 
юань, без НДС 1]]*BH237</f>
        <v/>
      </c>
      <c r="BJ237" s="130">
        <f>SUMPRODUCT(--(MOD(COLUMN($L237:$BG237),4)=MOD(COLUMN($L237)+1,4)),$L237:$BG237)</f>
        <v/>
      </c>
      <c r="BK237" s="187">
        <f>Автовик_разбивка[[#This Row],[Цена, 
юань, без НДС 1]]*BJ237</f>
        <v/>
      </c>
      <c r="BL237" s="109">
        <f>SUMPRODUCT(--(MOD(COLUMN($L237:$BG237),4)=MOD(COLUMN($L237)+2,4)),$L237:$BG237)</f>
        <v/>
      </c>
      <c r="BM237" s="224">
        <f>Автовик_разбивка[[#This Row],[Цена, 
юань, без НДС 1]]*BL237</f>
        <v/>
      </c>
      <c r="BN237" s="178" t="n"/>
      <c r="BO237" s="184" t="n"/>
      <c r="BP237" s="130" t="n"/>
      <c r="BQ237" s="179" t="n"/>
      <c r="BR237" s="130" t="n"/>
      <c r="BS237" s="178" t="n"/>
      <c r="BT237" s="184" t="n"/>
      <c r="BU237" s="130" t="n"/>
      <c r="BV237" s="179" t="n"/>
      <c r="BW237" s="130" t="n"/>
      <c r="BX237" s="178" t="n"/>
      <c r="BY237" s="184" t="n"/>
      <c r="BZ237" s="130" t="n"/>
      <c r="CA237" s="179" t="n"/>
      <c r="CB237" s="130" t="n"/>
      <c r="CC237" s="178" t="n"/>
      <c r="CD237" s="184" t="n"/>
      <c r="CE237" s="130" t="n"/>
      <c r="CF237" s="179" t="n"/>
      <c r="CG237" s="130" t="n"/>
      <c r="CH237" s="178" t="n"/>
      <c r="CI237" s="184" t="n"/>
      <c r="CJ237" s="130" t="n"/>
      <c r="CK237" s="179" t="n"/>
      <c r="CL237" s="130" t="n"/>
      <c r="CM237" s="178" t="n"/>
      <c r="CN237" s="184" t="n"/>
      <c r="CO237" s="130" t="n"/>
      <c r="CP237" s="179" t="n"/>
      <c r="CQ237" s="130" t="n"/>
      <c r="CR237" s="178" t="n"/>
      <c r="CS237" s="184" t="n"/>
      <c r="CT237" s="130" t="n"/>
      <c r="CU237" s="179" t="n"/>
      <c r="CV237" s="130" t="n"/>
      <c r="CW237" s="178" t="n"/>
      <c r="CX237" s="184" t="n"/>
      <c r="CY237" s="130" t="n"/>
      <c r="CZ237" s="179" t="n"/>
      <c r="DA237" s="130" t="n"/>
      <c r="DB237" s="178" t="n"/>
      <c r="DC237" s="184" t="n"/>
      <c r="DD237" s="130" t="n"/>
      <c r="DE237" s="179" t="n"/>
      <c r="DF237" s="130" t="n"/>
      <c r="DG237" s="178" t="n"/>
      <c r="DH237" s="184" t="n"/>
      <c r="DI237" s="130" t="n"/>
      <c r="DJ237" s="179" t="n"/>
      <c r="DK237" s="130" t="n"/>
      <c r="DL237" s="178" t="n"/>
      <c r="DM237" s="184" t="n"/>
      <c r="DN237" s="130" t="n"/>
      <c r="DO237" s="194" t="n"/>
      <c r="DP237" s="130" t="n"/>
      <c r="DQ237" s="178" t="n"/>
      <c r="DR237" s="184" t="n"/>
      <c r="DS237" s="130">
        <f>$E237*20</f>
        <v/>
      </c>
      <c r="DT237" s="109" t="n"/>
      <c r="DU237" s="130" t="n"/>
      <c r="DV237" s="180">
        <f>SUMPRODUCT(--(MOD(COLUMN($BN237:$DU237),5)=MOD(COLUMN($BN237),5)),$BN237:$DU237)</f>
        <v/>
      </c>
      <c r="DW237" s="181">
        <f>Автовик_разбивка[[#This Row],[Цена, 
юань, без НДС 1]]*DV237</f>
        <v/>
      </c>
      <c r="DX237" s="186">
        <f>SUMPRODUCT(--(MOD(COLUMN($BN237:$DU237),5)=MOD(COLUMN($BN237)+1,5)),$BN237:$DU237)</f>
        <v/>
      </c>
      <c r="DY237" s="186">
        <f>Автовик_разбивка[[#This Row],[Цена, 
юань, без НДС 1]]*DX237</f>
        <v/>
      </c>
      <c r="DZ237" s="130">
        <f>SUMPRODUCT(--(MOD(COLUMN($BN237:$DU237),5)=MOD(COLUMN($BN237)+2,5)),$BN237:$DU237)</f>
        <v/>
      </c>
      <c r="EA237" s="187">
        <f>Автовик_разбивка[[#This Row],[Цена, 
юань, без НДС 1]]*DZ237</f>
        <v/>
      </c>
      <c r="EB237" s="109">
        <f>SUMPRODUCT(--(MOD(COLUMN($BN237:$DU237),5)=MOD(COLUMN($BN237)+3,5)),$BN237:$DU237)</f>
        <v/>
      </c>
      <c r="EC237" s="224">
        <f>Автовик_разбивка[[#This Row],[Цена, 
юань, без НДС 1]]*EB237</f>
        <v/>
      </c>
    </row>
    <row r="238">
      <c r="A238" s="265" t="n">
        <v>999</v>
      </c>
      <c r="B238" s="266" t="inlineStr">
        <is>
          <t>ЗАПАС</t>
        </is>
      </c>
      <c r="C238" s="173" t="inlineStr">
        <is>
          <t>TEBS</t>
        </is>
      </c>
      <c r="D238" s="173" t="inlineStr">
        <is>
          <t xml:space="preserve">TEBS 2s/2m 
15м </t>
        </is>
      </c>
      <c r="E238" s="174" t="n">
        <v>2</v>
      </c>
      <c r="F238" s="174" t="n"/>
      <c r="G238" s="174" t="n"/>
      <c r="H238" s="175" t="n">
        <v>4497230500</v>
      </c>
      <c r="I238" s="176" t="inlineStr">
        <is>
          <t>Кабель датчика, 5 м</t>
        </is>
      </c>
      <c r="J238" s="911" t="n"/>
      <c r="K238" s="912" t="n"/>
      <c r="L238" s="178" t="n"/>
      <c r="M238" s="130" t="n"/>
      <c r="N238" s="179" t="n"/>
      <c r="O238" s="130" t="n"/>
      <c r="P238" s="178" t="n"/>
      <c r="Q238" s="130" t="n"/>
      <c r="R238" s="179" t="n"/>
      <c r="S238" s="130" t="n"/>
      <c r="T238" s="178" t="n"/>
      <c r="U238" s="130" t="n"/>
      <c r="V238" s="179" t="n"/>
      <c r="W238" s="130" t="n"/>
      <c r="X238" s="178" t="n"/>
      <c r="Y238" s="130" t="n"/>
      <c r="Z238" s="179" t="n"/>
      <c r="AA238" s="130" t="n"/>
      <c r="AB238" s="178" t="n"/>
      <c r="AC238" s="130" t="n"/>
      <c r="AD238" s="179" t="n"/>
      <c r="AE238" s="130" t="n"/>
      <c r="AF238" s="178" t="n"/>
      <c r="AG238" s="130" t="n"/>
      <c r="AH238" s="179" t="n"/>
      <c r="AI238" s="130" t="n"/>
      <c r="AJ238" s="178" t="n"/>
      <c r="AK238" s="130" t="n"/>
      <c r="AL238" s="179" t="n"/>
      <c r="AM238" s="130" t="n"/>
      <c r="AN238" s="178" t="n"/>
      <c r="AO238" s="130">
        <f>$E238*-34-50</f>
        <v/>
      </c>
      <c r="AP238" s="179" t="n"/>
      <c r="AQ238" s="130" t="n"/>
      <c r="AR238" s="178" t="n"/>
      <c r="AS238" s="130" t="n"/>
      <c r="AT238" s="179" t="n"/>
      <c r="AU238" s="130" t="n"/>
      <c r="AV238" s="178" t="n"/>
      <c r="AW238" s="130" t="n"/>
      <c r="AX238" s="179" t="n"/>
      <c r="AY238" s="130" t="n"/>
      <c r="AZ238" s="178" t="n"/>
      <c r="BA238" s="130" t="n"/>
      <c r="BB238" s="194" t="n"/>
      <c r="BC238" s="130" t="n"/>
      <c r="BD238" s="178" t="n"/>
      <c r="BE238" s="130">
        <f>$E238*46</f>
        <v/>
      </c>
      <c r="BF238" s="109" t="n"/>
      <c r="BG238" s="130" t="n"/>
      <c r="BH238" s="180">
        <f>SUMPRODUCT(--(MOD(COLUMN($L238:$BG238),4)=MOD(COLUMN($L238),4)),$L238:$BG238)</f>
        <v/>
      </c>
      <c r="BI238" s="181">
        <f>Автовик_разбивка[[#This Row],[Цена, 
юань, без НДС 1]]*BH238</f>
        <v/>
      </c>
      <c r="BJ238" s="130">
        <f>SUMPRODUCT(--(MOD(COLUMN($L238:$BG238),4)=MOD(COLUMN($L238)+1,4)),$L238:$BG238)</f>
        <v/>
      </c>
      <c r="BK238" s="187">
        <f>Автовик_разбивка[[#This Row],[Цена, 
юань, без НДС 1]]*BJ238</f>
        <v/>
      </c>
      <c r="BL238" s="109">
        <f>SUMPRODUCT(--(MOD(COLUMN($L238:$BG238),4)=MOD(COLUMN($L238)+2,4)),$L238:$BG238)</f>
        <v/>
      </c>
      <c r="BM238" s="224">
        <f>Автовик_разбивка[[#This Row],[Цена, 
юань, без НДС 1]]*BL238</f>
        <v/>
      </c>
      <c r="BN238" s="178" t="n"/>
      <c r="BO238" s="184" t="n"/>
      <c r="BP238" s="130" t="n"/>
      <c r="BQ238" s="179" t="n"/>
      <c r="BR238" s="130" t="n"/>
      <c r="BS238" s="178" t="n"/>
      <c r="BT238" s="184" t="n"/>
      <c r="BU238" s="130" t="n"/>
      <c r="BV238" s="179" t="n"/>
      <c r="BW238" s="130" t="n"/>
      <c r="BX238" s="178" t="n"/>
      <c r="BY238" s="184" t="n"/>
      <c r="BZ238" s="130" t="n"/>
      <c r="CA238" s="179" t="n"/>
      <c r="CB238" s="130" t="n"/>
      <c r="CC238" s="178" t="n"/>
      <c r="CD238" s="184" t="n"/>
      <c r="CE238" s="130" t="n"/>
      <c r="CF238" s="179" t="n"/>
      <c r="CG238" s="130" t="n"/>
      <c r="CH238" s="178" t="n"/>
      <c r="CI238" s="184" t="n"/>
      <c r="CJ238" s="130" t="n"/>
      <c r="CK238" s="179" t="n"/>
      <c r="CL238" s="130" t="n"/>
      <c r="CM238" s="178" t="n"/>
      <c r="CN238" s="184" t="n"/>
      <c r="CO238" s="130" t="n"/>
      <c r="CP238" s="179" t="n"/>
      <c r="CQ238" s="130" t="n"/>
      <c r="CR238" s="178" t="n"/>
      <c r="CS238" s="184" t="n"/>
      <c r="CT238" s="130" t="n"/>
      <c r="CU238" s="179" t="n"/>
      <c r="CV238" s="130" t="n"/>
      <c r="CW238" s="178" t="n"/>
      <c r="CX238" s="184" t="n"/>
      <c r="CY238" s="130" t="n"/>
      <c r="CZ238" s="179" t="n"/>
      <c r="DA238" s="130" t="n"/>
      <c r="DB238" s="178" t="n"/>
      <c r="DC238" s="184" t="n"/>
      <c r="DD238" s="130" t="n"/>
      <c r="DE238" s="179" t="n"/>
      <c r="DF238" s="130" t="n"/>
      <c r="DG238" s="178" t="n"/>
      <c r="DH238" s="184" t="n"/>
      <c r="DI238" s="130" t="n"/>
      <c r="DJ238" s="179" t="n"/>
      <c r="DK238" s="130" t="n"/>
      <c r="DL238" s="178" t="n"/>
      <c r="DM238" s="184" t="n"/>
      <c r="DN238" s="130" t="n"/>
      <c r="DO238" s="194" t="n"/>
      <c r="DP238" s="130" t="n"/>
      <c r="DQ238" s="178" t="n"/>
      <c r="DR238" s="184" t="n"/>
      <c r="DS238" s="130">
        <f>$E238*20</f>
        <v/>
      </c>
      <c r="DT238" s="109" t="n"/>
      <c r="DU238" s="130" t="n"/>
      <c r="DV238" s="180">
        <f>SUMPRODUCT(--(MOD(COLUMN($BN238:$DU238),5)=MOD(COLUMN($BN238),5)),$BN238:$DU238)</f>
        <v/>
      </c>
      <c r="DW238" s="181">
        <f>Автовик_разбивка[[#This Row],[Цена, 
юань, без НДС 1]]*DV238</f>
        <v/>
      </c>
      <c r="DX238" s="186">
        <f>SUMPRODUCT(--(MOD(COLUMN($BN238:$DU238),5)=MOD(COLUMN($BN238)+1,5)),$BN238:$DU238)</f>
        <v/>
      </c>
      <c r="DY238" s="186">
        <f>Автовик_разбивка[[#This Row],[Цена, 
юань, без НДС 1]]*DX238</f>
        <v/>
      </c>
      <c r="DZ238" s="130">
        <f>SUMPRODUCT(--(MOD(COLUMN($BN238:$DU238),5)=MOD(COLUMN($BN238)+2,5)),$BN238:$DU238)</f>
        <v/>
      </c>
      <c r="EA238" s="187">
        <f>Автовик_разбивка[[#This Row],[Цена, 
юань, без НДС 1]]*DZ238</f>
        <v/>
      </c>
      <c r="EB238" s="109">
        <f>SUMPRODUCT(--(MOD(COLUMN($BN238:$DU238),5)=MOD(COLUMN($BN238)+3,5)),$BN238:$DU238)</f>
        <v/>
      </c>
      <c r="EC238" s="224">
        <f>Автовик_разбивка[[#This Row],[Цена, 
юань, без НДС 1]]*EB238</f>
        <v/>
      </c>
    </row>
    <row r="239">
      <c r="A239" s="265" t="n">
        <v>999</v>
      </c>
      <c r="B239" s="266" t="inlineStr">
        <is>
          <t>ЗАПАС</t>
        </is>
      </c>
      <c r="C239" s="173" t="inlineStr">
        <is>
          <t>TEBS</t>
        </is>
      </c>
      <c r="D239" s="173" t="inlineStr">
        <is>
          <t xml:space="preserve">TEBS 2s/2m 
15м </t>
        </is>
      </c>
      <c r="E239" s="174" t="n">
        <v>1</v>
      </c>
      <c r="F239" s="174" t="n"/>
      <c r="G239" s="174" t="n"/>
      <c r="H239" s="175" t="n">
        <v>4630320200</v>
      </c>
      <c r="I239" s="176" t="inlineStr">
        <is>
          <t>Кран ручного управления</t>
        </is>
      </c>
      <c r="J239" s="911" t="n"/>
      <c r="K239" s="912" t="n"/>
      <c r="L239" s="178" t="n"/>
      <c r="M239" s="130" t="n"/>
      <c r="N239" s="179" t="n"/>
      <c r="O239" s="130" t="n"/>
      <c r="P239" s="178" t="n"/>
      <c r="Q239" s="130" t="n"/>
      <c r="R239" s="179" t="n"/>
      <c r="S239" s="130" t="n"/>
      <c r="T239" s="178" t="n"/>
      <c r="U239" s="130" t="n"/>
      <c r="V239" s="179" t="n"/>
      <c r="W239" s="130" t="n"/>
      <c r="X239" s="178" t="n"/>
      <c r="Y239" s="130" t="n"/>
      <c r="Z239" s="179" t="n"/>
      <c r="AA239" s="130" t="n"/>
      <c r="AB239" s="178" t="n"/>
      <c r="AC239" s="130" t="n"/>
      <c r="AD239" s="179" t="n"/>
      <c r="AE239" s="130" t="n"/>
      <c r="AF239" s="178" t="n"/>
      <c r="AG239" s="130" t="n"/>
      <c r="AH239" s="179" t="n"/>
      <c r="AI239" s="130" t="n"/>
      <c r="AJ239" s="178" t="n"/>
      <c r="AK239" s="130" t="n"/>
      <c r="AL239" s="179" t="n"/>
      <c r="AM239" s="130" t="n"/>
      <c r="AN239" s="178" t="n"/>
      <c r="AO239" s="130">
        <f>$E239*-34</f>
        <v/>
      </c>
      <c r="AP239" s="179" t="n"/>
      <c r="AQ239" s="130" t="n"/>
      <c r="AR239" s="178" t="n"/>
      <c r="AS239" s="130" t="n"/>
      <c r="AT239" s="179" t="n"/>
      <c r="AU239" s="130" t="n"/>
      <c r="AV239" s="178" t="n"/>
      <c r="AW239" s="130" t="n"/>
      <c r="AX239" s="179" t="n"/>
      <c r="AY239" s="130" t="n"/>
      <c r="AZ239" s="178" t="n"/>
      <c r="BA239" s="130" t="n"/>
      <c r="BB239" s="194" t="n"/>
      <c r="BC239" s="130" t="n"/>
      <c r="BD239" s="178" t="n"/>
      <c r="BE239" s="130">
        <f>$E239*46</f>
        <v/>
      </c>
      <c r="BF239" s="109" t="n"/>
      <c r="BG239" s="130" t="n"/>
      <c r="BH239" s="180">
        <f>SUMPRODUCT(--(MOD(COLUMN($L239:$BG239),4)=MOD(COLUMN($L239),4)),$L239:$BG239)</f>
        <v/>
      </c>
      <c r="BI239" s="181">
        <f>Автовик_разбивка[[#This Row],[Цена, 
юань, без НДС 1]]*BH239</f>
        <v/>
      </c>
      <c r="BJ239" s="130">
        <f>SUMPRODUCT(--(MOD(COLUMN($L239:$BG239),4)=MOD(COLUMN($L239)+1,4)),$L239:$BG239)</f>
        <v/>
      </c>
      <c r="BK239" s="187">
        <f>Автовик_разбивка[[#This Row],[Цена, 
юань, без НДС 1]]*BJ239</f>
        <v/>
      </c>
      <c r="BL239" s="109">
        <f>SUMPRODUCT(--(MOD(COLUMN($L239:$BG239),4)=MOD(COLUMN($L239)+2,4)),$L239:$BG239)</f>
        <v/>
      </c>
      <c r="BM239" s="224">
        <f>Автовик_разбивка[[#This Row],[Цена, 
юань, без НДС 1]]*BL239</f>
        <v/>
      </c>
      <c r="BN239" s="178" t="n"/>
      <c r="BO239" s="184" t="n"/>
      <c r="BP239" s="130" t="n"/>
      <c r="BQ239" s="179" t="n"/>
      <c r="BR239" s="130" t="n"/>
      <c r="BS239" s="178" t="n"/>
      <c r="BT239" s="184" t="n"/>
      <c r="BU239" s="130" t="n"/>
      <c r="BV239" s="179" t="n"/>
      <c r="BW239" s="130" t="n"/>
      <c r="BX239" s="178" t="n"/>
      <c r="BY239" s="184" t="n"/>
      <c r="BZ239" s="130" t="n"/>
      <c r="CA239" s="179" t="n"/>
      <c r="CB239" s="130" t="n"/>
      <c r="CC239" s="178" t="n"/>
      <c r="CD239" s="184" t="n"/>
      <c r="CE239" s="130" t="n"/>
      <c r="CF239" s="179" t="n"/>
      <c r="CG239" s="130" t="n"/>
      <c r="CH239" s="178" t="n"/>
      <c r="CI239" s="184" t="n"/>
      <c r="CJ239" s="130" t="n"/>
      <c r="CK239" s="179" t="n"/>
      <c r="CL239" s="130" t="n"/>
      <c r="CM239" s="178" t="n"/>
      <c r="CN239" s="184" t="n"/>
      <c r="CO239" s="130" t="n"/>
      <c r="CP239" s="179" t="n"/>
      <c r="CQ239" s="130" t="n"/>
      <c r="CR239" s="178" t="n"/>
      <c r="CS239" s="184" t="n"/>
      <c r="CT239" s="130" t="n"/>
      <c r="CU239" s="179" t="n"/>
      <c r="CV239" s="130" t="n"/>
      <c r="CW239" s="178" t="n"/>
      <c r="CX239" s="184" t="n"/>
      <c r="CY239" s="130" t="n"/>
      <c r="CZ239" s="179" t="n"/>
      <c r="DA239" s="130" t="n"/>
      <c r="DB239" s="178" t="n"/>
      <c r="DC239" s="184" t="n"/>
      <c r="DD239" s="130" t="n"/>
      <c r="DE239" s="179" t="n"/>
      <c r="DF239" s="130" t="n"/>
      <c r="DG239" s="178" t="n"/>
      <c r="DH239" s="184" t="n"/>
      <c r="DI239" s="130" t="n"/>
      <c r="DJ239" s="179" t="n"/>
      <c r="DK239" s="130" t="n"/>
      <c r="DL239" s="178" t="n"/>
      <c r="DM239" s="184" t="n"/>
      <c r="DN239" s="130" t="n"/>
      <c r="DO239" s="194" t="n"/>
      <c r="DP239" s="130" t="n"/>
      <c r="DQ239" s="178" t="n"/>
      <c r="DR239" s="184" t="n"/>
      <c r="DS239" s="130">
        <f>$E239*20</f>
        <v/>
      </c>
      <c r="DT239" s="109" t="n"/>
      <c r="DU239" s="130" t="n"/>
      <c r="DV239" s="180">
        <f>SUMPRODUCT(--(MOD(COLUMN($BN239:$DU239),5)=MOD(COLUMN($BN239),5)),$BN239:$DU239)</f>
        <v/>
      </c>
      <c r="DW239" s="181">
        <f>Автовик_разбивка[[#This Row],[Цена, 
юань, без НДС 1]]*DV239</f>
        <v/>
      </c>
      <c r="DX239" s="186">
        <f>SUMPRODUCT(--(MOD(COLUMN($BN239:$DU239),5)=MOD(COLUMN($BN239)+1,5)),$BN239:$DU239)</f>
        <v/>
      </c>
      <c r="DY239" s="186">
        <f>Автовик_разбивка[[#This Row],[Цена, 
юань, без НДС 1]]*DX239</f>
        <v/>
      </c>
      <c r="DZ239" s="130">
        <f>SUMPRODUCT(--(MOD(COLUMN($BN239:$DU239),5)=MOD(COLUMN($BN239)+2,5)),$BN239:$DU239)</f>
        <v/>
      </c>
      <c r="EA239" s="187">
        <f>Автовик_разбивка[[#This Row],[Цена, 
юань, без НДС 1]]*DZ239</f>
        <v/>
      </c>
      <c r="EB239" s="109">
        <f>SUMPRODUCT(--(MOD(COLUMN($BN239:$DU239),5)=MOD(COLUMN($BN239)+3,5)),$BN239:$DU239)</f>
        <v/>
      </c>
      <c r="EC239" s="224">
        <f>Автовик_разбивка[[#This Row],[Цена, 
юань, без НДС 1]]*EB239</f>
        <v/>
      </c>
    </row>
    <row r="240">
      <c r="A240" s="265" t="n">
        <v>999</v>
      </c>
      <c r="B240" s="266" t="inlineStr">
        <is>
          <t>ЗАПАС</t>
        </is>
      </c>
      <c r="C240" s="173" t="inlineStr">
        <is>
          <t>TEBS</t>
        </is>
      </c>
      <c r="D240" s="173" t="inlineStr">
        <is>
          <t xml:space="preserve">TEBS 2s/2m 
15м </t>
        </is>
      </c>
      <c r="E240" s="174" t="n">
        <v>1</v>
      </c>
      <c r="F240" s="174" t="n"/>
      <c r="G240" s="174" t="n"/>
      <c r="H240" s="175" t="n">
        <v>4640061000</v>
      </c>
      <c r="I240" s="176" t="inlineStr">
        <is>
          <t>Кран уровня пола, 5-ти портовый</t>
        </is>
      </c>
      <c r="J240" s="911" t="n"/>
      <c r="K240" s="912" t="n"/>
      <c r="L240" s="178" t="n"/>
      <c r="M240" s="130" t="n"/>
      <c r="N240" s="179" t="n"/>
      <c r="O240" s="130" t="n"/>
      <c r="P240" s="178" t="n"/>
      <c r="Q240" s="130" t="n"/>
      <c r="R240" s="179" t="n"/>
      <c r="S240" s="130" t="n"/>
      <c r="T240" s="178" t="n"/>
      <c r="U240" s="130" t="n"/>
      <c r="V240" s="179" t="n"/>
      <c r="W240" s="130" t="n"/>
      <c r="X240" s="178" t="n"/>
      <c r="Y240" s="130" t="n"/>
      <c r="Z240" s="179" t="n"/>
      <c r="AA240" s="130" t="n"/>
      <c r="AB240" s="178" t="n"/>
      <c r="AC240" s="130" t="n"/>
      <c r="AD240" s="179" t="n"/>
      <c r="AE240" s="130" t="n"/>
      <c r="AF240" s="178" t="n"/>
      <c r="AG240" s="130" t="n"/>
      <c r="AH240" s="179" t="n"/>
      <c r="AI240" s="130" t="n"/>
      <c r="AJ240" s="178" t="n"/>
      <c r="AK240" s="130" t="n"/>
      <c r="AL240" s="179" t="n"/>
      <c r="AM240" s="130" t="n"/>
      <c r="AN240" s="178" t="n"/>
      <c r="AO240" s="130">
        <f>$E240*-34</f>
        <v/>
      </c>
      <c r="AP240" s="179" t="n"/>
      <c r="AQ240" s="130" t="n"/>
      <c r="AR240" s="178" t="n"/>
      <c r="AS240" s="130" t="n"/>
      <c r="AT240" s="179" t="n"/>
      <c r="AU240" s="130" t="n"/>
      <c r="AV240" s="178" t="n"/>
      <c r="AW240" s="130" t="n"/>
      <c r="AX240" s="179" t="n"/>
      <c r="AY240" s="130" t="n"/>
      <c r="AZ240" s="178" t="n"/>
      <c r="BA240" s="130" t="n"/>
      <c r="BB240" s="194" t="n"/>
      <c r="BC240" s="130" t="n"/>
      <c r="BD240" s="178" t="n"/>
      <c r="BE240" s="130">
        <f>$E240*46</f>
        <v/>
      </c>
      <c r="BF240" s="109" t="n"/>
      <c r="BG240" s="130" t="n"/>
      <c r="BH240" s="180">
        <f>SUMPRODUCT(--(MOD(COLUMN($L240:$BG240),4)=MOD(COLUMN($L240),4)),$L240:$BG240)</f>
        <v/>
      </c>
      <c r="BI240" s="181">
        <f>Автовик_разбивка[[#This Row],[Цена, 
юань, без НДС 1]]*BH240</f>
        <v/>
      </c>
      <c r="BJ240" s="130">
        <f>SUMPRODUCT(--(MOD(COLUMN($L240:$BG240),4)=MOD(COLUMN($L240)+1,4)),$L240:$BG240)</f>
        <v/>
      </c>
      <c r="BK240" s="187">
        <f>Автовик_разбивка[[#This Row],[Цена, 
юань, без НДС 1]]*BJ240</f>
        <v/>
      </c>
      <c r="BL240" s="109">
        <f>SUMPRODUCT(--(MOD(COLUMN($L240:$BG240),4)=MOD(COLUMN($L240)+2,4)),$L240:$BG240)</f>
        <v/>
      </c>
      <c r="BM240" s="224">
        <f>Автовик_разбивка[[#This Row],[Цена, 
юань, без НДС 1]]*BL240</f>
        <v/>
      </c>
      <c r="BN240" s="178" t="n"/>
      <c r="BO240" s="184" t="n"/>
      <c r="BP240" s="130" t="n"/>
      <c r="BQ240" s="179" t="n"/>
      <c r="BR240" s="130" t="n"/>
      <c r="BS240" s="178" t="n"/>
      <c r="BT240" s="184" t="n"/>
      <c r="BU240" s="130" t="n"/>
      <c r="BV240" s="179" t="n"/>
      <c r="BW240" s="130" t="n"/>
      <c r="BX240" s="178" t="n"/>
      <c r="BY240" s="184" t="n"/>
      <c r="BZ240" s="130" t="n"/>
      <c r="CA240" s="179" t="n"/>
      <c r="CB240" s="130" t="n"/>
      <c r="CC240" s="178" t="n"/>
      <c r="CD240" s="184" t="n"/>
      <c r="CE240" s="130" t="n"/>
      <c r="CF240" s="179" t="n"/>
      <c r="CG240" s="130" t="n"/>
      <c r="CH240" s="178" t="n"/>
      <c r="CI240" s="184" t="n"/>
      <c r="CJ240" s="130" t="n"/>
      <c r="CK240" s="179" t="n"/>
      <c r="CL240" s="130" t="n"/>
      <c r="CM240" s="178" t="n"/>
      <c r="CN240" s="184" t="n"/>
      <c r="CO240" s="130" t="n"/>
      <c r="CP240" s="179" t="n"/>
      <c r="CQ240" s="130" t="n"/>
      <c r="CR240" s="178" t="n"/>
      <c r="CS240" s="184" t="n"/>
      <c r="CT240" s="130" t="n"/>
      <c r="CU240" s="179" t="n"/>
      <c r="CV240" s="130" t="n"/>
      <c r="CW240" s="178" t="n"/>
      <c r="CX240" s="184" t="n"/>
      <c r="CY240" s="130" t="n"/>
      <c r="CZ240" s="179" t="n"/>
      <c r="DA240" s="130" t="n"/>
      <c r="DB240" s="178" t="n"/>
      <c r="DC240" s="184" t="n"/>
      <c r="DD240" s="130" t="n"/>
      <c r="DE240" s="179" t="n"/>
      <c r="DF240" s="130" t="n"/>
      <c r="DG240" s="178" t="n"/>
      <c r="DH240" s="184" t="n"/>
      <c r="DI240" s="130" t="n"/>
      <c r="DJ240" s="179" t="n"/>
      <c r="DK240" s="130" t="n"/>
      <c r="DL240" s="178" t="n"/>
      <c r="DM240" s="184" t="n"/>
      <c r="DN240" s="130" t="n"/>
      <c r="DO240" s="194" t="n"/>
      <c r="DP240" s="130" t="n"/>
      <c r="DQ240" s="178" t="n"/>
      <c r="DR240" s="184" t="n"/>
      <c r="DS240" s="130">
        <f>$E240*20</f>
        <v/>
      </c>
      <c r="DT240" s="109" t="n"/>
      <c r="DU240" s="130" t="n"/>
      <c r="DV240" s="180">
        <f>SUMPRODUCT(--(MOD(COLUMN($BN240:$DU240),5)=MOD(COLUMN($BN240),5)),$BN240:$DU240)</f>
        <v/>
      </c>
      <c r="DW240" s="181">
        <f>Автовик_разбивка[[#This Row],[Цена, 
юань, без НДС 1]]*DV240</f>
        <v/>
      </c>
      <c r="DX240" s="186">
        <f>SUMPRODUCT(--(MOD(COLUMN($BN240:$DU240),5)=MOD(COLUMN($BN240)+1,5)),$BN240:$DU240)</f>
        <v/>
      </c>
      <c r="DY240" s="186">
        <f>Автовик_разбивка[[#This Row],[Цена, 
юань, без НДС 1]]*DX240</f>
        <v/>
      </c>
      <c r="DZ240" s="130">
        <f>SUMPRODUCT(--(MOD(COLUMN($BN240:$DU240),5)=MOD(COLUMN($BN240)+2,5)),$BN240:$DU240)</f>
        <v/>
      </c>
      <c r="EA240" s="187">
        <f>Автовик_разбивка[[#This Row],[Цена, 
юань, без НДС 1]]*DZ240</f>
        <v/>
      </c>
      <c r="EB240" s="109">
        <f>SUMPRODUCT(--(MOD(COLUMN($BN240:$DU240),5)=MOD(COLUMN($BN240)+3,5)),$BN240:$DU240)</f>
        <v/>
      </c>
      <c r="EC240" s="224">
        <f>Автовик_разбивка[[#This Row],[Цена, 
юань, без НДС 1]]*EB240</f>
        <v/>
      </c>
    </row>
    <row r="241">
      <c r="A241" s="265" t="n">
        <v>999</v>
      </c>
      <c r="B241" s="266" t="inlineStr">
        <is>
          <t>ЗАПАС</t>
        </is>
      </c>
      <c r="C241" s="173" t="inlineStr">
        <is>
          <t>TEBS</t>
        </is>
      </c>
      <c r="D241" s="173" t="inlineStr">
        <is>
          <t xml:space="preserve">TEBS 2s/2m 
15м </t>
        </is>
      </c>
      <c r="E241" s="174" t="n">
        <v>1</v>
      </c>
      <c r="F241" s="174" t="n"/>
      <c r="G241" s="174" t="n"/>
      <c r="H241" s="175" t="n">
        <v>4801020640</v>
      </c>
      <c r="I241" s="176" t="inlineStr">
        <is>
          <t>Модулятор EBS, с PEM, без фит.</t>
        </is>
      </c>
      <c r="J241" s="911" t="n"/>
      <c r="K241" s="912" t="n"/>
      <c r="L241" s="178" t="n"/>
      <c r="M241" s="130" t="n"/>
      <c r="N241" s="179" t="n"/>
      <c r="O241" s="130" t="n"/>
      <c r="P241" s="178" t="n"/>
      <c r="Q241" s="130" t="n"/>
      <c r="R241" s="179" t="n"/>
      <c r="S241" s="130" t="n"/>
      <c r="T241" s="178" t="n"/>
      <c r="U241" s="130" t="n"/>
      <c r="V241" s="179" t="n"/>
      <c r="W241" s="130" t="n"/>
      <c r="X241" s="178" t="n"/>
      <c r="Y241" s="130" t="n"/>
      <c r="Z241" s="179" t="n"/>
      <c r="AA241" s="130" t="n"/>
      <c r="AB241" s="178" t="n"/>
      <c r="AC241" s="130" t="n"/>
      <c r="AD241" s="179" t="n"/>
      <c r="AE241" s="130" t="n"/>
      <c r="AF241" s="178" t="n"/>
      <c r="AG241" s="130" t="n"/>
      <c r="AH241" s="179" t="n"/>
      <c r="AI241" s="130" t="n"/>
      <c r="AJ241" s="178" t="n"/>
      <c r="AK241" s="130" t="n"/>
      <c r="AL241" s="179" t="n"/>
      <c r="AM241" s="130" t="n"/>
      <c r="AN241" s="178" t="n"/>
      <c r="AO241" s="130">
        <f>$E241*-34</f>
        <v/>
      </c>
      <c r="AP241" s="179" t="n"/>
      <c r="AQ241" s="130" t="n"/>
      <c r="AR241" s="178" t="n"/>
      <c r="AS241" s="130" t="n"/>
      <c r="AT241" s="179" t="n"/>
      <c r="AU241" s="130" t="n"/>
      <c r="AV241" s="178" t="n"/>
      <c r="AW241" s="130" t="n"/>
      <c r="AX241" s="179" t="n"/>
      <c r="AY241" s="130" t="n"/>
      <c r="AZ241" s="178" t="n"/>
      <c r="BA241" s="130" t="n"/>
      <c r="BB241" s="194" t="n"/>
      <c r="BC241" s="130" t="n"/>
      <c r="BD241" s="178" t="n"/>
      <c r="BE241" s="130">
        <f>$E241*46</f>
        <v/>
      </c>
      <c r="BF241" s="109" t="n"/>
      <c r="BG241" s="130" t="n"/>
      <c r="BH241" s="180">
        <f>SUMPRODUCT(--(MOD(COLUMN($L241:$BG241),4)=MOD(COLUMN($L241),4)),$L241:$BG241)</f>
        <v/>
      </c>
      <c r="BI241" s="181">
        <f>Автовик_разбивка[[#This Row],[Цена, 
юань, без НДС 1]]*BH241</f>
        <v/>
      </c>
      <c r="BJ241" s="130">
        <f>SUMPRODUCT(--(MOD(COLUMN($L241:$BG241),4)=MOD(COLUMN($L241)+1,4)),$L241:$BG241)</f>
        <v/>
      </c>
      <c r="BK241" s="187">
        <f>Автовик_разбивка[[#This Row],[Цена, 
юань, без НДС 1]]*BJ241</f>
        <v/>
      </c>
      <c r="BL241" s="109">
        <f>SUMPRODUCT(--(MOD(COLUMN($L241:$BG241),4)=MOD(COLUMN($L241)+2,4)),$L241:$BG241)</f>
        <v/>
      </c>
      <c r="BM241" s="224">
        <f>Автовик_разбивка[[#This Row],[Цена, 
юань, без НДС 1]]*BL241</f>
        <v/>
      </c>
      <c r="BN241" s="178" t="n"/>
      <c r="BO241" s="184" t="n"/>
      <c r="BP241" s="130" t="n"/>
      <c r="BQ241" s="179" t="n"/>
      <c r="BR241" s="130" t="n"/>
      <c r="BS241" s="178" t="n"/>
      <c r="BT241" s="184" t="n"/>
      <c r="BU241" s="130" t="n"/>
      <c r="BV241" s="179" t="n"/>
      <c r="BW241" s="130" t="n"/>
      <c r="BX241" s="178" t="n"/>
      <c r="BY241" s="184" t="n"/>
      <c r="BZ241" s="130" t="n"/>
      <c r="CA241" s="179" t="n"/>
      <c r="CB241" s="130" t="n"/>
      <c r="CC241" s="178" t="n"/>
      <c r="CD241" s="184" t="n"/>
      <c r="CE241" s="130" t="n"/>
      <c r="CF241" s="179" t="n"/>
      <c r="CG241" s="130" t="n"/>
      <c r="CH241" s="178" t="n"/>
      <c r="CI241" s="184" t="n"/>
      <c r="CJ241" s="130" t="n"/>
      <c r="CK241" s="179" t="n"/>
      <c r="CL241" s="130" t="n"/>
      <c r="CM241" s="178" t="n"/>
      <c r="CN241" s="184" t="n"/>
      <c r="CO241" s="130" t="n"/>
      <c r="CP241" s="179" t="n"/>
      <c r="CQ241" s="130" t="n"/>
      <c r="CR241" s="178" t="n"/>
      <c r="CS241" s="184" t="n"/>
      <c r="CT241" s="130" t="n"/>
      <c r="CU241" s="179" t="n"/>
      <c r="CV241" s="130" t="n"/>
      <c r="CW241" s="178" t="n"/>
      <c r="CX241" s="184" t="n"/>
      <c r="CY241" s="130" t="n"/>
      <c r="CZ241" s="179" t="n"/>
      <c r="DA241" s="130" t="n"/>
      <c r="DB241" s="178" t="n"/>
      <c r="DC241" s="184" t="n"/>
      <c r="DD241" s="130" t="n"/>
      <c r="DE241" s="179" t="n"/>
      <c r="DF241" s="130" t="n"/>
      <c r="DG241" s="178" t="n"/>
      <c r="DH241" s="184" t="n"/>
      <c r="DI241" s="130" t="n"/>
      <c r="DJ241" s="179" t="n"/>
      <c r="DK241" s="130" t="n"/>
      <c r="DL241" s="178" t="n"/>
      <c r="DM241" s="184" t="n"/>
      <c r="DN241" s="130" t="n"/>
      <c r="DO241" s="194" t="n"/>
      <c r="DP241" s="130" t="n"/>
      <c r="DQ241" s="178" t="n"/>
      <c r="DR241" s="184" t="n"/>
      <c r="DS241" s="130">
        <f>$E241*20</f>
        <v/>
      </c>
      <c r="DT241" s="109" t="n"/>
      <c r="DU241" s="130" t="n"/>
      <c r="DV241" s="180">
        <f>SUMPRODUCT(--(MOD(COLUMN($BN241:$DU241),5)=MOD(COLUMN($BN241),5)),$BN241:$DU241)</f>
        <v/>
      </c>
      <c r="DW241" s="181">
        <f>Автовик_разбивка[[#This Row],[Цена, 
юань, без НДС 1]]*DV241</f>
        <v/>
      </c>
      <c r="DX241" s="186">
        <f>SUMPRODUCT(--(MOD(COLUMN($BN241:$DU241),5)=MOD(COLUMN($BN241)+1,5)),$BN241:$DU241)</f>
        <v/>
      </c>
      <c r="DY241" s="186">
        <f>Автовик_разбивка[[#This Row],[Цена, 
юань, без НДС 1]]*DX241</f>
        <v/>
      </c>
      <c r="DZ241" s="130">
        <f>SUMPRODUCT(--(MOD(COLUMN($BN241:$DU241),5)=MOD(COLUMN($BN241)+2,5)),$BN241:$DU241)</f>
        <v/>
      </c>
      <c r="EA241" s="187">
        <f>Автовик_разбивка[[#This Row],[Цена, 
юань, без НДС 1]]*DZ241</f>
        <v/>
      </c>
      <c r="EB241" s="109">
        <f>SUMPRODUCT(--(MOD(COLUMN($BN241:$DU241),5)=MOD(COLUMN($BN241)+3,5)),$BN241:$DU241)</f>
        <v/>
      </c>
      <c r="EC241" s="224">
        <f>Автовик_разбивка[[#This Row],[Цена, 
юань, без НДС 1]]*EB241</f>
        <v/>
      </c>
    </row>
    <row r="242">
      <c r="A242" s="265" t="n">
        <v>999</v>
      </c>
      <c r="B242" s="266" t="inlineStr">
        <is>
          <t>ЗАПАС</t>
        </is>
      </c>
      <c r="C242" s="173" t="inlineStr">
        <is>
          <t>TEBS</t>
        </is>
      </c>
      <c r="D242" s="173" t="inlineStr">
        <is>
          <t xml:space="preserve">TEBS 2s/2m 
15м </t>
        </is>
      </c>
      <c r="E242" s="174" t="n">
        <v>1</v>
      </c>
      <c r="F242" s="174" t="n"/>
      <c r="G242" s="174" t="n"/>
      <c r="H242" s="175" t="n">
        <v>9522010010</v>
      </c>
      <c r="I242" s="176" t="inlineStr">
        <is>
          <t>Головка соединительная (управляющая)</t>
        </is>
      </c>
      <c r="J242" s="911" t="n"/>
      <c r="K242" s="912" t="n"/>
      <c r="L242" s="178" t="n"/>
      <c r="M242" s="130" t="n"/>
      <c r="N242" s="179" t="n"/>
      <c r="O242" s="130" t="n"/>
      <c r="P242" s="178" t="n"/>
      <c r="Q242" s="130" t="n"/>
      <c r="R242" s="179" t="n"/>
      <c r="S242" s="130" t="n"/>
      <c r="T242" s="178" t="n"/>
      <c r="U242" s="130" t="n"/>
      <c r="V242" s="179" t="n"/>
      <c r="W242" s="130" t="n"/>
      <c r="X242" s="178" t="n"/>
      <c r="Y242" s="130" t="n"/>
      <c r="Z242" s="179" t="n"/>
      <c r="AA242" s="130" t="n"/>
      <c r="AB242" s="178" t="n"/>
      <c r="AC242" s="130" t="n"/>
      <c r="AD242" s="179" t="n"/>
      <c r="AE242" s="130" t="n"/>
      <c r="AF242" s="178" t="n"/>
      <c r="AG242" s="130" t="n"/>
      <c r="AH242" s="179" t="n"/>
      <c r="AI242" s="130" t="n"/>
      <c r="AJ242" s="178" t="n"/>
      <c r="AK242" s="130" t="n"/>
      <c r="AL242" s="179" t="n"/>
      <c r="AM242" s="130" t="n"/>
      <c r="AN242" s="178" t="n"/>
      <c r="AO242" s="130">
        <f>$E242*-34</f>
        <v/>
      </c>
      <c r="AP242" s="179" t="n"/>
      <c r="AQ242" s="130" t="n"/>
      <c r="AR242" s="178" t="n"/>
      <c r="AS242" s="130" t="n"/>
      <c r="AT242" s="179" t="n"/>
      <c r="AU242" s="130" t="n"/>
      <c r="AV242" s="178" t="n"/>
      <c r="AW242" s="130" t="n"/>
      <c r="AX242" s="179" t="n"/>
      <c r="AY242" s="130" t="n"/>
      <c r="AZ242" s="178" t="n"/>
      <c r="BA242" s="130" t="n"/>
      <c r="BB242" s="194" t="n"/>
      <c r="BC242" s="130" t="n"/>
      <c r="BD242" s="178" t="n"/>
      <c r="BE242" s="130">
        <f>$E242*46</f>
        <v/>
      </c>
      <c r="BF242" s="109" t="n"/>
      <c r="BG242" s="130" t="n"/>
      <c r="BH242" s="180">
        <f>SUMPRODUCT(--(MOD(COLUMN($L242:$BG242),4)=MOD(COLUMN($L242),4)),$L242:$BG242)</f>
        <v/>
      </c>
      <c r="BI242" s="181">
        <f>Автовик_разбивка[[#This Row],[Цена, 
юань, без НДС 1]]*BH242</f>
        <v/>
      </c>
      <c r="BJ242" s="130">
        <f>SUMPRODUCT(--(MOD(COLUMN($L242:$BG242),4)=MOD(COLUMN($L242)+1,4)),$L242:$BG242)</f>
        <v/>
      </c>
      <c r="BK242" s="187">
        <f>Автовик_разбивка[[#This Row],[Цена, 
юань, без НДС 1]]*BJ242</f>
        <v/>
      </c>
      <c r="BL242" s="109">
        <f>SUMPRODUCT(--(MOD(COLUMN($L242:$BG242),4)=MOD(COLUMN($L242)+2,4)),$L242:$BG242)</f>
        <v/>
      </c>
      <c r="BM242" s="224">
        <f>Автовик_разбивка[[#This Row],[Цена, 
юань, без НДС 1]]*BL242</f>
        <v/>
      </c>
      <c r="BN242" s="178" t="n"/>
      <c r="BO242" s="184" t="n"/>
      <c r="BP242" s="130" t="n"/>
      <c r="BQ242" s="179" t="n"/>
      <c r="BR242" s="130" t="n"/>
      <c r="BS242" s="178" t="n"/>
      <c r="BT242" s="184" t="n"/>
      <c r="BU242" s="130" t="n"/>
      <c r="BV242" s="179" t="n"/>
      <c r="BW242" s="130" t="n"/>
      <c r="BX242" s="178" t="n"/>
      <c r="BY242" s="184" t="n"/>
      <c r="BZ242" s="130" t="n"/>
      <c r="CA242" s="179" t="n"/>
      <c r="CB242" s="130" t="n"/>
      <c r="CC242" s="178" t="n"/>
      <c r="CD242" s="184" t="n"/>
      <c r="CE242" s="130" t="n"/>
      <c r="CF242" s="179" t="n"/>
      <c r="CG242" s="130" t="n"/>
      <c r="CH242" s="178" t="n"/>
      <c r="CI242" s="184" t="n"/>
      <c r="CJ242" s="130" t="n"/>
      <c r="CK242" s="179" t="n"/>
      <c r="CL242" s="130" t="n"/>
      <c r="CM242" s="178" t="n"/>
      <c r="CN242" s="184" t="n"/>
      <c r="CO242" s="130" t="n"/>
      <c r="CP242" s="179" t="n"/>
      <c r="CQ242" s="130" t="n"/>
      <c r="CR242" s="178" t="n"/>
      <c r="CS242" s="184" t="n"/>
      <c r="CT242" s="130" t="n"/>
      <c r="CU242" s="179" t="n"/>
      <c r="CV242" s="130" t="n"/>
      <c r="CW242" s="178" t="n"/>
      <c r="CX242" s="184" t="n"/>
      <c r="CY242" s="130" t="n"/>
      <c r="CZ242" s="179" t="n"/>
      <c r="DA242" s="130" t="n"/>
      <c r="DB242" s="178" t="n"/>
      <c r="DC242" s="184" t="n"/>
      <c r="DD242" s="130" t="n"/>
      <c r="DE242" s="179" t="n"/>
      <c r="DF242" s="130" t="n"/>
      <c r="DG242" s="178" t="n"/>
      <c r="DH242" s="184" t="n"/>
      <c r="DI242" s="130" t="n"/>
      <c r="DJ242" s="179" t="n"/>
      <c r="DK242" s="130" t="n"/>
      <c r="DL242" s="178" t="n"/>
      <c r="DM242" s="184" t="n"/>
      <c r="DN242" s="130" t="n"/>
      <c r="DO242" s="194" t="n"/>
      <c r="DP242" s="130" t="n"/>
      <c r="DQ242" s="178" t="n"/>
      <c r="DR242" s="184" t="n"/>
      <c r="DS242" s="130">
        <f>$E242*20</f>
        <v/>
      </c>
      <c r="DT242" s="109" t="n"/>
      <c r="DU242" s="130" t="n"/>
      <c r="DV242" s="180">
        <f>SUMPRODUCT(--(MOD(COLUMN($BN242:$DU242),5)=MOD(COLUMN($BN242),5)),$BN242:$DU242)</f>
        <v/>
      </c>
      <c r="DW242" s="181">
        <f>Автовик_разбивка[[#This Row],[Цена, 
юань, без НДС 1]]*DV242</f>
        <v/>
      </c>
      <c r="DX242" s="186">
        <f>SUMPRODUCT(--(MOD(COLUMN($BN242:$DU242),5)=MOD(COLUMN($BN242)+1,5)),$BN242:$DU242)</f>
        <v/>
      </c>
      <c r="DY242" s="186">
        <f>Автовик_разбивка[[#This Row],[Цена, 
юань, без НДС 1]]*DX242</f>
        <v/>
      </c>
      <c r="DZ242" s="130">
        <f>SUMPRODUCT(--(MOD(COLUMN($BN242:$DU242),5)=MOD(COLUMN($BN242)+2,5)),$BN242:$DU242)</f>
        <v/>
      </c>
      <c r="EA242" s="187">
        <f>Автовик_разбивка[[#This Row],[Цена, 
юань, без НДС 1]]*DZ242</f>
        <v/>
      </c>
      <c r="EB242" s="109">
        <f>SUMPRODUCT(--(MOD(COLUMN($BN242:$DU242),5)=MOD(COLUMN($BN242)+3,5)),$BN242:$DU242)</f>
        <v/>
      </c>
      <c r="EC242" s="224">
        <f>Автовик_разбивка[[#This Row],[Цена, 
юань, без НДС 1]]*EB242</f>
        <v/>
      </c>
    </row>
    <row r="243">
      <c r="A243" s="265" t="n">
        <v>999</v>
      </c>
      <c r="B243" s="266" t="inlineStr">
        <is>
          <t>ЗАПАС</t>
        </is>
      </c>
      <c r="C243" s="173" t="inlineStr">
        <is>
          <t>TEBS</t>
        </is>
      </c>
      <c r="D243" s="173" t="inlineStr">
        <is>
          <t xml:space="preserve">TEBS 2s/2m 
15м </t>
        </is>
      </c>
      <c r="E243" s="174" t="n">
        <v>1</v>
      </c>
      <c r="F243" s="174" t="n"/>
      <c r="G243" s="174" t="n"/>
      <c r="H243" s="175" t="n">
        <v>9522010020</v>
      </c>
      <c r="I243" s="176" t="inlineStr">
        <is>
          <t>Головка соединительная (питающая)</t>
        </is>
      </c>
      <c r="J243" s="911" t="n"/>
      <c r="K243" s="912" t="n"/>
      <c r="L243" s="178" t="n"/>
      <c r="M243" s="130" t="n"/>
      <c r="N243" s="179" t="n"/>
      <c r="O243" s="130" t="n"/>
      <c r="P243" s="178" t="n"/>
      <c r="Q243" s="130" t="n"/>
      <c r="R243" s="179" t="n"/>
      <c r="S243" s="130" t="n"/>
      <c r="T243" s="178" t="n"/>
      <c r="U243" s="130" t="n"/>
      <c r="V243" s="179" t="n"/>
      <c r="W243" s="130" t="n"/>
      <c r="X243" s="178" t="n"/>
      <c r="Y243" s="130" t="n"/>
      <c r="Z243" s="179" t="n"/>
      <c r="AA243" s="130" t="n"/>
      <c r="AB243" s="178" t="n"/>
      <c r="AC243" s="130" t="n"/>
      <c r="AD243" s="179" t="n"/>
      <c r="AE243" s="130" t="n"/>
      <c r="AF243" s="178" t="n"/>
      <c r="AG243" s="130" t="n"/>
      <c r="AH243" s="179" t="n"/>
      <c r="AI243" s="130" t="n"/>
      <c r="AJ243" s="178" t="n"/>
      <c r="AK243" s="130" t="n"/>
      <c r="AL243" s="179" t="n"/>
      <c r="AM243" s="130" t="n"/>
      <c r="AN243" s="178" t="n"/>
      <c r="AO243" s="130">
        <f>$E243*-34</f>
        <v/>
      </c>
      <c r="AP243" s="179" t="n"/>
      <c r="AQ243" s="130" t="n"/>
      <c r="AR243" s="178" t="n"/>
      <c r="AS243" s="130" t="n"/>
      <c r="AT243" s="179" t="n"/>
      <c r="AU243" s="130" t="n"/>
      <c r="AV243" s="178" t="n"/>
      <c r="AW243" s="130" t="n"/>
      <c r="AX243" s="179" t="n"/>
      <c r="AY243" s="130" t="n"/>
      <c r="AZ243" s="178" t="n"/>
      <c r="BA243" s="130" t="n"/>
      <c r="BB243" s="194" t="n"/>
      <c r="BC243" s="130" t="n"/>
      <c r="BD243" s="178" t="n"/>
      <c r="BE243" s="130">
        <f>$E243*46</f>
        <v/>
      </c>
      <c r="BF243" s="109" t="n"/>
      <c r="BG243" s="130" t="n"/>
      <c r="BH243" s="180">
        <f>SUMPRODUCT(--(MOD(COLUMN($L243:$BG243),4)=MOD(COLUMN($L243),4)),$L243:$BG243)</f>
        <v/>
      </c>
      <c r="BI243" s="181">
        <f>Автовик_разбивка[[#This Row],[Цена, 
юань, без НДС 1]]*BH243</f>
        <v/>
      </c>
      <c r="BJ243" s="130">
        <f>SUMPRODUCT(--(MOD(COLUMN($L243:$BG243),4)=MOD(COLUMN($L243)+1,4)),$L243:$BG243)</f>
        <v/>
      </c>
      <c r="BK243" s="187">
        <f>Автовик_разбивка[[#This Row],[Цена, 
юань, без НДС 1]]*BJ243</f>
        <v/>
      </c>
      <c r="BL243" s="109">
        <f>SUMPRODUCT(--(MOD(COLUMN($L243:$BG243),4)=MOD(COLUMN($L243)+2,4)),$L243:$BG243)</f>
        <v/>
      </c>
      <c r="BM243" s="224">
        <f>Автовик_разбивка[[#This Row],[Цена, 
юань, без НДС 1]]*BL243</f>
        <v/>
      </c>
      <c r="BN243" s="178" t="n"/>
      <c r="BO243" s="184" t="n"/>
      <c r="BP243" s="130" t="n"/>
      <c r="BQ243" s="179" t="n"/>
      <c r="BR243" s="130" t="n"/>
      <c r="BS243" s="178" t="n"/>
      <c r="BT243" s="184" t="n"/>
      <c r="BU243" s="130" t="n"/>
      <c r="BV243" s="179" t="n"/>
      <c r="BW243" s="130" t="n"/>
      <c r="BX243" s="178" t="n"/>
      <c r="BY243" s="184" t="n"/>
      <c r="BZ243" s="130" t="n"/>
      <c r="CA243" s="179" t="n"/>
      <c r="CB243" s="130" t="n"/>
      <c r="CC243" s="178" t="n"/>
      <c r="CD243" s="184" t="n"/>
      <c r="CE243" s="130" t="n"/>
      <c r="CF243" s="179" t="n"/>
      <c r="CG243" s="130" t="n"/>
      <c r="CH243" s="178" t="n"/>
      <c r="CI243" s="184" t="n"/>
      <c r="CJ243" s="130" t="n"/>
      <c r="CK243" s="179" t="n"/>
      <c r="CL243" s="130" t="n"/>
      <c r="CM243" s="178" t="n"/>
      <c r="CN243" s="184" t="n"/>
      <c r="CO243" s="130" t="n"/>
      <c r="CP243" s="179" t="n"/>
      <c r="CQ243" s="130" t="n"/>
      <c r="CR243" s="178" t="n"/>
      <c r="CS243" s="184" t="n"/>
      <c r="CT243" s="130" t="n"/>
      <c r="CU243" s="179" t="n"/>
      <c r="CV243" s="130" t="n"/>
      <c r="CW243" s="178" t="n"/>
      <c r="CX243" s="184" t="n"/>
      <c r="CY243" s="130" t="n"/>
      <c r="CZ243" s="179" t="n"/>
      <c r="DA243" s="130" t="n"/>
      <c r="DB243" s="178" t="n"/>
      <c r="DC243" s="184" t="n"/>
      <c r="DD243" s="130" t="n"/>
      <c r="DE243" s="179" t="n"/>
      <c r="DF243" s="130" t="n"/>
      <c r="DG243" s="178" t="n"/>
      <c r="DH243" s="184" t="n"/>
      <c r="DI243" s="130" t="n"/>
      <c r="DJ243" s="179" t="n"/>
      <c r="DK243" s="130" t="n"/>
      <c r="DL243" s="178" t="n"/>
      <c r="DM243" s="184" t="n"/>
      <c r="DN243" s="130" t="n"/>
      <c r="DO243" s="194" t="n"/>
      <c r="DP243" s="130" t="n"/>
      <c r="DQ243" s="178" t="n"/>
      <c r="DR243" s="184" t="n"/>
      <c r="DS243" s="130">
        <f>$E243*20</f>
        <v/>
      </c>
      <c r="DT243" s="109" t="n"/>
      <c r="DU243" s="130" t="n"/>
      <c r="DV243" s="180">
        <f>SUMPRODUCT(--(MOD(COLUMN($BN243:$DU243),5)=MOD(COLUMN($BN243),5)),$BN243:$DU243)</f>
        <v/>
      </c>
      <c r="DW243" s="181">
        <f>Автовик_разбивка[[#This Row],[Цена, 
юань, без НДС 1]]*DV243</f>
        <v/>
      </c>
      <c r="DX243" s="186">
        <f>SUMPRODUCT(--(MOD(COLUMN($BN243:$DU243),5)=MOD(COLUMN($BN243)+1,5)),$BN243:$DU243)</f>
        <v/>
      </c>
      <c r="DY243" s="186">
        <f>Автовик_разбивка[[#This Row],[Цена, 
юань, без НДС 1]]*DX243</f>
        <v/>
      </c>
      <c r="DZ243" s="130">
        <f>SUMPRODUCT(--(MOD(COLUMN($BN243:$DU243),5)=MOD(COLUMN($BN243)+2,5)),$BN243:$DU243)</f>
        <v/>
      </c>
      <c r="EA243" s="187">
        <f>Автовик_разбивка[[#This Row],[Цена, 
юань, без НДС 1]]*DZ243</f>
        <v/>
      </c>
      <c r="EB243" s="109">
        <f>SUMPRODUCT(--(MOD(COLUMN($BN243:$DU243),5)=MOD(COLUMN($BN243)+3,5)),$BN243:$DU243)</f>
        <v/>
      </c>
      <c r="EC243" s="224">
        <f>Автовик_разбивка[[#This Row],[Цена, 
юань, без НДС 1]]*EB243</f>
        <v/>
      </c>
    </row>
    <row r="244">
      <c r="A244" s="265" t="n">
        <v>999</v>
      </c>
      <c r="B244" s="266" t="inlineStr">
        <is>
          <t>ЗАПАС</t>
        </is>
      </c>
      <c r="C244" s="173" t="inlineStr">
        <is>
          <t>TEBS</t>
        </is>
      </c>
      <c r="D244" s="173" t="inlineStr">
        <is>
          <t xml:space="preserve">TEBS 2s/2m 
15м </t>
        </is>
      </c>
      <c r="E244" s="174" t="n">
        <v>1</v>
      </c>
      <c r="F244" s="174" t="n"/>
      <c r="G244" s="174" t="n"/>
      <c r="H244" s="175" t="n">
        <v>9710029000</v>
      </c>
      <c r="I244" s="176" t="inlineStr">
        <is>
          <t>Воздухораспределитель с клапаном растормаживания</t>
        </is>
      </c>
      <c r="J244" s="911" t="n"/>
      <c r="K244" s="912" t="n"/>
      <c r="L244" s="178" t="n"/>
      <c r="M244" s="130" t="n"/>
      <c r="N244" s="179" t="n"/>
      <c r="O244" s="130" t="n"/>
      <c r="P244" s="178" t="n"/>
      <c r="Q244" s="130" t="n"/>
      <c r="R244" s="179" t="n"/>
      <c r="S244" s="130" t="n"/>
      <c r="T244" s="178" t="n"/>
      <c r="U244" s="130" t="n"/>
      <c r="V244" s="179" t="n"/>
      <c r="W244" s="130" t="n"/>
      <c r="X244" s="178" t="n"/>
      <c r="Y244" s="130" t="n"/>
      <c r="Z244" s="179" t="n"/>
      <c r="AA244" s="130" t="n"/>
      <c r="AB244" s="178" t="n"/>
      <c r="AC244" s="130" t="n"/>
      <c r="AD244" s="179" t="n"/>
      <c r="AE244" s="130" t="n"/>
      <c r="AF244" s="178" t="n"/>
      <c r="AG244" s="130" t="n"/>
      <c r="AH244" s="179" t="n"/>
      <c r="AI244" s="130" t="n"/>
      <c r="AJ244" s="178" t="n"/>
      <c r="AK244" s="130" t="n"/>
      <c r="AL244" s="179" t="n"/>
      <c r="AM244" s="130" t="n"/>
      <c r="AN244" s="178" t="n"/>
      <c r="AO244" s="130">
        <f>$E244*-34</f>
        <v/>
      </c>
      <c r="AP244" s="179" t="n"/>
      <c r="AQ244" s="130" t="n"/>
      <c r="AR244" s="178" t="n"/>
      <c r="AS244" s="130" t="n"/>
      <c r="AT244" s="179" t="n"/>
      <c r="AU244" s="130" t="n"/>
      <c r="AV244" s="178" t="n"/>
      <c r="AW244" s="130" t="n"/>
      <c r="AX244" s="179" t="n"/>
      <c r="AY244" s="130" t="n"/>
      <c r="AZ244" s="178" t="n"/>
      <c r="BA244" s="130" t="n"/>
      <c r="BB244" s="194" t="n"/>
      <c r="BC244" s="130" t="n"/>
      <c r="BD244" s="178" t="n"/>
      <c r="BE244" s="130">
        <f>$E244*46</f>
        <v/>
      </c>
      <c r="BF244" s="109" t="n"/>
      <c r="BG244" s="130" t="n"/>
      <c r="BH244" s="180">
        <f>SUMPRODUCT(--(MOD(COLUMN($L244:$BG244),4)=MOD(COLUMN($L244),4)),$L244:$BG244)</f>
        <v/>
      </c>
      <c r="BI244" s="181">
        <f>Автовик_разбивка[[#This Row],[Цена, 
юань, без НДС 1]]*BH244</f>
        <v/>
      </c>
      <c r="BJ244" s="130">
        <f>SUMPRODUCT(--(MOD(COLUMN($L244:$BG244),4)=MOD(COLUMN($L244)+1,4)),$L244:$BG244)</f>
        <v/>
      </c>
      <c r="BK244" s="187">
        <f>Автовик_разбивка[[#This Row],[Цена, 
юань, без НДС 1]]*BJ244</f>
        <v/>
      </c>
      <c r="BL244" s="109">
        <f>SUMPRODUCT(--(MOD(COLUMN($L244:$BG244),4)=MOD(COLUMN($L244)+2,4)),$L244:$BG244)</f>
        <v/>
      </c>
      <c r="BM244" s="224">
        <f>Автовик_разбивка[[#This Row],[Цена, 
юань, без НДС 1]]*BL244</f>
        <v/>
      </c>
      <c r="BN244" s="178" t="n"/>
      <c r="BO244" s="184" t="n"/>
      <c r="BP244" s="130" t="n"/>
      <c r="BQ244" s="179" t="n"/>
      <c r="BR244" s="130" t="n"/>
      <c r="BS244" s="178" t="n"/>
      <c r="BT244" s="184" t="n"/>
      <c r="BU244" s="130" t="n"/>
      <c r="BV244" s="179" t="n"/>
      <c r="BW244" s="130" t="n"/>
      <c r="BX244" s="178" t="n"/>
      <c r="BY244" s="184" t="n"/>
      <c r="BZ244" s="130" t="n"/>
      <c r="CA244" s="179" t="n"/>
      <c r="CB244" s="130" t="n"/>
      <c r="CC244" s="178" t="n"/>
      <c r="CD244" s="184" t="n"/>
      <c r="CE244" s="130" t="n"/>
      <c r="CF244" s="179" t="n"/>
      <c r="CG244" s="130" t="n"/>
      <c r="CH244" s="178" t="n"/>
      <c r="CI244" s="184" t="n"/>
      <c r="CJ244" s="130" t="n"/>
      <c r="CK244" s="179" t="n"/>
      <c r="CL244" s="130" t="n"/>
      <c r="CM244" s="178" t="n"/>
      <c r="CN244" s="184" t="n"/>
      <c r="CO244" s="130" t="n"/>
      <c r="CP244" s="179" t="n"/>
      <c r="CQ244" s="130" t="n"/>
      <c r="CR244" s="178" t="n"/>
      <c r="CS244" s="184" t="n"/>
      <c r="CT244" s="130" t="n"/>
      <c r="CU244" s="179" t="n"/>
      <c r="CV244" s="130" t="n"/>
      <c r="CW244" s="178" t="n"/>
      <c r="CX244" s="184" t="n"/>
      <c r="CY244" s="130" t="n"/>
      <c r="CZ244" s="179" t="n"/>
      <c r="DA244" s="130" t="n"/>
      <c r="DB244" s="178" t="n"/>
      <c r="DC244" s="184" t="n"/>
      <c r="DD244" s="130" t="n"/>
      <c r="DE244" s="179" t="n"/>
      <c r="DF244" s="130" t="n"/>
      <c r="DG244" s="178" t="n"/>
      <c r="DH244" s="184" t="n"/>
      <c r="DI244" s="130" t="n"/>
      <c r="DJ244" s="179" t="n"/>
      <c r="DK244" s="130" t="n"/>
      <c r="DL244" s="178" t="n"/>
      <c r="DM244" s="184" t="n"/>
      <c r="DN244" s="130" t="n"/>
      <c r="DO244" s="194" t="n"/>
      <c r="DP244" s="130" t="n"/>
      <c r="DQ244" s="178" t="n"/>
      <c r="DR244" s="184" t="n"/>
      <c r="DS244" s="130">
        <f>$E244*20</f>
        <v/>
      </c>
      <c r="DT244" s="109" t="n"/>
      <c r="DU244" s="130" t="n"/>
      <c r="DV244" s="180">
        <f>SUMPRODUCT(--(MOD(COLUMN($BN244:$DU244),5)=MOD(COLUMN($BN244),5)),$BN244:$DU244)</f>
        <v/>
      </c>
      <c r="DW244" s="181">
        <f>Автовик_разбивка[[#This Row],[Цена, 
юань, без НДС 1]]*DV244</f>
        <v/>
      </c>
      <c r="DX244" s="186">
        <f>SUMPRODUCT(--(MOD(COLUMN($BN244:$DU244),5)=MOD(COLUMN($BN244)+1,5)),$BN244:$DU244)</f>
        <v/>
      </c>
      <c r="DY244" s="186">
        <f>Автовик_разбивка[[#This Row],[Цена, 
юань, без НДС 1]]*DX244</f>
        <v/>
      </c>
      <c r="DZ244" s="130">
        <f>SUMPRODUCT(--(MOD(COLUMN($BN244:$DU244),5)=MOD(COLUMN($BN244)+2,5)),$BN244:$DU244)</f>
        <v/>
      </c>
      <c r="EA244" s="187">
        <f>Автовик_разбивка[[#This Row],[Цена, 
юань, без НДС 1]]*DZ244</f>
        <v/>
      </c>
      <c r="EB244" s="109">
        <f>SUMPRODUCT(--(MOD(COLUMN($BN244:$DU244),5)=MOD(COLUMN($BN244)+3,5)),$BN244:$DU244)</f>
        <v/>
      </c>
      <c r="EC244" s="224">
        <f>Автовик_разбивка[[#This Row],[Цена, 
юань, без НДС 1]]*EB244</f>
        <v/>
      </c>
    </row>
    <row r="245">
      <c r="A245" s="265" t="n">
        <v>999</v>
      </c>
      <c r="B245" s="266" t="inlineStr">
        <is>
          <t>ЗАПАС</t>
        </is>
      </c>
      <c r="C245" s="173" t="inlineStr">
        <is>
          <t>TEBS</t>
        </is>
      </c>
      <c r="D245" s="173" t="inlineStr">
        <is>
          <t xml:space="preserve">TEBS 2s/2m 
15м </t>
        </is>
      </c>
      <c r="E245" s="174" t="n"/>
      <c r="F245" s="174" t="n"/>
      <c r="G245" s="174" t="n"/>
      <c r="H245" s="175" t="n">
        <v>4491731200</v>
      </c>
      <c r="I245" s="176" t="inlineStr">
        <is>
          <t>Кабель питания, 12 м</t>
        </is>
      </c>
      <c r="J245" s="911" t="n"/>
      <c r="K245" s="912" t="n"/>
      <c r="L245" s="178" t="n"/>
      <c r="M245" s="130" t="n"/>
      <c r="N245" s="179" t="n"/>
      <c r="O245" s="130" t="n"/>
      <c r="P245" s="178" t="n"/>
      <c r="Q245" s="130" t="n"/>
      <c r="R245" s="179" t="n"/>
      <c r="S245" s="130" t="n"/>
      <c r="T245" s="178" t="n"/>
      <c r="U245" s="130" t="n"/>
      <c r="V245" s="179" t="n"/>
      <c r="W245" s="130" t="n"/>
      <c r="X245" s="178" t="n"/>
      <c r="Y245" s="130" t="n"/>
      <c r="Z245" s="179" t="n"/>
      <c r="AA245" s="130" t="n"/>
      <c r="AB245" s="178" t="n"/>
      <c r="AC245" s="130" t="n"/>
      <c r="AD245" s="179" t="n"/>
      <c r="AE245" s="130" t="n"/>
      <c r="AF245" s="178" t="n"/>
      <c r="AG245" s="130" t="n"/>
      <c r="AH245" s="179" t="n"/>
      <c r="AI245" s="130" t="n"/>
      <c r="AJ245" s="178" t="n"/>
      <c r="AK245" s="130" t="n"/>
      <c r="AL245" s="179" t="n"/>
      <c r="AM245" s="130" t="n"/>
      <c r="AN245" s="178" t="n"/>
      <c r="AO245" s="130" t="n"/>
      <c r="AP245" s="179" t="n"/>
      <c r="AQ245" s="130" t="n"/>
      <c r="AR245" s="178" t="n"/>
      <c r="AS245" s="130" t="n"/>
      <c r="AT245" s="179" t="n"/>
      <c r="AU245" s="130" t="n"/>
      <c r="AV245" s="178" t="n"/>
      <c r="AW245" s="130" t="n"/>
      <c r="AX245" s="179" t="n"/>
      <c r="AY245" s="130" t="n"/>
      <c r="AZ245" s="178" t="n"/>
      <c r="BA245" s="130" t="n"/>
      <c r="BB245" s="194" t="n"/>
      <c r="BC245" s="130" t="n"/>
      <c r="BD245" s="178" t="n"/>
      <c r="BE245" s="130" t="n"/>
      <c r="BF245" s="109" t="n"/>
      <c r="BG245" s="130" t="n"/>
      <c r="BH245" s="180">
        <f>SUMPRODUCT(--(MOD(COLUMN($L245:$BG245),4)=MOD(COLUMN($L245),4)),$L245:$BG245)</f>
        <v/>
      </c>
      <c r="BI245" s="181">
        <f>Автовик_разбивка[[#This Row],[Цена, 
юань, без НДС 1]]*BH245</f>
        <v/>
      </c>
      <c r="BJ245" s="130">
        <f>SUMPRODUCT(--(MOD(COLUMN($L245:$BG245),4)=MOD(COLUMN($L245)+1,4)),$L245:$BG245)</f>
        <v/>
      </c>
      <c r="BK245" s="187">
        <f>Автовик_разбивка[[#This Row],[Цена, 
юань, без НДС 1]]*BJ245</f>
        <v/>
      </c>
      <c r="BL245" s="109">
        <f>SUMPRODUCT(--(MOD(COLUMN($L245:$BG245),4)=MOD(COLUMN($L245)+2,4)),$L245:$BG245)</f>
        <v/>
      </c>
      <c r="BM245" s="224">
        <f>Автовик_разбивка[[#This Row],[Цена, 
юань, без НДС 1]]*BL245</f>
        <v/>
      </c>
      <c r="BN245" s="178" t="n"/>
      <c r="BO245" s="184" t="n"/>
      <c r="BP245" s="130" t="n"/>
      <c r="BQ245" s="179" t="n"/>
      <c r="BR245" s="130" t="n"/>
      <c r="BS245" s="178" t="n"/>
      <c r="BT245" s="184" t="n"/>
      <c r="BU245" s="130" t="n"/>
      <c r="BV245" s="179" t="n"/>
      <c r="BW245" s="130" t="n"/>
      <c r="BX245" s="178" t="n"/>
      <c r="BY245" s="184" t="n"/>
      <c r="BZ245" s="130" t="n"/>
      <c r="CA245" s="179" t="n"/>
      <c r="CB245" s="130" t="n"/>
      <c r="CC245" s="178" t="n"/>
      <c r="CD245" s="184" t="n"/>
      <c r="CE245" s="130" t="n"/>
      <c r="CF245" s="179" t="n"/>
      <c r="CG245" s="130" t="n"/>
      <c r="CH245" s="178" t="n"/>
      <c r="CI245" s="184" t="n"/>
      <c r="CJ245" s="130" t="n"/>
      <c r="CK245" s="179" t="n"/>
      <c r="CL245" s="130" t="n"/>
      <c r="CM245" s="178" t="n"/>
      <c r="CN245" s="184" t="n"/>
      <c r="CO245" s="130" t="n"/>
      <c r="CP245" s="179" t="n"/>
      <c r="CQ245" s="130" t="n"/>
      <c r="CR245" s="178" t="n"/>
      <c r="CS245" s="184" t="n"/>
      <c r="CT245" s="130" t="n"/>
      <c r="CU245" s="179" t="n"/>
      <c r="CV245" s="130" t="n"/>
      <c r="CW245" s="178" t="n"/>
      <c r="CX245" s="184" t="n"/>
      <c r="CY245" s="130" t="n"/>
      <c r="CZ245" s="179" t="n"/>
      <c r="DA245" s="130" t="n"/>
      <c r="DB245" s="178" t="n"/>
      <c r="DC245" s="184" t="n"/>
      <c r="DD245" s="130" t="n"/>
      <c r="DE245" s="179" t="n"/>
      <c r="DF245" s="130" t="n"/>
      <c r="DG245" s="178" t="n"/>
      <c r="DH245" s="184" t="n"/>
      <c r="DI245" s="130" t="n"/>
      <c r="DJ245" s="179" t="n"/>
      <c r="DK245" s="130" t="n"/>
      <c r="DL245" s="178" t="n"/>
      <c r="DM245" s="184" t="n"/>
      <c r="DN245" s="130" t="n"/>
      <c r="DO245" s="194" t="n"/>
      <c r="DP245" s="130" t="n"/>
      <c r="DQ245" s="178" t="n"/>
      <c r="DR245" s="184" t="n"/>
      <c r="DS245" s="130" t="n"/>
      <c r="DT245" s="109" t="n"/>
      <c r="DU245" s="130" t="n"/>
      <c r="DV245" s="180">
        <f>SUMPRODUCT(--(MOD(COLUMN($BN245:$DU245),5)=MOD(COLUMN($BN245),5)),$BN245:$DU245)</f>
        <v/>
      </c>
      <c r="DW245" s="181">
        <f>Автовик_разбивка[[#This Row],[Цена, 
юань, без НДС 1]]*DV245</f>
        <v/>
      </c>
      <c r="DX245" s="186">
        <f>SUMPRODUCT(--(MOD(COLUMN($BN245:$DU245),5)=MOD(COLUMN($BN245)+1,5)),$BN245:$DU245)</f>
        <v/>
      </c>
      <c r="DY245" s="186">
        <f>Автовик_разбивка[[#This Row],[Цена, 
юань, без НДС 1]]*DX245</f>
        <v/>
      </c>
      <c r="DZ245" s="130">
        <f>SUMPRODUCT(--(MOD(COLUMN($BN245:$DU245),5)=MOD(COLUMN($BN245)+2,5)),$BN245:$DU245)</f>
        <v/>
      </c>
      <c r="EA245" s="187">
        <f>Автовик_разбивка[[#This Row],[Цена, 
юань, без НДС 1]]*DZ245</f>
        <v/>
      </c>
      <c r="EB245" s="109">
        <f>SUMPRODUCT(--(MOD(COLUMN($BN245:$DU245),5)=MOD(COLUMN($BN245)+3,5)),$BN245:$DU245)</f>
        <v/>
      </c>
      <c r="EC245" s="224">
        <f>Автовик_разбивка[[#This Row],[Цена, 
юань, без НДС 1]]*EB245</f>
        <v/>
      </c>
    </row>
    <row r="246">
      <c r="A246" s="265" t="n">
        <v>999</v>
      </c>
      <c r="B246" s="266" t="inlineStr">
        <is>
          <t>ЗАПАС</t>
        </is>
      </c>
      <c r="C246" s="173" t="inlineStr">
        <is>
          <t>Компоненты</t>
        </is>
      </c>
      <c r="D246" s="173" t="n"/>
      <c r="E246" s="174" t="n"/>
      <c r="F246" s="174" t="n"/>
      <c r="G246" s="198" t="n"/>
      <c r="H246" s="199" t="n">
        <v>4334010030</v>
      </c>
      <c r="I246" s="200" t="inlineStr">
        <is>
          <t>Упругий элемент</t>
        </is>
      </c>
      <c r="J246" s="911" t="n"/>
      <c r="K246" s="912" t="n"/>
      <c r="L246" s="178" t="n">
        <v>70</v>
      </c>
      <c r="M246" s="130" t="n">
        <v>70</v>
      </c>
      <c r="N246" s="179" t="n"/>
      <c r="O246" s="130" t="n"/>
      <c r="P246" s="178" t="n">
        <v>70</v>
      </c>
      <c r="Q246" s="130" t="n"/>
      <c r="R246" s="179" t="n"/>
      <c r="S246" s="130" t="n"/>
      <c r="T246" s="178" t="n">
        <v>70</v>
      </c>
      <c r="U246" s="130" t="n"/>
      <c r="V246" s="179" t="n"/>
      <c r="W246" s="130" t="n"/>
      <c r="X246" s="178" t="n">
        <v>70</v>
      </c>
      <c r="Y246" s="130" t="n"/>
      <c r="Z246" s="179" t="n"/>
      <c r="AA246" s="130" t="n"/>
      <c r="AB246" s="178" t="n">
        <v>70</v>
      </c>
      <c r="AC246" s="130" t="n"/>
      <c r="AD246" s="179" t="n"/>
      <c r="AE246" s="130" t="n"/>
      <c r="AF246" s="178" t="n">
        <v>70</v>
      </c>
      <c r="AG246" s="130" t="n"/>
      <c r="AH246" s="179" t="n"/>
      <c r="AI246" s="130" t="n"/>
      <c r="AJ246" s="178" t="n">
        <v>70</v>
      </c>
      <c r="AK246" s="130" t="n"/>
      <c r="AL246" s="179" t="n"/>
      <c r="AM246" s="130" t="n"/>
      <c r="AN246" s="178" t="n">
        <v>70</v>
      </c>
      <c r="AO246" s="130" t="n"/>
      <c r="AP246" s="179" t="n"/>
      <c r="AQ246" s="130" t="n"/>
      <c r="AR246" s="178" t="n">
        <v>70</v>
      </c>
      <c r="AS246" s="130" t="n"/>
      <c r="AT246" s="179" t="n"/>
      <c r="AU246" s="130" t="n"/>
      <c r="AV246" s="178" t="n">
        <v>70</v>
      </c>
      <c r="AW246" s="130" t="n"/>
      <c r="AX246" s="179" t="n"/>
      <c r="AY246" s="130" t="n"/>
      <c r="AZ246" s="178" t="n">
        <v>70</v>
      </c>
      <c r="BA246" s="130" t="n"/>
      <c r="BB246" s="194" t="n"/>
      <c r="BC246" s="130" t="n"/>
      <c r="BD246" s="178" t="n">
        <v>70</v>
      </c>
      <c r="BE246" s="130" t="n"/>
      <c r="BF246" s="109" t="n"/>
      <c r="BG246" s="130" t="n"/>
      <c r="BH246" s="180">
        <f>SUMPRODUCT(--(MOD(COLUMN($L246:$BG246),4)=MOD(COLUMN($L246),4)),$L246:$BG246)</f>
        <v/>
      </c>
      <c r="BI246" s="181">
        <f>Автовик_разбивка[[#This Row],[Цена, 
юань, без НДС 1]]*BH246</f>
        <v/>
      </c>
      <c r="BJ246" s="130">
        <f>SUMPRODUCT(--(MOD(COLUMN($L246:$BG246),4)=MOD(COLUMN($L246)+1,4)),$L246:$BG246)</f>
        <v/>
      </c>
      <c r="BK246" s="187">
        <f>Автовик_разбивка[[#This Row],[Цена, 
юань, без НДС 1]]*BJ246</f>
        <v/>
      </c>
      <c r="BL246" s="109">
        <f>SUMPRODUCT(--(MOD(COLUMN($L246:$BG246),4)=MOD(COLUMN($L246)+2,4)),$L246:$BG246)</f>
        <v/>
      </c>
      <c r="BM246" s="224">
        <f>Автовик_разбивка[[#This Row],[Цена, 
юань, без НДС 1]]*BL246</f>
        <v/>
      </c>
      <c r="BN246" s="178" t="n"/>
      <c r="BO246" s="184" t="n"/>
      <c r="BP246" s="130" t="n"/>
      <c r="BQ246" s="179" t="n"/>
      <c r="BR246" s="130" t="n"/>
      <c r="BS246" s="178" t="n"/>
      <c r="BT246" s="184" t="n"/>
      <c r="BU246" s="130" t="n"/>
      <c r="BV246" s="179" t="n"/>
      <c r="BW246" s="130" t="n"/>
      <c r="BX246" s="178" t="n"/>
      <c r="BY246" s="184" t="n"/>
      <c r="BZ246" s="130" t="n"/>
      <c r="CA246" s="179" t="n"/>
      <c r="CB246" s="130" t="n"/>
      <c r="CC246" s="178" t="n"/>
      <c r="CD246" s="184" t="n"/>
      <c r="CE246" s="130" t="n"/>
      <c r="CF246" s="179" t="n"/>
      <c r="CG246" s="130" t="n"/>
      <c r="CH246" s="178" t="n"/>
      <c r="CI246" s="184" t="n"/>
      <c r="CJ246" s="130" t="n"/>
      <c r="CK246" s="179" t="n"/>
      <c r="CL246" s="130" t="n"/>
      <c r="CM246" s="178" t="n"/>
      <c r="CN246" s="184" t="n"/>
      <c r="CO246" s="130" t="n"/>
      <c r="CP246" s="179" t="n"/>
      <c r="CQ246" s="130" t="n"/>
      <c r="CR246" s="178" t="n"/>
      <c r="CS246" s="184" t="n"/>
      <c r="CT246" s="130" t="n"/>
      <c r="CU246" s="179" t="n"/>
      <c r="CV246" s="130" t="n"/>
      <c r="CW246" s="178" t="n"/>
      <c r="CX246" s="184" t="n"/>
      <c r="CY246" s="130" t="n"/>
      <c r="CZ246" s="179" t="n"/>
      <c r="DA246" s="130" t="n"/>
      <c r="DB246" s="178" t="n"/>
      <c r="DC246" s="184" t="n"/>
      <c r="DD246" s="130" t="n"/>
      <c r="DE246" s="179" t="n"/>
      <c r="DF246" s="130" t="n"/>
      <c r="DG246" s="178" t="n"/>
      <c r="DH246" s="184" t="n"/>
      <c r="DI246" s="130" t="n"/>
      <c r="DJ246" s="179" t="n"/>
      <c r="DK246" s="130" t="n"/>
      <c r="DL246" s="178" t="n"/>
      <c r="DM246" s="184" t="n"/>
      <c r="DN246" s="130" t="n"/>
      <c r="DO246" s="194" t="n"/>
      <c r="DP246" s="130" t="n"/>
      <c r="DQ246" s="178" t="n"/>
      <c r="DR246" s="184" t="n"/>
      <c r="DS246" s="130" t="n"/>
      <c r="DT246" s="109" t="n"/>
      <c r="DU246" s="130" t="n"/>
      <c r="DV246" s="180">
        <f>SUMPRODUCT(--(MOD(COLUMN($BN246:$DU246),5)=MOD(COLUMN($BN246),5)),$BN246:$DU246)</f>
        <v/>
      </c>
      <c r="DW246" s="181">
        <f>Автовик_разбивка[[#This Row],[Цена, 
юань, без НДС 1]]*DV246</f>
        <v/>
      </c>
      <c r="DX246" s="186">
        <f>SUMPRODUCT(--(MOD(COLUMN($BN246:$DU246),5)=MOD(COLUMN($BN246)+1,5)),$BN246:$DU246)</f>
        <v/>
      </c>
      <c r="DY246" s="186">
        <f>Автовик_разбивка[[#This Row],[Цена, 
юань, без НДС 1]]*DX246</f>
        <v/>
      </c>
      <c r="DZ246" s="130">
        <f>SUMPRODUCT(--(MOD(COLUMN($BN246:$DU246),5)=MOD(COLUMN($BN246)+2,5)),$BN246:$DU246)</f>
        <v/>
      </c>
      <c r="EA246" s="187">
        <f>Автовик_разбивка[[#This Row],[Цена, 
юань, без НДС 1]]*DZ246</f>
        <v/>
      </c>
      <c r="EB246" s="109">
        <f>SUMPRODUCT(--(MOD(COLUMN($BN246:$DU246),5)=MOD(COLUMN($BN246)+3,5)),$BN246:$DU246)</f>
        <v/>
      </c>
      <c r="EC246" s="224">
        <f>Автовик_разбивка[[#This Row],[Цена, 
юань, без НДС 1]]*EB246</f>
        <v/>
      </c>
    </row>
    <row r="247">
      <c r="A247" s="265" t="n">
        <v>999</v>
      </c>
      <c r="B247" s="266" t="inlineStr">
        <is>
          <t>ЗАПАС</t>
        </is>
      </c>
      <c r="C247" s="173" t="inlineStr">
        <is>
          <t>Компоненты</t>
        </is>
      </c>
      <c r="D247" s="173" t="n"/>
      <c r="E247" s="174" t="n"/>
      <c r="F247" s="174" t="n"/>
      <c r="G247" s="198" t="n"/>
      <c r="H247" s="199" t="n">
        <v>4341001250</v>
      </c>
      <c r="I247" s="200" t="inlineStr">
        <is>
          <t>Клапан перепускной</t>
        </is>
      </c>
      <c r="J247" s="911" t="n"/>
      <c r="K247" s="912" t="n"/>
      <c r="L247" s="178" t="n">
        <v>70</v>
      </c>
      <c r="M247" s="130" t="n">
        <v>70</v>
      </c>
      <c r="N247" s="179" t="n"/>
      <c r="O247" s="130" t="n"/>
      <c r="P247" s="178" t="n">
        <v>70</v>
      </c>
      <c r="Q247" s="130" t="n"/>
      <c r="R247" s="179" t="n"/>
      <c r="S247" s="130" t="n"/>
      <c r="T247" s="178" t="n">
        <v>70</v>
      </c>
      <c r="U247" s="130" t="n"/>
      <c r="V247" s="179" t="n"/>
      <c r="W247" s="130" t="n"/>
      <c r="X247" s="178" t="n">
        <v>70</v>
      </c>
      <c r="Y247" s="130" t="n"/>
      <c r="Z247" s="179" t="n"/>
      <c r="AA247" s="130" t="n"/>
      <c r="AB247" s="178" t="n">
        <v>70</v>
      </c>
      <c r="AC247" s="130" t="n"/>
      <c r="AD247" s="179" t="n"/>
      <c r="AE247" s="130" t="n"/>
      <c r="AF247" s="178" t="n">
        <v>70</v>
      </c>
      <c r="AG247" s="130" t="n"/>
      <c r="AH247" s="179" t="n"/>
      <c r="AI247" s="130" t="n"/>
      <c r="AJ247" s="178" t="n">
        <v>70</v>
      </c>
      <c r="AK247" s="130" t="n"/>
      <c r="AL247" s="179" t="n"/>
      <c r="AM247" s="130" t="n"/>
      <c r="AN247" s="178" t="n">
        <v>70</v>
      </c>
      <c r="AO247" s="130" t="n"/>
      <c r="AP247" s="179" t="n"/>
      <c r="AQ247" s="130" t="n"/>
      <c r="AR247" s="178" t="n">
        <v>70</v>
      </c>
      <c r="AS247" s="130" t="n"/>
      <c r="AT247" s="179" t="n"/>
      <c r="AU247" s="130" t="n"/>
      <c r="AV247" s="178" t="n">
        <v>70</v>
      </c>
      <c r="AW247" s="130" t="n"/>
      <c r="AX247" s="179" t="n"/>
      <c r="AY247" s="130" t="n"/>
      <c r="AZ247" s="178" t="n">
        <v>70</v>
      </c>
      <c r="BA247" s="130" t="n"/>
      <c r="BB247" s="194" t="n"/>
      <c r="BC247" s="130" t="n"/>
      <c r="BD247" s="178" t="n">
        <v>70</v>
      </c>
      <c r="BE247" s="130" t="n"/>
      <c r="BF247" s="109" t="n"/>
      <c r="BG247" s="130" t="n"/>
      <c r="BH247" s="180">
        <f>SUMPRODUCT(--(MOD(COLUMN($L247:$BG247),4)=MOD(COLUMN($L247),4)),$L247:$BG247)</f>
        <v/>
      </c>
      <c r="BI247" s="181">
        <f>Автовик_разбивка[[#This Row],[Цена, 
юань, без НДС 1]]*BH247</f>
        <v/>
      </c>
      <c r="BJ247" s="130">
        <f>SUMPRODUCT(--(MOD(COLUMN($L247:$BG247),4)=MOD(COLUMN($L247)+1,4)),$L247:$BG247)</f>
        <v/>
      </c>
      <c r="BK247" s="187">
        <f>Автовик_разбивка[[#This Row],[Цена, 
юань, без НДС 1]]*BJ247</f>
        <v/>
      </c>
      <c r="BL247" s="109">
        <f>SUMPRODUCT(--(MOD(COLUMN($L247:$BG247),4)=MOD(COLUMN($L247)+2,4)),$L247:$BG247)</f>
        <v/>
      </c>
      <c r="BM247" s="224">
        <f>Автовик_разбивка[[#This Row],[Цена, 
юань, без НДС 1]]*BL247</f>
        <v/>
      </c>
      <c r="BN247" s="178" t="n"/>
      <c r="BO247" s="184" t="n"/>
      <c r="BP247" s="130" t="n"/>
      <c r="BQ247" s="179" t="n"/>
      <c r="BR247" s="130" t="n"/>
      <c r="BS247" s="178" t="n"/>
      <c r="BT247" s="184" t="n"/>
      <c r="BU247" s="130" t="n"/>
      <c r="BV247" s="179" t="n"/>
      <c r="BW247" s="130" t="n"/>
      <c r="BX247" s="178" t="n"/>
      <c r="BY247" s="184" t="n"/>
      <c r="BZ247" s="130" t="n"/>
      <c r="CA247" s="179" t="n"/>
      <c r="CB247" s="130" t="n"/>
      <c r="CC247" s="178" t="n"/>
      <c r="CD247" s="184" t="n"/>
      <c r="CE247" s="130" t="n"/>
      <c r="CF247" s="179" t="n"/>
      <c r="CG247" s="130" t="n"/>
      <c r="CH247" s="178" t="n"/>
      <c r="CI247" s="184" t="n"/>
      <c r="CJ247" s="130" t="n"/>
      <c r="CK247" s="179" t="n"/>
      <c r="CL247" s="130" t="n"/>
      <c r="CM247" s="178" t="n"/>
      <c r="CN247" s="184" t="n"/>
      <c r="CO247" s="130" t="n"/>
      <c r="CP247" s="179" t="n"/>
      <c r="CQ247" s="130" t="n"/>
      <c r="CR247" s="178" t="n"/>
      <c r="CS247" s="184" t="n"/>
      <c r="CT247" s="130" t="n"/>
      <c r="CU247" s="179" t="n"/>
      <c r="CV247" s="130" t="n"/>
      <c r="CW247" s="178" t="n"/>
      <c r="CX247" s="184" t="n"/>
      <c r="CY247" s="130" t="n"/>
      <c r="CZ247" s="179" t="n"/>
      <c r="DA247" s="130" t="n"/>
      <c r="DB247" s="178" t="n"/>
      <c r="DC247" s="184" t="n"/>
      <c r="DD247" s="130" t="n"/>
      <c r="DE247" s="179" t="n"/>
      <c r="DF247" s="130" t="n"/>
      <c r="DG247" s="178" t="n"/>
      <c r="DH247" s="184" t="n"/>
      <c r="DI247" s="130" t="n"/>
      <c r="DJ247" s="179" t="n"/>
      <c r="DK247" s="130" t="n"/>
      <c r="DL247" s="178" t="n"/>
      <c r="DM247" s="184" t="n"/>
      <c r="DN247" s="130" t="n"/>
      <c r="DO247" s="194" t="n"/>
      <c r="DP247" s="130" t="n"/>
      <c r="DQ247" s="178" t="n"/>
      <c r="DR247" s="184" t="n"/>
      <c r="DS247" s="130" t="n"/>
      <c r="DT247" s="109" t="n"/>
      <c r="DU247" s="130" t="n"/>
      <c r="DV247" s="180">
        <f>SUMPRODUCT(--(MOD(COLUMN($BN247:$DU247),5)=MOD(COLUMN($BN247),5)),$BN247:$DU247)</f>
        <v/>
      </c>
      <c r="DW247" s="181">
        <f>Автовик_разбивка[[#This Row],[Цена, 
юань, без НДС 1]]*DV247</f>
        <v/>
      </c>
      <c r="DX247" s="186">
        <f>SUMPRODUCT(--(MOD(COLUMN($BN247:$DU247),5)=MOD(COLUMN($BN247)+1,5)),$BN247:$DU247)</f>
        <v/>
      </c>
      <c r="DY247" s="186">
        <f>Автовик_разбивка[[#This Row],[Цена, 
юань, без НДС 1]]*DX247</f>
        <v/>
      </c>
      <c r="DZ247" s="130">
        <f>SUMPRODUCT(--(MOD(COLUMN($BN247:$DU247),5)=MOD(COLUMN($BN247)+2,5)),$BN247:$DU247)</f>
        <v/>
      </c>
      <c r="EA247" s="187">
        <f>Автовик_разбивка[[#This Row],[Цена, 
юань, без НДС 1]]*DZ247</f>
        <v/>
      </c>
      <c r="EB247" s="109">
        <f>SUMPRODUCT(--(MOD(COLUMN($BN247:$DU247),5)=MOD(COLUMN($BN247)+3,5)),$BN247:$DU247)</f>
        <v/>
      </c>
      <c r="EC247" s="224">
        <f>Автовик_разбивка[[#This Row],[Цена, 
юань, без НДС 1]]*EB247</f>
        <v/>
      </c>
    </row>
    <row r="248">
      <c r="A248" s="265" t="n">
        <v>999</v>
      </c>
      <c r="B248" s="266" t="inlineStr">
        <is>
          <t>ЗАПАС</t>
        </is>
      </c>
      <c r="C248" s="173" t="inlineStr">
        <is>
          <t>Компоненты</t>
        </is>
      </c>
      <c r="D248" s="173" t="n"/>
      <c r="E248" s="174" t="n"/>
      <c r="F248" s="174" t="n"/>
      <c r="G248" s="198" t="n"/>
      <c r="H248" s="199" t="n">
        <v>4630320200</v>
      </c>
      <c r="I248" s="200" t="inlineStr">
        <is>
          <t>Кран ручного управления</t>
        </is>
      </c>
      <c r="J248" s="911" t="n"/>
      <c r="K248" s="912" t="n"/>
      <c r="L248" s="178" t="n">
        <v>70</v>
      </c>
      <c r="M248" s="130" t="n">
        <v>70</v>
      </c>
      <c r="N248" s="179" t="n"/>
      <c r="O248" s="130" t="n"/>
      <c r="P248" s="178" t="n">
        <v>70</v>
      </c>
      <c r="Q248" s="130" t="n"/>
      <c r="R248" s="179" t="n"/>
      <c r="S248" s="130" t="n"/>
      <c r="T248" s="178" t="n">
        <v>70</v>
      </c>
      <c r="U248" s="130" t="n"/>
      <c r="V248" s="179" t="n"/>
      <c r="W248" s="130" t="n"/>
      <c r="X248" s="178" t="n">
        <v>70</v>
      </c>
      <c r="Y248" s="130" t="n"/>
      <c r="Z248" s="179" t="n"/>
      <c r="AA248" s="130" t="n"/>
      <c r="AB248" s="178" t="n">
        <v>70</v>
      </c>
      <c r="AC248" s="130" t="n"/>
      <c r="AD248" s="179" t="n"/>
      <c r="AE248" s="130" t="n"/>
      <c r="AF248" s="178" t="n">
        <v>70</v>
      </c>
      <c r="AG248" s="130" t="n"/>
      <c r="AH248" s="179" t="n"/>
      <c r="AI248" s="130" t="n"/>
      <c r="AJ248" s="178" t="n">
        <v>70</v>
      </c>
      <c r="AK248" s="130" t="n"/>
      <c r="AL248" s="179" t="n"/>
      <c r="AM248" s="130" t="n"/>
      <c r="AN248" s="178" t="n">
        <v>70</v>
      </c>
      <c r="AO248" s="130" t="n"/>
      <c r="AP248" s="179" t="n"/>
      <c r="AQ248" s="130" t="n"/>
      <c r="AR248" s="178" t="n">
        <v>70</v>
      </c>
      <c r="AS248" s="130" t="n"/>
      <c r="AT248" s="179" t="n"/>
      <c r="AU248" s="130" t="n"/>
      <c r="AV248" s="178" t="n">
        <v>70</v>
      </c>
      <c r="AW248" s="130" t="n"/>
      <c r="AX248" s="179" t="n"/>
      <c r="AY248" s="130" t="n"/>
      <c r="AZ248" s="178" t="n">
        <v>70</v>
      </c>
      <c r="BA248" s="130" t="n"/>
      <c r="BB248" s="194" t="n"/>
      <c r="BC248" s="130" t="n"/>
      <c r="BD248" s="178" t="n">
        <v>70</v>
      </c>
      <c r="BE248" s="130" t="n"/>
      <c r="BF248" s="109" t="n"/>
      <c r="BG248" s="130" t="n"/>
      <c r="BH248" s="180">
        <f>SUMPRODUCT(--(MOD(COLUMN($L248:$BG248),4)=MOD(COLUMN($L248),4)),$L248:$BG248)</f>
        <v/>
      </c>
      <c r="BI248" s="181">
        <f>Автовик_разбивка[[#This Row],[Цена, 
юань, без НДС 1]]*BH248</f>
        <v/>
      </c>
      <c r="BJ248" s="130">
        <f>SUMPRODUCT(--(MOD(COLUMN($L248:$BG248),4)=MOD(COLUMN($L248)+1,4)),$L248:$BG248)</f>
        <v/>
      </c>
      <c r="BK248" s="187">
        <f>Автовик_разбивка[[#This Row],[Цена, 
юань, без НДС 1]]*BJ248</f>
        <v/>
      </c>
      <c r="BL248" s="109">
        <f>SUMPRODUCT(--(MOD(COLUMN($L248:$BG248),4)=MOD(COLUMN($L248)+2,4)),$L248:$BG248)</f>
        <v/>
      </c>
      <c r="BM248" s="224">
        <f>Автовик_разбивка[[#This Row],[Цена, 
юань, без НДС 1]]*BL248</f>
        <v/>
      </c>
      <c r="BN248" s="178" t="n"/>
      <c r="BO248" s="184" t="n"/>
      <c r="BP248" s="130" t="n"/>
      <c r="BQ248" s="179" t="n"/>
      <c r="BR248" s="130" t="n"/>
      <c r="BS248" s="178" t="n"/>
      <c r="BT248" s="184" t="n"/>
      <c r="BU248" s="130" t="n"/>
      <c r="BV248" s="179" t="n"/>
      <c r="BW248" s="130" t="n"/>
      <c r="BX248" s="178" t="n"/>
      <c r="BY248" s="184" t="n"/>
      <c r="BZ248" s="130" t="n"/>
      <c r="CA248" s="179" t="n"/>
      <c r="CB248" s="130" t="n"/>
      <c r="CC248" s="178" t="n"/>
      <c r="CD248" s="184" t="n"/>
      <c r="CE248" s="130" t="n"/>
      <c r="CF248" s="179" t="n"/>
      <c r="CG248" s="130" t="n"/>
      <c r="CH248" s="178" t="n"/>
      <c r="CI248" s="184" t="n"/>
      <c r="CJ248" s="130" t="n"/>
      <c r="CK248" s="179" t="n"/>
      <c r="CL248" s="130" t="n"/>
      <c r="CM248" s="178" t="n"/>
      <c r="CN248" s="184" t="n"/>
      <c r="CO248" s="130" t="n"/>
      <c r="CP248" s="179" t="n"/>
      <c r="CQ248" s="130" t="n"/>
      <c r="CR248" s="178" t="n"/>
      <c r="CS248" s="184" t="n"/>
      <c r="CT248" s="130" t="n"/>
      <c r="CU248" s="179" t="n"/>
      <c r="CV248" s="130" t="n"/>
      <c r="CW248" s="178" t="n"/>
      <c r="CX248" s="184" t="n"/>
      <c r="CY248" s="130" t="n"/>
      <c r="CZ248" s="179" t="n"/>
      <c r="DA248" s="130" t="n"/>
      <c r="DB248" s="178" t="n"/>
      <c r="DC248" s="184" t="n"/>
      <c r="DD248" s="130" t="n"/>
      <c r="DE248" s="179" t="n"/>
      <c r="DF248" s="130" t="n"/>
      <c r="DG248" s="178" t="n"/>
      <c r="DH248" s="184" t="n"/>
      <c r="DI248" s="130" t="n"/>
      <c r="DJ248" s="179" t="n"/>
      <c r="DK248" s="130" t="n"/>
      <c r="DL248" s="178" t="n"/>
      <c r="DM248" s="184" t="n"/>
      <c r="DN248" s="130" t="n"/>
      <c r="DO248" s="194" t="n"/>
      <c r="DP248" s="130" t="n"/>
      <c r="DQ248" s="178" t="n"/>
      <c r="DR248" s="184" t="n"/>
      <c r="DS248" s="130" t="n"/>
      <c r="DT248" s="109" t="n"/>
      <c r="DU248" s="130" t="n"/>
      <c r="DV248" s="180">
        <f>SUMPRODUCT(--(MOD(COLUMN($BN248:$DU248),5)=MOD(COLUMN($BN248),5)),$BN248:$DU248)</f>
        <v/>
      </c>
      <c r="DW248" s="181">
        <f>Автовик_разбивка[[#This Row],[Цена, 
юань, без НДС 1]]*DV248</f>
        <v/>
      </c>
      <c r="DX248" s="186">
        <f>SUMPRODUCT(--(MOD(COLUMN($BN248:$DU248),5)=MOD(COLUMN($BN248)+1,5)),$BN248:$DU248)</f>
        <v/>
      </c>
      <c r="DY248" s="186">
        <f>Автовик_разбивка[[#This Row],[Цена, 
юань, без НДС 1]]*DX248</f>
        <v/>
      </c>
      <c r="DZ248" s="130">
        <f>SUMPRODUCT(--(MOD(COLUMN($BN248:$DU248),5)=MOD(COLUMN($BN248)+2,5)),$BN248:$DU248)</f>
        <v/>
      </c>
      <c r="EA248" s="187">
        <f>Автовик_разбивка[[#This Row],[Цена, 
юань, без НДС 1]]*DZ248</f>
        <v/>
      </c>
      <c r="EB248" s="109">
        <f>SUMPRODUCT(--(MOD(COLUMN($BN248:$DU248),5)=MOD(COLUMN($BN248)+3,5)),$BN248:$DU248)</f>
        <v/>
      </c>
      <c r="EC248" s="224">
        <f>Автовик_разбивка[[#This Row],[Цена, 
юань, без НДС 1]]*EB248</f>
        <v/>
      </c>
    </row>
    <row r="249">
      <c r="A249" s="265" t="n">
        <v>999</v>
      </c>
      <c r="B249" s="266" t="inlineStr">
        <is>
          <t>ЗАПАС</t>
        </is>
      </c>
      <c r="C249" s="173" t="inlineStr">
        <is>
          <t>Компоненты</t>
        </is>
      </c>
      <c r="D249" s="173" t="n"/>
      <c r="E249" s="174" t="n"/>
      <c r="F249" s="174" t="n"/>
      <c r="G249" s="198" t="n"/>
      <c r="H249" s="199" t="n">
        <v>4640061000</v>
      </c>
      <c r="I249" s="200" t="inlineStr">
        <is>
          <t>Кран уровня пола</t>
        </is>
      </c>
      <c r="J249" s="911" t="n"/>
      <c r="K249" s="912" t="n"/>
      <c r="L249" s="178" t="n">
        <v>70</v>
      </c>
      <c r="M249" s="130" t="n">
        <v>70</v>
      </c>
      <c r="N249" s="179" t="n"/>
      <c r="O249" s="130" t="n"/>
      <c r="P249" s="178" t="n">
        <v>70</v>
      </c>
      <c r="Q249" s="130" t="n"/>
      <c r="R249" s="179" t="n"/>
      <c r="S249" s="130" t="n"/>
      <c r="T249" s="178" t="n">
        <v>70</v>
      </c>
      <c r="U249" s="130" t="n"/>
      <c r="V249" s="179" t="n"/>
      <c r="W249" s="130" t="n"/>
      <c r="X249" s="178" t="n">
        <v>70</v>
      </c>
      <c r="Y249" s="130" t="n"/>
      <c r="Z249" s="179" t="n"/>
      <c r="AA249" s="130" t="n"/>
      <c r="AB249" s="178" t="n">
        <v>70</v>
      </c>
      <c r="AC249" s="130" t="n"/>
      <c r="AD249" s="179" t="n"/>
      <c r="AE249" s="130" t="n"/>
      <c r="AF249" s="178" t="n">
        <v>70</v>
      </c>
      <c r="AG249" s="130" t="n"/>
      <c r="AH249" s="179" t="n"/>
      <c r="AI249" s="130" t="n"/>
      <c r="AJ249" s="178" t="n">
        <v>70</v>
      </c>
      <c r="AK249" s="130" t="n"/>
      <c r="AL249" s="179" t="n"/>
      <c r="AM249" s="130" t="n"/>
      <c r="AN249" s="178" t="n">
        <v>70</v>
      </c>
      <c r="AO249" s="130" t="n"/>
      <c r="AP249" s="179" t="n"/>
      <c r="AQ249" s="130" t="n"/>
      <c r="AR249" s="178" t="n">
        <v>70</v>
      </c>
      <c r="AS249" s="130" t="n"/>
      <c r="AT249" s="179" t="n"/>
      <c r="AU249" s="130" t="n"/>
      <c r="AV249" s="178" t="n">
        <v>70</v>
      </c>
      <c r="AW249" s="130" t="n"/>
      <c r="AX249" s="179" t="n"/>
      <c r="AY249" s="130" t="n"/>
      <c r="AZ249" s="178" t="n">
        <v>70</v>
      </c>
      <c r="BA249" s="130" t="n"/>
      <c r="BB249" s="194" t="n"/>
      <c r="BC249" s="130" t="n"/>
      <c r="BD249" s="178" t="n">
        <v>70</v>
      </c>
      <c r="BE249" s="130" t="n"/>
      <c r="BF249" s="109" t="n"/>
      <c r="BG249" s="130" t="n"/>
      <c r="BH249" s="180">
        <f>SUMPRODUCT(--(MOD(COLUMN($L249:$BG249),4)=MOD(COLUMN($L249),4)),$L249:$BG249)</f>
        <v/>
      </c>
      <c r="BI249" s="181">
        <f>Автовик_разбивка[[#This Row],[Цена, 
юань, без НДС 1]]*BH249</f>
        <v/>
      </c>
      <c r="BJ249" s="130">
        <f>SUMPRODUCT(--(MOD(COLUMN($L249:$BG249),4)=MOD(COLUMN($L249)+1,4)),$L249:$BG249)</f>
        <v/>
      </c>
      <c r="BK249" s="187">
        <f>Автовик_разбивка[[#This Row],[Цена, 
юань, без НДС 1]]*BJ249</f>
        <v/>
      </c>
      <c r="BL249" s="109">
        <f>SUMPRODUCT(--(MOD(COLUMN($L249:$BG249),4)=MOD(COLUMN($L249)+2,4)),$L249:$BG249)</f>
        <v/>
      </c>
      <c r="BM249" s="224">
        <f>Автовик_разбивка[[#This Row],[Цена, 
юань, без НДС 1]]*BL249</f>
        <v/>
      </c>
      <c r="BN249" s="178" t="n"/>
      <c r="BO249" s="184" t="n"/>
      <c r="BP249" s="130" t="n"/>
      <c r="BQ249" s="179" t="n"/>
      <c r="BR249" s="130" t="n"/>
      <c r="BS249" s="178" t="n"/>
      <c r="BT249" s="184" t="n"/>
      <c r="BU249" s="130" t="n"/>
      <c r="BV249" s="179" t="n"/>
      <c r="BW249" s="130" t="n"/>
      <c r="BX249" s="178" t="n"/>
      <c r="BY249" s="184" t="n"/>
      <c r="BZ249" s="130" t="n"/>
      <c r="CA249" s="179" t="n"/>
      <c r="CB249" s="130" t="n"/>
      <c r="CC249" s="178" t="n"/>
      <c r="CD249" s="184" t="n"/>
      <c r="CE249" s="130" t="n"/>
      <c r="CF249" s="179" t="n"/>
      <c r="CG249" s="130" t="n"/>
      <c r="CH249" s="178" t="n"/>
      <c r="CI249" s="184" t="n"/>
      <c r="CJ249" s="130" t="n"/>
      <c r="CK249" s="179" t="n"/>
      <c r="CL249" s="130" t="n"/>
      <c r="CM249" s="178" t="n"/>
      <c r="CN249" s="184" t="n"/>
      <c r="CO249" s="130" t="n"/>
      <c r="CP249" s="179" t="n"/>
      <c r="CQ249" s="130" t="n"/>
      <c r="CR249" s="178" t="n"/>
      <c r="CS249" s="184" t="n"/>
      <c r="CT249" s="130" t="n"/>
      <c r="CU249" s="179" t="n"/>
      <c r="CV249" s="130" t="n"/>
      <c r="CW249" s="178" t="n"/>
      <c r="CX249" s="184" t="n"/>
      <c r="CY249" s="130" t="n"/>
      <c r="CZ249" s="179" t="n"/>
      <c r="DA249" s="130" t="n"/>
      <c r="DB249" s="178" t="n"/>
      <c r="DC249" s="184" t="n"/>
      <c r="DD249" s="130" t="n"/>
      <c r="DE249" s="179" t="n"/>
      <c r="DF249" s="130" t="n"/>
      <c r="DG249" s="178" t="n"/>
      <c r="DH249" s="184" t="n"/>
      <c r="DI249" s="130" t="n"/>
      <c r="DJ249" s="179" t="n"/>
      <c r="DK249" s="130" t="n"/>
      <c r="DL249" s="178" t="n"/>
      <c r="DM249" s="184" t="n"/>
      <c r="DN249" s="130" t="n"/>
      <c r="DO249" s="194" t="n"/>
      <c r="DP249" s="130" t="n"/>
      <c r="DQ249" s="178" t="n"/>
      <c r="DR249" s="184" t="n"/>
      <c r="DS249" s="130" t="n"/>
      <c r="DT249" s="109" t="n"/>
      <c r="DU249" s="130" t="n"/>
      <c r="DV249" s="180">
        <f>SUMPRODUCT(--(MOD(COLUMN($BN249:$DU249),5)=MOD(COLUMN($BN249),5)),$BN249:$DU249)</f>
        <v/>
      </c>
      <c r="DW249" s="181">
        <f>Автовик_разбивка[[#This Row],[Цена, 
юань, без НДС 1]]*DV249</f>
        <v/>
      </c>
      <c r="DX249" s="186">
        <f>SUMPRODUCT(--(MOD(COLUMN($BN249:$DU249),5)=MOD(COLUMN($BN249)+1,5)),$BN249:$DU249)</f>
        <v/>
      </c>
      <c r="DY249" s="186">
        <f>Автовик_разбивка[[#This Row],[Цена, 
юань, без НДС 1]]*DX249</f>
        <v/>
      </c>
      <c r="DZ249" s="130">
        <f>SUMPRODUCT(--(MOD(COLUMN($BN249:$DU249),5)=MOD(COLUMN($BN249)+2,5)),$BN249:$DU249)</f>
        <v/>
      </c>
      <c r="EA249" s="187">
        <f>Автовик_разбивка[[#This Row],[Цена, 
юань, без НДС 1]]*DZ249</f>
        <v/>
      </c>
      <c r="EB249" s="109">
        <f>SUMPRODUCT(--(MOD(COLUMN($BN249:$DU249),5)=MOD(COLUMN($BN249)+3,5)),$BN249:$DU249)</f>
        <v/>
      </c>
      <c r="EC249" s="224">
        <f>Автовик_разбивка[[#This Row],[Цена, 
юань, без НДС 1]]*EB249</f>
        <v/>
      </c>
    </row>
    <row r="250">
      <c r="A250" s="265" t="n">
        <v>999</v>
      </c>
      <c r="B250" s="266" t="inlineStr">
        <is>
          <t>ЗАПАС</t>
        </is>
      </c>
      <c r="C250" s="173" t="inlineStr">
        <is>
          <t>Компоненты</t>
        </is>
      </c>
      <c r="D250" s="173" t="n"/>
      <c r="E250" s="174" t="n"/>
      <c r="F250" s="174" t="n"/>
      <c r="G250" s="198" t="n"/>
      <c r="H250" s="199" t="n">
        <v>4757145000</v>
      </c>
      <c r="I250" s="200" t="inlineStr">
        <is>
          <t>Регулятор тормозных сил</t>
        </is>
      </c>
      <c r="J250" s="911" t="n"/>
      <c r="K250" s="912" t="n"/>
      <c r="L250" s="178" t="n">
        <v>70</v>
      </c>
      <c r="M250" s="130" t="n">
        <v>70</v>
      </c>
      <c r="N250" s="179" t="n"/>
      <c r="O250" s="130" t="n"/>
      <c r="P250" s="178" t="n">
        <v>70</v>
      </c>
      <c r="Q250" s="130" t="n"/>
      <c r="R250" s="179" t="n"/>
      <c r="S250" s="130" t="n"/>
      <c r="T250" s="178" t="n">
        <v>70</v>
      </c>
      <c r="U250" s="130" t="n"/>
      <c r="V250" s="179" t="n"/>
      <c r="W250" s="130" t="n"/>
      <c r="X250" s="178" t="n">
        <v>70</v>
      </c>
      <c r="Y250" s="130" t="n"/>
      <c r="Z250" s="179" t="n"/>
      <c r="AA250" s="130" t="n"/>
      <c r="AB250" s="178" t="n">
        <v>70</v>
      </c>
      <c r="AC250" s="130" t="n"/>
      <c r="AD250" s="179" t="n"/>
      <c r="AE250" s="130" t="n"/>
      <c r="AF250" s="178" t="n">
        <v>70</v>
      </c>
      <c r="AG250" s="130" t="n"/>
      <c r="AH250" s="179" t="n"/>
      <c r="AI250" s="130" t="n"/>
      <c r="AJ250" s="178" t="n">
        <v>70</v>
      </c>
      <c r="AK250" s="130" t="n"/>
      <c r="AL250" s="179" t="n"/>
      <c r="AM250" s="130" t="n"/>
      <c r="AN250" s="178" t="n">
        <v>70</v>
      </c>
      <c r="AO250" s="130" t="n"/>
      <c r="AP250" s="179" t="n"/>
      <c r="AQ250" s="130" t="n"/>
      <c r="AR250" s="178" t="n">
        <v>70</v>
      </c>
      <c r="AS250" s="130" t="n"/>
      <c r="AT250" s="179" t="n"/>
      <c r="AU250" s="130" t="n"/>
      <c r="AV250" s="178" t="n">
        <v>70</v>
      </c>
      <c r="AW250" s="130" t="n"/>
      <c r="AX250" s="179" t="n"/>
      <c r="AY250" s="130" t="n"/>
      <c r="AZ250" s="178" t="n">
        <v>70</v>
      </c>
      <c r="BA250" s="130" t="n"/>
      <c r="BB250" s="194" t="n"/>
      <c r="BC250" s="130" t="n"/>
      <c r="BD250" s="178" t="n">
        <v>70</v>
      </c>
      <c r="BE250" s="130" t="n"/>
      <c r="BF250" s="109" t="n"/>
      <c r="BG250" s="130" t="n"/>
      <c r="BH250" s="180">
        <f>SUMPRODUCT(--(MOD(COLUMN($L250:$BG250),4)=MOD(COLUMN($L250),4)),$L250:$BG250)</f>
        <v/>
      </c>
      <c r="BI250" s="181">
        <f>Автовик_разбивка[[#This Row],[Цена, 
юань, без НДС 1]]*BH250</f>
        <v/>
      </c>
      <c r="BJ250" s="130">
        <f>SUMPRODUCT(--(MOD(COLUMN($L250:$BG250),4)=MOD(COLUMN($L250)+1,4)),$L250:$BG250)</f>
        <v/>
      </c>
      <c r="BK250" s="187">
        <f>Автовик_разбивка[[#This Row],[Цена, 
юань, без НДС 1]]*BJ250</f>
        <v/>
      </c>
      <c r="BL250" s="109">
        <f>SUMPRODUCT(--(MOD(COLUMN($L250:$BG250),4)=MOD(COLUMN($L250)+2,4)),$L250:$BG250)</f>
        <v/>
      </c>
      <c r="BM250" s="224">
        <f>Автовик_разбивка[[#This Row],[Цена, 
юань, без НДС 1]]*BL250</f>
        <v/>
      </c>
      <c r="BN250" s="178" t="n"/>
      <c r="BO250" s="184" t="n"/>
      <c r="BP250" s="130" t="n"/>
      <c r="BQ250" s="179" t="n"/>
      <c r="BR250" s="130" t="n"/>
      <c r="BS250" s="178" t="n"/>
      <c r="BT250" s="184" t="n"/>
      <c r="BU250" s="130" t="n"/>
      <c r="BV250" s="179" t="n"/>
      <c r="BW250" s="130" t="n"/>
      <c r="BX250" s="178" t="n"/>
      <c r="BY250" s="184" t="n"/>
      <c r="BZ250" s="130" t="n"/>
      <c r="CA250" s="179" t="n"/>
      <c r="CB250" s="130" t="n"/>
      <c r="CC250" s="178" t="n"/>
      <c r="CD250" s="184" t="n"/>
      <c r="CE250" s="130" t="n"/>
      <c r="CF250" s="179" t="n"/>
      <c r="CG250" s="130" t="n"/>
      <c r="CH250" s="178" t="n"/>
      <c r="CI250" s="184" t="n"/>
      <c r="CJ250" s="130" t="n"/>
      <c r="CK250" s="179" t="n"/>
      <c r="CL250" s="130" t="n"/>
      <c r="CM250" s="178" t="n"/>
      <c r="CN250" s="184" t="n"/>
      <c r="CO250" s="130" t="n"/>
      <c r="CP250" s="179" t="n"/>
      <c r="CQ250" s="130" t="n"/>
      <c r="CR250" s="178" t="n"/>
      <c r="CS250" s="184" t="n"/>
      <c r="CT250" s="130" t="n"/>
      <c r="CU250" s="179" t="n"/>
      <c r="CV250" s="130" t="n"/>
      <c r="CW250" s="178" t="n"/>
      <c r="CX250" s="184" t="n"/>
      <c r="CY250" s="130" t="n"/>
      <c r="CZ250" s="179" t="n"/>
      <c r="DA250" s="130" t="n"/>
      <c r="DB250" s="178" t="n"/>
      <c r="DC250" s="184" t="n"/>
      <c r="DD250" s="130" t="n"/>
      <c r="DE250" s="179" t="n"/>
      <c r="DF250" s="130" t="n"/>
      <c r="DG250" s="178" t="n"/>
      <c r="DH250" s="184" t="n"/>
      <c r="DI250" s="130" t="n"/>
      <c r="DJ250" s="179" t="n"/>
      <c r="DK250" s="130" t="n"/>
      <c r="DL250" s="178" t="n"/>
      <c r="DM250" s="184" t="n"/>
      <c r="DN250" s="130" t="n"/>
      <c r="DO250" s="194" t="n"/>
      <c r="DP250" s="130" t="n"/>
      <c r="DQ250" s="178" t="n"/>
      <c r="DR250" s="184" t="n"/>
      <c r="DS250" s="130" t="n"/>
      <c r="DT250" s="109" t="n"/>
      <c r="DU250" s="130" t="n"/>
      <c r="DV250" s="180">
        <f>SUMPRODUCT(--(MOD(COLUMN($BN250:$DU250),5)=MOD(COLUMN($BN250),5)),$BN250:$DU250)</f>
        <v/>
      </c>
      <c r="DW250" s="181">
        <f>Автовик_разбивка[[#This Row],[Цена, 
юань, без НДС 1]]*DV250</f>
        <v/>
      </c>
      <c r="DX250" s="186">
        <f>SUMPRODUCT(--(MOD(COLUMN($BN250:$DU250),5)=MOD(COLUMN($BN250)+1,5)),$BN250:$DU250)</f>
        <v/>
      </c>
      <c r="DY250" s="186">
        <f>Автовик_разбивка[[#This Row],[Цена, 
юань, без НДС 1]]*DX250</f>
        <v/>
      </c>
      <c r="DZ250" s="130">
        <f>SUMPRODUCT(--(MOD(COLUMN($BN250:$DU250),5)=MOD(COLUMN($BN250)+2,5)),$BN250:$DU250)</f>
        <v/>
      </c>
      <c r="EA250" s="187">
        <f>Автовик_разбивка[[#This Row],[Цена, 
юань, без НДС 1]]*DZ250</f>
        <v/>
      </c>
      <c r="EB250" s="109">
        <f>SUMPRODUCT(--(MOD(COLUMN($BN250:$DU250),5)=MOD(COLUMN($BN250)+3,5)),$BN250:$DU250)</f>
        <v/>
      </c>
      <c r="EC250" s="224">
        <f>Автовик_разбивка[[#This Row],[Цена, 
юань, без НДС 1]]*EB250</f>
        <v/>
      </c>
    </row>
    <row r="251">
      <c r="A251" s="265" t="n">
        <v>999</v>
      </c>
      <c r="B251" s="266" t="inlineStr">
        <is>
          <t>ЗАПАС</t>
        </is>
      </c>
      <c r="C251" s="173" t="inlineStr">
        <is>
          <t>Компоненты</t>
        </is>
      </c>
      <c r="D251" s="173" t="n"/>
      <c r="E251" s="174" t="n"/>
      <c r="F251" s="174" t="n"/>
      <c r="G251" s="198" t="n"/>
      <c r="H251" s="199" t="n">
        <v>9630010510</v>
      </c>
      <c r="I251" s="200" t="inlineStr">
        <is>
          <t>Клапан растормаживания сдвоенный</t>
        </is>
      </c>
      <c r="J251" s="911" t="n"/>
      <c r="K251" s="912" t="n"/>
      <c r="L251" s="178" t="n">
        <v>70</v>
      </c>
      <c r="M251" s="130" t="n">
        <v>70</v>
      </c>
      <c r="N251" s="179" t="n"/>
      <c r="O251" s="130" t="n"/>
      <c r="P251" s="178" t="n">
        <v>70</v>
      </c>
      <c r="Q251" s="130" t="n"/>
      <c r="R251" s="179" t="n"/>
      <c r="S251" s="130" t="n"/>
      <c r="T251" s="178" t="n">
        <v>70</v>
      </c>
      <c r="U251" s="130" t="n"/>
      <c r="V251" s="179" t="n"/>
      <c r="W251" s="130" t="n"/>
      <c r="X251" s="178" t="n">
        <v>70</v>
      </c>
      <c r="Y251" s="130" t="n"/>
      <c r="Z251" s="179" t="n"/>
      <c r="AA251" s="130" t="n"/>
      <c r="AB251" s="178" t="n">
        <v>70</v>
      </c>
      <c r="AC251" s="130" t="n"/>
      <c r="AD251" s="179" t="n"/>
      <c r="AE251" s="130" t="n"/>
      <c r="AF251" s="178" t="n">
        <v>70</v>
      </c>
      <c r="AG251" s="130" t="n"/>
      <c r="AH251" s="179" t="n"/>
      <c r="AI251" s="130" t="n"/>
      <c r="AJ251" s="178" t="n">
        <v>70</v>
      </c>
      <c r="AK251" s="130" t="n"/>
      <c r="AL251" s="179" t="n"/>
      <c r="AM251" s="130" t="n"/>
      <c r="AN251" s="178" t="n">
        <v>70</v>
      </c>
      <c r="AO251" s="130" t="n"/>
      <c r="AP251" s="179" t="n"/>
      <c r="AQ251" s="130" t="n"/>
      <c r="AR251" s="178" t="n">
        <v>70</v>
      </c>
      <c r="AS251" s="130" t="n"/>
      <c r="AT251" s="179" t="n"/>
      <c r="AU251" s="130" t="n"/>
      <c r="AV251" s="178" t="n">
        <v>70</v>
      </c>
      <c r="AW251" s="130" t="n"/>
      <c r="AX251" s="179" t="n"/>
      <c r="AY251" s="130" t="n"/>
      <c r="AZ251" s="178" t="n">
        <v>70</v>
      </c>
      <c r="BA251" s="130" t="n"/>
      <c r="BB251" s="194" t="n"/>
      <c r="BC251" s="130" t="n"/>
      <c r="BD251" s="178" t="n">
        <v>70</v>
      </c>
      <c r="BE251" s="130" t="n"/>
      <c r="BF251" s="109" t="n"/>
      <c r="BG251" s="130" t="n"/>
      <c r="BH251" s="180">
        <f>SUMPRODUCT(--(MOD(COLUMN($L251:$BG251),4)=MOD(COLUMN($L251),4)),$L251:$BG251)</f>
        <v/>
      </c>
      <c r="BI251" s="181">
        <f>Автовик_разбивка[[#This Row],[Цена, 
юань, без НДС 1]]*BH251</f>
        <v/>
      </c>
      <c r="BJ251" s="130">
        <f>SUMPRODUCT(--(MOD(COLUMN($L251:$BG251),4)=MOD(COLUMN($L251)+1,4)),$L251:$BG251)</f>
        <v/>
      </c>
      <c r="BK251" s="187">
        <f>Автовик_разбивка[[#This Row],[Цена, 
юань, без НДС 1]]*BJ251</f>
        <v/>
      </c>
      <c r="BL251" s="109">
        <f>SUMPRODUCT(--(MOD(COLUMN($L251:$BG251),4)=MOD(COLUMN($L251)+2,4)),$L251:$BG251)</f>
        <v/>
      </c>
      <c r="BM251" s="224">
        <f>Автовик_разбивка[[#This Row],[Цена, 
юань, без НДС 1]]*BL251</f>
        <v/>
      </c>
      <c r="BN251" s="178" t="n"/>
      <c r="BO251" s="184" t="n"/>
      <c r="BP251" s="130" t="n"/>
      <c r="BQ251" s="179" t="n"/>
      <c r="BR251" s="130" t="n"/>
      <c r="BS251" s="178" t="n"/>
      <c r="BT251" s="184" t="n"/>
      <c r="BU251" s="130" t="n"/>
      <c r="BV251" s="179" t="n"/>
      <c r="BW251" s="130" t="n"/>
      <c r="BX251" s="178" t="n"/>
      <c r="BY251" s="184" t="n"/>
      <c r="BZ251" s="130" t="n"/>
      <c r="CA251" s="179" t="n"/>
      <c r="CB251" s="130" t="n"/>
      <c r="CC251" s="178" t="n"/>
      <c r="CD251" s="184" t="n"/>
      <c r="CE251" s="130" t="n"/>
      <c r="CF251" s="179" t="n"/>
      <c r="CG251" s="130" t="n"/>
      <c r="CH251" s="178" t="n"/>
      <c r="CI251" s="184" t="n"/>
      <c r="CJ251" s="130" t="n"/>
      <c r="CK251" s="179" t="n"/>
      <c r="CL251" s="130" t="n"/>
      <c r="CM251" s="178" t="n"/>
      <c r="CN251" s="184" t="n"/>
      <c r="CO251" s="130" t="n"/>
      <c r="CP251" s="179" t="n"/>
      <c r="CQ251" s="130" t="n"/>
      <c r="CR251" s="178" t="n"/>
      <c r="CS251" s="184" t="n"/>
      <c r="CT251" s="130" t="n"/>
      <c r="CU251" s="179" t="n"/>
      <c r="CV251" s="130" t="n"/>
      <c r="CW251" s="178" t="n"/>
      <c r="CX251" s="184" t="n"/>
      <c r="CY251" s="130" t="n"/>
      <c r="CZ251" s="179" t="n"/>
      <c r="DA251" s="130" t="n"/>
      <c r="DB251" s="178" t="n"/>
      <c r="DC251" s="184" t="n"/>
      <c r="DD251" s="130" t="n"/>
      <c r="DE251" s="179" t="n"/>
      <c r="DF251" s="130" t="n"/>
      <c r="DG251" s="178" t="n"/>
      <c r="DH251" s="184" t="n"/>
      <c r="DI251" s="130" t="n"/>
      <c r="DJ251" s="179" t="n"/>
      <c r="DK251" s="130" t="n"/>
      <c r="DL251" s="178" t="n"/>
      <c r="DM251" s="184" t="n"/>
      <c r="DN251" s="130" t="n"/>
      <c r="DO251" s="194" t="n"/>
      <c r="DP251" s="130" t="n"/>
      <c r="DQ251" s="178" t="n"/>
      <c r="DR251" s="184" t="n"/>
      <c r="DS251" s="130" t="n"/>
      <c r="DT251" s="109" t="n"/>
      <c r="DU251" s="130" t="n"/>
      <c r="DV251" s="180">
        <f>SUMPRODUCT(--(MOD(COLUMN($BN251:$DU251),5)=MOD(COLUMN($BN251),5)),$BN251:$DU251)</f>
        <v/>
      </c>
      <c r="DW251" s="181">
        <f>Автовик_разбивка[[#This Row],[Цена, 
юань, без НДС 1]]*DV251</f>
        <v/>
      </c>
      <c r="DX251" s="186">
        <f>SUMPRODUCT(--(MOD(COLUMN($BN251:$DU251),5)=MOD(COLUMN($BN251)+1,5)),$BN251:$DU251)</f>
        <v/>
      </c>
      <c r="DY251" s="186">
        <f>Автовик_разбивка[[#This Row],[Цена, 
юань, без НДС 1]]*DX251</f>
        <v/>
      </c>
      <c r="DZ251" s="130">
        <f>SUMPRODUCT(--(MOD(COLUMN($BN251:$DU251),5)=MOD(COLUMN($BN251)+2,5)),$BN251:$DU251)</f>
        <v/>
      </c>
      <c r="EA251" s="187">
        <f>Автовик_разбивка[[#This Row],[Цена, 
юань, без НДС 1]]*DZ251</f>
        <v/>
      </c>
      <c r="EB251" s="109">
        <f>SUMPRODUCT(--(MOD(COLUMN($BN251:$DU251),5)=MOD(COLUMN($BN251)+3,5)),$BN251:$DU251)</f>
        <v/>
      </c>
      <c r="EC251" s="224">
        <f>Автовик_разбивка[[#This Row],[Цена, 
юань, без НДС 1]]*EB251</f>
        <v/>
      </c>
    </row>
    <row r="252">
      <c r="A252" s="265" t="n">
        <v>999</v>
      </c>
      <c r="B252" s="266" t="inlineStr">
        <is>
          <t>ЗАПАС</t>
        </is>
      </c>
      <c r="C252" s="173" t="inlineStr">
        <is>
          <t>Компоненты</t>
        </is>
      </c>
      <c r="D252" s="173" t="n"/>
      <c r="E252" s="174" t="n"/>
      <c r="F252" s="174" t="n"/>
      <c r="G252" s="198" t="n"/>
      <c r="H252" s="199" t="n">
        <v>9735000510</v>
      </c>
      <c r="I252" s="200" t="inlineStr">
        <is>
          <t>Клапан быстрого растормаживания энергоакк.</t>
        </is>
      </c>
      <c r="J252" s="911" t="n"/>
      <c r="K252" s="912" t="n"/>
      <c r="L252" s="178" t="n">
        <v>70</v>
      </c>
      <c r="M252" s="130" t="n">
        <v>70</v>
      </c>
      <c r="N252" s="179" t="n"/>
      <c r="O252" s="130" t="n"/>
      <c r="P252" s="178" t="n">
        <v>70</v>
      </c>
      <c r="Q252" s="130" t="n"/>
      <c r="R252" s="179" t="n"/>
      <c r="S252" s="130" t="n"/>
      <c r="T252" s="178" t="n">
        <v>70</v>
      </c>
      <c r="U252" s="130" t="n"/>
      <c r="V252" s="179" t="n"/>
      <c r="W252" s="130" t="n"/>
      <c r="X252" s="178" t="n">
        <v>70</v>
      </c>
      <c r="Y252" s="130" t="n"/>
      <c r="Z252" s="179" t="n"/>
      <c r="AA252" s="130" t="n"/>
      <c r="AB252" s="178" t="n">
        <v>70</v>
      </c>
      <c r="AC252" s="130" t="n"/>
      <c r="AD252" s="179" t="n"/>
      <c r="AE252" s="130" t="n"/>
      <c r="AF252" s="178" t="n">
        <v>70</v>
      </c>
      <c r="AG252" s="130" t="n"/>
      <c r="AH252" s="179" t="n"/>
      <c r="AI252" s="130" t="n"/>
      <c r="AJ252" s="178" t="n">
        <v>70</v>
      </c>
      <c r="AK252" s="130" t="n"/>
      <c r="AL252" s="179" t="n"/>
      <c r="AM252" s="130" t="n"/>
      <c r="AN252" s="178" t="n">
        <v>70</v>
      </c>
      <c r="AO252" s="130" t="n"/>
      <c r="AP252" s="179" t="n"/>
      <c r="AQ252" s="130" t="n"/>
      <c r="AR252" s="178" t="n">
        <v>70</v>
      </c>
      <c r="AS252" s="130" t="n"/>
      <c r="AT252" s="179" t="n"/>
      <c r="AU252" s="130" t="n"/>
      <c r="AV252" s="178" t="n">
        <v>70</v>
      </c>
      <c r="AW252" s="130" t="n"/>
      <c r="AX252" s="179" t="n"/>
      <c r="AY252" s="130" t="n"/>
      <c r="AZ252" s="178" t="n">
        <v>70</v>
      </c>
      <c r="BA252" s="130" t="n"/>
      <c r="BB252" s="194" t="n"/>
      <c r="BC252" s="130" t="n"/>
      <c r="BD252" s="178" t="n">
        <v>70</v>
      </c>
      <c r="BE252" s="130" t="n"/>
      <c r="BF252" s="109" t="n"/>
      <c r="BG252" s="130" t="n"/>
      <c r="BH252" s="180">
        <f>SUMPRODUCT(--(MOD(COLUMN($L252:$BG252),4)=MOD(COLUMN($L252),4)),$L252:$BG252)</f>
        <v/>
      </c>
      <c r="BI252" s="181">
        <f>Автовик_разбивка[[#This Row],[Цена, 
юань, без НДС 1]]*BH252</f>
        <v/>
      </c>
      <c r="BJ252" s="130">
        <f>SUMPRODUCT(--(MOD(COLUMN($L252:$BG252),4)=MOD(COLUMN($L252)+1,4)),$L252:$BG252)</f>
        <v/>
      </c>
      <c r="BK252" s="187">
        <f>Автовик_разбивка[[#This Row],[Цена, 
юань, без НДС 1]]*BJ252</f>
        <v/>
      </c>
      <c r="BL252" s="109">
        <f>SUMPRODUCT(--(MOD(COLUMN($L252:$BG252),4)=MOD(COLUMN($L252)+2,4)),$L252:$BG252)</f>
        <v/>
      </c>
      <c r="BM252" s="224">
        <f>Автовик_разбивка[[#This Row],[Цена, 
юань, без НДС 1]]*BL252</f>
        <v/>
      </c>
      <c r="BN252" s="178" t="n"/>
      <c r="BO252" s="184" t="n"/>
      <c r="BP252" s="130" t="n"/>
      <c r="BQ252" s="179" t="n"/>
      <c r="BR252" s="130" t="n"/>
      <c r="BS252" s="178" t="n"/>
      <c r="BT252" s="184" t="n"/>
      <c r="BU252" s="130" t="n"/>
      <c r="BV252" s="179" t="n"/>
      <c r="BW252" s="130" t="n"/>
      <c r="BX252" s="178" t="n"/>
      <c r="BY252" s="184" t="n"/>
      <c r="BZ252" s="130" t="n"/>
      <c r="CA252" s="179" t="n"/>
      <c r="CB252" s="130" t="n"/>
      <c r="CC252" s="178" t="n"/>
      <c r="CD252" s="184" t="n"/>
      <c r="CE252" s="130" t="n"/>
      <c r="CF252" s="179" t="n"/>
      <c r="CG252" s="130" t="n"/>
      <c r="CH252" s="178" t="n"/>
      <c r="CI252" s="184" t="n"/>
      <c r="CJ252" s="130" t="n"/>
      <c r="CK252" s="179" t="n"/>
      <c r="CL252" s="130" t="n"/>
      <c r="CM252" s="178" t="n"/>
      <c r="CN252" s="184" t="n"/>
      <c r="CO252" s="130" t="n"/>
      <c r="CP252" s="179" t="n"/>
      <c r="CQ252" s="130" t="n"/>
      <c r="CR252" s="178" t="n"/>
      <c r="CS252" s="184" t="n"/>
      <c r="CT252" s="130" t="n"/>
      <c r="CU252" s="179" t="n"/>
      <c r="CV252" s="130" t="n"/>
      <c r="CW252" s="178" t="n"/>
      <c r="CX252" s="184" t="n"/>
      <c r="CY252" s="130" t="n"/>
      <c r="CZ252" s="179" t="n"/>
      <c r="DA252" s="130" t="n"/>
      <c r="DB252" s="178" t="n"/>
      <c r="DC252" s="184" t="n"/>
      <c r="DD252" s="130" t="n"/>
      <c r="DE252" s="179" t="n"/>
      <c r="DF252" s="130" t="n"/>
      <c r="DG252" s="178" t="n"/>
      <c r="DH252" s="184" t="n"/>
      <c r="DI252" s="130" t="n"/>
      <c r="DJ252" s="179" t="n"/>
      <c r="DK252" s="130" t="n"/>
      <c r="DL252" s="178" t="n"/>
      <c r="DM252" s="184" t="n"/>
      <c r="DN252" s="130" t="n"/>
      <c r="DO252" s="194" t="n"/>
      <c r="DP252" s="130" t="n"/>
      <c r="DQ252" s="178" t="n"/>
      <c r="DR252" s="184" t="n"/>
      <c r="DS252" s="130" t="n"/>
      <c r="DT252" s="109" t="n"/>
      <c r="DU252" s="130" t="n"/>
      <c r="DV252" s="180">
        <f>SUMPRODUCT(--(MOD(COLUMN($BN252:$DU252),5)=MOD(COLUMN($BN252),5)),$BN252:$DU252)</f>
        <v/>
      </c>
      <c r="DW252" s="181">
        <f>Автовик_разбивка[[#This Row],[Цена, 
юань, без НДС 1]]*DV252</f>
        <v/>
      </c>
      <c r="DX252" s="186">
        <f>SUMPRODUCT(--(MOD(COLUMN($BN252:$DU252),5)=MOD(COLUMN($BN252)+1,5)),$BN252:$DU252)</f>
        <v/>
      </c>
      <c r="DY252" s="186">
        <f>Автовик_разбивка[[#This Row],[Цена, 
юань, без НДС 1]]*DX252</f>
        <v/>
      </c>
      <c r="DZ252" s="130">
        <f>SUMPRODUCT(--(MOD(COLUMN($BN252:$DU252),5)=MOD(COLUMN($BN252)+2,5)),$BN252:$DU252)</f>
        <v/>
      </c>
      <c r="EA252" s="187">
        <f>Автовик_разбивка[[#This Row],[Цена, 
юань, без НДС 1]]*DZ252</f>
        <v/>
      </c>
      <c r="EB252" s="109">
        <f>SUMPRODUCT(--(MOD(COLUMN($BN252:$DU252),5)=MOD(COLUMN($BN252)+3,5)),$BN252:$DU252)</f>
        <v/>
      </c>
      <c r="EC252" s="224">
        <f>Автовик_разбивка[[#This Row],[Цена, 
юань, без НДС 1]]*EB252</f>
        <v/>
      </c>
    </row>
    <row r="253">
      <c r="A253" s="265" t="n">
        <v>999</v>
      </c>
      <c r="B253" s="267" t="inlineStr">
        <is>
          <t>ЗАПАС</t>
        </is>
      </c>
      <c r="C253" s="132" t="n"/>
      <c r="D253" s="132" t="n"/>
      <c r="E253" s="229" t="n"/>
      <c r="F253" s="229" t="n"/>
      <c r="G253" s="229" t="n"/>
      <c r="H253" s="230" t="n"/>
      <c r="I253" s="231" t="inlineStr">
        <is>
          <t>Итого</t>
        </is>
      </c>
      <c r="J253" s="914" t="n"/>
      <c r="K253" s="914" t="n"/>
      <c r="L253" s="233" t="n"/>
      <c r="M253" s="234" t="n"/>
      <c r="N253" s="235" t="n"/>
      <c r="O253" s="234" t="n"/>
      <c r="P253" s="233" t="n"/>
      <c r="Q253" s="234" t="n"/>
      <c r="R253" s="235" t="n"/>
      <c r="S253" s="234" t="n"/>
      <c r="T253" s="233" t="n"/>
      <c r="U253" s="234" t="n"/>
      <c r="V253" s="235" t="n"/>
      <c r="W253" s="234" t="n"/>
      <c r="X253" s="233" t="n"/>
      <c r="Y253" s="234" t="n"/>
      <c r="Z253" s="235" t="n"/>
      <c r="AA253" s="234" t="n"/>
      <c r="AB253" s="233" t="n"/>
      <c r="AC253" s="234" t="n"/>
      <c r="AD253" s="235" t="n"/>
      <c r="AE253" s="234" t="n"/>
      <c r="AF253" s="233" t="n"/>
      <c r="AG253" s="234" t="n"/>
      <c r="AH253" s="235" t="n"/>
      <c r="AI253" s="234" t="n"/>
      <c r="AJ253" s="233" t="n"/>
      <c r="AK253" s="234" t="n"/>
      <c r="AL253" s="235" t="n"/>
      <c r="AM253" s="234" t="n"/>
      <c r="AN253" s="233" t="n"/>
      <c r="AO253" s="234" t="n"/>
      <c r="AP253" s="235" t="n"/>
      <c r="AQ253" s="234" t="n"/>
      <c r="AR253" s="233" t="n"/>
      <c r="AS253" s="234" t="n"/>
      <c r="AT253" s="235" t="n"/>
      <c r="AU253" s="234" t="n"/>
      <c r="AV253" s="233" t="n"/>
      <c r="AW253" s="234" t="n"/>
      <c r="AX253" s="235" t="n"/>
      <c r="AY253" s="234" t="n"/>
      <c r="AZ253" s="233" t="n"/>
      <c r="BA253" s="234" t="n"/>
      <c r="BB253" s="235" t="n"/>
      <c r="BC253" s="234" t="n"/>
      <c r="BD253" s="233" t="n"/>
      <c r="BE253" s="234" t="n"/>
      <c r="BF253" s="235" t="n"/>
      <c r="BG253" s="234" t="n"/>
      <c r="BH253" s="233">
        <f>SUMPRODUCT(--(MOD(COLUMN($L253:$BG253),4)=MOD(COLUMN($L253),4)),$L253:$BG253)</f>
        <v/>
      </c>
      <c r="BI253" s="238">
        <f>Автовик_разбивка[[#This Row],[Цена, 
юань, без НДС 1]]*BH253</f>
        <v/>
      </c>
      <c r="BJ253" s="234">
        <f>SUMPRODUCT(--(MOD(COLUMN($L253:$BG253),4)=MOD(COLUMN($L253)+1,4)),$L253:$BG253)</f>
        <v/>
      </c>
      <c r="BK253" s="253">
        <f>Автовик_разбивка[[#This Row],[Цена, 
юань, без НДС 1]]*BJ253</f>
        <v/>
      </c>
      <c r="BL253" s="235">
        <f>SUMPRODUCT(--(MOD(COLUMN($L253:$BG253),4)=MOD(COLUMN($L253)+2,4)),$L253:$BG253)</f>
        <v/>
      </c>
      <c r="BM253" s="254">
        <f>Автовик_разбивка[[#This Row],[Цена, 
юань, без НДС 1]]*BL253</f>
        <v/>
      </c>
      <c r="BN253" s="233" t="n"/>
      <c r="BO253" s="241" t="n"/>
      <c r="BP253" s="234" t="n"/>
      <c r="BQ253" s="235" t="n"/>
      <c r="BR253" s="234" t="n"/>
      <c r="BS253" s="233" t="n"/>
      <c r="BT253" s="241" t="n"/>
      <c r="BU253" s="234" t="n"/>
      <c r="BV253" s="235" t="n"/>
      <c r="BW253" s="234" t="n"/>
      <c r="BX253" s="233" t="n"/>
      <c r="BY253" s="241" t="n"/>
      <c r="BZ253" s="234" t="n"/>
      <c r="CA253" s="235" t="n"/>
      <c r="CB253" s="234" t="n"/>
      <c r="CC253" s="233" t="n"/>
      <c r="CD253" s="241" t="n"/>
      <c r="CE253" s="234" t="n"/>
      <c r="CF253" s="235" t="n"/>
      <c r="CG253" s="234" t="n"/>
      <c r="CH253" s="233" t="n"/>
      <c r="CI253" s="241" t="n"/>
      <c r="CJ253" s="234" t="n"/>
      <c r="CK253" s="235" t="n"/>
      <c r="CL253" s="234" t="n"/>
      <c r="CM253" s="233" t="n"/>
      <c r="CN253" s="241" t="n"/>
      <c r="CO253" s="234" t="n"/>
      <c r="CP253" s="235" t="n"/>
      <c r="CQ253" s="234" t="n"/>
      <c r="CR253" s="233" t="n"/>
      <c r="CS253" s="241" t="n"/>
      <c r="CT253" s="234" t="n"/>
      <c r="CU253" s="235" t="n"/>
      <c r="CV253" s="234" t="n"/>
      <c r="CW253" s="233" t="n"/>
      <c r="CX253" s="241" t="n"/>
      <c r="CY253" s="234" t="n"/>
      <c r="CZ253" s="235" t="n"/>
      <c r="DA253" s="234" t="n"/>
      <c r="DB253" s="233" t="n"/>
      <c r="DC253" s="241" t="n"/>
      <c r="DD253" s="234" t="n"/>
      <c r="DE253" s="235" t="n"/>
      <c r="DF253" s="234" t="n"/>
      <c r="DG253" s="233" t="n"/>
      <c r="DH253" s="241" t="n"/>
      <c r="DI253" s="234" t="n"/>
      <c r="DJ253" s="235" t="n"/>
      <c r="DK253" s="234" t="n"/>
      <c r="DL253" s="233" t="n"/>
      <c r="DM253" s="241" t="n"/>
      <c r="DN253" s="234" t="n"/>
      <c r="DO253" s="235" t="n"/>
      <c r="DP253" s="234" t="n"/>
      <c r="DQ253" s="233" t="n"/>
      <c r="DR253" s="241" t="n"/>
      <c r="DS253" s="234" t="n"/>
      <c r="DT253" s="235" t="n"/>
      <c r="DU253" s="234" t="n"/>
      <c r="DV253" s="233">
        <f>SUMPRODUCT(--(MOD(COLUMN($BN253:$DU253),5)=MOD(COLUMN($BN253),5)),$BN253:$DU253)</f>
        <v/>
      </c>
      <c r="DW253" s="238">
        <f>Автовик_разбивка[[#This Row],[Цена, 
юань, без НДС 1]]*DV253</f>
        <v/>
      </c>
      <c r="DX253" s="242">
        <f>SUMPRODUCT(--(MOD(COLUMN($BN253:$DU253),5)=MOD(COLUMN($BN253)+1,5)),$BN253:$DU253)</f>
        <v/>
      </c>
      <c r="DY253" s="242">
        <f>Автовик_разбивка[[#This Row],[Цена, 
юань, без НДС 1]]*DX253</f>
        <v/>
      </c>
      <c r="DZ253" s="234">
        <f>SUMPRODUCT(--(MOD(COLUMN($BN253:$DU253),5)=MOD(COLUMN($BN253)+2,5)),$BN253:$DU253)</f>
        <v/>
      </c>
      <c r="EA253" s="253">
        <f>Автовик_разбивка[[#This Row],[Цена, 
юань, без НДС 1]]*DZ253</f>
        <v/>
      </c>
      <c r="EB253" s="235">
        <f>SUMPRODUCT(--(MOD(COLUMN($BN253:$DU253),5)=MOD(COLUMN($BN253)+3,5)),$BN253:$DU253)</f>
        <v/>
      </c>
      <c r="EC253" s="254">
        <f>Автовик_разбивка[[#This Row],[Цена, 
юань, без НДС 1]]*EB253</f>
        <v/>
      </c>
    </row>
    <row r="254">
      <c r="A254" s="265" t="n">
        <v>999</v>
      </c>
      <c r="B254" s="243" t="inlineStr">
        <is>
          <t>ЗАПАС</t>
        </is>
      </c>
      <c r="C254" s="244" t="n"/>
      <c r="D254" s="244" t="n"/>
      <c r="E254" s="245" t="n"/>
      <c r="F254" s="245" t="n"/>
      <c r="G254" s="245" t="n"/>
      <c r="H254" s="246" t="n"/>
      <c r="I254" s="247" t="n"/>
      <c r="J254" s="915" t="n"/>
      <c r="K254" s="915" t="n"/>
      <c r="L254" s="249" t="n"/>
      <c r="M254" s="249" t="n"/>
      <c r="N254" s="249" t="n"/>
      <c r="O254" s="249" t="n"/>
      <c r="P254" s="249" t="n"/>
      <c r="Q254" s="249" t="n"/>
      <c r="R254" s="249" t="n"/>
      <c r="S254" s="249" t="n"/>
      <c r="T254" s="249" t="n"/>
      <c r="U254" s="249" t="n"/>
      <c r="V254" s="249" t="n"/>
      <c r="W254" s="249" t="n"/>
      <c r="X254" s="249" t="n"/>
      <c r="Y254" s="249" t="n"/>
      <c r="Z254" s="249" t="n"/>
      <c r="AA254" s="249" t="n"/>
      <c r="AB254" s="249" t="n"/>
      <c r="AC254" s="249" t="n"/>
      <c r="AD254" s="249" t="n"/>
      <c r="AE254" s="249" t="n"/>
      <c r="AF254" s="249" t="n"/>
      <c r="AG254" s="249" t="n"/>
      <c r="AH254" s="249" t="n"/>
      <c r="AI254" s="249" t="n"/>
      <c r="AJ254" s="249" t="n"/>
      <c r="AK254" s="249" t="n"/>
      <c r="AL254" s="249" t="n"/>
      <c r="AM254" s="249" t="n"/>
      <c r="AN254" s="249" t="n"/>
      <c r="AO254" s="249" t="n"/>
      <c r="AP254" s="249" t="n"/>
      <c r="AQ254" s="249" t="n"/>
      <c r="AR254" s="249" t="n"/>
      <c r="AS254" s="249" t="n"/>
      <c r="AT254" s="249" t="n"/>
      <c r="AU254" s="249" t="n"/>
      <c r="AV254" s="249" t="n"/>
      <c r="AW254" s="249" t="n"/>
      <c r="AX254" s="250" t="n"/>
      <c r="AY254" s="249" t="n"/>
      <c r="AZ254" s="250" t="n"/>
      <c r="BA254" s="250" t="n"/>
      <c r="BB254" s="250" t="n"/>
      <c r="BC254" s="249" t="n"/>
      <c r="BD254" s="250" t="n"/>
      <c r="BE254" s="250" t="n"/>
      <c r="BF254" s="250" t="n"/>
      <c r="BG254" s="249" t="n"/>
      <c r="BH254" s="250">
        <f>SUMPRODUCT(--(MOD(COLUMN($L254:$BG254),4)=MOD(COLUMN($L254),4)),$L254:$BG254)</f>
        <v/>
      </c>
      <c r="BI254" s="251">
        <f>Автовик_разбивка[[#This Row],[Цена, 
юань, без НДС 1]]*BH254</f>
        <v/>
      </c>
      <c r="BJ254" s="250">
        <f>SUMPRODUCT(--(MOD(COLUMN($L254:$BG254),4)=MOD(COLUMN($L254)+1,4)),$L254:$BG254)</f>
        <v/>
      </c>
      <c r="BK254" s="251">
        <f>Автовик_разбивка[[#This Row],[Цена, 
юань, без НДС 1]]*BJ254</f>
        <v/>
      </c>
      <c r="BL254" s="250">
        <f>SUMPRODUCT(--(MOD(COLUMN($L254:$BG254),4)=MOD(COLUMN($L254)+2,4)),$L254:$BG254)</f>
        <v/>
      </c>
      <c r="BM254" s="251">
        <f>Автовик_разбивка[[#This Row],[Цена, 
юань, без НДС 1]]*BL254</f>
        <v/>
      </c>
      <c r="BN254" s="249" t="n"/>
      <c r="BO254" s="249" t="n"/>
      <c r="BP254" s="249" t="n"/>
      <c r="BQ254" s="249" t="n"/>
      <c r="BR254" s="249" t="n"/>
      <c r="BS254" s="249" t="n"/>
      <c r="BT254" s="249" t="n"/>
      <c r="BU254" s="249" t="n"/>
      <c r="BV254" s="249" t="n"/>
      <c r="BW254" s="249" t="n"/>
      <c r="BX254" s="249" t="n"/>
      <c r="BY254" s="249" t="n"/>
      <c r="BZ254" s="249" t="n"/>
      <c r="CA254" s="249" t="n"/>
      <c r="CB254" s="249" t="n"/>
      <c r="CC254" s="249" t="n"/>
      <c r="CD254" s="249" t="n"/>
      <c r="CE254" s="249" t="n"/>
      <c r="CF254" s="249" t="n"/>
      <c r="CG254" s="249" t="n"/>
      <c r="CH254" s="249" t="n"/>
      <c r="CI254" s="249" t="n"/>
      <c r="CJ254" s="249" t="n"/>
      <c r="CK254" s="249" t="n"/>
      <c r="CL254" s="249" t="n"/>
      <c r="CM254" s="249" t="n"/>
      <c r="CN254" s="249" t="n"/>
      <c r="CO254" s="249" t="n"/>
      <c r="CP254" s="249" t="n"/>
      <c r="CQ254" s="249" t="n"/>
      <c r="CR254" s="249" t="n"/>
      <c r="CS254" s="249" t="n"/>
      <c r="CT254" s="249" t="n"/>
      <c r="CU254" s="249" t="n"/>
      <c r="CV254" s="249" t="n"/>
      <c r="CW254" s="249" t="n"/>
      <c r="CX254" s="249" t="n"/>
      <c r="CY254" s="249" t="n"/>
      <c r="CZ254" s="249" t="n"/>
      <c r="DA254" s="249" t="n"/>
      <c r="DB254" s="249" t="n"/>
      <c r="DC254" s="249" t="n"/>
      <c r="DD254" s="249" t="n"/>
      <c r="DE254" s="249" t="n"/>
      <c r="DF254" s="249" t="n"/>
      <c r="DG254" s="249" t="n"/>
      <c r="DH254" s="249" t="n"/>
      <c r="DI254" s="249" t="n"/>
      <c r="DJ254" s="250" t="n"/>
      <c r="DK254" s="249" t="n"/>
      <c r="DL254" s="250" t="n"/>
      <c r="DM254" s="250" t="n"/>
      <c r="DN254" s="250" t="n"/>
      <c r="DO254" s="250" t="n"/>
      <c r="DP254" s="249" t="n"/>
      <c r="DQ254" s="250" t="n"/>
      <c r="DR254" s="250" t="n"/>
      <c r="DS254" s="250" t="n"/>
      <c r="DT254" s="250" t="n"/>
      <c r="DU254" s="249" t="n"/>
      <c r="DV254" s="250">
        <f>SUMPRODUCT(--(MOD(COLUMN($BN254:$DU254),5)=MOD(COLUMN($BN254),5)),$BN254:$DU254)</f>
        <v/>
      </c>
      <c r="DW254" s="251">
        <f>Автовик_разбивка[[#This Row],[Цена, 
юань, без НДС 1]]*DV254</f>
        <v/>
      </c>
      <c r="DX254" s="251">
        <f>SUMPRODUCT(--(MOD(COLUMN($BN254:$DU254),5)=MOD(COLUMN($BN254)+1,5)),$BN254:$DU254)</f>
        <v/>
      </c>
      <c r="DY254" s="251">
        <f>Автовик_разбивка[[#This Row],[Цена, 
юань, без НДС 1]]*DX254</f>
        <v/>
      </c>
      <c r="DZ254" s="250">
        <f>SUMPRODUCT(--(MOD(COLUMN($BN254:$DU254),5)=MOD(COLUMN($BN254)+2,5)),$BN254:$DU254)</f>
        <v/>
      </c>
      <c r="EA254" s="251">
        <f>Автовик_разбивка[[#This Row],[Цена, 
юань, без НДС 1]]*DZ254</f>
        <v/>
      </c>
      <c r="EB254" s="250">
        <f>SUMPRODUCT(--(MOD(COLUMN($BN254:$DU254),5)=MOD(COLUMN($BN254)+3,5)),$BN254:$DU254)</f>
        <v/>
      </c>
      <c r="EC254" s="251">
        <f>Автовик_разбивка[[#This Row],[Цена, 
юань, без НДС 1]]*EB254</f>
        <v/>
      </c>
    </row>
    <row r="255">
      <c r="BL255" s="147" t="n"/>
      <c r="BM255" s="147" t="n"/>
      <c r="BN255" s="147" t="n"/>
      <c r="BO255" s="147" t="n"/>
      <c r="BP255" s="147" t="n"/>
      <c r="BQ255" s="147" t="n"/>
      <c r="BR255" s="147" t="n"/>
      <c r="BS255" s="147" t="n"/>
      <c r="BT255" s="147" t="n"/>
      <c r="BU255" s="147" t="n"/>
      <c r="BV255" s="147" t="n"/>
      <c r="BW255" s="147" t="n"/>
      <c r="BX255" s="147" t="n"/>
      <c r="BY255" s="147" t="n"/>
      <c r="BZ255" s="147" t="n"/>
    </row>
    <row r="256">
      <c r="BL256" s="147" t="n"/>
      <c r="BM256" s="147" t="n"/>
      <c r="BN256" s="147" t="n"/>
      <c r="BO256" s="147" t="n"/>
      <c r="BP256" s="147" t="n"/>
      <c r="BQ256" s="147" t="n"/>
      <c r="BR256" s="147" t="n"/>
      <c r="BS256" s="147" t="n"/>
      <c r="BT256" s="147" t="n"/>
      <c r="BU256" s="147" t="n"/>
      <c r="BV256" s="147" t="n"/>
      <c r="BW256" s="147" t="n"/>
      <c r="BX256" s="147" t="n"/>
      <c r="BY256" s="147" t="n"/>
      <c r="BZ256" s="147" t="n"/>
    </row>
    <row r="257" customFormat="1" s="145"/>
    <row r="258" customFormat="1" s="145"/>
    <row r="259" customFormat="1" s="145"/>
    <row r="260" customFormat="1" s="145"/>
    <row r="261" customFormat="1" s="145"/>
    <row r="262" customFormat="1" s="145"/>
    <row r="263" customFormat="1" s="145"/>
    <row r="264" customFormat="1" s="145"/>
    <row r="265" customFormat="1" s="145"/>
    <row r="266" customFormat="1" s="145"/>
    <row r="267" customFormat="1" s="145"/>
    <row r="268" customFormat="1" s="145"/>
    <row r="269" customFormat="1" s="145"/>
    <row r="270" customFormat="1" s="145"/>
    <row r="271" customFormat="1" s="145"/>
    <row r="272" customFormat="1" s="145"/>
    <row r="273" customFormat="1" s="145"/>
    <row r="274" customFormat="1" s="145"/>
    <row r="275" customFormat="1" s="145"/>
    <row r="276" customFormat="1" s="145"/>
    <row r="277" customFormat="1" s="145"/>
    <row r="278" customFormat="1" s="145"/>
    <row r="279" customFormat="1" s="145"/>
    <row r="280" customFormat="1" s="145"/>
    <row r="281" customFormat="1" s="145"/>
    <row r="282" customFormat="1" s="145"/>
    <row r="283" customFormat="1" s="145"/>
    <row r="284" customFormat="1" s="145"/>
    <row r="285" customFormat="1" s="145"/>
    <row r="286" customFormat="1" s="145"/>
    <row r="287" customFormat="1" s="145"/>
    <row r="288" customFormat="1" s="145"/>
    <row r="289" customFormat="1" s="145"/>
    <row r="290" customFormat="1" s="145"/>
    <row r="291" customFormat="1" s="145"/>
    <row r="292" customFormat="1" s="145"/>
    <row r="293" customFormat="1" s="145"/>
    <row r="294" customFormat="1" s="145"/>
    <row r="295" customFormat="1" s="145"/>
    <row r="296" customFormat="1" s="145"/>
    <row r="297" customFormat="1" s="145"/>
    <row r="298" customFormat="1" s="145"/>
    <row r="299" customFormat="1" s="145"/>
    <row r="300" customFormat="1" s="145"/>
    <row r="301" customFormat="1" s="145"/>
    <row r="302" customFormat="1" s="145"/>
    <row r="303" customFormat="1" s="145"/>
    <row r="304" customFormat="1" s="145"/>
    <row r="305" customFormat="1" s="145"/>
    <row r="306" customFormat="1" s="145"/>
    <row r="307" customFormat="1" s="145"/>
    <row r="308" customFormat="1" s="145"/>
    <row r="309" customFormat="1" s="145"/>
    <row r="310" customFormat="1" s="145"/>
    <row r="311" customFormat="1" s="145"/>
    <row r="312" customFormat="1" s="145"/>
    <row r="313" customFormat="1" s="145"/>
    <row r="314" customFormat="1" s="145"/>
    <row r="315" customFormat="1" s="145"/>
    <row r="316" customFormat="1" s="145"/>
    <row r="317" customFormat="1" s="145"/>
    <row r="318" customFormat="1" s="145"/>
    <row r="319" customFormat="1" s="145"/>
    <row r="320" customFormat="1" s="145"/>
    <row r="321" customFormat="1" s="145"/>
    <row r="322" customFormat="1" s="145"/>
    <row r="323" customFormat="1" s="145"/>
    <row r="324" customFormat="1" s="145"/>
    <row r="326" customFormat="1" s="145"/>
  </sheetData>
  <mergeCells count="29">
    <mergeCell ref="BH3:BM3"/>
    <mergeCell ref="CH3:CL3"/>
    <mergeCell ref="P3:S3"/>
    <mergeCell ref="J2:BM2"/>
    <mergeCell ref="AZ3:BC3"/>
    <mergeCell ref="BS3:BW3"/>
    <mergeCell ref="AR3:AU3"/>
    <mergeCell ref="BN2:EC2"/>
    <mergeCell ref="T3:W3"/>
    <mergeCell ref="AB3:AE3"/>
    <mergeCell ref="BN3:BR3"/>
    <mergeCell ref="AF3:AI3"/>
    <mergeCell ref="AN3:AQ3"/>
    <mergeCell ref="DV3:EC3"/>
    <mergeCell ref="L3:O3"/>
    <mergeCell ref="AV3:AY3"/>
    <mergeCell ref="CR3:CV3"/>
    <mergeCell ref="BD3:BG3"/>
    <mergeCell ref="DQ3:DU3"/>
    <mergeCell ref="DB3:DF3"/>
    <mergeCell ref="X3:AA3"/>
    <mergeCell ref="A3:G3"/>
    <mergeCell ref="CC3:CG3"/>
    <mergeCell ref="DL3:DP3"/>
    <mergeCell ref="AJ3:AM3"/>
    <mergeCell ref="CM3:CQ3"/>
    <mergeCell ref="CW3:DA3"/>
    <mergeCell ref="BX3:CB3"/>
    <mergeCell ref="DG3:DK3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theme="4" tint="0.7999816888943144"/>
    <outlinePr summaryBelow="1" summaryRight="1"/>
    <pageSetUpPr/>
  </sheetPr>
  <dimension ref="A1:I155"/>
  <sheetViews>
    <sheetView workbookViewId="0">
      <pane xSplit="1" ySplit="1" topLeftCell="B53" activePane="bottomRight" state="frozen"/>
      <selection activeCell="C115" sqref="C115"/>
      <selection pane="topRight" activeCell="A1" sqref="A1"/>
      <selection pane="bottomLeft" activeCell="A1" sqref="A1"/>
      <selection pane="bottomRight" activeCell="D71" sqref="D71:D72"/>
    </sheetView>
  </sheetViews>
  <sheetFormatPr baseColWidth="8" defaultColWidth="12.6640625" defaultRowHeight="14.4"/>
  <cols>
    <col width="3.6640625" customWidth="1" style="145" min="1" max="1"/>
    <col width="19.88671875" bestFit="1" customWidth="1" style="145" min="2" max="2"/>
    <col width="22.109375" bestFit="1" customWidth="1" style="145" min="3" max="3"/>
    <col width="47.44140625" customWidth="1" style="145" min="4" max="4"/>
    <col width="49.5546875" customWidth="1" style="145" min="5" max="5"/>
    <col width="12.6640625" customWidth="1" style="145" min="6" max="7"/>
    <col width="18.109375" bestFit="1" customWidth="1" style="145" min="8" max="8"/>
    <col width="15.109375" customWidth="1" style="145" min="9" max="9"/>
    <col width="12.6640625" customWidth="1" style="145" min="10" max="16384"/>
  </cols>
  <sheetData>
    <row r="1" ht="43.2" customHeight="1">
      <c r="A1" s="272" t="inlineStr">
        <is>
          <t>№</t>
        </is>
      </c>
      <c r="B1" s="160" t="inlineStr">
        <is>
          <t>Тип</t>
        </is>
      </c>
      <c r="C1" s="160" t="inlineStr">
        <is>
          <t>Артикул</t>
        </is>
      </c>
      <c r="D1" s="160" t="inlineStr">
        <is>
          <t>Наименование</t>
        </is>
      </c>
      <c r="E1" s="160" t="inlineStr">
        <is>
          <t>Примечание</t>
        </is>
      </c>
      <c r="F1" s="160" t="inlineStr">
        <is>
          <t>Проверка наличия в планах</t>
        </is>
      </c>
      <c r="G1" s="160" t="inlineStr">
        <is>
          <t>Проверка наличия в Комплектах</t>
        </is>
      </c>
      <c r="H1" s="160" t="inlineStr">
        <is>
          <t>Проверка наличия в ПНЕВМАТИКЕ</t>
        </is>
      </c>
      <c r="I1" s="436" t="inlineStr">
        <is>
          <t>Проверка наличия в ТОРМОЗЕ</t>
        </is>
      </c>
    </row>
    <row r="2">
      <c r="A2" s="302">
        <f>ROW()-ROW(База[[#Headers],[№]])</f>
        <v/>
      </c>
      <c r="B2" s="311" t="inlineStr">
        <is>
          <t>/АБС/ЕБС</t>
        </is>
      </c>
      <c r="C2" s="399" t="n">
        <v>4410328080</v>
      </c>
      <c r="D2" s="378" t="inlineStr">
        <is>
          <t>Датчик АБС, 0,4 м</t>
        </is>
      </c>
      <c r="E2" s="311" t="n"/>
      <c r="F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" s="312">
        <f>IF(База[[#This Row],[Тип]]=0,IF(SUMPRODUCT((База[[#This Row],[Артикул]]=Комплекты[Комплект])*1)=0,"НЕТ","ОК"),"ОК")</f>
        <v/>
      </c>
      <c r="H2" s="312">
        <f>IF(SUMPRODUCT((База[[#This Row],[Артикул]]=ПНЕВМАТИКА!$G$6:$G$330)*1)=0,"НЕТ","ОК")</f>
        <v/>
      </c>
      <c r="I2" s="312">
        <f>IF(SUMPRODUCT((База[[#This Row],[Артикул]]=ТОРМОЗ!$G$6:$G$64)*1)=0,"НЕТ","ОК")</f>
        <v/>
      </c>
    </row>
    <row r="3">
      <c r="A3" s="302">
        <f>ROW()-ROW(База[[#Headers],[№]])</f>
        <v/>
      </c>
      <c r="B3" s="311" t="inlineStr">
        <is>
          <t>/АБС/ЕБС</t>
        </is>
      </c>
      <c r="C3" s="399" t="n">
        <v>4410328790</v>
      </c>
      <c r="D3" s="378" t="inlineStr">
        <is>
          <t>Датчик АБС, 1 м</t>
        </is>
      </c>
      <c r="E3" s="311" t="n"/>
      <c r="F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" s="312">
        <f>IF(База[[#This Row],[Тип]]=0,IF(SUMPRODUCT((База[[#This Row],[Артикул]]=Комплекты[Комплект])*1)=0,"НЕТ","ОК"),"ОК")</f>
        <v/>
      </c>
      <c r="H3" s="312">
        <f>IF(SUMPRODUCT((База[[#This Row],[Артикул]]=ПНЕВМАТИКА!$G$6:$G$330)*1)=0,"НЕТ","ОК")</f>
        <v/>
      </c>
      <c r="I3" s="312">
        <f>IF(SUMPRODUCT((База[[#This Row],[Артикул]]=ТОРМОЗ!$G$6:$G$64)*1)=0,"НЕТ","ОК")</f>
        <v/>
      </c>
    </row>
    <row r="4">
      <c r="A4" s="302">
        <f>ROW()-ROW(База[[#Headers],[№]])</f>
        <v/>
      </c>
      <c r="B4" s="311" t="inlineStr">
        <is>
          <t>/АБС/ЕБС</t>
        </is>
      </c>
      <c r="C4" s="399" t="n">
        <v>4460087000</v>
      </c>
      <c r="D4" s="378" t="inlineStr">
        <is>
          <t>Кабель питания спиральный, 7-пин, ISO 7638</t>
        </is>
      </c>
      <c r="E4" s="311" t="n"/>
      <c r="F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" s="312">
        <f>IF(База[[#This Row],[Тип]]=0,IF(SUMPRODUCT((База[[#This Row],[Артикул]]=Комплекты[Комплект])*1)=0,"НЕТ","ОК"),"ОК")</f>
        <v/>
      </c>
      <c r="H4" s="312">
        <f>IF(SUMPRODUCT((База[[#This Row],[Артикул]]=ПНЕВМАТИКА!$G$6:$G$330)*1)=0,"НЕТ","ОК")</f>
        <v/>
      </c>
      <c r="I4" s="312">
        <f>IF(SUMPRODUCT((База[[#This Row],[Артикул]]=ТОРМОЗ!$G$6:$G$64)*1)=0,"НЕТ","ОК")</f>
        <v/>
      </c>
    </row>
    <row r="5">
      <c r="A5" s="302">
        <f>ROW()-ROW(База[[#Headers],[№]])</f>
        <v/>
      </c>
      <c r="B5" s="311" t="inlineStr">
        <is>
          <t>/АБС/ЕБС</t>
        </is>
      </c>
      <c r="C5" s="399" t="n">
        <v>4497120000</v>
      </c>
      <c r="D5" s="378" t="inlineStr">
        <is>
          <t>Кабель-удлинитель датчика ABS, 3 м</t>
        </is>
      </c>
      <c r="E5" s="311" t="n"/>
      <c r="F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" s="312">
        <f>IF(База[[#This Row],[Тип]]=0,IF(SUMPRODUCT((База[[#This Row],[Артикул]]=Комплекты[Комплект])*1)=0,"НЕТ","ОК"),"ОК")</f>
        <v/>
      </c>
      <c r="H5" s="312">
        <f>IF(SUMPRODUCT((База[[#This Row],[Артикул]]=ПНЕВМАТИКА!$G$6:$G$330)*1)=0,"НЕТ","ОК")</f>
        <v/>
      </c>
      <c r="I5" s="312">
        <f>IF(SUMPRODUCT((База[[#This Row],[Артикул]]=ТОРМОЗ!$G$6:$G$64)*1)=0,"НЕТ","ОК")</f>
        <v/>
      </c>
    </row>
    <row r="6">
      <c r="A6" s="302">
        <f>ROW()-ROW(База[[#Headers],[№]])</f>
        <v/>
      </c>
      <c r="B6" s="311" t="inlineStr">
        <is>
          <t>/АБС/ЕБС</t>
        </is>
      </c>
      <c r="C6" s="399" t="n">
        <v>4497120300</v>
      </c>
      <c r="D6" s="378" t="inlineStr">
        <is>
          <t>Кабель-удлинитель датчика ABS, 3 м</t>
        </is>
      </c>
      <c r="E6" s="311" t="n"/>
      <c r="F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" s="312">
        <f>IF(База[[#This Row],[Тип]]=0,IF(SUMPRODUCT((База[[#This Row],[Артикул]]=Комплекты[Комплект])*1)=0,"НЕТ","ОК"),"ОК")</f>
        <v/>
      </c>
      <c r="H6" s="312">
        <f>IF(SUMPRODUCT((База[[#This Row],[Артикул]]=ПНЕВМАТИКА!$G$6:$G$330)*1)=0,"НЕТ","ОК")</f>
        <v/>
      </c>
      <c r="I6" s="312">
        <f>IF(SUMPRODUCT((База[[#This Row],[Артикул]]=ТОРМОЗ!$G$6:$G$64)*1)=0,"НЕТ","ОК")</f>
        <v/>
      </c>
    </row>
    <row r="7">
      <c r="A7" s="302">
        <f>ROW()-ROW(База[[#Headers],[№]])</f>
        <v/>
      </c>
      <c r="B7" s="311" t="inlineStr">
        <is>
          <t>/АБС/ЕБС</t>
        </is>
      </c>
      <c r="C7" s="399" t="n">
        <v>4497490300</v>
      </c>
      <c r="D7" s="378" t="inlineStr">
        <is>
          <t>Кабель-удлинитель датчика ABS, 3 м</t>
        </is>
      </c>
      <c r="E7" s="311" t="n"/>
      <c r="F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" s="312">
        <f>IF(База[[#This Row],[Тип]]=0,IF(SUMPRODUCT((База[[#This Row],[Артикул]]=Комплекты[Комплект])*1)=0,"НЕТ","ОК"),"ОК")</f>
        <v/>
      </c>
      <c r="H7" s="312">
        <f>IF(SUMPRODUCT((База[[#This Row],[Артикул]]=ПНЕВМАТИКА!$G$6:$G$330)*1)=0,"НЕТ","ОК")</f>
        <v/>
      </c>
      <c r="I7" s="312">
        <f>IF(SUMPRODUCT((База[[#This Row],[Артикул]]=ТОРМОЗ!$G$6:$G$64)*1)=0,"НЕТ","ОК")</f>
        <v/>
      </c>
    </row>
    <row r="8">
      <c r="A8" s="302">
        <f>ROW()-ROW(База[[#Headers],[№]])</f>
        <v/>
      </c>
      <c r="B8" s="311" t="inlineStr">
        <is>
          <t>/АБС/ЕБС</t>
        </is>
      </c>
      <c r="C8" s="399" t="n">
        <v>8997598154</v>
      </c>
      <c r="D8" s="378" t="inlineStr">
        <is>
          <t>Втулка датчика АБС</t>
        </is>
      </c>
      <c r="E8" s="311" t="n"/>
      <c r="F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" s="312">
        <f>IF(База[[#This Row],[Тип]]=0,IF(SUMPRODUCT((База[[#This Row],[Артикул]]=Комплекты[Комплект])*1)=0,"НЕТ","ОК"),"ОК")</f>
        <v/>
      </c>
      <c r="H8" s="312">
        <f>IF(SUMPRODUCT((База[[#This Row],[Артикул]]=ПНЕВМАТИКА!$G$6:$G$330)*1)=0,"НЕТ","ОК")</f>
        <v/>
      </c>
      <c r="I8" s="312">
        <f>IF(SUMPRODUCT((База[[#This Row],[Артикул]]=ТОРМОЗ!$G$6:$G$64)*1)=0,"НЕТ","ОК")</f>
        <v/>
      </c>
    </row>
    <row r="9">
      <c r="A9" s="400">
        <f>ROW()-ROW(База[[#Headers],[№]])</f>
        <v/>
      </c>
      <c r="B9" s="401" t="inlineStr">
        <is>
          <t>/АБС/ЕБС</t>
        </is>
      </c>
      <c r="C9" s="377" t="n">
        <v>8997605104</v>
      </c>
      <c r="D9" s="378" t="inlineStr">
        <is>
          <t>Втулка датчика АБС (медь)</t>
        </is>
      </c>
      <c r="E9" s="401" t="n"/>
      <c r="F9" s="40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" s="402">
        <f>IF(База[[#This Row],[Тип]]=0,IF(SUMPRODUCT((База[[#This Row],[Артикул]]=Комплекты[Комплект])*1)=0,"НЕТ","ОК"),"ОК")</f>
        <v/>
      </c>
      <c r="H9" s="402">
        <f>IF(SUMPRODUCT((База[[#This Row],[Артикул]]=ПНЕВМАТИКА!$G$6:$G$330)*1)=0,"НЕТ","ОК")</f>
        <v/>
      </c>
      <c r="I9" s="402">
        <f>IF(SUMPRODUCT((База[[#This Row],[Артикул]]=ТОРМОЗ!$G$6:$G$64)*1)=0,"НЕТ","ОК")</f>
        <v/>
      </c>
    </row>
    <row r="10">
      <c r="A10" s="302">
        <f>ROW()-ROW(База[[#Headers],[№]])</f>
        <v/>
      </c>
      <c r="B10" s="311" t="inlineStr">
        <is>
          <t>_Тормоз</t>
        </is>
      </c>
      <c r="C10" s="399" t="n">
        <v>6402250340</v>
      </c>
      <c r="D10" s="378" t="inlineStr">
        <is>
          <t>Дисковый тормозной механизм (левый)</t>
        </is>
      </c>
      <c r="E10" s="311" t="n"/>
      <c r="F1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" s="312">
        <f>IF(База[[#This Row],[Тип]]=0,IF(SUMPRODUCT((База[[#This Row],[Артикул]]=Комплекты[Комплект])*1)=0,"НЕТ","ОК"),"ОК")</f>
        <v/>
      </c>
      <c r="H10" s="312">
        <f>IF(SUMPRODUCT((База[[#This Row],[Артикул]]=ПНЕВМАТИКА!$G$6:$G$330)*1)=0,"НЕТ","ОК")</f>
        <v/>
      </c>
      <c r="I10" s="312">
        <f>IF(SUMPRODUCT((База[[#This Row],[Артикул]]=ТОРМОЗ!$G$6:$G$64)*1)=0,"НЕТ","ОК")</f>
        <v/>
      </c>
    </row>
    <row r="11">
      <c r="A11" s="302">
        <f>ROW()-ROW(База[[#Headers],[№]])</f>
        <v/>
      </c>
      <c r="B11" s="311" t="inlineStr">
        <is>
          <t>_Тормоз</t>
        </is>
      </c>
      <c r="C11" s="399" t="n">
        <v>6402250350</v>
      </c>
      <c r="D11" s="378" t="inlineStr">
        <is>
          <t>Дисковый тормозной механизм (правый)</t>
        </is>
      </c>
      <c r="E11" s="311" t="n"/>
      <c r="F1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" s="312">
        <f>IF(База[[#This Row],[Тип]]=0,IF(SUMPRODUCT((База[[#This Row],[Артикул]]=Комплекты[Комплект])*1)=0,"НЕТ","ОК"),"ОК")</f>
        <v/>
      </c>
      <c r="H11" s="312">
        <f>IF(SUMPRODUCT((База[[#This Row],[Артикул]]=ПНЕВМАТИКА!$G$6:$G$330)*1)=0,"НЕТ","ОК")</f>
        <v/>
      </c>
      <c r="I11" s="312">
        <f>IF(SUMPRODUCT((База[[#This Row],[Артикул]]=ТОРМОЗ!$G$6:$G$64)*1)=0,"НЕТ","ОК")</f>
        <v/>
      </c>
    </row>
    <row r="12">
      <c r="A12" s="302">
        <f>ROW()-ROW(База[[#Headers],[№]])</f>
        <v/>
      </c>
      <c r="B12" s="311" t="inlineStr">
        <is>
          <t>_Тормоз</t>
        </is>
      </c>
      <c r="C12" s="399" t="n">
        <v>6402250560</v>
      </c>
      <c r="D12" s="378" t="inlineStr">
        <is>
          <t>Дисковый тормозной механизм (левый)</t>
        </is>
      </c>
      <c r="E12" s="311" t="n"/>
      <c r="F1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" s="312">
        <f>IF(База[[#This Row],[Тип]]=0,IF(SUMPRODUCT((База[[#This Row],[Артикул]]=Комплекты[Комплект])*1)=0,"НЕТ","ОК"),"ОК")</f>
        <v/>
      </c>
      <c r="H12" s="312">
        <f>IF(SUMPRODUCT((База[[#This Row],[Артикул]]=ПНЕВМАТИКА!$G$6:$G$330)*1)=0,"НЕТ","ОК")</f>
        <v/>
      </c>
      <c r="I12" s="312">
        <f>IF(SUMPRODUCT((База[[#This Row],[Артикул]]=ТОРМОЗ!$G$6:$G$64)*1)=0,"НЕТ","ОК")</f>
        <v/>
      </c>
    </row>
    <row r="13">
      <c r="A13" s="302">
        <f>ROW()-ROW(База[[#Headers],[№]])</f>
        <v/>
      </c>
      <c r="B13" s="311" t="inlineStr">
        <is>
          <t>_Тормоз</t>
        </is>
      </c>
      <c r="C13" s="399" t="n">
        <v>6402250570</v>
      </c>
      <c r="D13" s="378" t="inlineStr">
        <is>
          <t>Дисковый тормозной механизм (правый)</t>
        </is>
      </c>
      <c r="E13" s="311" t="n"/>
      <c r="F1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" s="312">
        <f>IF(База[[#This Row],[Тип]]=0,IF(SUMPRODUCT((База[[#This Row],[Артикул]]=Комплекты[Комплект])*1)=0,"НЕТ","ОК"),"ОК")</f>
        <v/>
      </c>
      <c r="H13" s="312">
        <f>IF(SUMPRODUCT((База[[#This Row],[Артикул]]=ПНЕВМАТИКА!$G$6:$G$330)*1)=0,"НЕТ","ОК")</f>
        <v/>
      </c>
      <c r="I13" s="312">
        <f>IF(SUMPRODUCT((База[[#This Row],[Артикул]]=ТОРМОЗ!$G$6:$G$64)*1)=0,"НЕТ","ОК")</f>
        <v/>
      </c>
    </row>
    <row r="14">
      <c r="A14" s="302">
        <f>ROW()-ROW(База[[#Headers],[№]])</f>
        <v/>
      </c>
      <c r="B14" s="311" t="inlineStr">
        <is>
          <t>_Тормоз</t>
        </is>
      </c>
      <c r="C14" s="399" t="inlineStr">
        <is>
          <t>640225ххл0</t>
        </is>
      </c>
      <c r="D14" s="378" t="inlineStr">
        <is>
          <t>Дисковый тормозной механизм (левый)</t>
        </is>
      </c>
      <c r="E14" s="311" t="n"/>
      <c r="F1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" s="312">
        <f>IF(База[[#This Row],[Тип]]=0,IF(SUMPRODUCT((База[[#This Row],[Артикул]]=Комплекты[Комплект])*1)=0,"НЕТ","ОК"),"ОК")</f>
        <v/>
      </c>
      <c r="H14" s="312">
        <f>IF(SUMPRODUCT((База[[#This Row],[Артикул]]=ПНЕВМАТИКА!$G$6:$G$330)*1)=0,"НЕТ","ОК")</f>
        <v/>
      </c>
      <c r="I14" s="312">
        <f>IF(SUMPRODUCT((База[[#This Row],[Артикул]]=ТОРМОЗ!$G$6:$G$64)*1)=0,"НЕТ","ОК")</f>
        <v/>
      </c>
    </row>
    <row r="15">
      <c r="A15" s="302">
        <f>ROW()-ROW(База[[#Headers],[№]])</f>
        <v/>
      </c>
      <c r="B15" s="311" t="inlineStr">
        <is>
          <t>_Тормоз</t>
        </is>
      </c>
      <c r="C15" s="399" t="inlineStr">
        <is>
          <t>640225ххп0</t>
        </is>
      </c>
      <c r="D15" s="378" t="inlineStr">
        <is>
          <t>Дисковый тормозной механизм (правый)</t>
        </is>
      </c>
      <c r="E15" s="311" t="n"/>
      <c r="F1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5" s="312">
        <f>IF(База[[#This Row],[Тип]]=0,IF(SUMPRODUCT((База[[#This Row],[Артикул]]=Комплекты[Комплект])*1)=0,"НЕТ","ОК"),"ОК")</f>
        <v/>
      </c>
      <c r="H15" s="312">
        <f>IF(SUMPRODUCT((База[[#This Row],[Артикул]]=ПНЕВМАТИКА!$G$6:$G$330)*1)=0,"НЕТ","ОК")</f>
        <v/>
      </c>
      <c r="I15" s="312">
        <f>IF(SUMPRODUCT((База[[#This Row],[Артикул]]=ТОРМОЗ!$G$6:$G$64)*1)=0,"НЕТ","ОК")</f>
        <v/>
      </c>
    </row>
    <row r="16">
      <c r="A16" s="302">
        <f>ROW()-ROW(База[[#Headers],[№]])</f>
        <v/>
      </c>
      <c r="B16" s="311" t="inlineStr">
        <is>
          <t>АБС</t>
        </is>
      </c>
      <c r="C16" s="399" t="n">
        <v>4005000810</v>
      </c>
      <c r="D16" s="378" t="inlineStr">
        <is>
          <t>Модулятор ABS</t>
        </is>
      </c>
      <c r="E16" s="311" t="n"/>
      <c r="F1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6" s="312">
        <f>IF(База[[#This Row],[Тип]]=0,IF(SUMPRODUCT((База[[#This Row],[Артикул]]=Комплекты[Комплект])*1)=0,"НЕТ","ОК"),"ОК")</f>
        <v/>
      </c>
      <c r="H16" s="312">
        <f>IF(SUMPRODUCT((База[[#This Row],[Артикул]]=ПНЕВМАТИКА!$G$6:$G$330)*1)=0,"НЕТ","ОК")</f>
        <v/>
      </c>
      <c r="I16" s="312">
        <f>IF(SUMPRODUCT((База[[#This Row],[Артикул]]=ТОРМОЗ!$G$6:$G$64)*1)=0,"НЕТ","ОК")</f>
        <v/>
      </c>
    </row>
    <row r="17">
      <c r="A17" s="302">
        <f>ROW()-ROW(База[[#Headers],[№]])</f>
        <v/>
      </c>
      <c r="B17" s="311" t="inlineStr">
        <is>
          <t>АБС</t>
        </is>
      </c>
      <c r="C17" s="399" t="n">
        <v>4005000880</v>
      </c>
      <c r="D17" s="378" t="inlineStr">
        <is>
          <t>Модулятор ABS</t>
        </is>
      </c>
      <c r="E17" s="311" t="n"/>
      <c r="F1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7" s="312">
        <f>IF(База[[#This Row],[Тип]]=0,IF(SUMPRODUCT((База[[#This Row],[Артикул]]=Комплекты[Комплект])*1)=0,"НЕТ","ОК"),"ОК")</f>
        <v/>
      </c>
      <c r="H17" s="312">
        <f>IF(SUMPRODUCT((База[[#This Row],[Артикул]]=ПНЕВМАТИКА!$G$6:$G$330)*1)=0,"НЕТ","ОК")</f>
        <v/>
      </c>
      <c r="I17" s="312">
        <f>IF(SUMPRODUCT((База[[#This Row],[Артикул]]=ТОРМОЗ!$G$6:$G$64)*1)=0,"НЕТ","ОК")</f>
        <v/>
      </c>
    </row>
    <row r="18">
      <c r="A18" s="302">
        <f>ROW()-ROW(База[[#Headers],[№]])</f>
        <v/>
      </c>
      <c r="B18" s="311" t="inlineStr">
        <is>
          <t>АБС</t>
        </is>
      </c>
      <c r="C18" s="399" t="n">
        <v>4491301200</v>
      </c>
      <c r="D18" s="378" t="inlineStr">
        <is>
          <t>Кабель питания ABS, часть 2, 12 м</t>
        </is>
      </c>
      <c r="E18" s="311" t="n"/>
      <c r="F1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8" s="312">
        <f>IF(База[[#This Row],[Тип]]=0,IF(SUMPRODUCT((База[[#This Row],[Артикул]]=Комплекты[Комплект])*1)=0,"НЕТ","ОК"),"ОК")</f>
        <v/>
      </c>
      <c r="H18" s="312">
        <f>IF(SUMPRODUCT((База[[#This Row],[Артикул]]=ПНЕВМАТИКА!$G$6:$G$330)*1)=0,"НЕТ","ОК")</f>
        <v/>
      </c>
      <c r="I18" s="312">
        <f>IF(SUMPRODUCT((База[[#This Row],[Артикул]]=ТОРМОЗ!$G$6:$G$64)*1)=0,"НЕТ","ОК")</f>
        <v/>
      </c>
    </row>
    <row r="19">
      <c r="A19" s="302">
        <f>ROW()-ROW(База[[#Headers],[№]])</f>
        <v/>
      </c>
      <c r="B19" s="311" t="inlineStr">
        <is>
          <t>АБС</t>
        </is>
      </c>
      <c r="C19" s="399" t="n">
        <v>4491301500</v>
      </c>
      <c r="D19" s="378" t="inlineStr">
        <is>
          <t>Кабель питания ABS, часть 2, 15 м</t>
        </is>
      </c>
      <c r="E19" s="311" t="n"/>
      <c r="F1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9" s="312">
        <f>IF(База[[#This Row],[Тип]]=0,IF(SUMPRODUCT((База[[#This Row],[Артикул]]=Комплекты[Комплект])*1)=0,"НЕТ","ОК"),"ОК")</f>
        <v/>
      </c>
      <c r="H19" s="312">
        <f>IF(SUMPRODUCT((База[[#This Row],[Артикул]]=ПНЕВМАТИКА!$G$6:$G$330)*1)=0,"НЕТ","ОК")</f>
        <v/>
      </c>
      <c r="I19" s="312">
        <f>IF(SUMPRODUCT((База[[#This Row],[Артикул]]=ТОРМОЗ!$G$6:$G$64)*1)=0,"НЕТ","ОК")</f>
        <v/>
      </c>
    </row>
    <row r="20">
      <c r="A20" s="302">
        <f>ROW()-ROW(База[[#Headers],[№]])</f>
        <v/>
      </c>
      <c r="B20" s="311" t="inlineStr">
        <is>
          <t>АБС</t>
        </is>
      </c>
      <c r="C20" s="399" t="n">
        <v>4492251200</v>
      </c>
      <c r="D20" s="378" t="inlineStr">
        <is>
          <t>Кабель питания для прицепа, 12 м</t>
        </is>
      </c>
      <c r="E20" s="311" t="n"/>
      <c r="F2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0" s="312">
        <f>IF(База[[#This Row],[Тип]]=0,IF(SUMPRODUCT((База[[#This Row],[Артикул]]=Комплекты[Комплект])*1)=0,"НЕТ","ОК"),"ОК")</f>
        <v/>
      </c>
      <c r="H20" s="312">
        <f>IF(SUMPRODUCT((База[[#This Row],[Артикул]]=ПНЕВМАТИКА!$G$6:$G$330)*1)=0,"НЕТ","ОК")</f>
        <v/>
      </c>
      <c r="I20" s="312">
        <f>IF(SUMPRODUCT((База[[#This Row],[Артикул]]=ТОРМОЗ!$G$6:$G$64)*1)=0,"НЕТ","ОК")</f>
        <v/>
      </c>
    </row>
    <row r="21">
      <c r="A21" s="302">
        <f>ROW()-ROW(База[[#Headers],[№]])</f>
        <v/>
      </c>
      <c r="B21" s="311" t="inlineStr">
        <is>
          <t>АБС</t>
        </is>
      </c>
      <c r="C21" s="399" t="n">
        <v>4493702820</v>
      </c>
      <c r="D21" s="378" t="inlineStr">
        <is>
          <t>Кабель питания ABS, часть 1</t>
        </is>
      </c>
      <c r="E21" s="311" t="n"/>
      <c r="F2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1" s="312">
        <f>IF(База[[#This Row],[Тип]]=0,IF(SUMPRODUCT((База[[#This Row],[Артикул]]=Комплекты[Комплект])*1)=0,"НЕТ","ОК"),"ОК")</f>
        <v/>
      </c>
      <c r="H21" s="312">
        <f>IF(SUMPRODUCT((База[[#This Row],[Артикул]]=ПНЕВМАТИКА!$G$6:$G$330)*1)=0,"НЕТ","ОК")</f>
        <v/>
      </c>
      <c r="I21" s="312">
        <f>IF(SUMPRODUCT((База[[#This Row],[Артикул]]=ТОРМОЗ!$G$6:$G$64)*1)=0,"НЕТ","ОК")</f>
        <v/>
      </c>
    </row>
    <row r="22">
      <c r="A22" s="302">
        <f>ROW()-ROW(База[[#Headers],[№]])</f>
        <v/>
      </c>
      <c r="B22" s="311" t="inlineStr">
        <is>
          <t>АБС</t>
        </is>
      </c>
      <c r="C22" s="399" t="n">
        <v>4493792810</v>
      </c>
      <c r="D22" s="378" t="inlineStr">
        <is>
          <t>Кабель питания ABS, часть 1</t>
        </is>
      </c>
      <c r="E22" s="311" t="n"/>
      <c r="F2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2" s="312">
        <f>IF(База[[#This Row],[Тип]]=0,IF(SUMPRODUCT((База[[#This Row],[Артикул]]=Комплекты[Комплект])*1)=0,"НЕТ","ОК"),"ОК")</f>
        <v/>
      </c>
      <c r="H22" s="312">
        <f>IF(SUMPRODUCT((База[[#This Row],[Артикул]]=ПНЕВМАТИКА!$G$6:$G$330)*1)=0,"НЕТ","ОК")</f>
        <v/>
      </c>
      <c r="I22" s="312">
        <f>IF(SUMPRODUCT((База[[#This Row],[Артикул]]=ТОРМОЗ!$G$6:$G$64)*1)=0,"НЕТ","ОК")</f>
        <v/>
      </c>
    </row>
    <row r="23" ht="28.8" customHeight="1">
      <c r="A23" s="302">
        <f>ROW()-ROW(База[[#Headers],[№]])</f>
        <v/>
      </c>
      <c r="B23" s="311" t="inlineStr">
        <is>
          <t>АБС</t>
        </is>
      </c>
      <c r="C23" s="399" t="n">
        <v>4496161560</v>
      </c>
      <c r="D23" s="378" t="inlineStr">
        <is>
          <t>Кабель ускорительного клапана ABS / диа., 10 м / 3 м</t>
        </is>
      </c>
      <c r="E23" s="311" t="n"/>
      <c r="F2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3" s="312">
        <f>IF(База[[#This Row],[Тип]]=0,IF(SUMPRODUCT((База[[#This Row],[Артикул]]=Комплекты[Комплект])*1)=0,"НЕТ","ОК"),"ОК")</f>
        <v/>
      </c>
      <c r="H23" s="312">
        <f>IF(SUMPRODUCT((База[[#This Row],[Артикул]]=ПНЕВМАТИКА!$G$6:$G$330)*1)=0,"НЕТ","ОК")</f>
        <v/>
      </c>
      <c r="I23" s="312">
        <f>IF(SUMPRODUCT((База[[#This Row],[Артикул]]=ТОРМОЗ!$G$6:$G$64)*1)=0,"НЕТ","ОК")</f>
        <v/>
      </c>
    </row>
    <row r="24">
      <c r="A24" s="302">
        <f>ROW()-ROW(База[[#Headers],[№]])</f>
        <v/>
      </c>
      <c r="B24" s="311" t="inlineStr">
        <is>
          <t>АБС</t>
        </is>
      </c>
      <c r="C24" s="399" t="n">
        <v>4721950310</v>
      </c>
      <c r="D24" s="378" t="inlineStr">
        <is>
          <t>Ускорительный клапан ABS</t>
        </is>
      </c>
      <c r="E24" s="311" t="n"/>
      <c r="F2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4" s="312">
        <f>IF(База[[#This Row],[Тип]]=0,IF(SUMPRODUCT((База[[#This Row],[Артикул]]=Комплекты[Комплект])*1)=0,"НЕТ","ОК"),"ОК")</f>
        <v/>
      </c>
      <c r="H24" s="312">
        <f>IF(SUMPRODUCT((База[[#This Row],[Артикул]]=ПНЕВМАТИКА!$G$6:$G$330)*1)=0,"НЕТ","ОК")</f>
        <v/>
      </c>
      <c r="I24" s="312">
        <f>IF(SUMPRODUCT((База[[#This Row],[Артикул]]=ТОРМОЗ!$G$6:$G$64)*1)=0,"НЕТ","ОК")</f>
        <v/>
      </c>
    </row>
    <row r="25">
      <c r="A25" s="302">
        <f>ROW()-ROW(База[[#Headers],[№]])</f>
        <v/>
      </c>
      <c r="B25" s="311" t="inlineStr">
        <is>
          <t>АБС</t>
        </is>
      </c>
      <c r="C25" s="399" t="n">
        <v>4757145000</v>
      </c>
      <c r="D25" s="378" t="inlineStr">
        <is>
          <t>Регулятор тормозных сил</t>
        </is>
      </c>
      <c r="E25" s="311" t="n"/>
      <c r="F2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5" s="312">
        <f>IF(База[[#This Row],[Тип]]=0,IF(SUMPRODUCT((База[[#This Row],[Артикул]]=Комплекты[Комплект])*1)=0,"НЕТ","ОК"),"ОК")</f>
        <v/>
      </c>
      <c r="H25" s="312">
        <f>IF(SUMPRODUCT((База[[#This Row],[Артикул]]=ПНЕВМАТИКА!$G$6:$G$330)*1)=0,"НЕТ","ОК")</f>
        <v/>
      </c>
      <c r="I25" s="312">
        <f>IF(SUMPRODUCT((База[[#This Row],[Артикул]]=ТОРМОЗ!$G$6:$G$64)*1)=0,"НЕТ","ОК")</f>
        <v/>
      </c>
    </row>
    <row r="26">
      <c r="A26" s="302">
        <f>ROW()-ROW(База[[#Headers],[№]])</f>
        <v/>
      </c>
      <c r="B26" s="311" t="inlineStr">
        <is>
          <t>Диагностика</t>
        </is>
      </c>
      <c r="C26" s="399" t="n">
        <v>4463003700</v>
      </c>
      <c r="D26" s="378" t="inlineStr">
        <is>
          <t>Кабель диагностический TEBS, 5 м</t>
        </is>
      </c>
      <c r="E26" s="311" t="n"/>
      <c r="F2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6" s="312">
        <f>IF(База[[#This Row],[Тип]]=0,IF(SUMPRODUCT((База[[#This Row],[Артикул]]=Комплекты[Комплект])*1)=0,"НЕТ","ОК"),"ОК")</f>
        <v/>
      </c>
      <c r="H26" s="312">
        <f>IF(SUMPRODUCT((База[[#This Row],[Артикул]]=ПНЕВМАТИКА!$G$6:$G$330)*1)=0,"НЕТ","ОК")</f>
        <v/>
      </c>
      <c r="I26" s="312">
        <f>IF(SUMPRODUCT((База[[#This Row],[Артикул]]=ТОРМОЗ!$G$6:$G$64)*1)=0,"НЕТ","ОК")</f>
        <v/>
      </c>
    </row>
    <row r="27">
      <c r="A27" s="302">
        <f>ROW()-ROW(База[[#Headers],[№]])</f>
        <v/>
      </c>
      <c r="B27" s="311" t="inlineStr">
        <is>
          <t>Диагностика</t>
        </is>
      </c>
      <c r="C27" s="399" t="inlineStr">
        <is>
          <t>WA-3601400</t>
        </is>
      </c>
      <c r="D27" s="378" t="inlineStr">
        <is>
          <t>Комплект диагностики TEBS</t>
        </is>
      </c>
      <c r="E27" s="311" t="n"/>
      <c r="F2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7" s="312">
        <f>IF(База[[#This Row],[Тип]]=0,IF(SUMPRODUCT((База[[#This Row],[Артикул]]=Комплекты[Комплект])*1)=0,"НЕТ","ОК"),"ОК")</f>
        <v/>
      </c>
      <c r="H27" s="312">
        <f>IF(SUMPRODUCT((База[[#This Row],[Артикул]]=ПНЕВМАТИКА!$G$6:$G$330)*1)=0,"НЕТ","ОК")</f>
        <v/>
      </c>
      <c r="I27" s="312">
        <f>IF(SUMPRODUCT((База[[#This Row],[Артикул]]=ТОРМОЗ!$G$6:$G$64)*1)=0,"НЕТ","ОК")</f>
        <v/>
      </c>
    </row>
    <row r="28">
      <c r="A28" s="302">
        <f>ROW()-ROW(База[[#Headers],[№]])</f>
        <v/>
      </c>
      <c r="B28" s="311" t="inlineStr">
        <is>
          <t>ЕБС</t>
        </is>
      </c>
      <c r="C28" s="399" t="n">
        <v>4410441020</v>
      </c>
      <c r="D28" s="378" t="inlineStr">
        <is>
          <t>Датчик давления</t>
        </is>
      </c>
      <c r="E28" s="311" t="n"/>
      <c r="F2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8" s="312">
        <f>IF(База[[#This Row],[Тип]]=0,IF(SUMPRODUCT((База[[#This Row],[Артикул]]=Комплекты[Комплект])*1)=0,"НЕТ","ОК"),"ОК")</f>
        <v/>
      </c>
      <c r="H28" s="312">
        <f>IF(SUMPRODUCT((База[[#This Row],[Артикул]]=ПНЕВМАТИКА!$G$6:$G$330)*1)=0,"НЕТ","ОК")</f>
        <v/>
      </c>
      <c r="I28" s="312">
        <f>IF(SUMPRODUCT((База[[#This Row],[Артикул]]=ТОРМОЗ!$G$6:$G$64)*1)=0,"НЕТ","ОК")</f>
        <v/>
      </c>
    </row>
    <row r="29">
      <c r="A29" s="302">
        <f>ROW()-ROW(База[[#Headers],[№]])</f>
        <v/>
      </c>
      <c r="B29" s="311" t="inlineStr">
        <is>
          <t>ЕБС</t>
        </is>
      </c>
      <c r="C29" s="399" t="n">
        <v>4460084042</v>
      </c>
      <c r="D29" s="378" t="inlineStr">
        <is>
          <t>Розетка АБС (7 контактов)</t>
        </is>
      </c>
      <c r="E29" s="311" t="n"/>
      <c r="F2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29" s="312">
        <f>IF(База[[#This Row],[Тип]]=0,IF(SUMPRODUCT((База[[#This Row],[Артикул]]=Комплекты[Комплект])*1)=0,"НЕТ","ОК"),"ОК")</f>
        <v/>
      </c>
      <c r="H29" s="312">
        <f>IF(SUMPRODUCT((База[[#This Row],[Артикул]]=ПНЕВМАТИКА!$G$6:$G$330)*1)=0,"НЕТ","ОК")</f>
        <v/>
      </c>
      <c r="I29" s="312">
        <f>IF(SUMPRODUCT((База[[#This Row],[Артикул]]=ТОРМОЗ!$G$6:$G$64)*1)=0,"НЕТ","ОК")</f>
        <v/>
      </c>
    </row>
    <row r="30">
      <c r="A30" s="302">
        <f>ROW()-ROW(База[[#Headers],[№]])</f>
        <v/>
      </c>
      <c r="B30" s="311" t="inlineStr">
        <is>
          <t>ЕБС</t>
        </is>
      </c>
      <c r="C30" s="399" t="n">
        <v>4461220530</v>
      </c>
      <c r="D30" s="378" t="inlineStr">
        <is>
          <t>CAN-Repeater</t>
        </is>
      </c>
      <c r="E30" s="311" t="n"/>
      <c r="F3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0" s="312">
        <f>IF(База[[#This Row],[Тип]]=0,IF(SUMPRODUCT((База[[#This Row],[Артикул]]=Комплекты[Комплект])*1)=0,"НЕТ","ОК"),"ОК")</f>
        <v/>
      </c>
      <c r="H30" s="312">
        <f>IF(SUMPRODUCT((База[[#This Row],[Артикул]]=ПНЕВМАТИКА!$G$6:$G$330)*1)=0,"НЕТ","ОК")</f>
        <v/>
      </c>
      <c r="I30" s="312">
        <f>IF(SUMPRODUCT((База[[#This Row],[Артикул]]=ТОРМОЗ!$G$6:$G$64)*1)=0,"НЕТ","ОК")</f>
        <v/>
      </c>
    </row>
    <row r="31">
      <c r="A31" s="302">
        <f>ROW()-ROW(База[[#Headers],[№]])</f>
        <v/>
      </c>
      <c r="B31" s="311" t="inlineStr">
        <is>
          <t>ЕБС</t>
        </is>
      </c>
      <c r="C31" s="399" t="n">
        <v>4462907000</v>
      </c>
      <c r="D31" s="435" t="inlineStr">
        <is>
          <t>Блок OptiLink</t>
        </is>
      </c>
      <c r="E31" s="311" t="n"/>
      <c r="F3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1" s="312">
        <f>IF(База[[#This Row],[Тип]]=0,IF(SUMPRODUCT((База[[#This Row],[Артикул]]=Комплекты[Комплект])*1)=0,"НЕТ","ОК"),"ОК")</f>
        <v/>
      </c>
      <c r="H31" s="312">
        <f>IF(SUMPRODUCT((База[[#This Row],[Артикул]]=ПНЕВМАТИКА!$G$6:$G$330)*1)=0,"НЕТ","ОК")</f>
        <v/>
      </c>
      <c r="I31" s="312">
        <f>IF(SUMPRODUCT((База[[#This Row],[Артикул]]=ТОРМОЗ!$G$6:$G$64)*1)=0,"НЕТ","ОК")</f>
        <v/>
      </c>
    </row>
    <row r="32">
      <c r="A32" s="302">
        <f>ROW()-ROW(База[[#Headers],[№]])</f>
        <v/>
      </c>
      <c r="B32" s="311" t="inlineStr">
        <is>
          <t>ЕБС</t>
        </is>
      </c>
      <c r="C32" s="399" t="n">
        <v>4491350250</v>
      </c>
      <c r="D32" s="378" t="inlineStr">
        <is>
          <t>Кабель соединительный, 2,5 м</t>
        </is>
      </c>
      <c r="E32" s="311" t="n"/>
      <c r="F3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2" s="312">
        <f>IF(База[[#This Row],[Тип]]=0,IF(SUMPRODUCT((База[[#This Row],[Артикул]]=Комплекты[Комплект])*1)=0,"НЕТ","ОК"),"ОК")</f>
        <v/>
      </c>
      <c r="H32" s="312">
        <f>IF(SUMPRODUCT((База[[#This Row],[Артикул]]=ПНЕВМАТИКА!$G$6:$G$330)*1)=0,"НЕТ","ОК")</f>
        <v/>
      </c>
      <c r="I32" s="312">
        <f>IF(SUMPRODUCT((База[[#This Row],[Артикул]]=ТОРМОЗ!$G$6:$G$64)*1)=0,"НЕТ","ОК")</f>
        <v/>
      </c>
    </row>
    <row r="33">
      <c r="A33" s="302">
        <f>ROW()-ROW(База[[#Headers],[№]])</f>
        <v/>
      </c>
      <c r="B33" s="311" t="inlineStr">
        <is>
          <t>ЕБС</t>
        </is>
      </c>
      <c r="C33" s="399" t="n">
        <v>4491350600</v>
      </c>
      <c r="D33" s="378" t="inlineStr">
        <is>
          <t>Кабель соединительный, 6 м</t>
        </is>
      </c>
      <c r="E33" s="311" t="n"/>
      <c r="F3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3" s="312">
        <f>IF(База[[#This Row],[Тип]]=0,IF(SUMPRODUCT((База[[#This Row],[Артикул]]=Комплекты[Комплект])*1)=0,"НЕТ","ОК"),"ОК")</f>
        <v/>
      </c>
      <c r="H33" s="312">
        <f>IF(SUMPRODUCT((База[[#This Row],[Артикул]]=ПНЕВМАТИКА!$G$6:$G$330)*1)=0,"НЕТ","ОК")</f>
        <v/>
      </c>
      <c r="I33" s="312">
        <f>IF(SUMPRODUCT((База[[#This Row],[Артикул]]=ТОРМОЗ!$G$6:$G$64)*1)=0,"НЕТ","ОК")</f>
        <v/>
      </c>
    </row>
    <row r="34">
      <c r="A34" s="302">
        <f>ROW()-ROW(База[[#Headers],[№]])</f>
        <v/>
      </c>
      <c r="B34" s="311" t="inlineStr">
        <is>
          <t>ЕБС</t>
        </is>
      </c>
      <c r="C34" s="399" t="n">
        <v>4491351400</v>
      </c>
      <c r="D34" s="378" t="inlineStr">
        <is>
          <t>Кабель соединительный, 14 м</t>
        </is>
      </c>
      <c r="E34" s="311" t="n"/>
      <c r="F3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4" s="312">
        <f>IF(База[[#This Row],[Тип]]=0,IF(SUMPRODUCT((База[[#This Row],[Артикул]]=Комплекты[Комплект])*1)=0,"НЕТ","ОК"),"ОК")</f>
        <v/>
      </c>
      <c r="H34" s="312">
        <f>IF(SUMPRODUCT((База[[#This Row],[Артикул]]=ПНЕВМАТИКА!$G$6:$G$330)*1)=0,"НЕТ","ОК")</f>
        <v/>
      </c>
      <c r="I34" s="312">
        <f>IF(SUMPRODUCT((База[[#This Row],[Артикул]]=ТОРМОЗ!$G$6:$G$64)*1)=0,"НЕТ","ОК")</f>
        <v/>
      </c>
    </row>
    <row r="35">
      <c r="A35" s="302">
        <f>ROW()-ROW(База[[#Headers],[№]])</f>
        <v/>
      </c>
      <c r="B35" s="311" t="inlineStr">
        <is>
          <t>ЕБС</t>
        </is>
      </c>
      <c r="C35" s="399" t="n">
        <v>4491731200</v>
      </c>
      <c r="D35" s="378" t="inlineStr">
        <is>
          <t>Кабель питания, 12 м</t>
        </is>
      </c>
      <c r="E35" s="311" t="n"/>
      <c r="F3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5" s="312">
        <f>IF(База[[#This Row],[Тип]]=0,IF(SUMPRODUCT((База[[#This Row],[Артикул]]=Комплекты[Комплект])*1)=0,"НЕТ","ОК"),"ОК")</f>
        <v/>
      </c>
      <c r="H35" s="312">
        <f>IF(SUMPRODUCT((База[[#This Row],[Артикул]]=ПНЕВМАТИКА!$G$6:$G$330)*1)=0,"НЕТ","ОК")</f>
        <v/>
      </c>
      <c r="I35" s="312">
        <f>IF(SUMPRODUCT((База[[#This Row],[Артикул]]=ТОРМОЗ!$G$6:$G$64)*1)=0,"НЕТ","ОК")</f>
        <v/>
      </c>
    </row>
    <row r="36">
      <c r="A36" s="302">
        <f>ROW()-ROW(База[[#Headers],[№]])</f>
        <v/>
      </c>
      <c r="B36" s="311" t="inlineStr">
        <is>
          <t>ЕБС</t>
        </is>
      </c>
      <c r="C36" s="399" t="n">
        <v>4491731500</v>
      </c>
      <c r="D36" s="378" t="inlineStr">
        <is>
          <t>Кабель питания, 15 м</t>
        </is>
      </c>
      <c r="E36" s="311" t="n"/>
      <c r="F3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6" s="312">
        <f>IF(База[[#This Row],[Тип]]=0,IF(SUMPRODUCT((База[[#This Row],[Артикул]]=Комплекты[Комплект])*1)=0,"НЕТ","ОК"),"ОК")</f>
        <v/>
      </c>
      <c r="H36" s="312">
        <f>IF(SUMPRODUCT((База[[#This Row],[Артикул]]=ПНЕВМАТИКА!$G$6:$G$330)*1)=0,"НЕТ","ОК")</f>
        <v/>
      </c>
      <c r="I36" s="312">
        <f>IF(SUMPRODUCT((База[[#This Row],[Артикул]]=ТОРМОЗ!$G$6:$G$64)*1)=0,"НЕТ","ОК")</f>
        <v/>
      </c>
    </row>
    <row r="37">
      <c r="A37" s="302">
        <f>ROW()-ROW(База[[#Headers],[№]])</f>
        <v/>
      </c>
      <c r="B37" s="311" t="inlineStr">
        <is>
          <t>ЕБС</t>
        </is>
      </c>
      <c r="C37" s="399" t="n">
        <v>4491731800</v>
      </c>
      <c r="D37" s="378" t="inlineStr">
        <is>
          <t>Кабель питания, 18 м</t>
        </is>
      </c>
      <c r="E37" s="311" t="n"/>
      <c r="F3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7" s="312">
        <f>IF(База[[#This Row],[Тип]]=0,IF(SUMPRODUCT((База[[#This Row],[Артикул]]=Комплекты[Комплект])*1)=0,"НЕТ","ОК"),"ОК")</f>
        <v/>
      </c>
      <c r="H37" s="312">
        <f>IF(SUMPRODUCT((База[[#This Row],[Артикул]]=ПНЕВМАТИКА!$G$6:$G$330)*1)=0,"НЕТ","ОК")</f>
        <v/>
      </c>
      <c r="I37" s="312">
        <f>IF(SUMPRODUCT((База[[#This Row],[Артикул]]=ТОРМОЗ!$G$6:$G$64)*1)=0,"НЕТ","ОК")</f>
        <v/>
      </c>
    </row>
    <row r="38">
      <c r="A38" s="302">
        <f>ROW()-ROW(База[[#Headers],[№]])</f>
        <v/>
      </c>
      <c r="B38" s="311" t="inlineStr">
        <is>
          <t>ЕБС</t>
        </is>
      </c>
      <c r="C38" s="399" t="n">
        <v>4492331400</v>
      </c>
      <c r="D38" s="378" t="inlineStr">
        <is>
          <t>Кабель соединительный, 14 м</t>
        </is>
      </c>
      <c r="E38" s="311" t="n"/>
      <c r="F3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8" s="312">
        <f>IF(База[[#This Row],[Тип]]=0,IF(SUMPRODUCT((База[[#This Row],[Артикул]]=Комплекты[Комплект])*1)=0,"НЕТ","ОК"),"ОК")</f>
        <v/>
      </c>
      <c r="H38" s="312">
        <f>IF(SUMPRODUCT((База[[#This Row],[Артикул]]=ПНЕВМАТИКА!$G$6:$G$330)*1)=0,"НЕТ","ОК")</f>
        <v/>
      </c>
      <c r="I38" s="312">
        <f>IF(SUMPRODUCT((База[[#This Row],[Артикул]]=ТОРМОЗ!$G$6:$G$64)*1)=0,"НЕТ","ОК")</f>
        <v/>
      </c>
    </row>
    <row r="39">
      <c r="A39" s="302">
        <f>ROW()-ROW(База[[#Headers],[№]])</f>
        <v/>
      </c>
      <c r="B39" s="311" t="inlineStr">
        <is>
          <t>ЕБС</t>
        </is>
      </c>
      <c r="C39" s="399" t="n">
        <v>4492331800</v>
      </c>
      <c r="D39" s="378" t="inlineStr">
        <is>
          <t>Кабель соединительный, 18 м</t>
        </is>
      </c>
      <c r="E39" s="311" t="n"/>
      <c r="F3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39" s="312">
        <f>IF(База[[#This Row],[Тип]]=0,IF(SUMPRODUCT((База[[#This Row],[Артикул]]=Комплекты[Комплект])*1)=0,"НЕТ","ОК"),"ОК")</f>
        <v/>
      </c>
      <c r="H39" s="312">
        <f>IF(SUMPRODUCT((База[[#This Row],[Артикул]]=ПНЕВМАТИКА!$G$6:$G$330)*1)=0,"НЕТ","ОК")</f>
        <v/>
      </c>
      <c r="I39" s="312">
        <f>IF(SUMPRODUCT((База[[#This Row],[Артикул]]=ТОРМОЗ!$G$6:$G$64)*1)=0,"НЕТ","ОК")</f>
        <v/>
      </c>
    </row>
    <row r="40">
      <c r="A40" s="302">
        <f>ROW()-ROW(База[[#Headers],[№]])</f>
        <v/>
      </c>
      <c r="B40" s="311" t="inlineStr">
        <is>
          <t>ЕБС</t>
        </is>
      </c>
      <c r="C40" s="399" t="n">
        <v>4492731200</v>
      </c>
      <c r="D40" s="378" t="inlineStr">
        <is>
          <t>Кабель питания для прицепа, 12 м</t>
        </is>
      </c>
      <c r="E40" s="311" t="n"/>
      <c r="F4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0" s="312">
        <f>IF(База[[#This Row],[Тип]]=0,IF(SUMPRODUCT((База[[#This Row],[Артикул]]=Комплекты[Комплект])*1)=0,"НЕТ","ОК"),"ОК")</f>
        <v/>
      </c>
      <c r="H40" s="312">
        <f>IF(SUMPRODUCT((База[[#This Row],[Артикул]]=ПНЕВМАТИКА!$G$6:$G$330)*1)=0,"НЕТ","ОК")</f>
        <v/>
      </c>
      <c r="I40" s="312">
        <f>IF(SUMPRODUCT((База[[#This Row],[Артикул]]=ТОРМОЗ!$G$6:$G$64)*1)=0,"НЕТ","ОК")</f>
        <v/>
      </c>
    </row>
    <row r="41">
      <c r="A41" s="302">
        <f>ROW()-ROW(База[[#Headers],[№]])</f>
        <v/>
      </c>
      <c r="B41" s="311" t="inlineStr">
        <is>
          <t>ЕБС</t>
        </is>
      </c>
      <c r="C41" s="399" t="n">
        <v>4493470800</v>
      </c>
      <c r="D41" s="378" t="inlineStr">
        <is>
          <t>Кабель соединительный, 8 м</t>
        </is>
      </c>
      <c r="E41" s="311" t="n"/>
      <c r="F4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1" s="312">
        <f>IF(База[[#This Row],[Тип]]=0,IF(SUMPRODUCT((База[[#This Row],[Артикул]]=Комплекты[Комплект])*1)=0,"НЕТ","ОК"),"ОК")</f>
        <v/>
      </c>
      <c r="H41" s="312">
        <f>IF(SUMPRODUCT((База[[#This Row],[Артикул]]=ПНЕВМАТИКА!$G$6:$G$330)*1)=0,"НЕТ","ОК")</f>
        <v/>
      </c>
      <c r="I41" s="312">
        <f>IF(SUMPRODUCT((База[[#This Row],[Артикул]]=ТОРМОЗ!$G$6:$G$64)*1)=0,"НЕТ","ОК")</f>
        <v/>
      </c>
    </row>
    <row r="42">
      <c r="A42" s="302">
        <f>ROW()-ROW(База[[#Headers],[№]])</f>
        <v/>
      </c>
      <c r="B42" s="311" t="inlineStr">
        <is>
          <t>ЕБС</t>
        </is>
      </c>
      <c r="C42" s="399" t="n">
        <v>4493711800</v>
      </c>
      <c r="D42" s="378" t="inlineStr">
        <is>
          <t>Кабель питания, 18 м</t>
        </is>
      </c>
      <c r="E42" s="311" t="n"/>
      <c r="F4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2" s="312">
        <f>IF(База[[#This Row],[Тип]]=0,IF(SUMPRODUCT((База[[#This Row],[Артикул]]=Комплекты[Комплект])*1)=0,"НЕТ","ОК"),"ОК")</f>
        <v/>
      </c>
      <c r="H42" s="312">
        <f>IF(SUMPRODUCT((База[[#This Row],[Артикул]]=ПНЕВМАТИКА!$G$6:$G$330)*1)=0,"НЕТ","ОК")</f>
        <v/>
      </c>
      <c r="I42" s="312">
        <f>IF(SUMPRODUCT((База[[#This Row],[Артикул]]=ТОРМОЗ!$G$6:$G$64)*1)=0,"НЕТ","ОК")</f>
        <v/>
      </c>
    </row>
    <row r="43">
      <c r="A43" s="302">
        <f>ROW()-ROW(База[[#Headers],[№]])</f>
        <v/>
      </c>
      <c r="B43" s="311" t="inlineStr">
        <is>
          <t>ЕБС</t>
        </is>
      </c>
      <c r="C43" s="399" t="n">
        <v>4494250300</v>
      </c>
      <c r="D43" s="378" t="inlineStr">
        <is>
          <t>Кабель датчика давления, 3 м</t>
        </is>
      </c>
      <c r="E43" s="311" t="n"/>
      <c r="F4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3" s="312">
        <f>IF(База[[#This Row],[Тип]]=0,IF(SUMPRODUCT((База[[#This Row],[Артикул]]=Комплекты[Комплект])*1)=0,"НЕТ","ОК"),"ОК")</f>
        <v/>
      </c>
      <c r="H43" s="312">
        <f>IF(SUMPRODUCT((База[[#This Row],[Артикул]]=ПНЕВМАТИКА!$G$6:$G$330)*1)=0,"НЕТ","ОК")</f>
        <v/>
      </c>
      <c r="I43" s="312">
        <f>IF(SUMPRODUCT((База[[#This Row],[Артикул]]=ТОРМОЗ!$G$6:$G$64)*1)=0,"НЕТ","ОК")</f>
        <v/>
      </c>
    </row>
    <row r="44">
      <c r="A44" s="302">
        <f>ROW()-ROW(База[[#Headers],[№]])</f>
        <v/>
      </c>
      <c r="B44" s="311" t="inlineStr">
        <is>
          <t>ЕБС</t>
        </is>
      </c>
      <c r="C44" s="399" t="n">
        <v>4494250600</v>
      </c>
      <c r="D44" s="378" t="inlineStr">
        <is>
          <t>Кабель датчика давления, 6 м</t>
        </is>
      </c>
      <c r="E44" s="311" t="n"/>
      <c r="F4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4" s="312">
        <f>IF(База[[#This Row],[Тип]]=0,IF(SUMPRODUCT((База[[#This Row],[Артикул]]=Комплекты[Комплект])*1)=0,"НЕТ","ОК"),"ОК")</f>
        <v/>
      </c>
      <c r="H44" s="312">
        <f>IF(SUMPRODUCT((База[[#This Row],[Артикул]]=ПНЕВМАТИКА!$G$6:$G$330)*1)=0,"НЕТ","ОК")</f>
        <v/>
      </c>
      <c r="I44" s="312">
        <f>IF(SUMPRODUCT((База[[#This Row],[Артикул]]=ТОРМОЗ!$G$6:$G$64)*1)=0,"НЕТ","ОК")</f>
        <v/>
      </c>
    </row>
    <row r="45">
      <c r="A45" s="302">
        <f>ROW()-ROW(База[[#Headers],[№]])</f>
        <v/>
      </c>
      <c r="B45" s="311" t="inlineStr">
        <is>
          <t>ЕБС</t>
        </is>
      </c>
      <c r="C45" s="399" t="n">
        <v>4494290100</v>
      </c>
      <c r="D45" s="378" t="inlineStr">
        <is>
          <t>Кабель модулятора EBS, 1 м</t>
        </is>
      </c>
      <c r="E45" s="311" t="n"/>
      <c r="F4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5" s="312">
        <f>IF(База[[#This Row],[Тип]]=0,IF(SUMPRODUCT((База[[#This Row],[Артикул]]=Комплекты[Комплект])*1)=0,"НЕТ","ОК"),"ОК")</f>
        <v/>
      </c>
      <c r="H45" s="312">
        <f>IF(SUMPRODUCT((База[[#This Row],[Артикул]]=ПНЕВМАТИКА!$G$6:$G$330)*1)=0,"НЕТ","ОК")</f>
        <v/>
      </c>
      <c r="I45" s="312">
        <f>IF(SUMPRODUCT((База[[#This Row],[Артикул]]=ТОРМОЗ!$G$6:$G$64)*1)=0,"НЕТ","ОК")</f>
        <v/>
      </c>
    </row>
    <row r="46">
      <c r="A46" s="302">
        <f>ROW()-ROW(База[[#Headers],[№]])</f>
        <v/>
      </c>
      <c r="B46" s="311" t="inlineStr">
        <is>
          <t>ЕБС</t>
        </is>
      </c>
      <c r="C46" s="399" t="n">
        <v>4494290800</v>
      </c>
      <c r="D46" s="378" t="inlineStr">
        <is>
          <t>Кабель модулятора EBS, 8 м</t>
        </is>
      </c>
      <c r="E46" s="311" t="n"/>
      <c r="F4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6" s="312">
        <f>IF(База[[#This Row],[Тип]]=0,IF(SUMPRODUCT((База[[#This Row],[Артикул]]=Комплекты[Комплект])*1)=0,"НЕТ","ОК"),"ОК")</f>
        <v/>
      </c>
      <c r="H46" s="312">
        <f>IF(SUMPRODUCT((База[[#This Row],[Артикул]]=ПНЕВМАТИКА!$G$6:$G$330)*1)=0,"НЕТ","ОК")</f>
        <v/>
      </c>
      <c r="I46" s="312">
        <f>IF(SUMPRODUCT((База[[#This Row],[Артикул]]=ТОРМОЗ!$G$6:$G$64)*1)=0,"НЕТ","ОК")</f>
        <v/>
      </c>
    </row>
    <row r="47">
      <c r="A47" s="302">
        <f>ROW()-ROW(База[[#Headers],[№]])</f>
        <v/>
      </c>
      <c r="B47" s="311" t="inlineStr">
        <is>
          <t>ЕБС</t>
        </is>
      </c>
      <c r="C47" s="399" t="n">
        <v>4494291300</v>
      </c>
      <c r="D47" s="378" t="inlineStr">
        <is>
          <t>Кабель модулятора EBS, 13 м</t>
        </is>
      </c>
      <c r="E47" s="311" t="n"/>
      <c r="F4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7" s="312">
        <f>IF(База[[#This Row],[Тип]]=0,IF(SUMPRODUCT((База[[#This Row],[Артикул]]=Комплекты[Комплект])*1)=0,"НЕТ","ОК"),"ОК")</f>
        <v/>
      </c>
      <c r="H47" s="312">
        <f>IF(SUMPRODUCT((База[[#This Row],[Артикул]]=ПНЕВМАТИКА!$G$6:$G$330)*1)=0,"НЕТ","ОК")</f>
        <v/>
      </c>
      <c r="I47" s="312">
        <f>IF(SUMPRODUCT((База[[#This Row],[Артикул]]=ТОРМОЗ!$G$6:$G$64)*1)=0,"НЕТ","ОК")</f>
        <v/>
      </c>
    </row>
    <row r="48">
      <c r="A48" s="302">
        <f>ROW()-ROW(База[[#Headers],[№]])</f>
        <v/>
      </c>
      <c r="B48" s="311" t="inlineStr">
        <is>
          <t>ЕБС</t>
        </is>
      </c>
      <c r="C48" s="399" t="n">
        <v>4494300600</v>
      </c>
      <c r="D48" s="435" t="inlineStr">
        <is>
          <t>Кабель клапана ускорительного TEBS (6 м)</t>
        </is>
      </c>
      <c r="E48" s="311" t="n"/>
      <c r="F4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8" s="312">
        <f>IF(База[[#This Row],[Тип]]=0,IF(SUMPRODUCT((База[[#This Row],[Артикул]]=Комплекты[Комплект])*1)=0,"НЕТ","ОК"),"ОК")</f>
        <v/>
      </c>
      <c r="H48" s="312">
        <f>IF(SUMPRODUCT((База[[#This Row],[Артикул]]=ПНЕВМАТИКА!$G$6:$G$330)*1)=0,"НЕТ","ОК")</f>
        <v/>
      </c>
      <c r="I48" s="312">
        <f>IF(SUMPRODUCT((База[[#This Row],[Артикул]]=ТОРМОЗ!$G$6:$G$64)*1)=0,"НЕТ","ОК")</f>
        <v/>
      </c>
    </row>
    <row r="49">
      <c r="A49" s="302">
        <f>ROW()-ROW(База[[#Headers],[№]])</f>
        <v/>
      </c>
      <c r="B49" s="311" t="inlineStr">
        <is>
          <t>ЕБС</t>
        </is>
      </c>
      <c r="C49" s="399" t="n">
        <v>4494301200</v>
      </c>
      <c r="D49" s="435" t="inlineStr">
        <is>
          <t>Кабель клапана ускорительного TEBS (12 м)</t>
        </is>
      </c>
      <c r="E49" s="311" t="n"/>
      <c r="F4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49" s="312">
        <f>IF(База[[#This Row],[Тип]]=0,IF(SUMPRODUCT((База[[#This Row],[Артикул]]=Комплекты[Комплект])*1)=0,"НЕТ","ОК"),"ОК")</f>
        <v/>
      </c>
      <c r="H49" s="312">
        <f>IF(SUMPRODUCT((База[[#This Row],[Артикул]]=ПНЕВМАТИКА!$G$6:$G$330)*1)=0,"НЕТ","ОК")</f>
        <v/>
      </c>
      <c r="I49" s="312">
        <f>IF(SUMPRODUCT((База[[#This Row],[Артикул]]=ТОРМОЗ!$G$6:$G$64)*1)=0,"НЕТ","ОК")</f>
        <v/>
      </c>
    </row>
    <row r="50">
      <c r="A50" s="302">
        <f>ROW()-ROW(База[[#Headers],[№]])</f>
        <v/>
      </c>
      <c r="B50" s="311" t="inlineStr">
        <is>
          <t>ЕБС</t>
        </is>
      </c>
      <c r="C50" s="399" t="n">
        <v>4494430400</v>
      </c>
      <c r="D50" s="378" t="inlineStr">
        <is>
          <t>Кабель клапана управления подъемом оси, 4 м</t>
        </is>
      </c>
      <c r="E50" s="311" t="n"/>
      <c r="F5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0" s="312">
        <f>IF(База[[#This Row],[Тип]]=0,IF(SUMPRODUCT((База[[#This Row],[Артикул]]=Комплекты[Комплект])*1)=0,"НЕТ","ОК"),"ОК")</f>
        <v/>
      </c>
      <c r="H50" s="312">
        <f>IF(SUMPRODUCT((База[[#This Row],[Артикул]]=ПНЕВМАТИКА!$G$6:$G$330)*1)=0,"НЕТ","ОК")</f>
        <v/>
      </c>
      <c r="I50" s="312">
        <f>IF(SUMPRODUCT((База[[#This Row],[Артикул]]=ТОРМОЗ!$G$6:$G$64)*1)=0,"НЕТ","ОК")</f>
        <v/>
      </c>
    </row>
    <row r="51">
      <c r="A51" s="302">
        <f>ROW()-ROW(База[[#Headers],[№]])</f>
        <v/>
      </c>
      <c r="B51" s="311" t="inlineStr">
        <is>
          <t>ЕБС</t>
        </is>
      </c>
      <c r="C51" s="399" t="n">
        <v>4494430600</v>
      </c>
      <c r="D51" s="378" t="inlineStr">
        <is>
          <t>Кабель клапана управления подъемом оси, 6 м</t>
        </is>
      </c>
      <c r="E51" s="311" t="n"/>
      <c r="F5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1" s="312">
        <f>IF(База[[#This Row],[Тип]]=0,IF(SUMPRODUCT((База[[#This Row],[Артикул]]=Комплекты[Комплект])*1)=0,"НЕТ","ОК"),"ОК")</f>
        <v/>
      </c>
      <c r="H51" s="312">
        <f>IF(SUMPRODUCT((База[[#This Row],[Артикул]]=ПНЕВМАТИКА!$G$6:$G$330)*1)=0,"НЕТ","ОК")</f>
        <v/>
      </c>
      <c r="I51" s="312">
        <f>IF(SUMPRODUCT((База[[#This Row],[Артикул]]=ТОРМОЗ!$G$6:$G$64)*1)=0,"НЕТ","ОК")</f>
        <v/>
      </c>
    </row>
    <row r="52">
      <c r="A52" s="302">
        <f>ROW()-ROW(База[[#Headers],[№]])</f>
        <v/>
      </c>
      <c r="B52" s="311" t="inlineStr">
        <is>
          <t>ЕБС</t>
        </is>
      </c>
      <c r="C52" s="399" t="n">
        <v>4495351500</v>
      </c>
      <c r="D52" s="378" t="inlineStr">
        <is>
          <t>Кабель универсальный, 15 м</t>
        </is>
      </c>
      <c r="E52" s="311" t="n"/>
      <c r="F5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2" s="312">
        <f>IF(База[[#This Row],[Тип]]=0,IF(SUMPRODUCT((База[[#This Row],[Артикул]]=Комплекты[Комплект])*1)=0,"НЕТ","ОК"),"ОК")</f>
        <v/>
      </c>
      <c r="H52" s="312">
        <f>IF(SUMPRODUCT((База[[#This Row],[Артикул]]=ПНЕВМАТИКА!$G$6:$G$330)*1)=0,"НЕТ","ОК")</f>
        <v/>
      </c>
      <c r="I52" s="312">
        <f>IF(SUMPRODUCT((База[[#This Row],[Артикул]]=ТОРМОЗ!$G$6:$G$64)*1)=0,"НЕТ","ОК")</f>
        <v/>
      </c>
    </row>
    <row r="53">
      <c r="A53" s="302">
        <f>ROW()-ROW(База[[#Headers],[№]])</f>
        <v/>
      </c>
      <c r="B53" s="311" t="inlineStr">
        <is>
          <t>ЕБС</t>
        </is>
      </c>
      <c r="C53" s="399" t="n">
        <v>4497230300</v>
      </c>
      <c r="D53" s="378" t="inlineStr">
        <is>
          <t>Кабель датчика АБС, 3 м</t>
        </is>
      </c>
      <c r="E53" s="311" t="n"/>
      <c r="F5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3" s="312">
        <f>IF(База[[#This Row],[Тип]]=0,IF(SUMPRODUCT((База[[#This Row],[Артикул]]=Комплекты[Комплект])*1)=0,"НЕТ","ОК"),"ОК")</f>
        <v/>
      </c>
      <c r="H53" s="312">
        <f>IF(SUMPRODUCT((База[[#This Row],[Артикул]]=ПНЕВМАТИКА!$G$6:$G$330)*1)=0,"НЕТ","ОК")</f>
        <v/>
      </c>
      <c r="I53" s="312">
        <f>IF(SUMPRODUCT((База[[#This Row],[Артикул]]=ТОРМОЗ!$G$6:$G$64)*1)=0,"НЕТ","ОК")</f>
        <v/>
      </c>
    </row>
    <row r="54">
      <c r="A54" s="302">
        <f>ROW()-ROW(База[[#Headers],[№]])</f>
        <v/>
      </c>
      <c r="B54" s="311" t="inlineStr">
        <is>
          <t>ЕБС</t>
        </is>
      </c>
      <c r="C54" s="399" t="n">
        <v>4497230400</v>
      </c>
      <c r="D54" s="378" t="inlineStr">
        <is>
          <t>Кабель датчика АБС, 4 м</t>
        </is>
      </c>
      <c r="E54" s="311" t="n"/>
      <c r="F5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4" s="312">
        <f>IF(База[[#This Row],[Тип]]=0,IF(SUMPRODUCT((База[[#This Row],[Артикул]]=Комплекты[Комплект])*1)=0,"НЕТ","ОК"),"ОК")</f>
        <v/>
      </c>
      <c r="H54" s="312">
        <f>IF(SUMPRODUCT((База[[#This Row],[Артикул]]=ПНЕВМАТИКА!$G$6:$G$330)*1)=0,"НЕТ","ОК")</f>
        <v/>
      </c>
      <c r="I54" s="312">
        <f>IF(SUMPRODUCT((База[[#This Row],[Артикул]]=ТОРМОЗ!$G$6:$G$64)*1)=0,"НЕТ","ОК")</f>
        <v/>
      </c>
    </row>
    <row r="55">
      <c r="A55" s="302">
        <f>ROW()-ROW(База[[#Headers],[№]])</f>
        <v/>
      </c>
      <c r="B55" s="311" t="inlineStr">
        <is>
          <t>ЕБС</t>
        </is>
      </c>
      <c r="C55" s="399" t="n">
        <v>4497230500</v>
      </c>
      <c r="D55" s="378" t="inlineStr">
        <is>
          <t>Кабель датчика АБС, 5 м</t>
        </is>
      </c>
      <c r="E55" s="311" t="n"/>
      <c r="F5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5" s="312">
        <f>IF(База[[#This Row],[Тип]]=0,IF(SUMPRODUCT((База[[#This Row],[Артикул]]=Комплекты[Комплект])*1)=0,"НЕТ","ОК"),"ОК")</f>
        <v/>
      </c>
      <c r="H55" s="312">
        <f>IF(SUMPRODUCT((База[[#This Row],[Артикул]]=ПНЕВМАТИКА!$G$6:$G$330)*1)=0,"НЕТ","ОК")</f>
        <v/>
      </c>
      <c r="I55" s="312">
        <f>IF(SUMPRODUCT((База[[#This Row],[Артикул]]=ТОРМОЗ!$G$6:$G$64)*1)=0,"НЕТ","ОК")</f>
        <v/>
      </c>
    </row>
    <row r="56">
      <c r="A56" s="302">
        <f>ROW()-ROW(База[[#Headers],[№]])</f>
        <v/>
      </c>
      <c r="B56" s="311" t="inlineStr">
        <is>
          <t>ЕБС</t>
        </is>
      </c>
      <c r="C56" s="399" t="n">
        <v>4497230800</v>
      </c>
      <c r="D56" s="378" t="inlineStr">
        <is>
          <t>Кабель датчика АБС, 8 м</t>
        </is>
      </c>
      <c r="E56" s="311" t="n"/>
      <c r="F5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6" s="312">
        <f>IF(База[[#This Row],[Тип]]=0,IF(SUMPRODUCT((База[[#This Row],[Артикул]]=Комплекты[Комплект])*1)=0,"НЕТ","ОК"),"ОК")</f>
        <v/>
      </c>
      <c r="H56" s="312">
        <f>IF(SUMPRODUCT((База[[#This Row],[Артикул]]=ПНЕВМАТИКА!$G$6:$G$330)*1)=0,"НЕТ","ОК")</f>
        <v/>
      </c>
      <c r="I56" s="312">
        <f>IF(SUMPRODUCT((База[[#This Row],[Артикул]]=ТОРМОЗ!$G$6:$G$64)*1)=0,"НЕТ","ОК")</f>
        <v/>
      </c>
    </row>
    <row r="57">
      <c r="A57" s="302">
        <f>ROW()-ROW(База[[#Headers],[№]])</f>
        <v/>
      </c>
      <c r="B57" s="311" t="inlineStr">
        <is>
          <t>ЕБС</t>
        </is>
      </c>
      <c r="C57" s="399" t="n">
        <v>4498120300</v>
      </c>
      <c r="D57" s="378" t="inlineStr">
        <is>
          <t>Кабель датчика давления, 3 м</t>
        </is>
      </c>
      <c r="E57" s="311" t="n"/>
      <c r="F5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7" s="312">
        <f>IF(База[[#This Row],[Тип]]=0,IF(SUMPRODUCT((База[[#This Row],[Артикул]]=Комплекты[Комплект])*1)=0,"НЕТ","ОК"),"ОК")</f>
        <v/>
      </c>
      <c r="H57" s="312">
        <f>IF(SUMPRODUCT((База[[#This Row],[Артикул]]=ПНЕВМАТИКА!$G$6:$G$330)*1)=0,"НЕТ","ОК")</f>
        <v/>
      </c>
      <c r="I57" s="312">
        <f>IF(SUMPRODUCT((База[[#This Row],[Артикул]]=ТОРМОЗ!$G$6:$G$64)*1)=0,"НЕТ","ОК")</f>
        <v/>
      </c>
    </row>
    <row r="58">
      <c r="A58" s="302">
        <f>ROW()-ROW(База[[#Headers],[№]])</f>
        <v/>
      </c>
      <c r="B58" s="311" t="inlineStr">
        <is>
          <t>ЕБС</t>
        </is>
      </c>
      <c r="C58" s="399" t="n">
        <v>4498121800</v>
      </c>
      <c r="D58" s="378" t="inlineStr">
        <is>
          <t>Кабель датчика давления, 18 м</t>
        </is>
      </c>
      <c r="E58" s="311" t="n"/>
      <c r="F5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8" s="312">
        <f>IF(База[[#This Row],[Тип]]=0,IF(SUMPRODUCT((База[[#This Row],[Артикул]]=Комплекты[Комплект])*1)=0,"НЕТ","ОК"),"ОК")</f>
        <v/>
      </c>
      <c r="H58" s="312">
        <f>IF(SUMPRODUCT((База[[#This Row],[Артикул]]=ПНЕВМАТИКА!$G$6:$G$330)*1)=0,"НЕТ","ОК")</f>
        <v/>
      </c>
      <c r="I58" s="312">
        <f>IF(SUMPRODUCT((База[[#This Row],[Артикул]]=ТОРМОЗ!$G$6:$G$64)*1)=0,"НЕТ","ОК")</f>
        <v/>
      </c>
    </row>
    <row r="59">
      <c r="A59" s="302">
        <f>ROW()-ROW(База[[#Headers],[№]])</f>
        <v/>
      </c>
      <c r="B59" s="311" t="inlineStr">
        <is>
          <t>ЕБС</t>
        </is>
      </c>
      <c r="C59" s="399" t="n">
        <v>4499271200</v>
      </c>
      <c r="D59" s="435" t="inlineStr">
        <is>
          <t>Кабель OptiLink/OptiTire (12 м)</t>
        </is>
      </c>
      <c r="E59" s="311" t="n"/>
      <c r="F5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59" s="312">
        <f>IF(База[[#This Row],[Тип]]=0,IF(SUMPRODUCT((База[[#This Row],[Артикул]]=Комплекты[Комплект])*1)=0,"НЕТ","ОК"),"ОК")</f>
        <v/>
      </c>
      <c r="H59" s="312">
        <f>IF(SUMPRODUCT((База[[#This Row],[Артикул]]=ПНЕВМАТИКА!$G$6:$G$330)*1)=0,"НЕТ","ОК")</f>
        <v/>
      </c>
      <c r="I59" s="312">
        <f>IF(SUMPRODUCT((База[[#This Row],[Артикул]]=ТОРМОЗ!$G$6:$G$64)*1)=0,"НЕТ","ОК")</f>
        <v/>
      </c>
    </row>
    <row r="60">
      <c r="A60" s="302">
        <f>ROW()-ROW(База[[#Headers],[№]])</f>
        <v/>
      </c>
      <c r="B60" s="311" t="inlineStr">
        <is>
          <t>ЕБС</t>
        </is>
      </c>
      <c r="C60" s="399" t="n">
        <v>4615130020</v>
      </c>
      <c r="D60" s="378" t="inlineStr">
        <is>
          <t>Пневматический расширительный модуль</t>
        </is>
      </c>
      <c r="E60" s="311" t="n"/>
      <c r="F6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0" s="312">
        <f>IF(База[[#This Row],[Тип]]=0,IF(SUMPRODUCT((База[[#This Row],[Артикул]]=Комплекты[Комплект])*1)=0,"НЕТ","ОК"),"ОК")</f>
        <v/>
      </c>
      <c r="H60" s="312">
        <f>IF(SUMPRODUCT((База[[#This Row],[Артикул]]=ПНЕВМАТИКА!$G$6:$G$330)*1)=0,"НЕТ","ОК")</f>
        <v/>
      </c>
      <c r="I60" s="312">
        <f>IF(SUMPRODUCT((База[[#This Row],[Артикул]]=ТОРМОЗ!$G$6:$G$64)*1)=0,"НЕТ","ОК")</f>
        <v/>
      </c>
    </row>
    <row r="61">
      <c r="A61" s="302">
        <f>ROW()-ROW(База[[#Headers],[№]])</f>
        <v/>
      </c>
      <c r="B61" s="311" t="inlineStr">
        <is>
          <t>ЕБС</t>
        </is>
      </c>
      <c r="C61" s="399" t="n">
        <v>4630840310</v>
      </c>
      <c r="D61" s="378" t="inlineStr">
        <is>
          <t>Клапан управления подъемом оси (LACV)</t>
        </is>
      </c>
      <c r="E61" s="311" t="n"/>
      <c r="F6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1" s="312">
        <f>IF(База[[#This Row],[Тип]]=0,IF(SUMPRODUCT((База[[#This Row],[Артикул]]=Комплекты[Комплект])*1)=0,"НЕТ","ОК"),"ОК")</f>
        <v/>
      </c>
      <c r="H61" s="312">
        <f>IF(SUMPRODUCT((База[[#This Row],[Артикул]]=ПНЕВМАТИКА!$G$6:$G$330)*1)=0,"НЕТ","ОК")</f>
        <v/>
      </c>
      <c r="I61" s="312">
        <f>IF(SUMPRODUCT((База[[#This Row],[Артикул]]=ТОРМОЗ!$G$6:$G$64)*1)=0,"НЕТ","ОК")</f>
        <v/>
      </c>
    </row>
    <row r="62" ht="28.8" customHeight="1">
      <c r="A62" s="302">
        <f>ROW()-ROW(База[[#Headers],[№]])</f>
        <v/>
      </c>
      <c r="B62" s="311" t="inlineStr">
        <is>
          <t>ЕБС</t>
        </is>
      </c>
      <c r="C62" s="399" t="n">
        <v>4801020640</v>
      </c>
      <c r="D62" s="378" t="inlineStr">
        <is>
          <t>Электропневматический блок клапанов TEBS_4801020640</t>
        </is>
      </c>
      <c r="E62" s="311" t="n"/>
      <c r="F6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2" s="312">
        <f>IF(База[[#This Row],[Тип]]=0,IF(SUMPRODUCT((База[[#This Row],[Артикул]]=Комплекты[Комплект])*1)=0,"НЕТ","ОК"),"ОК")</f>
        <v/>
      </c>
      <c r="H62" s="312">
        <f>IF(SUMPRODUCT((База[[#This Row],[Артикул]]=ПНЕВМАТИКА!$G$6:$G$330)*1)=0,"НЕТ","ОК")</f>
        <v/>
      </c>
      <c r="I62" s="312">
        <f>IF(SUMPRODUCT((База[[#This Row],[Артикул]]=ТОРМОЗ!$G$6:$G$64)*1)=0,"НЕТ","ОК")</f>
        <v/>
      </c>
    </row>
    <row r="63">
      <c r="A63" s="302">
        <f>ROW()-ROW(База[[#Headers],[№]])</f>
        <v/>
      </c>
      <c r="B63" s="311" t="inlineStr">
        <is>
          <t>ЕБС</t>
        </is>
      </c>
      <c r="C63" s="399" t="n">
        <v>4802070010</v>
      </c>
      <c r="D63" s="378" t="inlineStr">
        <is>
          <t>Модулятор EBS</t>
        </is>
      </c>
      <c r="E63" s="311" t="n"/>
      <c r="F6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3" s="312">
        <f>IF(База[[#This Row],[Тип]]=0,IF(SUMPRODUCT((База[[#This Row],[Артикул]]=Комплекты[Комплект])*1)=0,"НЕТ","ОК"),"ОК")</f>
        <v/>
      </c>
      <c r="H63" s="312">
        <f>IF(SUMPRODUCT((База[[#This Row],[Артикул]]=ПНЕВМАТИКА!$G$6:$G$330)*1)=0,"НЕТ","ОК")</f>
        <v/>
      </c>
      <c r="I63" s="312">
        <f>IF(SUMPRODUCT((База[[#This Row],[Артикул]]=ТОРМОЗ!$G$6:$G$64)*1)=0,"НЕТ","ОК")</f>
        <v/>
      </c>
    </row>
    <row r="64">
      <c r="A64" s="302">
        <f>ROW()-ROW(База[[#Headers],[№]])</f>
        <v/>
      </c>
      <c r="B64" s="311" t="inlineStr">
        <is>
          <t>ЕБС</t>
        </is>
      </c>
      <c r="C64" s="399" t="n">
        <v>4802070600</v>
      </c>
      <c r="D64" s="435" t="inlineStr">
        <is>
          <t>Клапан ускорительный TEBS</t>
        </is>
      </c>
      <c r="E64" s="311" t="n"/>
      <c r="F6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4" s="312">
        <f>IF(База[[#This Row],[Тип]]=0,IF(SUMPRODUCT((База[[#This Row],[Артикул]]=Комплекты[Комплект])*1)=0,"НЕТ","ОК"),"ОК")</f>
        <v/>
      </c>
      <c r="H64" s="312">
        <f>IF(SUMPRODUCT((База[[#This Row],[Артикул]]=ПНЕВМАТИКА!$G$6:$G$330)*1)=0,"НЕТ","ОК")</f>
        <v/>
      </c>
      <c r="I64" s="312">
        <f>IF(SUMPRODUCT((База[[#This Row],[Артикул]]=ТОРМОЗ!$G$6:$G$64)*1)=0,"НЕТ","ОК")</f>
        <v/>
      </c>
    </row>
    <row r="65">
      <c r="A65" s="302">
        <f>ROW()-ROW(База[[#Headers],[№]])</f>
        <v/>
      </c>
      <c r="B65" s="311" t="inlineStr">
        <is>
          <t>ЕБС</t>
        </is>
      </c>
      <c r="C65" s="399" t="n">
        <v>8946000320</v>
      </c>
      <c r="D65" s="378" t="inlineStr">
        <is>
          <t>Кабель соединительный, 40 м</t>
        </is>
      </c>
      <c r="E65" s="311" t="n"/>
      <c r="F6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5" s="312">
        <f>IF(База[[#This Row],[Тип]]=0,IF(SUMPRODUCT((База[[#This Row],[Артикул]]=Комплекты[Комплект])*1)=0,"НЕТ","ОК"),"ОК")</f>
        <v/>
      </c>
      <c r="H65" s="312">
        <f>IF(SUMPRODUCT((База[[#This Row],[Артикул]]=ПНЕВМАТИКА!$G$6:$G$330)*1)=0,"НЕТ","ОК")</f>
        <v/>
      </c>
      <c r="I65" s="312">
        <f>IF(SUMPRODUCT((База[[#This Row],[Артикул]]=ТОРМОЗ!$G$6:$G$64)*1)=0,"НЕТ","ОК")</f>
        <v/>
      </c>
    </row>
    <row r="66" ht="28.8" customHeight="1">
      <c r="A66" s="302">
        <f>ROW()-ROW(База[[#Headers],[№]])</f>
        <v/>
      </c>
      <c r="B66" s="311" t="inlineStr">
        <is>
          <t>ЕБС</t>
        </is>
      </c>
      <c r="C66" s="399" t="n">
        <v>9710029000</v>
      </c>
      <c r="D66" s="378" t="inlineStr">
        <is>
          <t>Воздухораспределитель с клапаном растормаживания</t>
        </is>
      </c>
      <c r="E66" s="311" t="n"/>
      <c r="F6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6" s="312">
        <f>IF(База[[#This Row],[Тип]]=0,IF(SUMPRODUCT((База[[#This Row],[Артикул]]=Комплекты[Комплект])*1)=0,"НЕТ","ОК"),"ОК")</f>
        <v/>
      </c>
      <c r="H66" s="312">
        <f>IF(SUMPRODUCT((База[[#This Row],[Артикул]]=ПНЕВМАТИКА!$G$6:$G$330)*1)=0,"НЕТ","ОК")</f>
        <v/>
      </c>
      <c r="I66" s="312">
        <f>IF(SUMPRODUCT((База[[#This Row],[Артикул]]=ТОРМОЗ!$G$6:$G$64)*1)=0,"НЕТ","ОК")</f>
        <v/>
      </c>
    </row>
    <row r="67">
      <c r="A67" s="302">
        <f>ROW()-ROW(База[[#Headers],[№]])</f>
        <v/>
      </c>
      <c r="B67" s="311" t="inlineStr">
        <is>
          <t>ЕБС</t>
        </is>
      </c>
      <c r="C67" s="399" t="inlineStr">
        <is>
          <t>480102030R</t>
        </is>
      </c>
      <c r="D67" s="378" t="inlineStr">
        <is>
          <t>Модулятор EBS прицепа</t>
        </is>
      </c>
      <c r="E67" s="311" t="n"/>
      <c r="F6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7" s="312">
        <f>IF(База[[#This Row],[Тип]]=0,IF(SUMPRODUCT((База[[#This Row],[Артикул]]=Комплекты[Комплект])*1)=0,"НЕТ","ОК"),"ОК")</f>
        <v/>
      </c>
      <c r="H67" s="312">
        <f>IF(SUMPRODUCT((База[[#This Row],[Артикул]]=ПНЕВМАТИКА!$G$6:$G$330)*1)=0,"НЕТ","ОК")</f>
        <v/>
      </c>
      <c r="I67" s="312">
        <f>IF(SUMPRODUCT((База[[#This Row],[Артикул]]=ТОРМОЗ!$G$6:$G$64)*1)=0,"НЕТ","ОК")</f>
        <v/>
      </c>
    </row>
    <row r="68">
      <c r="A68" s="302">
        <f>ROW()-ROW(База[[#Headers],[№]])</f>
        <v/>
      </c>
      <c r="B68" s="311" t="inlineStr">
        <is>
          <t>ЕБС</t>
        </is>
      </c>
      <c r="C68" s="399" t="inlineStr">
        <is>
          <t>480102060R</t>
        </is>
      </c>
      <c r="D68" s="378" t="inlineStr">
        <is>
          <t>Модулятор EBS прицепа</t>
        </is>
      </c>
      <c r="E68" s="311" t="n"/>
      <c r="F6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8" s="312">
        <f>IF(База[[#This Row],[Тип]]=0,IF(SUMPRODUCT((База[[#This Row],[Артикул]]=Комплекты[Комплект])*1)=0,"НЕТ","ОК"),"ОК")</f>
        <v/>
      </c>
      <c r="H68" s="312">
        <f>IF(SUMPRODUCT((База[[#This Row],[Артикул]]=ПНЕВМАТИКА!$G$6:$G$330)*1)=0,"НЕТ","ОК")</f>
        <v/>
      </c>
      <c r="I68" s="312">
        <f>IF(SUMPRODUCT((База[[#This Row],[Артикул]]=ТОРМОЗ!$G$6:$G$64)*1)=0,"НЕТ","ОК")</f>
        <v/>
      </c>
    </row>
    <row r="69" ht="28.8" customHeight="1">
      <c r="A69" s="427">
        <f>ROW()-ROW(База[[#Headers],[№]])</f>
        <v/>
      </c>
      <c r="B69" s="423" t="inlineStr">
        <is>
          <t>ОТС</t>
        </is>
      </c>
      <c r="C69" s="600" t="n">
        <v>4006043270</v>
      </c>
      <c r="D69" s="378" t="inlineStr">
        <is>
          <t>Комплект головок соединительных (4522000110+4522002110, красные, М22х1,5)</t>
        </is>
      </c>
      <c r="E69" s="311" t="n"/>
      <c r="F6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69" s="312">
        <f>IF(База[[#This Row],[Тип]]=0,IF(SUMPRODUCT((База[[#This Row],[Артикул]]=Комплекты[Комплект])*1)=0,"НЕТ","ОК"),"ОК")</f>
        <v/>
      </c>
      <c r="H69" s="312">
        <f>IF(SUMPRODUCT((База[[#This Row],[Артикул]]=ПНЕВМАТИКА!$G$6:$G$330)*1)=0,"НЕТ","ОК")</f>
        <v/>
      </c>
      <c r="I69" s="312">
        <f>IF(SUMPRODUCT((База[[#This Row],[Артикул]]=ТОРМОЗ!$G$6:$G$64)*1)=0,"НЕТ","ОК")</f>
        <v/>
      </c>
    </row>
    <row r="70" ht="28.8" customHeight="1">
      <c r="A70" s="427">
        <f>ROW()-ROW(База[[#Headers],[№]])</f>
        <v/>
      </c>
      <c r="B70" s="423" t="inlineStr">
        <is>
          <t>ОТС</t>
        </is>
      </c>
      <c r="C70" s="600" t="n">
        <v>4006043280</v>
      </c>
      <c r="D70" s="378" t="inlineStr">
        <is>
          <t>Комплект головок соединительных (4522000120+4522002120, желтые, М22х1,5)</t>
        </is>
      </c>
      <c r="E70" s="311" t="n"/>
      <c r="F7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0" s="312">
        <f>IF(База[[#This Row],[Тип]]=0,IF(SUMPRODUCT((База[[#This Row],[Артикул]]=Комплекты[Комплект])*1)=0,"НЕТ","ОК"),"ОК")</f>
        <v/>
      </c>
      <c r="H70" s="312">
        <f>IF(SUMPRODUCT((База[[#This Row],[Артикул]]=ПНЕВМАТИКА!$G$6:$G$330)*1)=0,"НЕТ","ОК")</f>
        <v/>
      </c>
      <c r="I70" s="312">
        <f>IF(SUMPRODUCT((База[[#This Row],[Артикул]]=ТОРМОЗ!$G$6:$G$64)*1)=0,"НЕТ","ОК")</f>
        <v/>
      </c>
    </row>
    <row r="71" ht="28.8" customHeight="1">
      <c r="A71" s="302">
        <f>ROW()-ROW(База[[#Headers],[№]])</f>
        <v/>
      </c>
      <c r="B71" s="311" t="inlineStr">
        <is>
          <t>ОТС</t>
        </is>
      </c>
      <c r="C71" s="399" t="n">
        <v>4006043290</v>
      </c>
      <c r="D71" s="378" t="inlineStr">
        <is>
          <t>Комплект головок соединительных (9522000210+95220022100, красные, М16х1,5)</t>
        </is>
      </c>
      <c r="E71" s="724" t="n"/>
      <c r="F7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1" s="312">
        <f>IF(База[[#This Row],[Тип]]=0,IF(SUMPRODUCT((База[[#This Row],[Артикул]]=Комплекты[Комплект])*1)=0,"НЕТ","ОК"),"ОК")</f>
        <v/>
      </c>
      <c r="H71" s="312">
        <f>IF(SUMPRODUCT((База[[#This Row],[Артикул]]=ПНЕВМАТИКА!$G$6:$G$330)*1)=0,"НЕТ","ОК")</f>
        <v/>
      </c>
      <c r="I71" s="312">
        <f>IF(SUMPRODUCT((База[[#This Row],[Артикул]]=ТОРМОЗ!$G$6:$G$64)*1)=0,"НЕТ","ОК")</f>
        <v/>
      </c>
    </row>
    <row r="72" ht="28.8" customHeight="1">
      <c r="A72" s="302">
        <f>ROW()-ROW(База[[#Headers],[№]])</f>
        <v/>
      </c>
      <c r="B72" s="311" t="inlineStr">
        <is>
          <t>ОТС</t>
        </is>
      </c>
      <c r="C72" s="399" t="n">
        <v>4006043300</v>
      </c>
      <c r="D72" s="378" t="inlineStr">
        <is>
          <t>Комплект головок соединительных (9522000220+95220022200, желтые, М16х1,5)</t>
        </is>
      </c>
      <c r="E72" s="724" t="n"/>
      <c r="F7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2" s="312">
        <f>IF(База[[#This Row],[Тип]]=0,IF(SUMPRODUCT((База[[#This Row],[Артикул]]=Комплекты[Комплект])*1)=0,"НЕТ","ОК"),"ОК")</f>
        <v/>
      </c>
      <c r="H72" s="312">
        <f>IF(SUMPRODUCT((База[[#This Row],[Артикул]]=ПНЕВМАТИКА!$G$6:$G$330)*1)=0,"НЕТ","ОК")</f>
        <v/>
      </c>
      <c r="I72" s="312">
        <f>IF(SUMPRODUCT((База[[#This Row],[Артикул]]=ТОРМОЗ!$G$6:$G$64)*1)=0,"НЕТ","ОК")</f>
        <v/>
      </c>
    </row>
    <row r="73">
      <c r="A73" s="302">
        <f>ROW()-ROW(База[[#Headers],[№]])</f>
        <v/>
      </c>
      <c r="B73" s="311" t="inlineStr">
        <is>
          <t>ОТС</t>
        </is>
      </c>
      <c r="C73" s="399" t="n">
        <v>4527110560</v>
      </c>
      <c r="D73" s="378" t="inlineStr">
        <is>
          <t>Трубка спиральная (красная), М16х1,5</t>
        </is>
      </c>
      <c r="E73" s="311" t="n"/>
      <c r="F7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3" s="312">
        <f>IF(База[[#This Row],[Тип]]=0,IF(SUMPRODUCT((База[[#This Row],[Артикул]]=Комплекты[Комплект])*1)=0,"НЕТ","ОК"),"ОК")</f>
        <v/>
      </c>
      <c r="H73" s="312">
        <f>IF(SUMPRODUCT((База[[#This Row],[Артикул]]=ПНЕВМАТИКА!$G$6:$G$330)*1)=0,"НЕТ","ОК")</f>
        <v/>
      </c>
      <c r="I73" s="312">
        <f>IF(SUMPRODUCT((База[[#This Row],[Артикул]]=ТОРМОЗ!$G$6:$G$64)*1)=0,"НЕТ","ОК")</f>
        <v/>
      </c>
    </row>
    <row r="74">
      <c r="A74" s="302">
        <f>ROW()-ROW(База[[#Headers],[№]])</f>
        <v/>
      </c>
      <c r="B74" s="311" t="inlineStr">
        <is>
          <t>ОТС</t>
        </is>
      </c>
      <c r="C74" s="399" t="n">
        <v>4527110570</v>
      </c>
      <c r="D74" s="378" t="inlineStr">
        <is>
          <t>Трубка спиральная (желтая), М16х1,5</t>
        </is>
      </c>
      <c r="E74" s="311" t="n"/>
      <c r="F7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4" s="312">
        <f>IF(База[[#This Row],[Тип]]=0,IF(SUMPRODUCT((База[[#This Row],[Артикул]]=Комплекты[Комплект])*1)=0,"НЕТ","ОК"),"ОК")</f>
        <v/>
      </c>
      <c r="H74" s="312">
        <f>IF(SUMPRODUCT((База[[#This Row],[Артикул]]=ПНЕВМАТИКА!$G$6:$G$330)*1)=0,"НЕТ","ОК")</f>
        <v/>
      </c>
      <c r="I74" s="312">
        <f>IF(SUMPRODUCT((База[[#This Row],[Артикул]]=ТОРМОЗ!$G$6:$G$64)*1)=0,"НЕТ","ОК")</f>
        <v/>
      </c>
    </row>
    <row r="75">
      <c r="A75" s="302">
        <f>ROW()-ROW(База[[#Headers],[№]])</f>
        <v/>
      </c>
      <c r="B75" s="311" t="inlineStr">
        <is>
          <t>ОТС</t>
        </is>
      </c>
      <c r="C75" s="399" t="n">
        <v>9522010010</v>
      </c>
      <c r="D75" s="378" t="inlineStr">
        <is>
          <t>Головка соединительная (управляющая)</t>
        </is>
      </c>
      <c r="E75" s="311" t="n"/>
      <c r="F7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5" s="312">
        <f>IF(База[[#This Row],[Тип]]=0,IF(SUMPRODUCT((База[[#This Row],[Артикул]]=Комплекты[Комплект])*1)=0,"НЕТ","ОК"),"ОК")</f>
        <v/>
      </c>
      <c r="H75" s="312">
        <f>IF(SUMPRODUCT((База[[#This Row],[Артикул]]=ПНЕВМАТИКА!$G$6:$G$330)*1)=0,"НЕТ","ОК")</f>
        <v/>
      </c>
      <c r="I75" s="312">
        <f>IF(SUMPRODUCT((База[[#This Row],[Артикул]]=ТОРМОЗ!$G$6:$G$64)*1)=0,"НЕТ","ОК")</f>
        <v/>
      </c>
    </row>
    <row r="76">
      <c r="A76" s="302">
        <f>ROW()-ROW(База[[#Headers],[№]])</f>
        <v/>
      </c>
      <c r="B76" s="311" t="inlineStr">
        <is>
          <t>ОТС</t>
        </is>
      </c>
      <c r="C76" s="399" t="n">
        <v>9522010020</v>
      </c>
      <c r="D76" s="378" t="inlineStr">
        <is>
          <t>Головка соединительная (питающая)</t>
        </is>
      </c>
      <c r="E76" s="311" t="n"/>
      <c r="F7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6" s="312">
        <f>IF(База[[#This Row],[Тип]]=0,IF(SUMPRODUCT((База[[#This Row],[Артикул]]=Комплекты[Комплект])*1)=0,"НЕТ","ОК"),"ОК")</f>
        <v/>
      </c>
      <c r="H76" s="312">
        <f>IF(SUMPRODUCT((База[[#This Row],[Артикул]]=ПНЕВМАТИКА!$G$6:$G$330)*1)=0,"НЕТ","ОК")</f>
        <v/>
      </c>
      <c r="I76" s="312">
        <f>IF(SUMPRODUCT((База[[#This Row],[Артикул]]=ТОРМОЗ!$G$6:$G$64)*1)=0,"НЕТ","ОК")</f>
        <v/>
      </c>
    </row>
    <row r="77">
      <c r="A77" s="302">
        <f>ROW()-ROW(База[[#Headers],[№]])</f>
        <v/>
      </c>
      <c r="B77" s="311" t="inlineStr">
        <is>
          <t>ОТС</t>
        </is>
      </c>
      <c r="C77" s="399" t="n">
        <v>9630010510</v>
      </c>
      <c r="D77" s="378" t="inlineStr">
        <is>
          <t>Клапан растормаживания сдвоенный</t>
        </is>
      </c>
      <c r="E77" s="311" t="n"/>
      <c r="F7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7" s="312">
        <f>IF(База[[#This Row],[Тип]]=0,IF(SUMPRODUCT((База[[#This Row],[Артикул]]=Комплекты[Комплект])*1)=0,"НЕТ","ОК"),"ОК")</f>
        <v/>
      </c>
      <c r="H77" s="312">
        <f>IF(SUMPRODUCT((База[[#This Row],[Артикул]]=ПНЕВМАТИКА!$G$6:$G$330)*1)=0,"НЕТ","ОК")</f>
        <v/>
      </c>
      <c r="I77" s="312">
        <f>IF(SUMPRODUCT((База[[#This Row],[Артикул]]=ТОРМОЗ!$G$6:$G$64)*1)=0,"НЕТ","ОК")</f>
        <v/>
      </c>
    </row>
    <row r="78">
      <c r="A78" s="302">
        <f>ROW()-ROW(База[[#Headers],[№]])</f>
        <v/>
      </c>
      <c r="B78" s="311" t="inlineStr">
        <is>
          <t>ОТС</t>
        </is>
      </c>
      <c r="C78" s="399" t="n">
        <v>9710020400</v>
      </c>
      <c r="D78" s="378" t="inlineStr">
        <is>
          <t>Воздухораспределитель (без кл. растормаживания)</t>
        </is>
      </c>
      <c r="E78" s="311" t="n"/>
      <c r="F7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8" s="312">
        <f>IF(База[[#This Row],[Тип]]=0,IF(SUMPRODUCT((База[[#This Row],[Артикул]]=Комплекты[Комплект])*1)=0,"НЕТ","ОК"),"ОК")</f>
        <v/>
      </c>
      <c r="H78" s="312">
        <f>IF(SUMPRODUCT((База[[#This Row],[Артикул]]=ПНЕВМАТИКА!$G$6:$G$330)*1)=0,"НЕТ","ОК")</f>
        <v/>
      </c>
      <c r="I78" s="312">
        <f>IF(SUMPRODUCT((База[[#This Row],[Артикул]]=ТОРМОЗ!$G$6:$G$64)*1)=0,"НЕТ","ОК")</f>
        <v/>
      </c>
    </row>
    <row r="79">
      <c r="A79" s="302">
        <f>ROW()-ROW(База[[#Headers],[№]])</f>
        <v/>
      </c>
      <c r="B79" s="311" t="inlineStr">
        <is>
          <t>ОТС</t>
        </is>
      </c>
      <c r="C79" s="399" t="n">
        <v>9730010100</v>
      </c>
      <c r="D79" s="378" t="inlineStr">
        <is>
          <t>Клапан ускорительный</t>
        </is>
      </c>
      <c r="E79" s="311" t="n"/>
      <c r="F7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79" s="312">
        <f>IF(База[[#This Row],[Тип]]=0,IF(SUMPRODUCT((База[[#This Row],[Артикул]]=Комплекты[Комплект])*1)=0,"НЕТ","ОК"),"ОК")</f>
        <v/>
      </c>
      <c r="H79" s="312">
        <f>IF(SUMPRODUCT((База[[#This Row],[Артикул]]=ПНЕВМАТИКА!$G$6:$G$330)*1)=0,"НЕТ","ОК")</f>
        <v/>
      </c>
      <c r="I79" s="312">
        <f>IF(SUMPRODUCT((База[[#This Row],[Артикул]]=ТОРМОЗ!$G$6:$G$64)*1)=0,"НЕТ","ОК")</f>
        <v/>
      </c>
    </row>
    <row r="80">
      <c r="A80" s="397">
        <f>ROW()-ROW(База[[#Headers],[№]])</f>
        <v/>
      </c>
      <c r="B80" s="392" t="inlineStr">
        <is>
          <t>ОТС</t>
        </is>
      </c>
      <c r="C80" s="393" t="n">
        <v>9730110000</v>
      </c>
      <c r="D80" s="394" t="inlineStr">
        <is>
          <t>Клапан ускорительный</t>
        </is>
      </c>
      <c r="E80" s="311" t="n"/>
      <c r="F80" s="395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0" s="395">
        <f>IF(База[[#This Row],[Тип]]=0,IF(SUMPRODUCT((База[[#This Row],[Артикул]]=Комплекты[Комплект])*1)=0,"НЕТ","ОК"),"ОК")</f>
        <v/>
      </c>
      <c r="H80" s="395">
        <f>IF(SUMPRODUCT((База[[#This Row],[Артикул]]=ПНЕВМАТИКА!$G$6:$G$330)*1)=0,"НЕТ","ОК")</f>
        <v/>
      </c>
      <c r="I80" s="395">
        <f>IF(SUMPRODUCT((База[[#This Row],[Артикул]]=ТОРМОЗ!$G$6:$G$64)*1)=0,"НЕТ","ОК")</f>
        <v/>
      </c>
    </row>
    <row r="81" ht="28.8" customHeight="1">
      <c r="A81" s="302">
        <f>ROW()-ROW(База[[#Headers],[№]])</f>
        <v/>
      </c>
      <c r="B81" s="311" t="inlineStr">
        <is>
          <t>ОТС</t>
        </is>
      </c>
      <c r="C81" s="399" t="n">
        <v>9735000510</v>
      </c>
      <c r="D81" s="378" t="inlineStr">
        <is>
          <t>Клапан быстрого растормаживания энергоаккумуляторов</t>
        </is>
      </c>
      <c r="E81" s="311" t="n"/>
      <c r="F8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1" s="312">
        <f>IF(База[[#This Row],[Тип]]=0,IF(SUMPRODUCT((База[[#This Row],[Артикул]]=Комплекты[Комплект])*1)=0,"НЕТ","ОК"),"ОК")</f>
        <v/>
      </c>
      <c r="H81" s="312">
        <f>IF(SUMPRODUCT((База[[#This Row],[Артикул]]=ПНЕВМАТИКА!$G$6:$G$330)*1)=0,"НЕТ","ОК")</f>
        <v/>
      </c>
      <c r="I81" s="312">
        <f>IF(SUMPRODUCT((База[[#This Row],[Артикул]]=ТОРМОЗ!$G$6:$G$64)*1)=0,"НЕТ","ОК")</f>
        <v/>
      </c>
    </row>
    <row r="82">
      <c r="A82" s="302">
        <f>ROW()-ROW(База[[#Headers],[№]])</f>
        <v/>
      </c>
      <c r="B82" s="311" t="inlineStr">
        <is>
          <t>Пневмоподвеска</t>
        </is>
      </c>
      <c r="C82" s="399" t="n">
        <v>4334010030</v>
      </c>
      <c r="D82" s="378" t="inlineStr">
        <is>
          <t>Упругий элемент</t>
        </is>
      </c>
      <c r="E82" s="311" t="n"/>
      <c r="F8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2" s="312">
        <f>IF(База[[#This Row],[Тип]]=0,IF(SUMPRODUCT((База[[#This Row],[Артикул]]=Комплекты[Комплект])*1)=0,"НЕТ","ОК"),"ОК")</f>
        <v/>
      </c>
      <c r="H82" s="312">
        <f>IF(SUMPRODUCT((База[[#This Row],[Артикул]]=ПНЕВМАТИКА!$G$6:$G$330)*1)=0,"НЕТ","ОК")</f>
        <v/>
      </c>
      <c r="I82" s="312">
        <f>IF(SUMPRODUCT((База[[#This Row],[Артикул]]=ТОРМОЗ!$G$6:$G$64)*1)=0,"НЕТ","ОК")</f>
        <v/>
      </c>
    </row>
    <row r="83">
      <c r="A83" s="302">
        <f>ROW()-ROW(База[[#Headers],[№]])</f>
        <v/>
      </c>
      <c r="B83" s="311" t="inlineStr">
        <is>
          <t>Пневмоподвеска</t>
        </is>
      </c>
      <c r="C83" s="399" t="n">
        <v>4630320200</v>
      </c>
      <c r="D83" s="378" t="inlineStr">
        <is>
          <t>Кран ручного управления</t>
        </is>
      </c>
      <c r="E83" s="311" t="n"/>
      <c r="F8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3" s="312">
        <f>IF(База[[#This Row],[Тип]]=0,IF(SUMPRODUCT((База[[#This Row],[Артикул]]=Комплекты[Комплект])*1)=0,"НЕТ","ОК"),"ОК")</f>
        <v/>
      </c>
      <c r="H83" s="312">
        <f>IF(SUMPRODUCT((База[[#This Row],[Артикул]]=ПНЕВМАТИКА!$G$6:$G$330)*1)=0,"НЕТ","ОК")</f>
        <v/>
      </c>
      <c r="I83" s="312">
        <f>IF(SUMPRODUCT((База[[#This Row],[Артикул]]=ТОРМОЗ!$G$6:$G$64)*1)=0,"НЕТ","ОК")</f>
        <v/>
      </c>
    </row>
    <row r="84">
      <c r="A84" s="302">
        <f>ROW()-ROW(База[[#Headers],[№]])</f>
        <v/>
      </c>
      <c r="B84" s="311" t="inlineStr">
        <is>
          <t>Пневмоподвеска</t>
        </is>
      </c>
      <c r="C84" s="399" t="n">
        <v>4640060020</v>
      </c>
      <c r="D84" s="435" t="inlineStr">
        <is>
          <t>Кран уровня пола</t>
        </is>
      </c>
      <c r="E84" s="311" t="n"/>
      <c r="F8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4" s="312">
        <f>IF(База[[#This Row],[Тип]]=0,IF(SUMPRODUCT((База[[#This Row],[Артикул]]=Комплекты[Комплект])*1)=0,"НЕТ","ОК"),"ОК")</f>
        <v/>
      </c>
      <c r="H84" s="312">
        <f>IF(SUMPRODUCT((База[[#This Row],[Артикул]]=ПНЕВМАТИКА!$G$6:$G$330)*1)=0,"НЕТ","ОК")</f>
        <v/>
      </c>
      <c r="I84" s="312">
        <f>IF(SUMPRODUCT((База[[#This Row],[Артикул]]=ТОРМОЗ!$G$6:$G$64)*1)=0,"НЕТ","ОК")</f>
        <v/>
      </c>
    </row>
    <row r="85">
      <c r="A85" s="302">
        <f>ROW()-ROW(База[[#Headers],[№]])</f>
        <v/>
      </c>
      <c r="B85" s="311" t="inlineStr">
        <is>
          <t>Пневмоподвеска</t>
        </is>
      </c>
      <c r="C85" s="399" t="n">
        <v>4640061000</v>
      </c>
      <c r="D85" s="435" t="inlineStr">
        <is>
          <t>Кран уровня пола</t>
        </is>
      </c>
      <c r="E85" s="311" t="n"/>
      <c r="F8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5" s="312">
        <f>IF(База[[#This Row],[Тип]]=0,IF(SUMPRODUCT((База[[#This Row],[Артикул]]=Комплекты[Комплект])*1)=0,"НЕТ","ОК"),"ОК")</f>
        <v/>
      </c>
      <c r="H85" s="312">
        <f>IF(SUMPRODUCT((База[[#This Row],[Артикул]]=ПНЕВМАТИКА!$G$6:$G$330)*1)=0,"НЕТ","ОК")</f>
        <v/>
      </c>
      <c r="I85" s="312">
        <f>IF(SUMPRODUCT((База[[#This Row],[Артикул]]=ТОРМОЗ!$G$6:$G$64)*1)=0,"НЕТ","ОК")</f>
        <v/>
      </c>
    </row>
    <row r="86">
      <c r="A86" s="302">
        <f>ROW()-ROW(База[[#Headers],[№]])</f>
        <v/>
      </c>
      <c r="B86" s="311" t="inlineStr">
        <is>
          <t>Пневмоподвеска</t>
        </is>
      </c>
      <c r="C86" s="399" t="inlineStr">
        <is>
          <t>PRO0320200</t>
        </is>
      </c>
      <c r="D86" s="378" t="inlineStr">
        <is>
          <t>Кран ручного управления</t>
        </is>
      </c>
      <c r="E86" s="311" t="n"/>
      <c r="F8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6" s="312">
        <f>IF(База[[#This Row],[Тип]]=0,IF(SUMPRODUCT((База[[#This Row],[Артикул]]=Комплекты[Комплект])*1)=0,"НЕТ","ОК"),"ОК")</f>
        <v/>
      </c>
      <c r="H86" s="312">
        <f>IF(SUMPRODUCT((База[[#This Row],[Артикул]]=ПНЕВМАТИКА!$G$6:$G$330)*1)=0,"НЕТ","ОК")</f>
        <v/>
      </c>
      <c r="I86" s="312">
        <f>IF(SUMPRODUCT((База[[#This Row],[Артикул]]=ТОРМОЗ!$G$6:$G$64)*1)=0,"НЕТ","ОК")</f>
        <v/>
      </c>
    </row>
    <row r="87">
      <c r="A87" s="302">
        <f>ROW()-ROW(База[[#Headers],[№]])</f>
        <v/>
      </c>
      <c r="B87" s="311" t="inlineStr">
        <is>
          <t>ТКЭА</t>
        </is>
      </c>
      <c r="C87" s="399" t="n">
        <v>4231069000</v>
      </c>
      <c r="D87" s="378" t="inlineStr">
        <is>
          <t>Камера тормозная тип 24</t>
        </is>
      </c>
      <c r="E87" s="311" t="n"/>
      <c r="F8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7" s="312">
        <f>IF(База[[#This Row],[Тип]]=0,IF(SUMPRODUCT((База[[#This Row],[Артикул]]=Комплекты[Комплект])*1)=0,"НЕТ","ОК"),"ОК")</f>
        <v/>
      </c>
      <c r="H87" s="312">
        <f>IF(SUMPRODUCT((База[[#This Row],[Артикул]]=ПНЕВМАТИКА!$G$6:$G$330)*1)=0,"НЕТ","ОК")</f>
        <v/>
      </c>
      <c r="I87" s="312">
        <f>IF(SUMPRODUCT((База[[#This Row],[Артикул]]=ТОРМОЗ!$G$6:$G$64)*1)=0,"НЕТ","ОК")</f>
        <v/>
      </c>
    </row>
    <row r="88">
      <c r="A88" s="302">
        <f>ROW()-ROW(База[[#Headers],[№]])</f>
        <v/>
      </c>
      <c r="B88" s="311" t="inlineStr">
        <is>
          <t>ТКЭА</t>
        </is>
      </c>
      <c r="C88" s="399" t="n">
        <v>4231079000</v>
      </c>
      <c r="D88" s="378" t="inlineStr">
        <is>
          <t>Камера тормозная тип 30</t>
        </is>
      </c>
      <c r="E88" s="311" t="n"/>
      <c r="F8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8" s="312">
        <f>IF(База[[#This Row],[Тип]]=0,IF(SUMPRODUCT((База[[#This Row],[Артикул]]=Комплекты[Комплект])*1)=0,"НЕТ","ОК"),"ОК")</f>
        <v/>
      </c>
      <c r="H88" s="312">
        <f>IF(SUMPRODUCT((База[[#This Row],[Артикул]]=ПНЕВМАТИКА!$G$6:$G$330)*1)=0,"НЕТ","ОК")</f>
        <v/>
      </c>
      <c r="I88" s="312">
        <f>IF(SUMPRODUCT((База[[#This Row],[Артикул]]=ТОРМОЗ!$G$6:$G$64)*1)=0,"НЕТ","ОК")</f>
        <v/>
      </c>
    </row>
    <row r="89">
      <c r="A89" s="302">
        <f>ROW()-ROW(База[[#Headers],[№]])</f>
        <v/>
      </c>
      <c r="B89" s="311" t="inlineStr">
        <is>
          <t>ТКЭА</t>
        </is>
      </c>
      <c r="C89" s="399" t="n">
        <v>4235041001</v>
      </c>
      <c r="D89" s="378" t="inlineStr">
        <is>
          <t>Тормозная камера, тип 20</t>
        </is>
      </c>
      <c r="E89" s="311" t="n"/>
      <c r="F8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89" s="312">
        <f>IF(База[[#This Row],[Тип]]=0,IF(SUMPRODUCT((База[[#This Row],[Артикул]]=Комплекты[Комплект])*1)=0,"НЕТ","ОК"),"ОК")</f>
        <v/>
      </c>
      <c r="H89" s="312">
        <f>IF(SUMPRODUCT((База[[#This Row],[Артикул]]=ПНЕВМАТИКА!$G$6:$G$330)*1)=0,"НЕТ","ОК")</f>
        <v/>
      </c>
      <c r="I89" s="312">
        <f>IF(SUMPRODUCT((База[[#This Row],[Артикул]]=ТОРМОЗ!$G$6:$G$64)*1)=0,"НЕТ","ОК")</f>
        <v/>
      </c>
    </row>
    <row r="90">
      <c r="A90" s="302">
        <f>ROW()-ROW(База[[#Headers],[№]])</f>
        <v/>
      </c>
      <c r="B90" s="311" t="inlineStr">
        <is>
          <t>ТКЭА</t>
        </is>
      </c>
      <c r="C90" s="399" t="n">
        <v>4235041050</v>
      </c>
      <c r="D90" s="378" t="inlineStr">
        <is>
          <t>Тормозная камера, тип 16</t>
        </is>
      </c>
      <c r="E90" s="311" t="n"/>
      <c r="F9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0" s="312">
        <f>IF(База[[#This Row],[Тип]]=0,IF(SUMPRODUCT((База[[#This Row],[Артикул]]=Комплекты[Комплект])*1)=0,"НЕТ","ОК"),"ОК")</f>
        <v/>
      </c>
      <c r="H90" s="312">
        <f>IF(SUMPRODUCT((База[[#This Row],[Артикул]]=ПНЕВМАТИКА!$G$6:$G$330)*1)=0,"НЕТ","ОК")</f>
        <v/>
      </c>
      <c r="I90" s="312">
        <f>IF(SUMPRODUCT((База[[#This Row],[Артикул]]=ТОРМОЗ!$G$6:$G$64)*1)=0,"НЕТ","ОК")</f>
        <v/>
      </c>
    </row>
    <row r="91">
      <c r="A91" s="302">
        <f>ROW()-ROW(База[[#Headers],[№]])</f>
        <v/>
      </c>
      <c r="B91" s="311" t="inlineStr">
        <is>
          <t>ТКЭА</t>
        </is>
      </c>
      <c r="C91" s="399" t="n">
        <v>4235041060</v>
      </c>
      <c r="D91" s="378" t="inlineStr">
        <is>
          <t>Тормозная камера, тип 44</t>
        </is>
      </c>
      <c r="E91" s="311" t="n"/>
      <c r="F9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1" s="312">
        <f>IF(База[[#This Row],[Тип]]=0,IF(SUMPRODUCT((База[[#This Row],[Артикул]]=Комплекты[Комплект])*1)=0,"НЕТ","ОК"),"ОК")</f>
        <v/>
      </c>
      <c r="H91" s="312">
        <f>IF(SUMPRODUCT((База[[#This Row],[Артикул]]=ПНЕВМАТИКА!$G$6:$G$330)*1)=0,"НЕТ","ОК")</f>
        <v/>
      </c>
      <c r="I91" s="312">
        <f>IF(SUMPRODUCT((База[[#This Row],[Артикул]]=ТОРМОЗ!$G$6:$G$64)*1)=0,"НЕТ","ОК")</f>
        <v/>
      </c>
    </row>
    <row r="92">
      <c r="A92" s="302">
        <f>ROW()-ROW(База[[#Headers],[№]])</f>
        <v/>
      </c>
      <c r="B92" s="311" t="inlineStr">
        <is>
          <t>ТКЭА</t>
        </is>
      </c>
      <c r="C92" s="399" t="n">
        <v>4235050030</v>
      </c>
      <c r="D92" s="378" t="inlineStr">
        <is>
          <t>Тормозная камера, тип 20</t>
        </is>
      </c>
      <c r="E92" s="311" t="n"/>
      <c r="F9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2" s="312">
        <f>IF(База[[#This Row],[Тип]]=0,IF(SUMPRODUCT((База[[#This Row],[Артикул]]=Комплекты[Комплект])*1)=0,"НЕТ","ОК"),"ОК")</f>
        <v/>
      </c>
      <c r="H92" s="312">
        <f>IF(SUMPRODUCT((База[[#This Row],[Артикул]]=ПНЕВМАТИКА!$G$6:$G$330)*1)=0,"НЕТ","ОК")</f>
        <v/>
      </c>
      <c r="I92" s="312">
        <f>IF(SUMPRODUCT((База[[#This Row],[Артикул]]=ТОРМОЗ!$G$6:$G$64)*1)=0,"НЕТ","ОК")</f>
        <v/>
      </c>
    </row>
    <row r="93">
      <c r="A93" s="302">
        <f>ROW()-ROW(База[[#Headers],[№]])</f>
        <v/>
      </c>
      <c r="B93" s="311" t="inlineStr">
        <is>
          <t>ТКЭА</t>
        </is>
      </c>
      <c r="C93" s="399" t="n">
        <v>9253761210</v>
      </c>
      <c r="D93" s="378" t="inlineStr">
        <is>
          <t>Энергоаккумулятор тип 24/30</t>
        </is>
      </c>
      <c r="E93" s="311" t="n"/>
      <c r="F9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3" s="312">
        <f>IF(База[[#This Row],[Тип]]=0,IF(SUMPRODUCT((База[[#This Row],[Артикул]]=Комплекты[Комплект])*1)=0,"НЕТ","ОК"),"ОК")</f>
        <v/>
      </c>
      <c r="H93" s="312">
        <f>IF(SUMPRODUCT((База[[#This Row],[Артикул]]=ПНЕВМАТИКА!$G$6:$G$330)*1)=0,"НЕТ","ОК")</f>
        <v/>
      </c>
      <c r="I93" s="312">
        <f>IF(SUMPRODUCT((База[[#This Row],[Артикул]]=ТОРМОЗ!$G$6:$G$64)*1)=0,"НЕТ","ОК")</f>
        <v/>
      </c>
    </row>
    <row r="94">
      <c r="A94" s="302">
        <f>ROW()-ROW(База[[#Headers],[№]])</f>
        <v/>
      </c>
      <c r="B94" s="311" t="inlineStr">
        <is>
          <t>ТКЭА</t>
        </is>
      </c>
      <c r="C94" s="399" t="n">
        <v>9253771100</v>
      </c>
      <c r="D94" s="378" t="inlineStr">
        <is>
          <t>Энергоаккумулятор тип 30/30</t>
        </is>
      </c>
      <c r="E94" s="311" t="n"/>
      <c r="F9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4" s="312">
        <f>IF(База[[#This Row],[Тип]]=0,IF(SUMPRODUCT((База[[#This Row],[Артикул]]=Комплекты[Комплект])*1)=0,"НЕТ","ОК"),"ОК")</f>
        <v/>
      </c>
      <c r="H94" s="312">
        <f>IF(SUMPRODUCT((База[[#This Row],[Артикул]]=ПНЕВМАТИКА!$G$6:$G$330)*1)=0,"НЕТ","ОК")</f>
        <v/>
      </c>
      <c r="I94" s="312">
        <f>IF(SUMPRODUCT((База[[#This Row],[Артикул]]=ТОРМОЗ!$G$6:$G$64)*1)=0,"НЕТ","ОК")</f>
        <v/>
      </c>
    </row>
    <row r="95">
      <c r="A95" s="302">
        <f>ROW()-ROW(База[[#Headers],[№]])</f>
        <v/>
      </c>
      <c r="B95" s="311" t="inlineStr">
        <is>
          <t>ТКЭА</t>
        </is>
      </c>
      <c r="C95" s="399" t="n">
        <v>9254800504</v>
      </c>
      <c r="D95" s="378" t="inlineStr">
        <is>
          <t>Энергоаккумулятор, тип 20/24</t>
        </is>
      </c>
      <c r="E95" s="311" t="n"/>
      <c r="F9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5" s="312">
        <f>IF(База[[#This Row],[Тип]]=0,IF(SUMPRODUCT((База[[#This Row],[Артикул]]=Комплекты[Комплект])*1)=0,"НЕТ","ОК"),"ОК")</f>
        <v/>
      </c>
      <c r="H95" s="312">
        <f>IF(SUMPRODUCT((База[[#This Row],[Артикул]]=ПНЕВМАТИКА!$G$6:$G$330)*1)=0,"НЕТ","ОК")</f>
        <v/>
      </c>
      <c r="I95" s="312">
        <f>IF(SUMPRODUCT((База[[#This Row],[Артикул]]=ТОРМОЗ!$G$6:$G$64)*1)=0,"НЕТ","ОК")</f>
        <v/>
      </c>
    </row>
    <row r="96">
      <c r="A96" s="302">
        <f>ROW()-ROW(База[[#Headers],[№]])</f>
        <v/>
      </c>
      <c r="B96" s="311" t="inlineStr">
        <is>
          <t>ТКЭА</t>
        </is>
      </c>
      <c r="C96" s="399" t="n">
        <v>9254800506</v>
      </c>
      <c r="D96" s="378" t="inlineStr">
        <is>
          <t>Энергоаккумулятор, тип 20/24</t>
        </is>
      </c>
      <c r="E96" s="311" t="n"/>
      <c r="F9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6" s="312">
        <f>IF(База[[#This Row],[Тип]]=0,IF(SUMPRODUCT((База[[#This Row],[Артикул]]=Комплекты[Комплект])*1)=0,"НЕТ","ОК"),"ОК")</f>
        <v/>
      </c>
      <c r="H96" s="312">
        <f>IF(SUMPRODUCT((База[[#This Row],[Артикул]]=ПНЕВМАТИКА!$G$6:$G$330)*1)=0,"НЕТ","ОК")</f>
        <v/>
      </c>
      <c r="I96" s="312">
        <f>IF(SUMPRODUCT((База[[#This Row],[Артикул]]=ТОРМОЗ!$G$6:$G$64)*1)=0,"НЕТ","ОК")</f>
        <v/>
      </c>
    </row>
    <row r="97">
      <c r="A97" s="302">
        <f>ROW()-ROW(База[[#Headers],[№]])</f>
        <v/>
      </c>
      <c r="B97" s="311" t="inlineStr">
        <is>
          <t>ТКЭА</t>
        </is>
      </c>
      <c r="C97" s="399" t="n">
        <v>9254800620</v>
      </c>
      <c r="D97" s="378" t="inlineStr">
        <is>
          <t>Энергоаккумулятор, тип 16/24</t>
        </is>
      </c>
      <c r="E97" s="311" t="n"/>
      <c r="F9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7" s="312">
        <f>IF(База[[#This Row],[Тип]]=0,IF(SUMPRODUCT((База[[#This Row],[Артикул]]=Комплекты[Комплект])*1)=0,"НЕТ","ОК"),"ОК")</f>
        <v/>
      </c>
      <c r="H97" s="312">
        <f>IF(SUMPRODUCT((База[[#This Row],[Артикул]]=ПНЕВМАТИКА!$G$6:$G$330)*1)=0,"НЕТ","ОК")</f>
        <v/>
      </c>
      <c r="I97" s="312">
        <f>IF(SUMPRODUCT((База[[#This Row],[Артикул]]=ТОРМОЗ!$G$6:$G$64)*1)=0,"НЕТ","ОК")</f>
        <v/>
      </c>
    </row>
    <row r="98">
      <c r="A98" s="302">
        <f>ROW()-ROW(База[[#Headers],[№]])</f>
        <v/>
      </c>
      <c r="B98" s="311" t="inlineStr">
        <is>
          <t>ТКЭА</t>
        </is>
      </c>
      <c r="C98" s="399" t="n">
        <v>9254849611</v>
      </c>
      <c r="D98" s="378" t="inlineStr">
        <is>
          <t>Энергоаккумулятор, тип 16/24</t>
        </is>
      </c>
      <c r="E98" s="311" t="n"/>
      <c r="F9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8" s="312">
        <f>IF(База[[#This Row],[Тип]]=0,IF(SUMPRODUCT((База[[#This Row],[Артикул]]=Комплекты[Комплект])*1)=0,"НЕТ","ОК"),"ОК")</f>
        <v/>
      </c>
      <c r="H98" s="312">
        <f>IF(SUMPRODUCT((База[[#This Row],[Артикул]]=ПНЕВМАТИКА!$G$6:$G$330)*1)=0,"НЕТ","ОК")</f>
        <v/>
      </c>
      <c r="I98" s="312">
        <f>IF(SUMPRODUCT((База[[#This Row],[Артикул]]=ТОРМОЗ!$G$6:$G$64)*1)=0,"НЕТ","ОК")</f>
        <v/>
      </c>
    </row>
    <row r="99">
      <c r="A99" s="302">
        <f>ROW()-ROW(База[[#Headers],[№]])</f>
        <v/>
      </c>
      <c r="B99" s="311" t="inlineStr">
        <is>
          <t>ТКЭА</t>
        </is>
      </c>
      <c r="C99" s="399" t="inlineStr">
        <is>
          <t>S4240002000</t>
        </is>
      </c>
      <c r="D99" s="378" t="inlineStr">
        <is>
          <t>Комплект удлинения</t>
        </is>
      </c>
      <c r="E99" s="311" t="n"/>
      <c r="F9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99" s="312">
        <f>IF(База[[#This Row],[Тип]]=0,IF(SUMPRODUCT((База[[#This Row],[Артикул]]=Комплекты[Комплект])*1)=0,"НЕТ","ОК"),"ОК")</f>
        <v/>
      </c>
      <c r="H99" s="312">
        <f>IF(SUMPRODUCT((База[[#This Row],[Артикул]]=ПНЕВМАТИКА!$G$6:$G$330)*1)=0,"НЕТ","ОК")</f>
        <v/>
      </c>
      <c r="I99" s="312">
        <f>IF(SUMPRODUCT((База[[#This Row],[Артикул]]=ТОРМОЗ!$G$6:$G$64)*1)=0,"НЕТ","ОК")</f>
        <v/>
      </c>
    </row>
    <row r="100">
      <c r="A100" s="302">
        <f>ROW()-ROW(База[[#Headers],[№]])</f>
        <v/>
      </c>
      <c r="B100" s="311" t="inlineStr">
        <is>
          <t>Трубка</t>
        </is>
      </c>
      <c r="C100" s="399" t="n">
        <v>8282510086</v>
      </c>
      <c r="D100" s="378" t="inlineStr">
        <is>
          <t>Трубка пластиковая 8x1, бухта 100м (м)</t>
        </is>
      </c>
      <c r="E100" s="311" t="n"/>
      <c r="F10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0" s="312">
        <f>IF(База[[#This Row],[Тип]]=0,IF(SUMPRODUCT((База[[#This Row],[Артикул]]=Комплекты[Комплект])*1)=0,"НЕТ","ОК"),"ОК")</f>
        <v/>
      </c>
      <c r="H100" s="312">
        <f>IF(SUMPRODUCT((База[[#This Row],[Артикул]]=ПНЕВМАТИКА!$G$6:$G$330)*1)=0,"НЕТ","ОК")</f>
        <v/>
      </c>
      <c r="I100" s="312">
        <f>IF(SUMPRODUCT((База[[#This Row],[Артикул]]=ТОРМОЗ!$G$6:$G$64)*1)=0,"НЕТ","ОК")</f>
        <v/>
      </c>
    </row>
    <row r="101">
      <c r="A101" s="302">
        <f>ROW()-ROW(База[[#Headers],[№]])</f>
        <v/>
      </c>
      <c r="B101" s="311" t="inlineStr">
        <is>
          <t>Трубка</t>
        </is>
      </c>
      <c r="C101" s="399" t="n">
        <v>8282510106</v>
      </c>
      <c r="D101" s="378" t="inlineStr">
        <is>
          <t>Трубка пластиковая 10x1, бухта 100м (м)</t>
        </is>
      </c>
      <c r="E101" s="311" t="n"/>
      <c r="F10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1" s="312">
        <f>IF(База[[#This Row],[Тип]]=0,IF(SUMPRODUCT((База[[#This Row],[Артикул]]=Комплекты[Комплект])*1)=0,"НЕТ","ОК"),"ОК")</f>
        <v/>
      </c>
      <c r="H101" s="312">
        <f>IF(SUMPRODUCT((База[[#This Row],[Артикул]]=ПНЕВМАТИКА!$G$6:$G$330)*1)=0,"НЕТ","ОК")</f>
        <v/>
      </c>
      <c r="I101" s="312">
        <f>IF(SUMPRODUCT((База[[#This Row],[Артикул]]=ТОРМОЗ!$G$6:$G$64)*1)=0,"НЕТ","ОК")</f>
        <v/>
      </c>
    </row>
    <row r="102">
      <c r="A102" s="302">
        <f>ROW()-ROW(База[[#Headers],[№]])</f>
        <v/>
      </c>
      <c r="B102" s="311" t="inlineStr">
        <is>
          <t>Трубка</t>
        </is>
      </c>
      <c r="C102" s="399" t="n">
        <v>8282510126</v>
      </c>
      <c r="D102" s="378" t="inlineStr">
        <is>
          <t>Трубка пластиковая 12x1,5, бухта 100м (м)</t>
        </is>
      </c>
      <c r="E102" s="311" t="n"/>
      <c r="F10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2" s="312">
        <f>IF(База[[#This Row],[Тип]]=0,IF(SUMPRODUCT((База[[#This Row],[Артикул]]=Комплекты[Комплект])*1)=0,"НЕТ","ОК"),"ОК")</f>
        <v/>
      </c>
      <c r="H102" s="312">
        <f>IF(SUMPRODUCT((База[[#This Row],[Артикул]]=ПНЕВМАТИКА!$G$6:$G$330)*1)=0,"НЕТ","ОК")</f>
        <v/>
      </c>
      <c r="I102" s="312">
        <f>IF(SUMPRODUCT((База[[#This Row],[Артикул]]=ТОРМОЗ!$G$6:$G$64)*1)=0,"НЕТ","ОК")</f>
        <v/>
      </c>
    </row>
    <row r="103">
      <c r="A103" s="302">
        <f>ROW()-ROW(База[[#Headers],[№]])</f>
        <v/>
      </c>
      <c r="B103" s="311" t="inlineStr">
        <is>
          <t>Трубка</t>
        </is>
      </c>
      <c r="C103" s="399" t="n">
        <v>8282519676</v>
      </c>
      <c r="D103" s="378" t="inlineStr">
        <is>
          <t>Трубка пластиковая 6x1, бухта 100м (м)</t>
        </is>
      </c>
      <c r="E103" s="311" t="n"/>
      <c r="F10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3" s="312">
        <f>IF(База[[#This Row],[Тип]]=0,IF(SUMPRODUCT((База[[#This Row],[Артикул]]=Комплекты[Комплект])*1)=0,"НЕТ","ОК"),"ОК")</f>
        <v/>
      </c>
      <c r="H103" s="312">
        <f>IF(SUMPRODUCT((База[[#This Row],[Артикул]]=ПНЕВМАТИКА!$G$6:$G$330)*1)=0,"НЕТ","ОК")</f>
        <v/>
      </c>
      <c r="I103" s="312">
        <f>IF(SUMPRODUCT((База[[#This Row],[Артикул]]=ТОРМОЗ!$G$6:$G$64)*1)=0,"НЕТ","ОК")</f>
        <v/>
      </c>
    </row>
    <row r="104">
      <c r="A104" s="302">
        <f>ROW()-ROW(База[[#Headers],[№]])</f>
        <v/>
      </c>
      <c r="B104" s="311" t="inlineStr">
        <is>
          <t>Трубка</t>
        </is>
      </c>
      <c r="C104" s="399" t="n">
        <v>8282519726</v>
      </c>
      <c r="D104" s="378" t="inlineStr">
        <is>
          <t>Трубка пластиковая 15x1,5, бухта 50м (м)</t>
        </is>
      </c>
      <c r="E104" s="311" t="n"/>
      <c r="F10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4" s="312">
        <f>IF(База[[#This Row],[Тип]]=0,IF(SUMPRODUCT((База[[#This Row],[Артикул]]=Комплекты[Комплект])*1)=0,"НЕТ","ОК"),"ОК")</f>
        <v/>
      </c>
      <c r="H104" s="312">
        <f>IF(SUMPRODUCT((База[[#This Row],[Артикул]]=ПНЕВМАТИКА!$G$6:$G$330)*1)=0,"НЕТ","ОК")</f>
        <v/>
      </c>
      <c r="I104" s="312">
        <f>IF(SUMPRODUCT((База[[#This Row],[Артикул]]=ТОРМОЗ!$G$6:$G$64)*1)=0,"НЕТ","ОК")</f>
        <v/>
      </c>
    </row>
    <row r="105">
      <c r="A105" s="302">
        <f>ROW()-ROW(База[[#Headers],[№]])</f>
        <v/>
      </c>
      <c r="B105" s="311" t="inlineStr">
        <is>
          <t>Трубка</t>
        </is>
      </c>
      <c r="C105" s="399" t="n">
        <v>8282520016</v>
      </c>
      <c r="D105" s="378" t="inlineStr">
        <is>
          <t>Трубка пластиковая 12x1,5, бухта 500м</t>
        </is>
      </c>
      <c r="E105" s="311" t="n"/>
      <c r="F10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5" s="312">
        <f>IF(База[[#This Row],[Тип]]=0,IF(SUMPRODUCT((База[[#This Row],[Артикул]]=Комплекты[Комплект])*1)=0,"НЕТ","ОК"),"ОК")</f>
        <v/>
      </c>
      <c r="H105" s="312">
        <f>IF(SUMPRODUCT((База[[#This Row],[Артикул]]=ПНЕВМАТИКА!$G$6:$G$330)*1)=0,"НЕТ","ОК")</f>
        <v/>
      </c>
      <c r="I105" s="312">
        <f>IF(SUMPRODUCT((База[[#This Row],[Артикул]]=ТОРМОЗ!$G$6:$G$64)*1)=0,"НЕТ","ОК")</f>
        <v/>
      </c>
    </row>
    <row r="106">
      <c r="A106" s="302">
        <f>ROW()-ROW(База[[#Headers],[№]])</f>
        <v/>
      </c>
      <c r="B106" s="311" t="inlineStr">
        <is>
          <t>Универсальный</t>
        </is>
      </c>
      <c r="C106" s="399" t="n">
        <v>4341000270</v>
      </c>
      <c r="D106" s="378" t="inlineStr">
        <is>
          <t>Клапан перепускной</t>
        </is>
      </c>
      <c r="E106" s="311" t="n"/>
      <c r="F10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6" s="312">
        <f>IF(База[[#This Row],[Тип]]=0,IF(SUMPRODUCT((База[[#This Row],[Артикул]]=Комплекты[Комплект])*1)=0,"НЕТ","ОК"),"ОК")</f>
        <v/>
      </c>
      <c r="H106" s="312">
        <f>IF(SUMPRODUCT((База[[#This Row],[Артикул]]=ПНЕВМАТИКА!$G$6:$G$330)*1)=0,"НЕТ","ОК")</f>
        <v/>
      </c>
      <c r="I106" s="312">
        <f>IF(SUMPRODUCT((База[[#This Row],[Артикул]]=ТОРМОЗ!$G$6:$G$64)*1)=0,"НЕТ","ОК")</f>
        <v/>
      </c>
    </row>
    <row r="107">
      <c r="A107" s="302">
        <f>ROW()-ROW(База[[#Headers],[№]])</f>
        <v/>
      </c>
      <c r="B107" s="311" t="inlineStr">
        <is>
          <t>Универсальный</t>
        </is>
      </c>
      <c r="C107" s="399" t="n">
        <v>4341001250</v>
      </c>
      <c r="D107" s="378" t="inlineStr">
        <is>
          <t>Клапан перепускной</t>
        </is>
      </c>
      <c r="E107" s="311" t="n"/>
      <c r="F10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7" s="312">
        <f>IF(База[[#This Row],[Тип]]=0,IF(SUMPRODUCT((База[[#This Row],[Артикул]]=Комплекты[Комплект])*1)=0,"НЕТ","ОК"),"ОК")</f>
        <v/>
      </c>
      <c r="H107" s="312">
        <f>IF(SUMPRODUCT((База[[#This Row],[Артикул]]=ПНЕВМАТИКА!$G$6:$G$330)*1)=0,"НЕТ","ОК")</f>
        <v/>
      </c>
      <c r="I107" s="312">
        <f>IF(SUMPRODUCT((База[[#This Row],[Артикул]]=ТОРМОЗ!$G$6:$G$64)*1)=0,"НЕТ","ОК")</f>
        <v/>
      </c>
    </row>
    <row r="108">
      <c r="A108" s="302">
        <f>ROW()-ROW(База[[#Headers],[№]])</f>
        <v/>
      </c>
      <c r="B108" s="311" t="inlineStr">
        <is>
          <t>Универсальный</t>
        </is>
      </c>
      <c r="C108" s="399" t="n">
        <v>4750103050</v>
      </c>
      <c r="D108" s="378" t="inlineStr">
        <is>
          <t>Клапан ограничения давления</t>
        </is>
      </c>
      <c r="E108" s="311" t="n"/>
      <c r="F10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8" s="312">
        <f>IF(База[[#This Row],[Тип]]=0,IF(SUMPRODUCT((База[[#This Row],[Артикул]]=Комплекты[Комплект])*1)=0,"НЕТ","ОК"),"ОК")</f>
        <v/>
      </c>
      <c r="H108" s="312">
        <f>IF(SUMPRODUCT((База[[#This Row],[Артикул]]=ПНЕВМАТИКА!$G$6:$G$330)*1)=0,"НЕТ","ОК")</f>
        <v/>
      </c>
      <c r="I108" s="312">
        <f>IF(SUMPRODUCT((База[[#This Row],[Артикул]]=ТОРМОЗ!$G$6:$G$64)*1)=0,"НЕТ","ОК")</f>
        <v/>
      </c>
    </row>
    <row r="109">
      <c r="A109" s="302">
        <f>ROW()-ROW(База[[#Headers],[№]])</f>
        <v/>
      </c>
      <c r="B109" s="311" t="inlineStr">
        <is>
          <t>Шланг</t>
        </is>
      </c>
      <c r="C109" s="399" t="n">
        <v>828877016</v>
      </c>
      <c r="D109" s="378" t="inlineStr">
        <is>
          <t>Шланг тормозной (м)</t>
        </is>
      </c>
      <c r="E109" s="311" t="n"/>
      <c r="F10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09" s="312">
        <f>IF(База[[#This Row],[Тип]]=0,IF(SUMPRODUCT((База[[#This Row],[Артикул]]=Комплекты[Комплект])*1)=0,"НЕТ","ОК"),"ОК")</f>
        <v/>
      </c>
      <c r="H109" s="312">
        <f>IF(SUMPRODUCT((База[[#This Row],[Артикул]]=ПНЕВМАТИКА!$G$6:$G$330)*1)=0,"НЕТ","ОК")</f>
        <v/>
      </c>
      <c r="I109" s="312">
        <f>IF(SUMPRODUCT((База[[#This Row],[Артикул]]=ТОРМОЗ!$G$6:$G$64)*1)=0,"НЕТ","ОК")</f>
        <v/>
      </c>
    </row>
    <row r="110">
      <c r="A110" s="302">
        <f>ROW()-ROW(База[[#Headers],[№]])</f>
        <v/>
      </c>
      <c r="B110" s="311" t="n"/>
      <c r="C110" s="399" t="n">
        <v>4441000010</v>
      </c>
      <c r="D110" s="435" t="inlineStr">
        <is>
          <t>Комплект "Пневматическая подвеска без АРТС"</t>
        </is>
      </c>
      <c r="E110" s="311" t="n"/>
      <c r="F11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0" s="312">
        <f>IF(База[[#This Row],[Тип]]=0,IF(SUMPRODUCT((База[[#This Row],[Артикул]]=Комплекты[Комплект])*1)=0,"НЕТ","ОК"),"ОК")</f>
        <v/>
      </c>
      <c r="H110" s="312">
        <f>IF(SUMPRODUCT((База[[#This Row],[Артикул]]=ПНЕВМАТИКА!$G$6:$G$330)*1)=0,"НЕТ","ОК")</f>
        <v/>
      </c>
      <c r="I110" s="312">
        <f>IF(SUMPRODUCT((База[[#This Row],[Артикул]]=ТОРМОЗ!$G$6:$G$64)*1)=0,"НЕТ","ОК")</f>
        <v/>
      </c>
    </row>
    <row r="111">
      <c r="A111" s="302">
        <f>ROW()-ROW(База[[#Headers],[№]])</f>
        <v/>
      </c>
      <c r="B111" s="311" t="n"/>
      <c r="C111" s="399" t="n">
        <v>4441000020</v>
      </c>
      <c r="D111" s="435" t="inlineStr">
        <is>
          <t>Комплект "Пневматическая подвеска с АРТС"</t>
        </is>
      </c>
      <c r="E111" s="311" t="n"/>
      <c r="F11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1" s="312">
        <f>IF(База[[#This Row],[Тип]]=0,IF(SUMPRODUCT((База[[#This Row],[Артикул]]=Комплекты[Комплект])*1)=0,"НЕТ","ОК"),"ОК")</f>
        <v/>
      </c>
      <c r="H111" s="312">
        <f>IF(SUMPRODUCT((База[[#This Row],[Артикул]]=ПНЕВМАТИКА!$G$6:$G$330)*1)=0,"НЕТ","ОК")</f>
        <v/>
      </c>
      <c r="I111" s="312">
        <f>IF(SUMPRODUCT((База[[#This Row],[Артикул]]=ТОРМОЗ!$G$6:$G$64)*1)=0,"НЕТ","ОК")</f>
        <v/>
      </c>
    </row>
    <row r="112">
      <c r="A112" s="302">
        <f>ROW()-ROW(База[[#Headers],[№]])</f>
        <v/>
      </c>
      <c r="B112" s="311" t="n"/>
      <c r="C112" s="399" t="n">
        <v>4441000040</v>
      </c>
      <c r="D112" s="435" t="inlineStr">
        <is>
          <t>Комплект расширения "ABS 3M (10 / 3 м)"</t>
        </is>
      </c>
      <c r="E112" s="311" t="n"/>
      <c r="F11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2" s="312">
        <f>IF(База[[#This Row],[Тип]]=0,IF(SUMPRODUCT((База[[#This Row],[Артикул]]=Комплекты[Комплект])*1)=0,"НЕТ","ОК"),"ОК")</f>
        <v/>
      </c>
      <c r="H112" s="312">
        <f>IF(SUMPRODUCT((База[[#This Row],[Артикул]]=ПНЕВМАТИКА!$G$6:$G$330)*1)=0,"НЕТ","ОК")</f>
        <v/>
      </c>
      <c r="I112" s="312">
        <f>IF(SUMPRODUCT((База[[#This Row],[Артикул]]=ТОРМОЗ!$G$6:$G$64)*1)=0,"НЕТ","ОК")</f>
        <v/>
      </c>
    </row>
    <row r="113">
      <c r="A113" s="302">
        <f>ROW()-ROW(База[[#Headers],[№]])</f>
        <v/>
      </c>
      <c r="B113" s="311" t="n"/>
      <c r="C113" s="399" t="n">
        <v>4441000050</v>
      </c>
      <c r="D113" s="435" t="inlineStr">
        <is>
          <t>Комплект базовый "ABS W 2S/2M (12 м)"</t>
        </is>
      </c>
      <c r="E113" s="311" t="inlineStr">
        <is>
          <t>Блок 088 + кабель 370</t>
        </is>
      </c>
      <c r="F11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3" s="312">
        <f>IF(База[[#This Row],[Тип]]=0,IF(SUMPRODUCT((База[[#This Row],[Артикул]]=Комплекты[Комплект])*1)=0,"НЕТ","ОК"),"ОК")</f>
        <v/>
      </c>
      <c r="H113" s="312">
        <f>IF(SUMPRODUCT((База[[#This Row],[Артикул]]=ПНЕВМАТИКА!$G$6:$G$330)*1)=0,"НЕТ","ОК")</f>
        <v/>
      </c>
      <c r="I113" s="312">
        <f>IF(SUMPRODUCT((База[[#This Row],[Артикул]]=ТОРМОЗ!$G$6:$G$64)*1)=0,"НЕТ","ОК")</f>
        <v/>
      </c>
    </row>
    <row r="114">
      <c r="A114" s="302">
        <f>ROW()-ROW(База[[#Headers],[№]])</f>
        <v/>
      </c>
      <c r="B114" s="311" t="n"/>
      <c r="C114" s="399" t="n">
        <v>4441000060</v>
      </c>
      <c r="D114" s="435" t="inlineStr">
        <is>
          <t>Комплект базовый "ABS W 2S/2M (12 м)"</t>
        </is>
      </c>
      <c r="E114" s="311" t="inlineStr">
        <is>
          <t>Блок 081 + кабель 379</t>
        </is>
      </c>
      <c r="F11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4" s="312">
        <f>IF(База[[#This Row],[Тип]]=0,IF(SUMPRODUCT((База[[#This Row],[Артикул]]=Комплекты[Комплект])*1)=0,"НЕТ","ОК"),"ОК")</f>
        <v/>
      </c>
      <c r="H114" s="312">
        <f>IF(SUMPRODUCT((База[[#This Row],[Артикул]]=ПНЕВМАТИКА!$G$6:$G$330)*1)=0,"НЕТ","ОК")</f>
        <v/>
      </c>
      <c r="I114" s="312">
        <f>IF(SUMPRODUCT((База[[#This Row],[Артикул]]=ТОРМОЗ!$G$6:$G$64)*1)=0,"НЕТ","ОК")</f>
        <v/>
      </c>
    </row>
    <row r="115">
      <c r="A115" s="302">
        <f>ROW()-ROW(База[[#Headers],[№]])</f>
        <v/>
      </c>
      <c r="B115" s="311" t="n"/>
      <c r="C115" s="399" t="n">
        <v>4441000070</v>
      </c>
      <c r="D115" s="435" t="inlineStr">
        <is>
          <t>Комплект базовый "ABS W 4S/2M (12 м)"</t>
        </is>
      </c>
      <c r="E115" s="311" t="inlineStr">
        <is>
          <t>Блок 088 + кабель 370</t>
        </is>
      </c>
      <c r="F11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5" s="312">
        <f>IF(База[[#This Row],[Тип]]=0,IF(SUMPRODUCT((База[[#This Row],[Артикул]]=Комплекты[Комплект])*1)=0,"НЕТ","ОК"),"ОК")</f>
        <v/>
      </c>
      <c r="H115" s="312">
        <f>IF(SUMPRODUCT((База[[#This Row],[Артикул]]=ПНЕВМАТИКА!$G$6:$G$330)*1)=0,"НЕТ","ОК")</f>
        <v/>
      </c>
      <c r="I115" s="312">
        <f>IF(SUMPRODUCT((База[[#This Row],[Артикул]]=ТОРМОЗ!$G$6:$G$64)*1)=0,"НЕТ","ОК")</f>
        <v/>
      </c>
    </row>
    <row r="116">
      <c r="A116" s="302">
        <f>ROW()-ROW(База[[#Headers],[№]])</f>
        <v/>
      </c>
      <c r="B116" s="311" t="n"/>
      <c r="C116" s="399" t="n">
        <v>4441000080</v>
      </c>
      <c r="D116" s="435" t="inlineStr">
        <is>
          <t>Комплект базовый "ABS W 4S/2M (12 м)"</t>
        </is>
      </c>
      <c r="E116" s="311" t="inlineStr">
        <is>
          <t>Блок 081 + кабель 379</t>
        </is>
      </c>
      <c r="F11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6" s="312">
        <f>IF(База[[#This Row],[Тип]]=0,IF(SUMPRODUCT((База[[#This Row],[Артикул]]=Комплекты[Комплект])*1)=0,"НЕТ","ОК"),"ОК")</f>
        <v/>
      </c>
      <c r="H116" s="312">
        <f>IF(SUMPRODUCT((База[[#This Row],[Артикул]]=ПНЕВМАТИКА!$G$6:$G$330)*1)=0,"НЕТ","ОК")</f>
        <v/>
      </c>
      <c r="I116" s="312">
        <f>IF(SUMPRODUCT((База[[#This Row],[Артикул]]=ТОРМОЗ!$G$6:$G$64)*1)=0,"НЕТ","ОК")</f>
        <v/>
      </c>
    </row>
    <row r="117">
      <c r="A117" s="302">
        <f>ROW()-ROW(База[[#Headers],[№]])</f>
        <v/>
      </c>
      <c r="B117" s="311" t="n"/>
      <c r="C117" s="399" t="n">
        <v>4441000090</v>
      </c>
      <c r="D117" s="435" t="inlineStr">
        <is>
          <t>Комплект базовый "ABS W 4S/3M (12 м)"</t>
        </is>
      </c>
      <c r="E117" s="311" t="inlineStr">
        <is>
          <t>Блок 088 + кабель 370</t>
        </is>
      </c>
      <c r="F11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7" s="312">
        <f>IF(База[[#This Row],[Тип]]=0,IF(SUMPRODUCT((База[[#This Row],[Артикул]]=Комплекты[Комплект])*1)=0,"НЕТ","ОК"),"ОК")</f>
        <v/>
      </c>
      <c r="H117" s="312">
        <f>IF(SUMPRODUCT((База[[#This Row],[Артикул]]=ПНЕВМАТИКА!$G$6:$G$330)*1)=0,"НЕТ","ОК")</f>
        <v/>
      </c>
      <c r="I117" s="312">
        <f>IF(SUMPRODUCT((База[[#This Row],[Артикул]]=ТОРМОЗ!$G$6:$G$64)*1)=0,"НЕТ","ОК")</f>
        <v/>
      </c>
    </row>
    <row r="118">
      <c r="A118" s="302">
        <f>ROW()-ROW(База[[#Headers],[№]])</f>
        <v/>
      </c>
      <c r="B118" s="311" t="n"/>
      <c r="C118" s="399" t="n">
        <v>4441000100</v>
      </c>
      <c r="D118" s="435" t="inlineStr">
        <is>
          <t>Комплект базовый "ABS W 4S/3M (12 м)"</t>
        </is>
      </c>
      <c r="E118" s="311" t="inlineStr">
        <is>
          <t>Блок 081 + кабель 379</t>
        </is>
      </c>
      <c r="F11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8" s="312">
        <f>IF(База[[#This Row],[Тип]]=0,IF(SUMPRODUCT((База[[#This Row],[Артикул]]=Комплекты[Комплект])*1)=0,"НЕТ","ОК"),"ОК")</f>
        <v/>
      </c>
      <c r="H118" s="312">
        <f>IF(SUMPRODUCT((База[[#This Row],[Артикул]]=ПНЕВМАТИКА!$G$6:$G$330)*1)=0,"НЕТ","ОК")</f>
        <v/>
      </c>
      <c r="I118" s="312">
        <f>IF(SUMPRODUCT((База[[#This Row],[Артикул]]=ТОРМОЗ!$G$6:$G$64)*1)=0,"НЕТ","ОК")</f>
        <v/>
      </c>
    </row>
    <row r="119">
      <c r="A119" s="302">
        <f>ROW()-ROW(База[[#Headers],[№]])</f>
        <v/>
      </c>
      <c r="B119" s="311" t="n"/>
      <c r="C119" s="399" t="n">
        <v>4441000110</v>
      </c>
      <c r="D119" s="435" t="inlineStr">
        <is>
          <t>Комплект базовый "ABS W 2S/2M (15 м)"</t>
        </is>
      </c>
      <c r="E119" s="404" t="inlineStr">
        <is>
          <t>4006061140К3 / Блок 088 + кабель 370</t>
        </is>
      </c>
      <c r="F11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19" s="312">
        <f>IF(База[[#This Row],[Тип]]=0,IF(SUMPRODUCT((База[[#This Row],[Артикул]]=Комплекты[Комплект])*1)=0,"НЕТ","ОК"),"ОК")</f>
        <v/>
      </c>
      <c r="H119" s="312">
        <f>IF(SUMPRODUCT((База[[#This Row],[Артикул]]=ПНЕВМАТИКА!$G$6:$G$330)*1)=0,"НЕТ","ОК")</f>
        <v/>
      </c>
      <c r="I119" s="312">
        <f>IF(SUMPRODUCT((База[[#This Row],[Артикул]]=ТОРМОЗ!$G$6:$G$64)*1)=0,"НЕТ","ОК")</f>
        <v/>
      </c>
    </row>
    <row r="120">
      <c r="A120" s="302">
        <f>ROW()-ROW(База[[#Headers],[№]])</f>
        <v/>
      </c>
      <c r="B120" s="311" t="n"/>
      <c r="C120" s="399" t="n">
        <v>4441000120</v>
      </c>
      <c r="D120" s="435" t="inlineStr">
        <is>
          <t>Комплект базовый "ABS W 2S/2M (15 м)"</t>
        </is>
      </c>
      <c r="E120" s="311" t="inlineStr">
        <is>
          <t>Блок 081 + кабель 379</t>
        </is>
      </c>
      <c r="F12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0" s="312">
        <f>IF(База[[#This Row],[Тип]]=0,IF(SUMPRODUCT((База[[#This Row],[Артикул]]=Комплекты[Комплект])*1)=0,"НЕТ","ОК"),"ОК")</f>
        <v/>
      </c>
      <c r="H120" s="312">
        <f>IF(SUMPRODUCT((База[[#This Row],[Артикул]]=ПНЕВМАТИКА!$G$6:$G$330)*1)=0,"НЕТ","ОК")</f>
        <v/>
      </c>
      <c r="I120" s="312">
        <f>IF(SUMPRODUCT((База[[#This Row],[Артикул]]=ТОРМОЗ!$G$6:$G$64)*1)=0,"НЕТ","ОК")</f>
        <v/>
      </c>
    </row>
    <row r="121">
      <c r="A121" s="302">
        <f>ROW()-ROW(База[[#Headers],[№]])</f>
        <v/>
      </c>
      <c r="B121" s="311" t="n"/>
      <c r="C121" s="399" t="n">
        <v>4441000130</v>
      </c>
      <c r="D121" s="435" t="inlineStr">
        <is>
          <t>Комплект базовый "ABS W 4S/2M (15 м)"</t>
        </is>
      </c>
      <c r="E121" s="404" t="inlineStr">
        <is>
          <t>4006061140K / Блок 088 + кабель 370</t>
        </is>
      </c>
      <c r="F12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1" s="312">
        <f>IF(База[[#This Row],[Тип]]=0,IF(SUMPRODUCT((База[[#This Row],[Артикул]]=Комплекты[Комплект])*1)=0,"НЕТ","ОК"),"ОК")</f>
        <v/>
      </c>
      <c r="H121" s="312">
        <f>IF(SUMPRODUCT((База[[#This Row],[Артикул]]=ПНЕВМАТИКА!$G$6:$G$330)*1)=0,"НЕТ","ОК")</f>
        <v/>
      </c>
      <c r="I121" s="312">
        <f>IF(SUMPRODUCT((База[[#This Row],[Артикул]]=ТОРМОЗ!$G$6:$G$64)*1)=0,"НЕТ","ОК")</f>
        <v/>
      </c>
    </row>
    <row r="122">
      <c r="A122" s="302">
        <f>ROW()-ROW(База[[#Headers],[№]])</f>
        <v/>
      </c>
      <c r="B122" s="311" t="n"/>
      <c r="C122" s="399" t="n">
        <v>4441000140</v>
      </c>
      <c r="D122" s="435" t="inlineStr">
        <is>
          <t>Комплект базовый "ABS W 4S/2M (15 м)"</t>
        </is>
      </c>
      <c r="E122" s="311" t="inlineStr">
        <is>
          <t>Блок 081 + кабель 379</t>
        </is>
      </c>
      <c r="F12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2" s="312">
        <f>IF(База[[#This Row],[Тип]]=0,IF(SUMPRODUCT((База[[#This Row],[Артикул]]=Комплекты[Комплект])*1)=0,"НЕТ","ОК"),"ОК")</f>
        <v/>
      </c>
      <c r="H122" s="312">
        <f>IF(SUMPRODUCT((База[[#This Row],[Артикул]]=ПНЕВМАТИКА!$G$6:$G$330)*1)=0,"НЕТ","ОК")</f>
        <v/>
      </c>
      <c r="I122" s="312">
        <f>IF(SUMPRODUCT((База[[#This Row],[Артикул]]=ТОРМОЗ!$G$6:$G$64)*1)=0,"НЕТ","ОК")</f>
        <v/>
      </c>
    </row>
    <row r="123">
      <c r="A123" s="302">
        <f>ROW()-ROW(База[[#Headers],[№]])</f>
        <v/>
      </c>
      <c r="B123" s="311" t="n"/>
      <c r="C123" s="399" t="n">
        <v>4441000150</v>
      </c>
      <c r="D123" s="435" t="inlineStr">
        <is>
          <t>Комплект базовый "ABS W 4S/3M (15 м)"</t>
        </is>
      </c>
      <c r="E123" s="404" t="inlineStr">
        <is>
          <t>4006061140К1. / Блок 088 + кабель 370</t>
        </is>
      </c>
      <c r="F12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3" s="312">
        <f>IF(База[[#This Row],[Тип]]=0,IF(SUMPRODUCT((База[[#This Row],[Артикул]]=Комплекты[Комплект])*1)=0,"НЕТ","ОК"),"ОК")</f>
        <v/>
      </c>
      <c r="H123" s="312">
        <f>IF(SUMPRODUCT((База[[#This Row],[Артикул]]=ПНЕВМАТИКА!$G$6:$G$330)*1)=0,"НЕТ","ОК")</f>
        <v/>
      </c>
      <c r="I123" s="312">
        <f>IF(SUMPRODUCT((База[[#This Row],[Артикул]]=ТОРМОЗ!$G$6:$G$64)*1)=0,"НЕТ","ОК")</f>
        <v/>
      </c>
    </row>
    <row r="124">
      <c r="A124" s="302">
        <f>ROW()-ROW(База[[#Headers],[№]])</f>
        <v/>
      </c>
      <c r="B124" s="311" t="n"/>
      <c r="C124" s="399" t="n">
        <v>4441000160</v>
      </c>
      <c r="D124" s="435" t="inlineStr">
        <is>
          <t>Комплект базовый "ABS W 4S/3M (15 м)"</t>
        </is>
      </c>
      <c r="E124" s="311" t="inlineStr">
        <is>
          <t>Блок 081 + кабель 379</t>
        </is>
      </c>
      <c r="F12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4" s="312">
        <f>IF(База[[#This Row],[Тип]]=0,IF(SUMPRODUCT((База[[#This Row],[Артикул]]=Комплекты[Комплект])*1)=0,"НЕТ","ОК"),"ОК")</f>
        <v/>
      </c>
      <c r="H124" s="312">
        <f>IF(SUMPRODUCT((База[[#This Row],[Артикул]]=ПНЕВМАТИКА!$G$6:$G$330)*1)=0,"НЕТ","ОК")</f>
        <v/>
      </c>
      <c r="I124" s="312">
        <f>IF(SUMPRODUCT((База[[#This Row],[Артикул]]=ТОРМОЗ!$G$6:$G$64)*1)=0,"НЕТ","ОК")</f>
        <v/>
      </c>
    </row>
    <row r="125">
      <c r="A125" s="302">
        <f>ROW()-ROW(База[[#Headers],[№]])</f>
        <v/>
      </c>
      <c r="B125" s="311" t="n"/>
      <c r="C125" s="399" t="n">
        <v>4441000170</v>
      </c>
      <c r="D125" s="435" t="inlineStr">
        <is>
          <t>Комплект базовый "TEBS W 2S/2M (12 м)"</t>
        </is>
      </c>
      <c r="E125" s="311" t="inlineStr">
        <is>
          <t>Воздух 040 + Кран 051</t>
        </is>
      </c>
      <c r="F12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5" s="312">
        <f>IF(База[[#This Row],[Тип]]=0,IF(SUMPRODUCT((База[[#This Row],[Артикул]]=Комплекты[Комплект])*1)=0,"НЕТ","ОК"),"ОК")</f>
        <v/>
      </c>
      <c r="H125" s="312">
        <f>IF(SUMPRODUCT((База[[#This Row],[Артикул]]=ПНЕВМАТИКА!$G$6:$G$330)*1)=0,"НЕТ","ОК")</f>
        <v/>
      </c>
      <c r="I125" s="312">
        <f>IF(SUMPRODUCT((База[[#This Row],[Артикул]]=ТОРМОЗ!$G$6:$G$64)*1)=0,"НЕТ","ОК")</f>
        <v/>
      </c>
    </row>
    <row r="126">
      <c r="A126" s="302">
        <f>ROW()-ROW(База[[#Headers],[№]])</f>
        <v/>
      </c>
      <c r="B126" s="311" t="n"/>
      <c r="C126" s="399" t="n">
        <v>4441000180</v>
      </c>
      <c r="D126" s="435" t="inlineStr">
        <is>
          <t>Комплект базовый "TEBS W 4S/2M (12 м)"</t>
        </is>
      </c>
      <c r="E126" s="311" t="inlineStr">
        <is>
          <t>TEBS ЮТ4801020640 / Воздух 040 + Кран 051</t>
        </is>
      </c>
      <c r="F12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6" s="312">
        <f>IF(База[[#This Row],[Тип]]=0,IF(SUMPRODUCT((База[[#This Row],[Артикул]]=Комплекты[Комплект])*1)=0,"НЕТ","ОК"),"ОК")</f>
        <v/>
      </c>
      <c r="H126" s="312">
        <f>IF(SUMPRODUCT((База[[#This Row],[Артикул]]=ПНЕВМАТИКА!$G$6:$G$330)*1)=0,"НЕТ","ОК")</f>
        <v/>
      </c>
      <c r="I126" s="312">
        <f>IF(SUMPRODUCT((База[[#This Row],[Артикул]]=ТОРМОЗ!$G$6:$G$64)*1)=0,"НЕТ","ОК")</f>
        <v/>
      </c>
    </row>
    <row r="127">
      <c r="A127" s="302">
        <f>ROW()-ROW(База[[#Headers],[№]])</f>
        <v/>
      </c>
      <c r="B127" s="311" t="n"/>
      <c r="C127" s="399" t="n">
        <v>4441000200</v>
      </c>
      <c r="D127" s="435" t="inlineStr">
        <is>
          <t>Комплект "CAN-Репитер W (40 м)"</t>
        </is>
      </c>
      <c r="E127" s="311" t="n"/>
      <c r="F12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7" s="312">
        <f>IF(База[[#This Row],[Тип]]=0,IF(SUMPRODUCT((База[[#This Row],[Артикул]]=Комплекты[Комплект])*1)=0,"НЕТ","ОК"),"ОК")</f>
        <v/>
      </c>
      <c r="H127" s="312">
        <f>IF(SUMPRODUCT((База[[#This Row],[Артикул]]=ПНЕВМАТИКА!$G$6:$G$330)*1)=0,"НЕТ","ОК")</f>
        <v/>
      </c>
      <c r="I127" s="312">
        <f>IF(SUMPRODUCT((База[[#This Row],[Артикул]]=ТОРМОЗ!$G$6:$G$64)*1)=0,"НЕТ","ОК")</f>
        <v/>
      </c>
    </row>
    <row r="128">
      <c r="A128" s="302">
        <f>ROW()-ROW(База[[#Headers],[№]])</f>
        <v/>
      </c>
      <c r="B128" s="311" t="n"/>
      <c r="C128" s="399" t="n">
        <v>4441000210</v>
      </c>
      <c r="D128" s="435" t="inlineStr">
        <is>
          <t>Комплект клапана подъёма оси LACV (6 м)</t>
        </is>
      </c>
      <c r="E128" s="311" t="n"/>
      <c r="F12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8" s="312">
        <f>IF(База[[#This Row],[Тип]]=0,IF(SUMPRODUCT((База[[#This Row],[Артикул]]=Комплекты[Комплект])*1)=0,"НЕТ","ОК"),"ОК")</f>
        <v/>
      </c>
      <c r="H128" s="312">
        <f>IF(SUMPRODUCT((База[[#This Row],[Артикул]]=ПНЕВМАТИКА!$G$6:$G$330)*1)=0,"НЕТ","ОК")</f>
        <v/>
      </c>
      <c r="I128" s="312">
        <f>IF(SUMPRODUCT((База[[#This Row],[Артикул]]=ТОРМОЗ!$G$6:$G$64)*1)=0,"НЕТ","ОК")</f>
        <v/>
      </c>
    </row>
    <row r="129">
      <c r="A129" s="302">
        <f>ROW()-ROW(База[[#Headers],[№]])</f>
        <v/>
      </c>
      <c r="B129" s="311" t="n"/>
      <c r="C129" s="399" t="n">
        <v>4441000220</v>
      </c>
      <c r="D129" s="435" t="inlineStr">
        <is>
          <t>Комплект расширения "TEBS 3M (6 м)"</t>
        </is>
      </c>
      <c r="E129" s="311" t="n"/>
      <c r="F12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29" s="312">
        <f>IF(База[[#This Row],[Тип]]=0,IF(SUMPRODUCT((База[[#This Row],[Артикул]]=Комплекты[Комплект])*1)=0,"НЕТ","ОК"),"ОК")</f>
        <v/>
      </c>
      <c r="H129" s="312">
        <f>IF(SUMPRODUCT((База[[#This Row],[Артикул]]=ПНЕВМАТИКА!$G$6:$G$330)*1)=0,"НЕТ","ОК")</f>
        <v/>
      </c>
      <c r="I129" s="312">
        <f>IF(SUMPRODUCT((База[[#This Row],[Артикул]]=ТОРМОЗ!$G$6:$G$64)*1)=0,"НЕТ","ОК")</f>
        <v/>
      </c>
    </row>
    <row r="130">
      <c r="A130" s="302">
        <f>ROW()-ROW(База[[#Headers],[№]])</f>
        <v/>
      </c>
      <c r="B130" s="311" t="n"/>
      <c r="C130" s="399" t="n">
        <v>4441000230</v>
      </c>
      <c r="D130" s="435" t="inlineStr">
        <is>
          <t>Комплект расширения "TEBS 3M (12 м)"</t>
        </is>
      </c>
      <c r="E130" s="311" t="n"/>
      <c r="F13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0" s="312">
        <f>IF(База[[#This Row],[Тип]]=0,IF(SUMPRODUCT((База[[#This Row],[Артикул]]=Комплекты[Комплект])*1)=0,"НЕТ","ОК"),"ОК")</f>
        <v/>
      </c>
      <c r="H130" s="312">
        <f>IF(SUMPRODUCT((База[[#This Row],[Артикул]]=ПНЕВМАТИКА!$G$6:$G$330)*1)=0,"НЕТ","ОК")</f>
        <v/>
      </c>
      <c r="I130" s="312">
        <f>IF(SUMPRODUCT((База[[#This Row],[Артикул]]=ТОРМОЗ!$G$6:$G$64)*1)=0,"НЕТ","ОК")</f>
        <v/>
      </c>
    </row>
    <row r="131">
      <c r="A131" s="302">
        <f>ROW()-ROW(База[[#Headers],[№]])</f>
        <v/>
      </c>
      <c r="B131" s="311" t="n"/>
      <c r="C131" s="399" t="n">
        <v>4441000240</v>
      </c>
      <c r="D131" s="435" t="inlineStr">
        <is>
          <t>Комплект "TEBS 4S/2M" специальный</t>
        </is>
      </c>
      <c r="E131" s="311" t="n"/>
      <c r="F13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1" s="312">
        <f>IF(База[[#This Row],[Тип]]=0,IF(SUMPRODUCT((База[[#This Row],[Артикул]]=Комплекты[Комплект])*1)=0,"НЕТ","ОК"),"ОК")</f>
        <v/>
      </c>
      <c r="H131" s="312">
        <f>IF(SUMPRODUCT((База[[#This Row],[Артикул]]=ПНЕВМАТИКА!$G$6:$G$330)*1)=0,"НЕТ","ОК")</f>
        <v/>
      </c>
      <c r="I131" s="312">
        <f>IF(SUMPRODUCT((База[[#This Row],[Артикул]]=ТОРМОЗ!$G$6:$G$64)*1)=0,"НЕТ","ОК")</f>
        <v/>
      </c>
    </row>
    <row r="132">
      <c r="A132" s="302">
        <f>ROW()-ROW(База[[#Headers],[№]])</f>
        <v/>
      </c>
      <c r="B132" s="311" t="n"/>
      <c r="C132" s="399" t="n">
        <v>4441000260</v>
      </c>
      <c r="D132" s="435" t="inlineStr">
        <is>
          <t>Комплект базовый "TEBS 2S/2M (12 м)"</t>
        </is>
      </c>
      <c r="E132" s="311" t="n"/>
      <c r="F13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2" s="312">
        <f>IF(База[[#This Row],[Тип]]=0,IF(SUMPRODUCT((База[[#This Row],[Артикул]]=Комплекты[Комплект])*1)=0,"НЕТ","ОК"),"ОК")</f>
        <v/>
      </c>
      <c r="H132" s="312">
        <f>IF(SUMPRODUCT((База[[#This Row],[Артикул]]=ПНЕВМАТИКА!$G$6:$G$330)*1)=0,"НЕТ","ОК")</f>
        <v/>
      </c>
      <c r="I132" s="312">
        <f>IF(SUMPRODUCT((База[[#This Row],[Артикул]]=ТОРМОЗ!$G$6:$G$64)*1)=0,"НЕТ","ОК")</f>
        <v/>
      </c>
    </row>
    <row r="133">
      <c r="A133" s="302">
        <f>ROW()-ROW(База[[#Headers],[№]])</f>
        <v/>
      </c>
      <c r="B133" s="311" t="n"/>
      <c r="C133" s="399" t="n">
        <v>4441000350</v>
      </c>
      <c r="D133" s="435" t="inlineStr">
        <is>
          <t>Комплект базовый "TEBS 4S/2M (12 м)"</t>
        </is>
      </c>
      <c r="E133" s="311" t="n"/>
      <c r="F13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3" s="312">
        <f>IF(База[[#This Row],[Тип]]=0,IF(SUMPRODUCT((База[[#This Row],[Артикул]]=Комплекты[Комплект])*1)=0,"НЕТ","ОК"),"ОК")</f>
        <v/>
      </c>
      <c r="H133" s="312">
        <f>IF(SUMPRODUCT((База[[#This Row],[Артикул]]=ПНЕВМАТИКА!$G$6:$G$330)*1)=0,"НЕТ","ОК")</f>
        <v/>
      </c>
      <c r="I133" s="312">
        <f>IF(SUMPRODUCT((База[[#This Row],[Артикул]]=ТОРМОЗ!$G$6:$G$64)*1)=0,"НЕТ","ОК")</f>
        <v/>
      </c>
    </row>
    <row r="134">
      <c r="A134" s="302">
        <f>ROW()-ROW(База[[#Headers],[№]])</f>
        <v/>
      </c>
      <c r="B134" s="311" t="n"/>
      <c r="C134" s="399" t="n">
        <v>4441000380</v>
      </c>
      <c r="D134" s="435" t="inlineStr">
        <is>
          <t>Комплект базовый "TEBS 2S/2M (15 м)"</t>
        </is>
      </c>
      <c r="E134" s="311" t="n"/>
      <c r="F13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4" s="312">
        <f>IF(База[[#This Row],[Тип]]=0,IF(SUMPRODUCT((База[[#This Row],[Артикул]]=Комплекты[Комплект])*1)=0,"НЕТ","ОК"),"ОК")</f>
        <v/>
      </c>
      <c r="H134" s="312">
        <f>IF(SUMPRODUCT((База[[#This Row],[Артикул]]=ПНЕВМАТИКА!$G$6:$G$330)*1)=0,"НЕТ","ОК")</f>
        <v/>
      </c>
      <c r="I134" s="312">
        <f>IF(SUMPRODUCT((База[[#This Row],[Артикул]]=ТОРМОЗ!$G$6:$G$64)*1)=0,"НЕТ","ОК")</f>
        <v/>
      </c>
    </row>
    <row r="135">
      <c r="A135" s="302">
        <f>ROW()-ROW(База[[#Headers],[№]])</f>
        <v/>
      </c>
      <c r="B135" s="311" t="n"/>
      <c r="C135" s="399" t="n">
        <v>4441000400</v>
      </c>
      <c r="D135" s="435" t="inlineStr">
        <is>
          <t>Комплект "TEBS 2S/2M (15 м)" стандарт</t>
        </is>
      </c>
      <c r="E135" s="311" t="n"/>
      <c r="F13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5" s="312">
        <f>IF(База[[#This Row],[Тип]]=0,IF(SUMPRODUCT((База[[#This Row],[Артикул]]=Комплекты[Комплект])*1)=0,"НЕТ","ОК"),"ОК")</f>
        <v/>
      </c>
      <c r="H135" s="312">
        <f>IF(SUMPRODUCT((База[[#This Row],[Артикул]]=ПНЕВМАТИКА!$G$6:$G$330)*1)=0,"НЕТ","ОК")</f>
        <v/>
      </c>
      <c r="I135" s="312">
        <f>IF(SUMPRODUCT((База[[#This Row],[Артикул]]=ТОРМОЗ!$G$6:$G$64)*1)=0,"НЕТ","ОК")</f>
        <v/>
      </c>
    </row>
    <row r="136" ht="28.8" customHeight="1">
      <c r="A136" s="302">
        <f>ROW()-ROW(База[[#Headers],[№]])</f>
        <v/>
      </c>
      <c r="B136" s="311" t="n"/>
      <c r="C136" s="399" t="n">
        <v>4441000410</v>
      </c>
      <c r="D136" s="715" t="inlineStr">
        <is>
          <t>Комплект "EBS ПТ"</t>
        </is>
      </c>
      <c r="E136" s="716" t="inlineStr">
        <is>
          <t>мое предложение названия
Комплект "Модулятор TEBS 2S/2M (15 м)"</t>
        </is>
      </c>
      <c r="F136" s="699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6" s="699">
        <f>IF(База[[#This Row],[Тип]]=0,IF(SUMPRODUCT((База[[#This Row],[Артикул]]=Комплекты[Комплект])*1)=0,"НЕТ","ОК"),"ОК")</f>
        <v/>
      </c>
      <c r="H136" s="699">
        <f>IF(SUMPRODUCT((База[[#This Row],[Артикул]]=ПНЕВМАТИКА!$G$6:$G$330)*1)=0,"НЕТ","ОК")</f>
        <v/>
      </c>
      <c r="I136" s="699">
        <f>IF(SUMPRODUCT((База[[#This Row],[Артикул]]=ТОРМОЗ!$G$6:$G$64)*1)=0,"НЕТ","ОК")</f>
        <v/>
      </c>
    </row>
    <row r="137">
      <c r="A137" s="302">
        <f>ROW()-ROW(База[[#Headers],[№]])</f>
        <v/>
      </c>
      <c r="B137" s="311" t="n"/>
      <c r="C137" s="399" t="n">
        <v>4441000440</v>
      </c>
      <c r="D137" s="435" t="inlineStr">
        <is>
          <t>Комплект базовый "TEBS 2S/2M (18 м W)"</t>
        </is>
      </c>
      <c r="E137" s="311" t="n"/>
      <c r="F13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7" s="312">
        <f>IF(База[[#This Row],[Тип]]=0,IF(SUMPRODUCT((База[[#This Row],[Артикул]]=Комплекты[Комплект])*1)=0,"НЕТ","ОК"),"ОК")</f>
        <v/>
      </c>
      <c r="H137" s="312">
        <f>IF(SUMPRODUCT((База[[#This Row],[Артикул]]=ПНЕВМАТИКА!$G$6:$G$330)*1)=0,"НЕТ","ОК")</f>
        <v/>
      </c>
      <c r="I137" s="312">
        <f>IF(SUMPRODUCT((База[[#This Row],[Артикул]]=ТОРМОЗ!$G$6:$G$64)*1)=0,"НЕТ","ОК")</f>
        <v/>
      </c>
    </row>
    <row r="138">
      <c r="A138" s="302">
        <f>ROW()-ROW(База[[#Headers],[№]])</f>
        <v/>
      </c>
      <c r="B138" s="311" t="n"/>
      <c r="C138" s="399" t="n">
        <v>4441000450</v>
      </c>
      <c r="D138" s="435" t="inlineStr">
        <is>
          <t>Комплект базовый "ABS W 2S/2M (12 м)"</t>
        </is>
      </c>
      <c r="E138" s="311" t="inlineStr">
        <is>
          <t>Блок 088 + кабель 379</t>
        </is>
      </c>
      <c r="F13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8" s="312">
        <f>IF(База[[#This Row],[Тип]]=0,IF(SUMPRODUCT((База[[#This Row],[Артикул]]=Комплекты[Комплект])*1)=0,"НЕТ","ОК"),"ОК")</f>
        <v/>
      </c>
      <c r="H138" s="312">
        <f>IF(SUMPRODUCT((База[[#This Row],[Артикул]]=ПНЕВМАТИКА!$G$6:$G$330)*1)=0,"НЕТ","ОК")</f>
        <v/>
      </c>
      <c r="I138" s="312">
        <f>IF(SUMPRODUCT((База[[#This Row],[Артикул]]=ТОРМОЗ!$G$6:$G$64)*1)=0,"НЕТ","ОК")</f>
        <v/>
      </c>
    </row>
    <row r="139">
      <c r="A139" s="302">
        <f>ROW()-ROW(База[[#Headers],[№]])</f>
        <v/>
      </c>
      <c r="B139" s="311" t="n"/>
      <c r="C139" s="399" t="n">
        <v>4441000460</v>
      </c>
      <c r="D139" s="435" t="inlineStr">
        <is>
          <t>Комплект базовый "ABS W 4S/2M (12 м)"</t>
        </is>
      </c>
      <c r="E139" s="311" t="inlineStr">
        <is>
          <t>Блок 088 + кабель 379</t>
        </is>
      </c>
      <c r="F13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39" s="312">
        <f>IF(База[[#This Row],[Тип]]=0,IF(SUMPRODUCT((База[[#This Row],[Артикул]]=Комплекты[Комплект])*1)=0,"НЕТ","ОК"),"ОК")</f>
        <v/>
      </c>
      <c r="H139" s="312">
        <f>IF(SUMPRODUCT((База[[#This Row],[Артикул]]=ПНЕВМАТИКА!$G$6:$G$330)*1)=0,"НЕТ","ОК")</f>
        <v/>
      </c>
      <c r="I139" s="312">
        <f>IF(SUMPRODUCT((База[[#This Row],[Артикул]]=ТОРМОЗ!$G$6:$G$64)*1)=0,"НЕТ","ОК")</f>
        <v/>
      </c>
    </row>
    <row r="140">
      <c r="A140" s="302">
        <f>ROW()-ROW(База[[#Headers],[№]])</f>
        <v/>
      </c>
      <c r="B140" s="311" t="n"/>
      <c r="C140" s="399" t="n">
        <v>4441000470</v>
      </c>
      <c r="D140" s="435" t="inlineStr">
        <is>
          <t>Комплект базовый "ABS W 4S/3M (12 м)"</t>
        </is>
      </c>
      <c r="E140" s="311" t="inlineStr">
        <is>
          <t>Блок 088 + кабель 379</t>
        </is>
      </c>
      <c r="F14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0" s="312">
        <f>IF(База[[#This Row],[Тип]]=0,IF(SUMPRODUCT((База[[#This Row],[Артикул]]=Комплекты[Комплект])*1)=0,"НЕТ","ОК"),"ОК")</f>
        <v/>
      </c>
      <c r="H140" s="312">
        <f>IF(SUMPRODUCT((База[[#This Row],[Артикул]]=ПНЕВМАТИКА!$G$6:$G$330)*1)=0,"НЕТ","ОК")</f>
        <v/>
      </c>
      <c r="I140" s="312">
        <f>IF(SUMPRODUCT((База[[#This Row],[Артикул]]=ТОРМОЗ!$G$6:$G$64)*1)=0,"НЕТ","ОК")</f>
        <v/>
      </c>
    </row>
    <row r="141">
      <c r="A141" s="302">
        <f>ROW()-ROW(База[[#Headers],[№]])</f>
        <v/>
      </c>
      <c r="B141" s="311" t="n"/>
      <c r="C141" s="399" t="n">
        <v>4441000480</v>
      </c>
      <c r="D141" s="435" t="inlineStr">
        <is>
          <t>Комплект базовый "ABS W 2S/2M (15 м)"</t>
        </is>
      </c>
      <c r="E141" s="311" t="inlineStr">
        <is>
          <t>Блок 088 + кабель 379</t>
        </is>
      </c>
      <c r="F14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1" s="312">
        <f>IF(База[[#This Row],[Тип]]=0,IF(SUMPRODUCT((База[[#This Row],[Артикул]]=Комплекты[Комплект])*1)=0,"НЕТ","ОК"),"ОК")</f>
        <v/>
      </c>
      <c r="H141" s="312">
        <f>IF(SUMPRODUCT((База[[#This Row],[Артикул]]=ПНЕВМАТИКА!$G$6:$G$330)*1)=0,"НЕТ","ОК")</f>
        <v/>
      </c>
      <c r="I141" s="312">
        <f>IF(SUMPRODUCT((База[[#This Row],[Артикул]]=ТОРМОЗ!$G$6:$G$64)*1)=0,"НЕТ","ОК")</f>
        <v/>
      </c>
    </row>
    <row r="142">
      <c r="A142" s="302">
        <f>ROW()-ROW(База[[#Headers],[№]])</f>
        <v/>
      </c>
      <c r="B142" s="311" t="n"/>
      <c r="C142" s="399" t="n">
        <v>4441000490</v>
      </c>
      <c r="D142" s="435" t="inlineStr">
        <is>
          <t>Комплект базовый "ABS W 4S/2M (15 м)"</t>
        </is>
      </c>
      <c r="E142" s="311" t="inlineStr">
        <is>
          <t>Блок 088 + кабель 379</t>
        </is>
      </c>
      <c r="F14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2" s="312">
        <f>IF(База[[#This Row],[Тип]]=0,IF(SUMPRODUCT((База[[#This Row],[Артикул]]=Комплекты[Комплект])*1)=0,"НЕТ","ОК"),"ОК")</f>
        <v/>
      </c>
      <c r="H142" s="312">
        <f>IF(SUMPRODUCT((База[[#This Row],[Артикул]]=ПНЕВМАТИКА!$G$6:$G$330)*1)=0,"НЕТ","ОК")</f>
        <v/>
      </c>
      <c r="I142" s="312">
        <f>IF(SUMPRODUCT((База[[#This Row],[Артикул]]=ТОРМОЗ!$G$6:$G$64)*1)=0,"НЕТ","ОК")</f>
        <v/>
      </c>
    </row>
    <row r="143">
      <c r="A143" s="302">
        <f>ROW()-ROW(База[[#Headers],[№]])</f>
        <v/>
      </c>
      <c r="B143" s="311" t="n"/>
      <c r="C143" s="399" t="n">
        <v>4441000500</v>
      </c>
      <c r="D143" s="435" t="inlineStr">
        <is>
          <t>Комплект базовый "ABS W 4S/3M (15 м)"</t>
        </is>
      </c>
      <c r="E143" s="311" t="inlineStr">
        <is>
          <t>Блок 088 + кабель 379</t>
        </is>
      </c>
      <c r="F14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3" s="312">
        <f>IF(База[[#This Row],[Тип]]=0,IF(SUMPRODUCT((База[[#This Row],[Артикул]]=Комплекты[Комплект])*1)=0,"НЕТ","ОК"),"ОК")</f>
        <v/>
      </c>
      <c r="H143" s="312">
        <f>IF(SUMPRODUCT((База[[#This Row],[Артикул]]=ПНЕВМАТИКА!$G$6:$G$330)*1)=0,"НЕТ","ОК")</f>
        <v/>
      </c>
      <c r="I143" s="312">
        <f>IF(SUMPRODUCT((База[[#This Row],[Артикул]]=ТОРМОЗ!$G$6:$G$64)*1)=0,"НЕТ","ОК")</f>
        <v/>
      </c>
    </row>
    <row r="144">
      <c r="A144" s="302">
        <f>ROW()-ROW(База[[#Headers],[№]])</f>
        <v/>
      </c>
      <c r="B144" s="311" t="n"/>
      <c r="C144" s="399" t="n">
        <v>4441000530</v>
      </c>
      <c r="D144" s="435" t="inlineStr">
        <is>
          <t>Комплект "TEBS W 2S/2M (12 м)"</t>
        </is>
      </c>
      <c r="E144" s="311" t="inlineStr">
        <is>
          <t>ПРЕВ</t>
        </is>
      </c>
      <c r="F144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4" s="312">
        <f>IF(База[[#This Row],[Тип]]=0,IF(SUMPRODUCT((База[[#This Row],[Артикул]]=Комплекты[Комплект])*1)=0,"НЕТ","ОК"),"ОК")</f>
        <v/>
      </c>
      <c r="H144" s="312">
        <f>IF(SUMPRODUCT((База[[#This Row],[Артикул]]=ПНЕВМАТИКА!$G$6:$G$330)*1)=0,"НЕТ","ОК")</f>
        <v/>
      </c>
      <c r="I144" s="312">
        <f>IF(SUMPRODUCT((База[[#This Row],[Артикул]]=ТОРМОЗ!$G$6:$G$64)*1)=0,"НЕТ","ОК")</f>
        <v/>
      </c>
    </row>
    <row r="145">
      <c r="A145" s="302">
        <f>ROW()-ROW(База[[#Headers],[№]])</f>
        <v/>
      </c>
      <c r="B145" s="311" t="n"/>
      <c r="C145" s="399" t="n">
        <v>4441000550</v>
      </c>
      <c r="D145" s="435" t="inlineStr">
        <is>
          <t>Комплект системы контроля "OptiLink W"</t>
        </is>
      </c>
      <c r="E145" s="311" t="n"/>
      <c r="F145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5" s="312">
        <f>IF(База[[#This Row],[Тип]]=0,IF(SUMPRODUCT((База[[#This Row],[Артикул]]=Комплекты[Комплект])*1)=0,"НЕТ","ОК"),"ОК")</f>
        <v/>
      </c>
      <c r="H145" s="312">
        <f>IF(SUMPRODUCT((База[[#This Row],[Артикул]]=ПНЕВМАТИКА!$G$6:$G$330)*1)=0,"НЕТ","ОК")</f>
        <v/>
      </c>
      <c r="I145" s="312">
        <f>IF(SUMPRODUCT((База[[#This Row],[Артикул]]=ТОРМОЗ!$G$6:$G$64)*1)=0,"НЕТ","ОК")</f>
        <v/>
      </c>
    </row>
    <row r="146">
      <c r="A146" s="427">
        <f>ROW()-ROW(База[[#Headers],[№]])</f>
        <v/>
      </c>
      <c r="B146" s="423" t="n"/>
      <c r="C146" s="600" t="n">
        <v>4441000570</v>
      </c>
      <c r="D146" s="601" t="inlineStr">
        <is>
          <t>Комплект базовый "TEBS 2S/2M (12 м)"</t>
        </is>
      </c>
      <c r="E146" s="311" t="n"/>
      <c r="F146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6" s="312">
        <f>IF(База[[#This Row],[Тип]]=0,IF(SUMPRODUCT((База[[#This Row],[Артикул]]=Комплекты[Комплект])*1)=0,"НЕТ","ОК"),"ОК")</f>
        <v/>
      </c>
      <c r="H146" s="312">
        <f>IF(SUMPRODUCT((База[[#This Row],[Артикул]]=ПНЕВМАТИКА!$G$6:$G$330)*1)=0,"НЕТ","ОК")</f>
        <v/>
      </c>
      <c r="I146" s="312">
        <f>IF(SUMPRODUCT((База[[#This Row],[Артикул]]=ТОРМОЗ!$G$6:$G$64)*1)=0,"НЕТ","ОК")</f>
        <v/>
      </c>
    </row>
    <row r="147">
      <c r="A147" s="427">
        <f>ROW()-ROW(База[[#Headers],[№]])</f>
        <v/>
      </c>
      <c r="B147" s="423" t="n"/>
      <c r="C147" s="600" t="n">
        <v>4441000580</v>
      </c>
      <c r="D147" s="601" t="inlineStr">
        <is>
          <t>Комплект "TEBS 2S/2M (15 м)"</t>
        </is>
      </c>
      <c r="E147" s="311" t="n"/>
      <c r="F147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7" s="312">
        <f>IF(База[[#This Row],[Тип]]=0,IF(SUMPRODUCT((База[[#This Row],[Артикул]]=Комплекты[Комплект])*1)=0,"НЕТ","ОК"),"ОК")</f>
        <v/>
      </c>
      <c r="H147" s="312">
        <f>IF(SUMPRODUCT((База[[#This Row],[Артикул]]=ПНЕВМАТИКА!$G$6:$G$330)*1)=0,"НЕТ","ОК")</f>
        <v/>
      </c>
      <c r="I147" s="312">
        <f>IF(SUMPRODUCT((База[[#This Row],[Артикул]]=ТОРМОЗ!$G$6:$G$64)*1)=0,"НЕТ","ОК")</f>
        <v/>
      </c>
    </row>
    <row r="148">
      <c r="A148" s="427">
        <f>ROW()-ROW(База[[#Headers],[№]])</f>
        <v/>
      </c>
      <c r="B148" s="423" t="n"/>
      <c r="C148" s="600" t="n">
        <v>4441000590</v>
      </c>
      <c r="D148" s="601" t="inlineStr">
        <is>
          <t>Комплект "TEBS W 4S/2M (12 м)"</t>
        </is>
      </c>
      <c r="E148" s="311" t="inlineStr">
        <is>
          <t>ПРЕВ</t>
        </is>
      </c>
      <c r="F148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8" s="312">
        <f>IF(База[[#This Row],[Тип]]=0,IF(SUMPRODUCT((База[[#This Row],[Артикул]]=Комплекты[Комплект])*1)=0,"НЕТ","ОК"),"ОК")</f>
        <v/>
      </c>
      <c r="H148" s="312">
        <f>IF(SUMPRODUCT((База[[#This Row],[Артикул]]=ПНЕВМАТИКА!$G$6:$G$330)*1)=0,"НЕТ","ОК")</f>
        <v/>
      </c>
      <c r="I148" s="312">
        <f>IF(SUMPRODUCT((База[[#This Row],[Артикул]]=ТОРМОЗ!$G$6:$G$64)*1)=0,"НЕТ","ОК")</f>
        <v/>
      </c>
    </row>
    <row r="149">
      <c r="A149" s="302">
        <f>ROW()-ROW(База[[#Headers],[№]])</f>
        <v/>
      </c>
      <c r="B149" s="311" t="n"/>
      <c r="C149" s="399" t="n">
        <v>4441000600</v>
      </c>
      <c r="D149" s="435" t="inlineStr">
        <is>
          <t>Комплект "TEBS 4S/3M (15 м)" специальный</t>
        </is>
      </c>
      <c r="E149" s="311" t="n"/>
      <c r="F149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49" s="312">
        <f>IF(База[[#This Row],[Тип]]=0,IF(SUMPRODUCT((База[[#This Row],[Артикул]]=Комплекты[Комплект])*1)=0,"НЕТ","ОК"),"ОК")</f>
        <v/>
      </c>
      <c r="H149" s="312">
        <f>IF(SUMPRODUCT((База[[#This Row],[Артикул]]=ПНЕВМАТИКА!$G$6:$G$330)*1)=0,"НЕТ","ОК")</f>
        <v/>
      </c>
      <c r="I149" s="312">
        <f>IF(SUMPRODUCT((База[[#This Row],[Артикул]]=ТОРМОЗ!$G$6:$G$64)*1)=0,"НЕТ","ОК")</f>
        <v/>
      </c>
    </row>
    <row r="150">
      <c r="A150" s="302">
        <f>ROW()-ROW(База[[#Headers],[№]])</f>
        <v/>
      </c>
      <c r="B150" s="311" t="n"/>
      <c r="C150" s="399" t="n">
        <v>4441000700</v>
      </c>
      <c r="D150" s="435" t="inlineStr">
        <is>
          <t>Комплект "TEBS 2S/2M (12 м)" стандарт</t>
        </is>
      </c>
      <c r="E150" s="311" t="n"/>
      <c r="F150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50" s="312">
        <f>IF(База[[#This Row],[Тип]]=0,IF(SUMPRODUCT((База[[#This Row],[Артикул]]=Комплекты[Комплект])*1)=0,"НЕТ","ОК"),"ОК")</f>
        <v/>
      </c>
      <c r="H150" s="312">
        <f>IF(SUMPRODUCT((База[[#This Row],[Артикул]]=ПНЕВМАТИКА!$G$6:$G$330)*1)=0,"НЕТ","ОК")</f>
        <v/>
      </c>
      <c r="I150" s="312">
        <f>IF(SUMPRODUCT((База[[#This Row],[Артикул]]=ТОРМОЗ!$G$6:$G$64)*1)=0,"НЕТ","ОК")</f>
        <v/>
      </c>
    </row>
    <row r="151">
      <c r="A151" s="302">
        <f>ROW()-ROW(База[[#Headers],[№]])</f>
        <v/>
      </c>
      <c r="B151" s="311" t="n"/>
      <c r="C151" s="399" t="n">
        <v>4441000710</v>
      </c>
      <c r="D151" s="435" t="inlineStr">
        <is>
          <t>Комплект "TEBS 2S/2M (18 м)" стандарт</t>
        </is>
      </c>
      <c r="E151" s="311" t="n"/>
      <c r="F151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51" s="312">
        <f>IF(База[[#This Row],[Тип]]=0,IF(SUMPRODUCT((База[[#This Row],[Артикул]]=Комплекты[Комплект])*1)=0,"НЕТ","ОК"),"ОК")</f>
        <v/>
      </c>
      <c r="H151" s="312">
        <f>IF(SUMPRODUCT((База[[#This Row],[Артикул]]=ПНЕВМАТИКА!$G$6:$G$330)*1)=0,"НЕТ","ОК")</f>
        <v/>
      </c>
      <c r="I151" s="312">
        <f>IF(SUMPRODUCT((База[[#This Row],[Артикул]]=ТОРМОЗ!$G$6:$G$64)*1)=0,"НЕТ","ОК")</f>
        <v/>
      </c>
    </row>
    <row r="152">
      <c r="A152" s="302">
        <f>ROW()-ROW(База[[#Headers],[№]])</f>
        <v/>
      </c>
      <c r="B152" s="311" t="n"/>
      <c r="C152" s="405" t="inlineStr">
        <is>
          <t>4006061140К1.</t>
        </is>
      </c>
      <c r="D152" s="546" t="inlineStr">
        <is>
          <t>Комплект "ABS 2S/2M базовый W" +3-й модулятор</t>
        </is>
      </c>
      <c r="E152" s="404" t="n">
        <v>4441000150</v>
      </c>
      <c r="F152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52" s="312">
        <f>IF(База[[#This Row],[Тип]]=0,IF(SUMPRODUCT((База[[#This Row],[Артикул]]=Комплекты[Комплект])*1)=0,"НЕТ","ОК"),"ОК")</f>
        <v/>
      </c>
      <c r="H152" s="312">
        <f>IF(SUMPRODUCT((База[[#This Row],[Артикул]]=ПНЕВМАТИКА!$G$6:$G$330)*1)=0,"НЕТ","ОК")</f>
        <v/>
      </c>
      <c r="I152" s="312">
        <f>IF(SUMPRODUCT((База[[#This Row],[Артикул]]=ТОРМОЗ!$G$6:$G$64)*1)=0,"НЕТ","ОК")</f>
        <v/>
      </c>
    </row>
    <row r="153">
      <c r="A153" s="302">
        <f>ROW()-ROW(База[[#Headers],[№]])</f>
        <v/>
      </c>
      <c r="B153" s="311" t="n"/>
      <c r="C153" s="405" t="inlineStr">
        <is>
          <t>4006061140К3</t>
        </is>
      </c>
      <c r="D153" s="546" t="inlineStr">
        <is>
          <t>Комплект "ABS 2S/2M базовый W"</t>
        </is>
      </c>
      <c r="E153" s="404" t="n">
        <v>4441000110</v>
      </c>
      <c r="F153" s="312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53" s="312">
        <f>IF(База[[#This Row],[Тип]]=0,IF(SUMPRODUCT((База[[#This Row],[Артикул]]=Комплекты[Комплект])*1)=0,"НЕТ","ОК"),"ОК")</f>
        <v/>
      </c>
      <c r="H153" s="312">
        <f>IF(SUMPRODUCT((База[[#This Row],[Артикул]]=ПНЕВМАТИКА!$G$6:$G$330)*1)=0,"НЕТ","ОК")</f>
        <v/>
      </c>
      <c r="I153" s="312">
        <f>IF(SUMPRODUCT((База[[#This Row],[Артикул]]=ТОРМОЗ!$G$6:$G$64)*1)=0,"НЕТ","ОК")</f>
        <v/>
      </c>
    </row>
    <row r="154" ht="28.8" customHeight="1">
      <c r="A154" s="687">
        <f>ROW()-ROW(База[[#Headers],[№]])</f>
        <v/>
      </c>
      <c r="B154" s="686" t="n"/>
      <c r="C154" s="691" t="inlineStr">
        <is>
          <t>Арт_TEBS_2-2_12_W_-1</t>
        </is>
      </c>
      <c r="D154" s="692" t="inlineStr">
        <is>
          <t>Комплект "TEBS WABCO 2S/2M базовый 12 м" -1 (ВБК РУС)</t>
        </is>
      </c>
      <c r="E154" s="686" t="n">
        <v>4441000170</v>
      </c>
      <c r="F154" s="689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54" s="689">
        <f>IF(База[[#This Row],[Тип]]=0,IF(SUMPRODUCT((База[[#This Row],[Артикул]]=Комплекты[Комплект])*1)=0,"НЕТ","ОК"),"ОК")</f>
        <v/>
      </c>
      <c r="H154" s="689">
        <f>IF(SUMPRODUCT((База[[#This Row],[Артикул]]=ПНЕВМАТИКА!$G$6:$G$330)*1)=0,"НЕТ","ОК")</f>
        <v/>
      </c>
      <c r="I154" s="689">
        <f>IF(SUMPRODUCT((База[[#This Row],[Артикул]]=ТОРМОЗ!$G$6:$G$64)*1)=0,"НЕТ","ОК")</f>
        <v/>
      </c>
    </row>
    <row r="155">
      <c r="A155" s="648">
        <f>ROW()-ROW(База[[#Headers],[№]])</f>
        <v/>
      </c>
      <c r="B155" s="647" t="n"/>
      <c r="C155" s="725" t="inlineStr">
        <is>
          <t>Арт_Пнев_Под_2</t>
        </is>
      </c>
      <c r="D155" s="596" t="inlineStr">
        <is>
          <t>Комплект пневматики</t>
        </is>
      </c>
      <c r="E155" s="726" t="n">
        <v>4441000010</v>
      </c>
      <c r="F155" s="727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/>
      </c>
      <c r="G155" s="727">
        <f>IF(База[[#This Row],[Тип]]=0,IF(SUMPRODUCT((База[[#This Row],[Артикул]]=Комплекты[Комплект])*1)=0,"НЕТ","ОК"),"ОК")</f>
        <v/>
      </c>
      <c r="H155" s="727">
        <f>IF(SUMPRODUCT((База[[#This Row],[Артикул]]=ПНЕВМАТИКА!$G$6:$G$330)*1)=0,"НЕТ","ОК")</f>
        <v/>
      </c>
      <c r="I155" s="727">
        <f>IF(SUMPRODUCT((База[[#This Row],[Артикул]]=ТОРМОЗ!$G$6:$G$64)*1)=0,"НЕТ","ОК")</f>
        <v/>
      </c>
    </row>
  </sheetData>
  <conditionalFormatting sqref="A2:G155">
    <cfRule type="expression" priority="878" dxfId="25">
      <formula>IF($F2="нет",1,0)</formula>
    </cfRule>
  </conditionalFormatting>
  <conditionalFormatting sqref="C2:C155">
    <cfRule type="duplicateValues" priority="2806" dxfId="1"/>
  </conditionalFormatting>
  <conditionalFormatting sqref="H2:I155">
    <cfRule type="containsText" priority="3" operator="containsText" dxfId="25" text="НЕТ">
      <formula>NOT(ISERROR(SEARCH("НЕТ",H2)))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W249"/>
  <sheetViews>
    <sheetView workbookViewId="0">
      <pane xSplit="8" ySplit="2" topLeftCell="I225" activePane="bottomRight" state="frozen"/>
      <selection activeCell="E80" sqref="E80"/>
      <selection pane="topRight" activeCell="A1" sqref="A1"/>
      <selection pane="bottomLeft" activeCell="A1" sqref="A1"/>
      <selection pane="bottomRight" activeCell="E247" sqref="E247"/>
    </sheetView>
  </sheetViews>
  <sheetFormatPr baseColWidth="8" defaultColWidth="12.6640625" defaultRowHeight="14.4"/>
  <cols>
    <col width="3.6640625" customWidth="1" style="145" min="1" max="1"/>
    <col hidden="1" width="13.109375" customWidth="1" style="145" min="2" max="2"/>
    <col width="4.6640625" customWidth="1" style="145" min="3" max="3"/>
    <col width="10.109375" bestFit="1" customWidth="1" style="145" min="4" max="4"/>
    <col width="22.109375" bestFit="1" customWidth="1" style="145" min="5" max="5"/>
    <col width="6.5546875" customWidth="1" style="145" min="6" max="6"/>
    <col width="18" bestFit="1" customWidth="1" style="145" min="7" max="7"/>
    <col width="7.5546875" customWidth="1" style="145" min="8" max="8"/>
    <col outlineLevel="1" width="41" customWidth="1" style="145" min="9" max="9"/>
    <col outlineLevel="1" width="50.6640625" customWidth="1" style="145" min="10" max="10"/>
    <col width="2.6640625" customWidth="1" style="145" min="11" max="11"/>
    <col outlineLevel="1" width="8.6640625" customWidth="1" style="145" min="12" max="14"/>
    <col outlineLevel="1" width="2.6640625" customWidth="1" style="145" min="15" max="15"/>
    <col outlineLevel="1" width="8.6640625" customWidth="1" style="145" min="16" max="23"/>
    <col width="12.6640625" customWidth="1" style="145" min="24" max="16384"/>
  </cols>
  <sheetData>
    <row r="1">
      <c r="F1" s="432" t="n"/>
      <c r="G1" s="432" t="n">
        <v>400500088</v>
      </c>
      <c r="H1" s="432" t="n"/>
    </row>
    <row r="2" ht="30.6" customHeight="1">
      <c r="A2" s="268" t="inlineStr">
        <is>
          <t>№</t>
        </is>
      </c>
      <c r="B2" s="268" t="inlineStr">
        <is>
          <t>Ключ</t>
        </is>
      </c>
      <c r="C2" s="268" t="inlineStr">
        <is>
          <t>№ п/п</t>
        </is>
      </c>
      <c r="D2" s="269" t="inlineStr">
        <is>
          <t>Дата</t>
        </is>
      </c>
      <c r="E2" s="269" t="inlineStr">
        <is>
          <t>Комплект</t>
        </is>
      </c>
      <c r="F2" s="269" t="inlineStr">
        <is>
          <t>Пр</t>
        </is>
      </c>
      <c r="G2" s="269" t="inlineStr">
        <is>
          <t>Обозначение</t>
        </is>
      </c>
      <c r="H2" s="269" t="inlineStr">
        <is>
          <t>Кол-во</t>
        </is>
      </c>
      <c r="I2" s="701" t="inlineStr">
        <is>
          <t>Наименование</t>
        </is>
      </c>
      <c r="J2" s="701" t="inlineStr">
        <is>
          <t>Наименование комплекта</t>
        </is>
      </c>
      <c r="K2" s="701" t="inlineStr">
        <is>
          <t>  </t>
        </is>
      </c>
      <c r="L2" s="702" t="inlineStr">
        <is>
          <t>Проверка двойного артикула</t>
        </is>
      </c>
      <c r="M2" s="702" t="inlineStr">
        <is>
          <t>Проверка двойного комплекта</t>
        </is>
      </c>
      <c r="N2" s="702" t="inlineStr">
        <is>
          <t>Проверка наличия в плане</t>
        </is>
      </c>
      <c r="O2" s="270" t="inlineStr">
        <is>
          <t>   </t>
        </is>
      </c>
      <c r="P2" s="270" t="inlineStr">
        <is>
          <t>Ультра Групп</t>
        </is>
      </c>
      <c r="Q2" s="270" t="inlineStr">
        <is>
          <t>НовосибАРЗ</t>
        </is>
      </c>
      <c r="R2" s="270" t="inlineStr">
        <is>
          <t>СТК</t>
        </is>
      </c>
      <c r="S2" s="270" t="inlineStr">
        <is>
          <t>Прицепная техника (УЗСТ)</t>
        </is>
      </c>
      <c r="T2" s="270" t="inlineStr">
        <is>
          <t>Политранс</t>
        </is>
      </c>
      <c r="U2" s="270" t="inlineStr">
        <is>
          <t>Уралавтоприцеп (ЧМЗАП)</t>
        </is>
      </c>
      <c r="V2" s="270" t="inlineStr">
        <is>
          <t>СпецАвто-Восток</t>
        </is>
      </c>
      <c r="W2" s="271" t="inlineStr">
        <is>
          <t>АВТОВИК</t>
        </is>
      </c>
    </row>
    <row r="3">
      <c r="A3" s="309">
        <f>ROW()-ROW(Комплекты[[#Headers],[№]])</f>
        <v/>
      </c>
      <c r="B3" s="309">
        <f>Комплекты[[#This Row],[Пр]]&amp;"_"&amp;Комплекты[[#This Row],[Обозначение]]</f>
        <v/>
      </c>
      <c r="C3" s="309">
        <f>COUNTIFS($E$3:Комплекты[[#This Row],[Комплект]],Комплекты[[#This Row],[Комплект]])</f>
        <v/>
      </c>
      <c r="D3" s="310" t="n">
        <v>45884</v>
      </c>
      <c r="E3" s="311" t="n">
        <v>4441000020</v>
      </c>
      <c r="F3" s="302" t="n">
        <v>1</v>
      </c>
      <c r="G3" s="313" t="n">
        <v>4334010030</v>
      </c>
      <c r="H3" s="302" t="n">
        <v>1</v>
      </c>
      <c r="I3" s="399">
        <f>INDEX(База[],MATCH(Комплекты[[#This Row],[Обозначение]],База[Артикул],0),MATCH(I$2,База[#Headers],0))</f>
        <v/>
      </c>
      <c r="J3" s="399">
        <f>INDEX(База[],MATCH(Комплекты[[#This Row],[Комплект]],База[Артикул],0),MATCH("наименование",База[#Headers],0))</f>
        <v/>
      </c>
      <c r="K3" s="399" t="n"/>
      <c r="L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" s="699">
        <f>IF(IFERROR(MATCH("нет",Комплекты[[#This Row],[   ]:[АВТОВИК]],0)&gt;0,),"НЕТ","ОК")</f>
        <v/>
      </c>
      <c r="O3" s="699" t="n"/>
      <c r="P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">
      <c r="A4" s="309">
        <f>ROW()-ROW(Комплекты[[#Headers],[№]])</f>
        <v/>
      </c>
      <c r="B4" s="309">
        <f>Комплекты[[#This Row],[Пр]]&amp;"_"&amp;Комплекты[[#This Row],[Обозначение]]</f>
        <v/>
      </c>
      <c r="C4" s="309">
        <f>COUNTIFS($E$3:Комплекты[[#This Row],[Комплект]],Комплекты[[#This Row],[Комплект]])</f>
        <v/>
      </c>
      <c r="D4" s="310" t="n">
        <v>45884</v>
      </c>
      <c r="E4" s="311" t="n">
        <v>4441000020</v>
      </c>
      <c r="F4" s="302" t="n">
        <v>1</v>
      </c>
      <c r="G4" s="313" t="n">
        <v>4341001250</v>
      </c>
      <c r="H4" s="302" t="n">
        <v>1</v>
      </c>
      <c r="I4" s="399">
        <f>INDEX(База[],MATCH(Комплекты[[#This Row],[Обозначение]],База[Артикул],0),MATCH(I$2,База[#Headers],0))</f>
        <v/>
      </c>
      <c r="J4" s="399">
        <f>INDEX(База[],MATCH(Комплекты[[#This Row],[Комплект]],База[Артикул],0),MATCH("наименование",База[#Headers],0))</f>
        <v/>
      </c>
      <c r="K4" s="399" t="n"/>
      <c r="L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" s="699">
        <f>IF(IFERROR(MATCH("нет",Комплекты[[#This Row],[   ]:[АВТОВИК]],0)&gt;0,),"НЕТ","ОК")</f>
        <v/>
      </c>
      <c r="O4" s="699" t="n"/>
      <c r="P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">
      <c r="A5" s="309">
        <f>ROW()-ROW(Комплекты[[#Headers],[№]])</f>
        <v/>
      </c>
      <c r="B5" s="309">
        <f>Комплекты[[#This Row],[Пр]]&amp;"_"&amp;Комплекты[[#This Row],[Обозначение]]</f>
        <v/>
      </c>
      <c r="C5" s="309">
        <f>COUNTIFS($E$3:Комплекты[[#This Row],[Комплект]],Комплекты[[#This Row],[Комплект]])</f>
        <v/>
      </c>
      <c r="D5" s="310" t="n">
        <v>45884</v>
      </c>
      <c r="E5" s="311" t="n">
        <v>4441000020</v>
      </c>
      <c r="F5" s="302" t="n">
        <v>1</v>
      </c>
      <c r="G5" s="313" t="n">
        <v>4630320200</v>
      </c>
      <c r="H5" s="302" t="n">
        <v>1</v>
      </c>
      <c r="I5" s="399">
        <f>INDEX(База[],MATCH(Комплекты[[#This Row],[Обозначение]],База[Артикул],0),MATCH(I$2,База[#Headers],0))</f>
        <v/>
      </c>
      <c r="J5" s="399">
        <f>INDEX(База[],MATCH(Комплекты[[#This Row],[Комплект]],База[Артикул],0),MATCH("наименование",База[#Headers],0))</f>
        <v/>
      </c>
      <c r="K5" s="399" t="n"/>
      <c r="L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" s="699">
        <f>IF(IFERROR(MATCH("нет",Комплекты[[#This Row],[   ]:[АВТОВИК]],0)&gt;0,),"НЕТ","ОК")</f>
        <v/>
      </c>
      <c r="O5" s="699" t="n"/>
      <c r="P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">
      <c r="A6" s="309">
        <f>ROW()-ROW(Комплекты[[#Headers],[№]])</f>
        <v/>
      </c>
      <c r="B6" s="309">
        <f>Комплекты[[#This Row],[Пр]]&amp;"_"&amp;Комплекты[[#This Row],[Обозначение]]</f>
        <v/>
      </c>
      <c r="C6" s="309">
        <f>COUNTIFS($E$3:Комплекты[[#This Row],[Комплект]],Комплекты[[#This Row],[Комплект]])</f>
        <v/>
      </c>
      <c r="D6" s="310" t="n">
        <v>45884</v>
      </c>
      <c r="E6" s="311" t="n">
        <v>4441000020</v>
      </c>
      <c r="F6" s="302" t="n">
        <v>1</v>
      </c>
      <c r="G6" s="313" t="n">
        <v>4640061000</v>
      </c>
      <c r="H6" s="302" t="n">
        <v>1</v>
      </c>
      <c r="I6" s="399">
        <f>INDEX(База[],MATCH(Комплекты[[#This Row],[Обозначение]],База[Артикул],0),MATCH(I$2,База[#Headers],0))</f>
        <v/>
      </c>
      <c r="J6" s="399">
        <f>INDEX(База[],MATCH(Комплекты[[#This Row],[Комплект]],База[Артикул],0),MATCH("наименование",База[#Headers],0))</f>
        <v/>
      </c>
      <c r="K6" s="399" t="n"/>
      <c r="L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" s="699">
        <f>IF(IFERROR(MATCH("нет",Комплекты[[#This Row],[   ]:[АВТОВИК]],0)&gt;0,),"НЕТ","ОК")</f>
        <v/>
      </c>
      <c r="O6" s="699" t="n"/>
      <c r="P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">
      <c r="A7" s="309">
        <f>ROW()-ROW(Комплекты[[#Headers],[№]])</f>
        <v/>
      </c>
      <c r="B7" s="309">
        <f>Комплекты[[#This Row],[Пр]]&amp;"_"&amp;Комплекты[[#This Row],[Обозначение]]</f>
        <v/>
      </c>
      <c r="C7" s="309">
        <f>COUNTIFS($E$3:Комплекты[[#This Row],[Комплект]],Комплекты[[#This Row],[Комплект]])</f>
        <v/>
      </c>
      <c r="D7" s="310" t="n">
        <v>45884</v>
      </c>
      <c r="E7" s="311" t="n">
        <v>4441000020</v>
      </c>
      <c r="F7" s="302" t="n">
        <v>1</v>
      </c>
      <c r="G7" s="313" t="n">
        <v>4757145000</v>
      </c>
      <c r="H7" s="302" t="n">
        <v>1</v>
      </c>
      <c r="I7" s="399">
        <f>INDEX(База[],MATCH(Комплекты[[#This Row],[Обозначение]],База[Артикул],0),MATCH(I$2,База[#Headers],0))</f>
        <v/>
      </c>
      <c r="J7" s="399">
        <f>INDEX(База[],MATCH(Комплекты[[#This Row],[Комплект]],База[Артикул],0),MATCH("наименование",База[#Headers],0))</f>
        <v/>
      </c>
      <c r="K7" s="399" t="n"/>
      <c r="L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" s="699">
        <f>IF(IFERROR(MATCH("нет",Комплекты[[#This Row],[   ]:[АВТОВИК]],0)&gt;0,),"НЕТ","ОК")</f>
        <v/>
      </c>
      <c r="O7" s="699" t="n"/>
      <c r="P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">
      <c r="A8" s="309">
        <f>ROW()-ROW(Комплекты[[#Headers],[№]])</f>
        <v/>
      </c>
      <c r="B8" s="309">
        <f>Комплекты[[#This Row],[Пр]]&amp;"_"&amp;Комплекты[[#This Row],[Обозначение]]</f>
        <v/>
      </c>
      <c r="C8" s="309">
        <f>COUNTIFS($E$3:Комплекты[[#This Row],[Комплект]],Комплекты[[#This Row],[Комплект]])</f>
        <v/>
      </c>
      <c r="D8" s="310" t="n">
        <v>45884</v>
      </c>
      <c r="E8" s="311" t="n">
        <v>4441000020</v>
      </c>
      <c r="F8" s="302" t="n">
        <v>1</v>
      </c>
      <c r="G8" s="313" t="n">
        <v>9630010510</v>
      </c>
      <c r="H8" s="302" t="n">
        <v>1</v>
      </c>
      <c r="I8" s="399">
        <f>INDEX(База[],MATCH(Комплекты[[#This Row],[Обозначение]],База[Артикул],0),MATCH(I$2,База[#Headers],0))</f>
        <v/>
      </c>
      <c r="J8" s="399">
        <f>INDEX(База[],MATCH(Комплекты[[#This Row],[Комплект]],База[Артикул],0),MATCH("наименование",База[#Headers],0))</f>
        <v/>
      </c>
      <c r="K8" s="399" t="n"/>
      <c r="L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" s="699">
        <f>IF(IFERROR(MATCH("нет",Комплекты[[#This Row],[   ]:[АВТОВИК]],0)&gt;0,),"НЕТ","ОК")</f>
        <v/>
      </c>
      <c r="O8" s="699" t="n"/>
      <c r="P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">
      <c r="A9" s="309">
        <f>ROW()-ROW(Комплекты[[#Headers],[№]])</f>
        <v/>
      </c>
      <c r="B9" s="309">
        <f>Комплекты[[#This Row],[Пр]]&amp;"_"&amp;Комплекты[[#This Row],[Обозначение]]</f>
        <v/>
      </c>
      <c r="C9" s="309">
        <f>COUNTIFS($E$3:Комплекты[[#This Row],[Комплект]],Комплекты[[#This Row],[Комплект]])</f>
        <v/>
      </c>
      <c r="D9" s="310" t="n">
        <v>45884</v>
      </c>
      <c r="E9" s="311" t="n">
        <v>4441000020</v>
      </c>
      <c r="F9" s="302" t="n">
        <v>1</v>
      </c>
      <c r="G9" s="313" t="n">
        <v>9735000510</v>
      </c>
      <c r="H9" s="302" t="n">
        <v>1</v>
      </c>
      <c r="I9" s="399">
        <f>INDEX(База[],MATCH(Комплекты[[#This Row],[Обозначение]],База[Артикул],0),MATCH(I$2,База[#Headers],0))</f>
        <v/>
      </c>
      <c r="J9" s="399">
        <f>INDEX(База[],MATCH(Комплекты[[#This Row],[Комплект]],База[Артикул],0),MATCH("наименование",База[#Headers],0))</f>
        <v/>
      </c>
      <c r="K9" s="399" t="n"/>
      <c r="L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" s="699">
        <f>IF(IFERROR(MATCH("нет",Комплекты[[#This Row],[   ]:[АВТОВИК]],0)&gt;0,),"НЕТ","ОК")</f>
        <v/>
      </c>
      <c r="O9" s="699" t="n"/>
      <c r="P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">
      <c r="A10" s="425">
        <f>ROW()-ROW(Комплекты[[#Headers],[№]])</f>
        <v/>
      </c>
      <c r="B10" s="425">
        <f>Комплекты[[#This Row],[Пр]]&amp;"_"&amp;Комплекты[[#This Row],[Обозначение]]</f>
        <v/>
      </c>
      <c r="C10" s="425">
        <f>COUNTIFS($E$3:Комплекты[[#This Row],[Комплект]],Комплекты[[#This Row],[Комплект]])</f>
        <v/>
      </c>
      <c r="D10" s="426" t="n">
        <v>45990</v>
      </c>
      <c r="E10" s="423" t="n">
        <v>4441000040</v>
      </c>
      <c r="F10" s="427" t="n">
        <v>1</v>
      </c>
      <c r="G10" s="428" t="n">
        <v>4496161560</v>
      </c>
      <c r="H10" s="427" t="n">
        <v>1</v>
      </c>
      <c r="I10" s="600">
        <f>INDEX(База[],MATCH(Комплекты[[#This Row],[Обозначение]],База[Артикул],0),MATCH(I$2,База[#Headers],0))</f>
        <v/>
      </c>
      <c r="J10" s="399">
        <f>INDEX(База[],MATCH(Комплекты[[#This Row],[Комплект]],База[Артикул],0),MATCH("наименование",База[#Headers],0))</f>
        <v/>
      </c>
      <c r="K10" s="399" t="n"/>
      <c r="L10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" s="703">
        <f>IF(IFERROR(MATCH("нет",Комплекты[[#This Row],[   ]:[АВТОВИК]],0)&gt;0,),"НЕТ","ОК")</f>
        <v/>
      </c>
      <c r="O10" s="699" t="n"/>
      <c r="P1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">
      <c r="A11" s="425">
        <f>ROW()-ROW(Комплекты[[#Headers],[№]])</f>
        <v/>
      </c>
      <c r="B11" s="425">
        <f>Комплекты[[#This Row],[Пр]]&amp;"_"&amp;Комплекты[[#This Row],[Обозначение]]</f>
        <v/>
      </c>
      <c r="C11" s="425">
        <f>COUNTIFS($E$3:Комплекты[[#This Row],[Комплект]],Комплекты[[#This Row],[Комплект]])</f>
        <v/>
      </c>
      <c r="D11" s="426" t="n">
        <v>45990</v>
      </c>
      <c r="E11" s="423" t="n">
        <v>4441000040</v>
      </c>
      <c r="F11" s="427" t="n">
        <v>1</v>
      </c>
      <c r="G11" s="428" t="n">
        <v>4721950310</v>
      </c>
      <c r="H11" s="427" t="n">
        <v>1</v>
      </c>
      <c r="I11" s="600">
        <f>INDEX(База[],MATCH(Комплекты[[#This Row],[Обозначение]],База[Артикул],0),MATCH(I$2,База[#Headers],0))</f>
        <v/>
      </c>
      <c r="J11" s="399">
        <f>INDEX(База[],MATCH(Комплекты[[#This Row],[Комплект]],База[Артикул],0),MATCH("наименование",База[#Headers],0))</f>
        <v/>
      </c>
      <c r="K11" s="399" t="n"/>
      <c r="L11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" s="703">
        <f>IF(IFERROR(MATCH("нет",Комплекты[[#This Row],[   ]:[АВТОВИК]],0)&gt;0,),"НЕТ","ОК")</f>
        <v/>
      </c>
      <c r="O11" s="699" t="n"/>
      <c r="P1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">
      <c r="A12" s="309">
        <f>ROW()-ROW(Комплекты[[#Headers],[№]])</f>
        <v/>
      </c>
      <c r="B12" s="309">
        <f>Комплекты[[#This Row],[Пр]]&amp;"_"&amp;Комплекты[[#This Row],[Обозначение]]</f>
        <v/>
      </c>
      <c r="C12" s="309">
        <f>COUNTIFS($E$3:Комплекты[[#This Row],[Комплект]],Комплекты[[#This Row],[Комплект]])</f>
        <v/>
      </c>
      <c r="D12" s="310" t="n">
        <v>46043</v>
      </c>
      <c r="E12" s="311" t="n">
        <v>4441000050</v>
      </c>
      <c r="F12" s="302" t="n">
        <v>2</v>
      </c>
      <c r="G12" s="313" t="n">
        <v>4005000880</v>
      </c>
      <c r="H12" s="302" t="n">
        <v>1</v>
      </c>
      <c r="I12" s="399">
        <f>INDEX(База[],MATCH(Комплекты[[#This Row],[Обозначение]],База[Артикул],0),MATCH(I$2,База[#Headers],0))</f>
        <v/>
      </c>
      <c r="J12" s="399">
        <f>INDEX(База[],MATCH(Комплекты[[#This Row],[Комплект]],База[Артикул],0),MATCH("наименование",База[#Headers],0))</f>
        <v/>
      </c>
      <c r="K12" s="399" t="n"/>
      <c r="L1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" s="699">
        <f>IF(IFERROR(MATCH("нет",Комплекты[[#This Row],[   ]:[АВТОВИК]],0)&gt;0,),"НЕТ","ОК")</f>
        <v/>
      </c>
      <c r="O12" s="699" t="n"/>
      <c r="P1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">
      <c r="A13" s="309">
        <f>ROW()-ROW(Комплекты[[#Headers],[№]])</f>
        <v/>
      </c>
      <c r="B13" s="309">
        <f>Комплекты[[#This Row],[Пр]]&amp;"_"&amp;Комплекты[[#This Row],[Обозначение]]</f>
        <v/>
      </c>
      <c r="C13" s="309">
        <f>COUNTIFS($E$3:Комплекты[[#This Row],[Комплект]],Комплекты[[#This Row],[Комплект]])</f>
        <v/>
      </c>
      <c r="D13" s="310" t="n">
        <v>46043</v>
      </c>
      <c r="E13" s="311" t="n">
        <v>4441000050</v>
      </c>
      <c r="F13" s="302" t="n">
        <v>2</v>
      </c>
      <c r="G13" s="313" t="n">
        <v>4491301200</v>
      </c>
      <c r="H13" s="302" t="n">
        <v>1</v>
      </c>
      <c r="I13" s="399">
        <f>INDEX(База[],MATCH(Комплекты[[#This Row],[Обозначение]],База[Артикул],0),MATCH(I$2,База[#Headers],0))</f>
        <v/>
      </c>
      <c r="J13" s="399">
        <f>INDEX(База[],MATCH(Комплекты[[#This Row],[Комплект]],База[Артикул],0),MATCH("наименование",База[#Headers],0))</f>
        <v/>
      </c>
      <c r="K13" s="399" t="n"/>
      <c r="L1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" s="699">
        <f>IF(IFERROR(MATCH("нет",Комплекты[[#This Row],[   ]:[АВТОВИК]],0)&gt;0,),"НЕТ","ОК")</f>
        <v/>
      </c>
      <c r="O13" s="699" t="n"/>
      <c r="P1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">
      <c r="A14" s="309">
        <f>ROW()-ROW(Комплекты[[#Headers],[№]])</f>
        <v/>
      </c>
      <c r="B14" s="309">
        <f>Комплекты[[#This Row],[Пр]]&amp;"_"&amp;Комплекты[[#This Row],[Обозначение]]</f>
        <v/>
      </c>
      <c r="C14" s="309">
        <f>COUNTIFS($E$3:Комплекты[[#This Row],[Комплект]],Комплекты[[#This Row],[Комплект]])</f>
        <v/>
      </c>
      <c r="D14" s="310" t="n">
        <v>46043</v>
      </c>
      <c r="E14" s="311" t="n">
        <v>4441000050</v>
      </c>
      <c r="F14" s="302" t="n">
        <v>2</v>
      </c>
      <c r="G14" s="313" t="n">
        <v>4493702820</v>
      </c>
      <c r="H14" s="302" t="n">
        <v>1</v>
      </c>
      <c r="I14" s="399">
        <f>INDEX(База[],MATCH(Комплекты[[#This Row],[Обозначение]],База[Артикул],0),MATCH(I$2,База[#Headers],0))</f>
        <v/>
      </c>
      <c r="J14" s="399">
        <f>INDEX(База[],MATCH(Комплекты[[#This Row],[Комплект]],База[Артикул],0),MATCH("наименование",База[#Headers],0))</f>
        <v/>
      </c>
      <c r="K14" s="399" t="n"/>
      <c r="L1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" s="699">
        <f>IF(IFERROR(MATCH("нет",Комплекты[[#This Row],[   ]:[АВТОВИК]],0)&gt;0,),"НЕТ","ОК")</f>
        <v/>
      </c>
      <c r="O14" s="699" t="n"/>
      <c r="P1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">
      <c r="A15" s="309">
        <f>ROW()-ROW(Комплекты[[#Headers],[№]])</f>
        <v/>
      </c>
      <c r="B15" s="309">
        <f>Комплекты[[#This Row],[Пр]]&amp;"_"&amp;Комплекты[[#This Row],[Обозначение]]</f>
        <v/>
      </c>
      <c r="C15" s="309">
        <f>COUNTIFS($E$3:Комплекты[[#This Row],[Комплект]],Комплекты[[#This Row],[Комплект]])</f>
        <v/>
      </c>
      <c r="D15" s="310" t="n">
        <v>46043</v>
      </c>
      <c r="E15" s="311" t="n">
        <v>4441000050</v>
      </c>
      <c r="F15" s="302" t="n">
        <v>2</v>
      </c>
      <c r="G15" s="313" t="n">
        <v>4497490300</v>
      </c>
      <c r="H15" s="302" t="n">
        <v>2</v>
      </c>
      <c r="I15" s="399">
        <f>INDEX(База[],MATCH(Комплекты[[#This Row],[Обозначение]],База[Артикул],0),MATCH(I$2,База[#Headers],0))</f>
        <v/>
      </c>
      <c r="J15" s="399">
        <f>INDEX(База[],MATCH(Комплекты[[#This Row],[Комплект]],База[Артикул],0),MATCH("наименование",База[#Headers],0))</f>
        <v/>
      </c>
      <c r="K15" s="399" t="n"/>
      <c r="L1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" s="699">
        <f>IF(IFERROR(MATCH("нет",Комплекты[[#This Row],[   ]:[АВТОВИК]],0)&gt;0,),"НЕТ","ОК")</f>
        <v/>
      </c>
      <c r="O15" s="699" t="n"/>
      <c r="P1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">
      <c r="A16" s="309">
        <f>ROW()-ROW(Комплекты[[#Headers],[№]])</f>
        <v/>
      </c>
      <c r="B16" s="309">
        <f>Комплекты[[#This Row],[Пр]]&amp;"_"&amp;Комплекты[[#This Row],[Обозначение]]</f>
        <v/>
      </c>
      <c r="C16" s="309">
        <f>COUNTIFS($E$3:Комплекты[[#This Row],[Комплект]],Комплекты[[#This Row],[Комплект]])</f>
        <v/>
      </c>
      <c r="D16" s="310" t="n">
        <v>46043</v>
      </c>
      <c r="E16" s="311" t="n">
        <v>4441000050</v>
      </c>
      <c r="F16" s="302" t="n">
        <v>2</v>
      </c>
      <c r="G16" s="313" t="n">
        <v>9522010010</v>
      </c>
      <c r="H16" s="302" t="n">
        <v>1</v>
      </c>
      <c r="I16" s="399">
        <f>INDEX(База[],MATCH(Комплекты[[#This Row],[Обозначение]],База[Артикул],0),MATCH(I$2,База[#Headers],0))</f>
        <v/>
      </c>
      <c r="J16" s="399">
        <f>INDEX(База[],MATCH(Комплекты[[#This Row],[Комплект]],База[Артикул],0),MATCH("наименование",База[#Headers],0))</f>
        <v/>
      </c>
      <c r="K16" s="399" t="n"/>
      <c r="L1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" s="699">
        <f>IF(IFERROR(MATCH("нет",Комплекты[[#This Row],[   ]:[АВТОВИК]],0)&gt;0,),"НЕТ","ОК")</f>
        <v/>
      </c>
      <c r="O16" s="699" t="n"/>
      <c r="P1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">
      <c r="A17" s="309">
        <f>ROW()-ROW(Комплекты[[#Headers],[№]])</f>
        <v/>
      </c>
      <c r="B17" s="309">
        <f>Комплекты[[#This Row],[Пр]]&amp;"_"&amp;Комплекты[[#This Row],[Обозначение]]</f>
        <v/>
      </c>
      <c r="C17" s="309">
        <f>COUNTIFS($E$3:Комплекты[[#This Row],[Комплект]],Комплекты[[#This Row],[Комплект]])</f>
        <v/>
      </c>
      <c r="D17" s="310" t="n">
        <v>46043</v>
      </c>
      <c r="E17" s="311" t="n">
        <v>4441000050</v>
      </c>
      <c r="F17" s="302" t="n">
        <v>2</v>
      </c>
      <c r="G17" s="313" t="n">
        <v>9522010020</v>
      </c>
      <c r="H17" s="302" t="n">
        <v>1</v>
      </c>
      <c r="I17" s="399">
        <f>INDEX(База[],MATCH(Комплекты[[#This Row],[Обозначение]],База[Артикул],0),MATCH(I$2,База[#Headers],0))</f>
        <v/>
      </c>
      <c r="J17" s="399">
        <f>INDEX(База[],MATCH(Комплекты[[#This Row],[Комплект]],База[Артикул],0),MATCH("наименование",База[#Headers],0))</f>
        <v/>
      </c>
      <c r="K17" s="399" t="n"/>
      <c r="L1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" s="699">
        <f>IF(IFERROR(MATCH("нет",Комплекты[[#This Row],[   ]:[АВТОВИК]],0)&gt;0,),"НЕТ","ОК")</f>
        <v/>
      </c>
      <c r="O17" s="699" t="n"/>
      <c r="P1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">
      <c r="A18" s="309">
        <f>ROW()-ROW(Комплекты[[#Headers],[№]])</f>
        <v/>
      </c>
      <c r="B18" s="309">
        <f>Комплекты[[#This Row],[Пр]]&amp;"_"&amp;Комплекты[[#This Row],[Обозначение]]</f>
        <v/>
      </c>
      <c r="C18" s="309">
        <f>COUNTIFS($E$3:Комплекты[[#This Row],[Комплект]],Комплекты[[#This Row],[Комплект]])</f>
        <v/>
      </c>
      <c r="D18" s="310" t="n">
        <v>46043</v>
      </c>
      <c r="E18" s="311" t="n">
        <v>4441000050</v>
      </c>
      <c r="F18" s="302" t="n">
        <v>2</v>
      </c>
      <c r="G18" s="313" t="n">
        <v>9710020400</v>
      </c>
      <c r="H18" s="302" t="n">
        <v>1</v>
      </c>
      <c r="I18" s="399">
        <f>INDEX(База[],MATCH(Комплекты[[#This Row],[Обозначение]],База[Артикул],0),MATCH(I$2,База[#Headers],0))</f>
        <v/>
      </c>
      <c r="J18" s="399">
        <f>INDEX(База[],MATCH(Комплекты[[#This Row],[Комплект]],База[Артикул],0),MATCH("наименование",База[#Headers],0))</f>
        <v/>
      </c>
      <c r="K18" s="399" t="n"/>
      <c r="L1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" s="699">
        <f>IF(IFERROR(MATCH("нет",Комплекты[[#This Row],[   ]:[АВТОВИК]],0)&gt;0,),"НЕТ","ОК")</f>
        <v/>
      </c>
      <c r="O18" s="699" t="n"/>
      <c r="P1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">
      <c r="A19" s="309">
        <f>ROW()-ROW(Комплекты[[#Headers],[№]])</f>
        <v/>
      </c>
      <c r="B19" s="309">
        <f>Комплекты[[#This Row],[Пр]]&amp;"_"&amp;Комплекты[[#This Row],[Обозначение]]</f>
        <v/>
      </c>
      <c r="C19" s="309">
        <f>COUNTIFS($E$3:Комплекты[[#This Row],[Комплект]],Комплекты[[#This Row],[Комплект]])</f>
        <v/>
      </c>
      <c r="D19" s="310" t="n">
        <v>46043</v>
      </c>
      <c r="E19" s="311" t="n">
        <v>4441000060</v>
      </c>
      <c r="F19" s="302" t="n">
        <v>2</v>
      </c>
      <c r="G19" s="313" t="n">
        <v>4005000810</v>
      </c>
      <c r="H19" s="302" t="n">
        <v>1</v>
      </c>
      <c r="I19" s="399">
        <f>INDEX(База[],MATCH(Комплекты[[#This Row],[Обозначение]],База[Артикул],0),MATCH(I$2,База[#Headers],0))</f>
        <v/>
      </c>
      <c r="J19" s="399">
        <f>INDEX(База[],MATCH(Комплекты[[#This Row],[Комплект]],База[Артикул],0),MATCH("наименование",База[#Headers],0))</f>
        <v/>
      </c>
      <c r="K19" s="399" t="n"/>
      <c r="L1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" s="699">
        <f>IF(IFERROR(MATCH("нет",Комплекты[[#This Row],[   ]:[АВТОВИК]],0)&gt;0,),"НЕТ","ОК")</f>
        <v/>
      </c>
      <c r="O19" s="699" t="n"/>
      <c r="P1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">
      <c r="A20" s="309">
        <f>ROW()-ROW(Комплекты[[#Headers],[№]])</f>
        <v/>
      </c>
      <c r="B20" s="309">
        <f>Комплекты[[#This Row],[Пр]]&amp;"_"&amp;Комплекты[[#This Row],[Обозначение]]</f>
        <v/>
      </c>
      <c r="C20" s="309">
        <f>COUNTIFS($E$3:Комплекты[[#This Row],[Комплект]],Комплекты[[#This Row],[Комплект]])</f>
        <v/>
      </c>
      <c r="D20" s="310" t="n">
        <v>46043</v>
      </c>
      <c r="E20" s="311" t="n">
        <v>4441000060</v>
      </c>
      <c r="F20" s="302" t="n">
        <v>2</v>
      </c>
      <c r="G20" s="313" t="n">
        <v>4491301200</v>
      </c>
      <c r="H20" s="302" t="n">
        <v>1</v>
      </c>
      <c r="I20" s="399">
        <f>INDEX(База[],MATCH(Комплекты[[#This Row],[Обозначение]],База[Артикул],0),MATCH(I$2,База[#Headers],0))</f>
        <v/>
      </c>
      <c r="J20" s="399">
        <f>INDEX(База[],MATCH(Комплекты[[#This Row],[Комплект]],База[Артикул],0),MATCH("наименование",База[#Headers],0))</f>
        <v/>
      </c>
      <c r="K20" s="399" t="n"/>
      <c r="L2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" s="699">
        <f>IF(IFERROR(MATCH("нет",Комплекты[[#This Row],[   ]:[АВТОВИК]],0)&gt;0,),"НЕТ","ОК")</f>
        <v/>
      </c>
      <c r="O20" s="699" t="n"/>
      <c r="P2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">
      <c r="A21" s="309">
        <f>ROW()-ROW(Комплекты[[#Headers],[№]])</f>
        <v/>
      </c>
      <c r="B21" s="309">
        <f>Комплекты[[#This Row],[Пр]]&amp;"_"&amp;Комплекты[[#This Row],[Обозначение]]</f>
        <v/>
      </c>
      <c r="C21" s="309">
        <f>COUNTIFS($E$3:Комплекты[[#This Row],[Комплект]],Комплекты[[#This Row],[Комплект]])</f>
        <v/>
      </c>
      <c r="D21" s="310" t="n">
        <v>46043</v>
      </c>
      <c r="E21" s="311" t="n">
        <v>4441000060</v>
      </c>
      <c r="F21" s="302" t="n">
        <v>2</v>
      </c>
      <c r="G21" s="313" t="n">
        <v>4493792810</v>
      </c>
      <c r="H21" s="302" t="n">
        <v>1</v>
      </c>
      <c r="I21" s="399">
        <f>INDEX(База[],MATCH(Комплекты[[#This Row],[Обозначение]],База[Артикул],0),MATCH(I$2,База[#Headers],0))</f>
        <v/>
      </c>
      <c r="J21" s="399">
        <f>INDEX(База[],MATCH(Комплекты[[#This Row],[Комплект]],База[Артикул],0),MATCH("наименование",База[#Headers],0))</f>
        <v/>
      </c>
      <c r="K21" s="399" t="n"/>
      <c r="L2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" s="699">
        <f>IF(IFERROR(MATCH("нет",Комплекты[[#This Row],[   ]:[АВТОВИК]],0)&gt;0,),"НЕТ","ОК")</f>
        <v/>
      </c>
      <c r="O21" s="699" t="n"/>
      <c r="P2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">
      <c r="A22" s="309">
        <f>ROW()-ROW(Комплекты[[#Headers],[№]])</f>
        <v/>
      </c>
      <c r="B22" s="309">
        <f>Комплекты[[#This Row],[Пр]]&amp;"_"&amp;Комплекты[[#This Row],[Обозначение]]</f>
        <v/>
      </c>
      <c r="C22" s="309">
        <f>COUNTIFS($E$3:Комплекты[[#This Row],[Комплект]],Комплекты[[#This Row],[Комплект]])</f>
        <v/>
      </c>
      <c r="D22" s="310" t="n">
        <v>46043</v>
      </c>
      <c r="E22" s="311" t="n">
        <v>4441000060</v>
      </c>
      <c r="F22" s="302" t="n">
        <v>2</v>
      </c>
      <c r="G22" s="313" t="n">
        <v>4497490300</v>
      </c>
      <c r="H22" s="302" t="n">
        <v>2</v>
      </c>
      <c r="I22" s="399">
        <f>INDEX(База[],MATCH(Комплекты[[#This Row],[Обозначение]],База[Артикул],0),MATCH(I$2,База[#Headers],0))</f>
        <v/>
      </c>
      <c r="J22" s="399">
        <f>INDEX(База[],MATCH(Комплекты[[#This Row],[Комплект]],База[Артикул],0),MATCH("наименование",База[#Headers],0))</f>
        <v/>
      </c>
      <c r="K22" s="399" t="n"/>
      <c r="L2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" s="699">
        <f>IF(IFERROR(MATCH("нет",Комплекты[[#This Row],[   ]:[АВТОВИК]],0)&gt;0,),"НЕТ","ОК")</f>
        <v/>
      </c>
      <c r="O22" s="699" t="n"/>
      <c r="P2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">
      <c r="A23" s="309">
        <f>ROW()-ROW(Комплекты[[#Headers],[№]])</f>
        <v/>
      </c>
      <c r="B23" s="309">
        <f>Комплекты[[#This Row],[Пр]]&amp;"_"&amp;Комплекты[[#This Row],[Обозначение]]</f>
        <v/>
      </c>
      <c r="C23" s="309">
        <f>COUNTIFS($E$3:Комплекты[[#This Row],[Комплект]],Комплекты[[#This Row],[Комплект]])</f>
        <v/>
      </c>
      <c r="D23" s="310" t="n">
        <v>46043</v>
      </c>
      <c r="E23" s="311" t="n">
        <v>4441000060</v>
      </c>
      <c r="F23" s="302" t="n">
        <v>2</v>
      </c>
      <c r="G23" s="313" t="n">
        <v>9522010010</v>
      </c>
      <c r="H23" s="302" t="n">
        <v>1</v>
      </c>
      <c r="I23" s="399">
        <f>INDEX(База[],MATCH(Комплекты[[#This Row],[Обозначение]],База[Артикул],0),MATCH(I$2,База[#Headers],0))</f>
        <v/>
      </c>
      <c r="J23" s="399">
        <f>INDEX(База[],MATCH(Комплекты[[#This Row],[Комплект]],База[Артикул],0),MATCH("наименование",База[#Headers],0))</f>
        <v/>
      </c>
      <c r="K23" s="399" t="n"/>
      <c r="L2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" s="699">
        <f>IF(IFERROR(MATCH("нет",Комплекты[[#This Row],[   ]:[АВТОВИК]],0)&gt;0,),"НЕТ","ОК")</f>
        <v/>
      </c>
      <c r="O23" s="699" t="n"/>
      <c r="P2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">
      <c r="A24" s="309">
        <f>ROW()-ROW(Комплекты[[#Headers],[№]])</f>
        <v/>
      </c>
      <c r="B24" s="309">
        <f>Комплекты[[#This Row],[Пр]]&amp;"_"&amp;Комплекты[[#This Row],[Обозначение]]</f>
        <v/>
      </c>
      <c r="C24" s="309">
        <f>COUNTIFS($E$3:Комплекты[[#This Row],[Комплект]],Комплекты[[#This Row],[Комплект]])</f>
        <v/>
      </c>
      <c r="D24" s="310" t="n">
        <v>46043</v>
      </c>
      <c r="E24" s="311" t="n">
        <v>4441000060</v>
      </c>
      <c r="F24" s="302" t="n">
        <v>2</v>
      </c>
      <c r="G24" s="313" t="n">
        <v>9522010020</v>
      </c>
      <c r="H24" s="302" t="n">
        <v>1</v>
      </c>
      <c r="I24" s="399">
        <f>INDEX(База[],MATCH(Комплекты[[#This Row],[Обозначение]],База[Артикул],0),MATCH(I$2,База[#Headers],0))</f>
        <v/>
      </c>
      <c r="J24" s="399">
        <f>INDEX(База[],MATCH(Комплекты[[#This Row],[Комплект]],База[Артикул],0),MATCH("наименование",База[#Headers],0))</f>
        <v/>
      </c>
      <c r="K24" s="399" t="n"/>
      <c r="L2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" s="699">
        <f>IF(IFERROR(MATCH("нет",Комплекты[[#This Row],[   ]:[АВТОВИК]],0)&gt;0,),"НЕТ","ОК")</f>
        <v/>
      </c>
      <c r="O24" s="699" t="n"/>
      <c r="P2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5">
      <c r="A25" s="309">
        <f>ROW()-ROW(Комплекты[[#Headers],[№]])</f>
        <v/>
      </c>
      <c r="B25" s="309">
        <f>Комплекты[[#This Row],[Пр]]&amp;"_"&amp;Комплекты[[#This Row],[Обозначение]]</f>
        <v/>
      </c>
      <c r="C25" s="309">
        <f>COUNTIFS($E$3:Комплекты[[#This Row],[Комплект]],Комплекты[[#This Row],[Комплект]])</f>
        <v/>
      </c>
      <c r="D25" s="310" t="n">
        <v>46043</v>
      </c>
      <c r="E25" s="311" t="n">
        <v>4441000060</v>
      </c>
      <c r="F25" s="302" t="n">
        <v>2</v>
      </c>
      <c r="G25" s="313" t="n">
        <v>9710020400</v>
      </c>
      <c r="H25" s="302" t="n">
        <v>1</v>
      </c>
      <c r="I25" s="399">
        <f>INDEX(База[],MATCH(Комплекты[[#This Row],[Обозначение]],База[Артикул],0),MATCH(I$2,База[#Headers],0))</f>
        <v/>
      </c>
      <c r="J25" s="399">
        <f>INDEX(База[],MATCH(Комплекты[[#This Row],[Комплект]],База[Артикул],0),MATCH("наименование",База[#Headers],0))</f>
        <v/>
      </c>
      <c r="K25" s="399" t="n"/>
      <c r="L2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5" s="699">
        <f>IF(IFERROR(MATCH("нет",Комплекты[[#This Row],[   ]:[АВТОВИК]],0)&gt;0,),"НЕТ","ОК")</f>
        <v/>
      </c>
      <c r="O25" s="699" t="n"/>
      <c r="P2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6">
      <c r="A26" s="309">
        <f>ROW()-ROW(Комплекты[[#Headers],[№]])</f>
        <v/>
      </c>
      <c r="B26" s="309">
        <f>Комплекты[[#This Row],[Пр]]&amp;"_"&amp;Комплекты[[#This Row],[Обозначение]]</f>
        <v/>
      </c>
      <c r="C26" s="309">
        <f>COUNTIFS($E$3:Комплекты[[#This Row],[Комплект]],Комплекты[[#This Row],[Комплект]])</f>
        <v/>
      </c>
      <c r="D26" s="310" t="n">
        <v>46043</v>
      </c>
      <c r="E26" s="311" t="n">
        <v>4441000070</v>
      </c>
      <c r="F26" s="302" t="n">
        <v>2</v>
      </c>
      <c r="G26" s="313" t="n">
        <v>4005000880</v>
      </c>
      <c r="H26" s="302" t="n">
        <v>1</v>
      </c>
      <c r="I26" s="399">
        <f>INDEX(База[],MATCH(Комплекты[[#This Row],[Обозначение]],База[Артикул],0),MATCH(I$2,База[#Headers],0))</f>
        <v/>
      </c>
      <c r="J26" s="399">
        <f>INDEX(База[],MATCH(Комплекты[[#This Row],[Комплект]],База[Артикул],0),MATCH("наименование",База[#Headers],0))</f>
        <v/>
      </c>
      <c r="K26" s="399" t="n"/>
      <c r="L2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6" s="699">
        <f>IF(IFERROR(MATCH("нет",Комплекты[[#This Row],[   ]:[АВТОВИК]],0)&gt;0,),"НЕТ","ОК")</f>
        <v/>
      </c>
      <c r="O26" s="699" t="n"/>
      <c r="P2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7">
      <c r="A27" s="309">
        <f>ROW()-ROW(Комплекты[[#Headers],[№]])</f>
        <v/>
      </c>
      <c r="B27" s="309">
        <f>Комплекты[[#This Row],[Пр]]&amp;"_"&amp;Комплекты[[#This Row],[Обозначение]]</f>
        <v/>
      </c>
      <c r="C27" s="309">
        <f>COUNTIFS($E$3:Комплекты[[#This Row],[Комплект]],Комплекты[[#This Row],[Комплект]])</f>
        <v/>
      </c>
      <c r="D27" s="310" t="n">
        <v>46043</v>
      </c>
      <c r="E27" s="311" t="n">
        <v>4441000070</v>
      </c>
      <c r="F27" s="302" t="n">
        <v>2</v>
      </c>
      <c r="G27" s="313" t="n">
        <v>4491301200</v>
      </c>
      <c r="H27" s="302" t="n">
        <v>1</v>
      </c>
      <c r="I27" s="399">
        <f>INDEX(База[],MATCH(Комплекты[[#This Row],[Обозначение]],База[Артикул],0),MATCH(I$2,База[#Headers],0))</f>
        <v/>
      </c>
      <c r="J27" s="399">
        <f>INDEX(База[],MATCH(Комплекты[[#This Row],[Комплект]],База[Артикул],0),MATCH("наименование",База[#Headers],0))</f>
        <v/>
      </c>
      <c r="K27" s="399" t="n"/>
      <c r="L2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7" s="699">
        <f>IF(IFERROR(MATCH("нет",Комплекты[[#This Row],[   ]:[АВТОВИК]],0)&gt;0,),"НЕТ","ОК")</f>
        <v/>
      </c>
      <c r="O27" s="699" t="n"/>
      <c r="P2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8">
      <c r="A28" s="309">
        <f>ROW()-ROW(Комплекты[[#Headers],[№]])</f>
        <v/>
      </c>
      <c r="B28" s="309">
        <f>Комплекты[[#This Row],[Пр]]&amp;"_"&amp;Комплекты[[#This Row],[Обозначение]]</f>
        <v/>
      </c>
      <c r="C28" s="309">
        <f>COUNTIFS($E$3:Комплекты[[#This Row],[Комплект]],Комплекты[[#This Row],[Комплект]])</f>
        <v/>
      </c>
      <c r="D28" s="310" t="n">
        <v>46043</v>
      </c>
      <c r="E28" s="311" t="n">
        <v>4441000070</v>
      </c>
      <c r="F28" s="302" t="n">
        <v>2</v>
      </c>
      <c r="G28" s="313" t="n">
        <v>4493702820</v>
      </c>
      <c r="H28" s="302" t="n">
        <v>1</v>
      </c>
      <c r="I28" s="399">
        <f>INDEX(База[],MATCH(Комплекты[[#This Row],[Обозначение]],База[Артикул],0),MATCH(I$2,База[#Headers],0))</f>
        <v/>
      </c>
      <c r="J28" s="399">
        <f>INDEX(База[],MATCH(Комплекты[[#This Row],[Комплект]],База[Артикул],0),MATCH("наименование",База[#Headers],0))</f>
        <v/>
      </c>
      <c r="K28" s="399" t="n"/>
      <c r="L2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8" s="699">
        <f>IF(IFERROR(MATCH("нет",Комплекты[[#This Row],[   ]:[АВТОВИК]],0)&gt;0,),"НЕТ","ОК")</f>
        <v/>
      </c>
      <c r="O28" s="699" t="n"/>
      <c r="P2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9">
      <c r="A29" s="309">
        <f>ROW()-ROW(Комплекты[[#Headers],[№]])</f>
        <v/>
      </c>
      <c r="B29" s="309">
        <f>Комплекты[[#This Row],[Пр]]&amp;"_"&amp;Комплекты[[#This Row],[Обозначение]]</f>
        <v/>
      </c>
      <c r="C29" s="309">
        <f>COUNTIFS($E$3:Комплекты[[#This Row],[Комплект]],Комплекты[[#This Row],[Комплект]])</f>
        <v/>
      </c>
      <c r="D29" s="310" t="n">
        <v>46043</v>
      </c>
      <c r="E29" s="311" t="n">
        <v>4441000070</v>
      </c>
      <c r="F29" s="302" t="n">
        <v>2</v>
      </c>
      <c r="G29" s="313" t="n">
        <v>4497490300</v>
      </c>
      <c r="H29" s="302" t="n">
        <v>4</v>
      </c>
      <c r="I29" s="399">
        <f>INDEX(База[],MATCH(Комплекты[[#This Row],[Обозначение]],База[Артикул],0),MATCH(I$2,База[#Headers],0))</f>
        <v/>
      </c>
      <c r="J29" s="399">
        <f>INDEX(База[],MATCH(Комплекты[[#This Row],[Комплект]],База[Артикул],0),MATCH("наименование",База[#Headers],0))</f>
        <v/>
      </c>
      <c r="K29" s="399" t="n"/>
      <c r="L2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9" s="699">
        <f>IF(IFERROR(MATCH("нет",Комплекты[[#This Row],[   ]:[АВТОВИК]],0)&gt;0,),"НЕТ","ОК")</f>
        <v/>
      </c>
      <c r="O29" s="699" t="n"/>
      <c r="P2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30">
      <c r="A30" s="309">
        <f>ROW()-ROW(Комплекты[[#Headers],[№]])</f>
        <v/>
      </c>
      <c r="B30" s="309">
        <f>Комплекты[[#This Row],[Пр]]&amp;"_"&amp;Комплекты[[#This Row],[Обозначение]]</f>
        <v/>
      </c>
      <c r="C30" s="309">
        <f>COUNTIFS($E$3:Комплекты[[#This Row],[Комплект]],Комплекты[[#This Row],[Комплект]])</f>
        <v/>
      </c>
      <c r="D30" s="310" t="n">
        <v>46043</v>
      </c>
      <c r="E30" s="311" t="n">
        <v>4441000070</v>
      </c>
      <c r="F30" s="302" t="n">
        <v>2</v>
      </c>
      <c r="G30" s="313" t="n">
        <v>9522010010</v>
      </c>
      <c r="H30" s="302" t="n">
        <v>1</v>
      </c>
      <c r="I30" s="399">
        <f>INDEX(База[],MATCH(Комплекты[[#This Row],[Обозначение]],База[Артикул],0),MATCH(I$2,База[#Headers],0))</f>
        <v/>
      </c>
      <c r="J30" s="399">
        <f>INDEX(База[],MATCH(Комплекты[[#This Row],[Комплект]],База[Артикул],0),MATCH("наименование",База[#Headers],0))</f>
        <v/>
      </c>
      <c r="K30" s="399" t="n"/>
      <c r="L3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0" s="699">
        <f>IF(IFERROR(MATCH("нет",Комплекты[[#This Row],[   ]:[АВТОВИК]],0)&gt;0,),"НЕТ","ОК")</f>
        <v/>
      </c>
      <c r="O30" s="699" t="n"/>
      <c r="P3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31">
      <c r="A31" s="309">
        <f>ROW()-ROW(Комплекты[[#Headers],[№]])</f>
        <v/>
      </c>
      <c r="B31" s="309">
        <f>Комплекты[[#This Row],[Пр]]&amp;"_"&amp;Комплекты[[#This Row],[Обозначение]]</f>
        <v/>
      </c>
      <c r="C31" s="309">
        <f>COUNTIFS($E$3:Комплекты[[#This Row],[Комплект]],Комплекты[[#This Row],[Комплект]])</f>
        <v/>
      </c>
      <c r="D31" s="310" t="n">
        <v>46043</v>
      </c>
      <c r="E31" s="311" t="n">
        <v>4441000070</v>
      </c>
      <c r="F31" s="302" t="n">
        <v>2</v>
      </c>
      <c r="G31" s="313" t="n">
        <v>9522010020</v>
      </c>
      <c r="H31" s="302" t="n">
        <v>1</v>
      </c>
      <c r="I31" s="399">
        <f>INDEX(База[],MATCH(Комплекты[[#This Row],[Обозначение]],База[Артикул],0),MATCH(I$2,База[#Headers],0))</f>
        <v/>
      </c>
      <c r="J31" s="399">
        <f>INDEX(База[],MATCH(Комплекты[[#This Row],[Комплект]],База[Артикул],0),MATCH("наименование",База[#Headers],0))</f>
        <v/>
      </c>
      <c r="K31" s="399" t="n"/>
      <c r="L3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1" s="699">
        <f>IF(IFERROR(MATCH("нет",Комплекты[[#This Row],[   ]:[АВТОВИК]],0)&gt;0,),"НЕТ","ОК")</f>
        <v/>
      </c>
      <c r="O31" s="699" t="n"/>
      <c r="P3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32">
      <c r="A32" s="309">
        <f>ROW()-ROW(Комплекты[[#Headers],[№]])</f>
        <v/>
      </c>
      <c r="B32" s="309">
        <f>Комплекты[[#This Row],[Пр]]&amp;"_"&amp;Комплекты[[#This Row],[Обозначение]]</f>
        <v/>
      </c>
      <c r="C32" s="309">
        <f>COUNTIFS($E$3:Комплекты[[#This Row],[Комплект]],Комплекты[[#This Row],[Комплект]])</f>
        <v/>
      </c>
      <c r="D32" s="310" t="n">
        <v>46043</v>
      </c>
      <c r="E32" s="311" t="n">
        <v>4441000070</v>
      </c>
      <c r="F32" s="302" t="n">
        <v>2</v>
      </c>
      <c r="G32" s="313" t="n">
        <v>9710020400</v>
      </c>
      <c r="H32" s="302" t="n">
        <v>1</v>
      </c>
      <c r="I32" s="399">
        <f>INDEX(База[],MATCH(Комплекты[[#This Row],[Обозначение]],База[Артикул],0),MATCH(I$2,База[#Headers],0))</f>
        <v/>
      </c>
      <c r="J32" s="399">
        <f>INDEX(База[],MATCH(Комплекты[[#This Row],[Комплект]],База[Артикул],0),MATCH("наименование",База[#Headers],0))</f>
        <v/>
      </c>
      <c r="K32" s="399" t="n"/>
      <c r="L3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2" s="699">
        <f>IF(IFERROR(MATCH("нет",Комплекты[[#This Row],[   ]:[АВТОВИК]],0)&gt;0,),"НЕТ","ОК")</f>
        <v/>
      </c>
      <c r="O32" s="699" t="n"/>
      <c r="P3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33">
      <c r="A33" s="309">
        <f>ROW()-ROW(Комплекты[[#Headers],[№]])</f>
        <v/>
      </c>
      <c r="B33" s="309">
        <f>Комплекты[[#This Row],[Пр]]&amp;"_"&amp;Комплекты[[#This Row],[Обозначение]]</f>
        <v/>
      </c>
      <c r="C33" s="309">
        <f>COUNTIFS($E$3:Комплекты[[#This Row],[Комплект]],Комплекты[[#This Row],[Комплект]])</f>
        <v/>
      </c>
      <c r="D33" s="310" t="n">
        <v>46043</v>
      </c>
      <c r="E33" s="311" t="n">
        <v>4441000080</v>
      </c>
      <c r="F33" s="302" t="n">
        <v>2</v>
      </c>
      <c r="G33" s="313" t="n">
        <v>4005000810</v>
      </c>
      <c r="H33" s="302" t="n">
        <v>1</v>
      </c>
      <c r="I33" s="399">
        <f>INDEX(База[],MATCH(Комплекты[[#This Row],[Обозначение]],База[Артикул],0),MATCH(I$2,База[#Headers],0))</f>
        <v/>
      </c>
      <c r="J33" s="399">
        <f>INDEX(База[],MATCH(Комплекты[[#This Row],[Комплект]],База[Артикул],0),MATCH("наименование",База[#Headers],0))</f>
        <v/>
      </c>
      <c r="K33" s="399" t="n"/>
      <c r="L3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3" s="699">
        <f>IF(IFERROR(MATCH("нет",Комплекты[[#This Row],[   ]:[АВТОВИК]],0)&gt;0,),"НЕТ","ОК")</f>
        <v/>
      </c>
      <c r="O33" s="699" t="n"/>
      <c r="P3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34">
      <c r="A34" s="309">
        <f>ROW()-ROW(Комплекты[[#Headers],[№]])</f>
        <v/>
      </c>
      <c r="B34" s="309">
        <f>Комплекты[[#This Row],[Пр]]&amp;"_"&amp;Комплекты[[#This Row],[Обозначение]]</f>
        <v/>
      </c>
      <c r="C34" s="309">
        <f>COUNTIFS($E$3:Комплекты[[#This Row],[Комплект]],Комплекты[[#This Row],[Комплект]])</f>
        <v/>
      </c>
      <c r="D34" s="310" t="n">
        <v>46043</v>
      </c>
      <c r="E34" s="311" t="n">
        <v>4441000080</v>
      </c>
      <c r="F34" s="302" t="n">
        <v>2</v>
      </c>
      <c r="G34" s="313" t="n">
        <v>4491301200</v>
      </c>
      <c r="H34" s="302" t="n">
        <v>1</v>
      </c>
      <c r="I34" s="399">
        <f>INDEX(База[],MATCH(Комплекты[[#This Row],[Обозначение]],База[Артикул],0),MATCH(I$2,База[#Headers],0))</f>
        <v/>
      </c>
      <c r="J34" s="399">
        <f>INDEX(База[],MATCH(Комплекты[[#This Row],[Комплект]],База[Артикул],0),MATCH("наименование",База[#Headers],0))</f>
        <v/>
      </c>
      <c r="K34" s="399" t="n"/>
      <c r="L3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4" s="699">
        <f>IF(IFERROR(MATCH("нет",Комплекты[[#This Row],[   ]:[АВТОВИК]],0)&gt;0,),"НЕТ","ОК")</f>
        <v/>
      </c>
      <c r="O34" s="699" t="n"/>
      <c r="P3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35">
      <c r="A35" s="309">
        <f>ROW()-ROW(Комплекты[[#Headers],[№]])</f>
        <v/>
      </c>
      <c r="B35" s="309">
        <f>Комплекты[[#This Row],[Пр]]&amp;"_"&amp;Комплекты[[#This Row],[Обозначение]]</f>
        <v/>
      </c>
      <c r="C35" s="309">
        <f>COUNTIFS($E$3:Комплекты[[#This Row],[Комплект]],Комплекты[[#This Row],[Комплект]])</f>
        <v/>
      </c>
      <c r="D35" s="310" t="n">
        <v>46043</v>
      </c>
      <c r="E35" s="311" t="n">
        <v>4441000080</v>
      </c>
      <c r="F35" s="302" t="n">
        <v>2</v>
      </c>
      <c r="G35" s="313" t="n">
        <v>4493792810</v>
      </c>
      <c r="H35" s="302" t="n">
        <v>1</v>
      </c>
      <c r="I35" s="399">
        <f>INDEX(База[],MATCH(Комплекты[[#This Row],[Обозначение]],База[Артикул],0),MATCH(I$2,База[#Headers],0))</f>
        <v/>
      </c>
      <c r="J35" s="399">
        <f>INDEX(База[],MATCH(Комплекты[[#This Row],[Комплект]],База[Артикул],0),MATCH("наименование",База[#Headers],0))</f>
        <v/>
      </c>
      <c r="K35" s="399" t="n"/>
      <c r="L3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5" s="699">
        <f>IF(IFERROR(MATCH("нет",Комплекты[[#This Row],[   ]:[АВТОВИК]],0)&gt;0,),"НЕТ","ОК")</f>
        <v/>
      </c>
      <c r="O35" s="699" t="n"/>
      <c r="P3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36">
      <c r="A36" s="309">
        <f>ROW()-ROW(Комплекты[[#Headers],[№]])</f>
        <v/>
      </c>
      <c r="B36" s="309">
        <f>Комплекты[[#This Row],[Пр]]&amp;"_"&amp;Комплекты[[#This Row],[Обозначение]]</f>
        <v/>
      </c>
      <c r="C36" s="309">
        <f>COUNTIFS($E$3:Комплекты[[#This Row],[Комплект]],Комплекты[[#This Row],[Комплект]])</f>
        <v/>
      </c>
      <c r="D36" s="310" t="n">
        <v>46043</v>
      </c>
      <c r="E36" s="311" t="n">
        <v>4441000080</v>
      </c>
      <c r="F36" s="302" t="n">
        <v>2</v>
      </c>
      <c r="G36" s="313" t="n">
        <v>4497490300</v>
      </c>
      <c r="H36" s="302" t="n">
        <v>4</v>
      </c>
      <c r="I36" s="399">
        <f>INDEX(База[],MATCH(Комплекты[[#This Row],[Обозначение]],База[Артикул],0),MATCH(I$2,База[#Headers],0))</f>
        <v/>
      </c>
      <c r="J36" s="399">
        <f>INDEX(База[],MATCH(Комплекты[[#This Row],[Комплект]],База[Артикул],0),MATCH("наименование",База[#Headers],0))</f>
        <v/>
      </c>
      <c r="K36" s="399" t="n"/>
      <c r="L3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6" s="699">
        <f>IF(IFERROR(MATCH("нет",Комплекты[[#This Row],[   ]:[АВТОВИК]],0)&gt;0,),"НЕТ","ОК")</f>
        <v/>
      </c>
      <c r="O36" s="699" t="n"/>
      <c r="P3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37">
      <c r="A37" s="309">
        <f>ROW()-ROW(Комплекты[[#Headers],[№]])</f>
        <v/>
      </c>
      <c r="B37" s="309">
        <f>Комплекты[[#This Row],[Пр]]&amp;"_"&amp;Комплекты[[#This Row],[Обозначение]]</f>
        <v/>
      </c>
      <c r="C37" s="309">
        <f>COUNTIFS($E$3:Комплекты[[#This Row],[Комплект]],Комплекты[[#This Row],[Комплект]])</f>
        <v/>
      </c>
      <c r="D37" s="310" t="n">
        <v>46043</v>
      </c>
      <c r="E37" s="311" t="n">
        <v>4441000080</v>
      </c>
      <c r="F37" s="302" t="n">
        <v>2</v>
      </c>
      <c r="G37" s="313" t="n">
        <v>9522010010</v>
      </c>
      <c r="H37" s="302" t="n">
        <v>1</v>
      </c>
      <c r="I37" s="399">
        <f>INDEX(База[],MATCH(Комплекты[[#This Row],[Обозначение]],База[Артикул],0),MATCH(I$2,База[#Headers],0))</f>
        <v/>
      </c>
      <c r="J37" s="399">
        <f>INDEX(База[],MATCH(Комплекты[[#This Row],[Комплект]],База[Артикул],0),MATCH("наименование",База[#Headers],0))</f>
        <v/>
      </c>
      <c r="K37" s="399" t="n"/>
      <c r="L3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7" s="699">
        <f>IF(IFERROR(MATCH("нет",Комплекты[[#This Row],[   ]:[АВТОВИК]],0)&gt;0,),"НЕТ","ОК")</f>
        <v/>
      </c>
      <c r="O37" s="699" t="n"/>
      <c r="P3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38">
      <c r="A38" s="309">
        <f>ROW()-ROW(Комплекты[[#Headers],[№]])</f>
        <v/>
      </c>
      <c r="B38" s="309">
        <f>Комплекты[[#This Row],[Пр]]&amp;"_"&amp;Комплекты[[#This Row],[Обозначение]]</f>
        <v/>
      </c>
      <c r="C38" s="309">
        <f>COUNTIFS($E$3:Комплекты[[#This Row],[Комплект]],Комплекты[[#This Row],[Комплект]])</f>
        <v/>
      </c>
      <c r="D38" s="310" t="n">
        <v>46043</v>
      </c>
      <c r="E38" s="311" t="n">
        <v>4441000080</v>
      </c>
      <c r="F38" s="302" t="n">
        <v>2</v>
      </c>
      <c r="G38" s="313" t="n">
        <v>9522010020</v>
      </c>
      <c r="H38" s="302" t="n">
        <v>1</v>
      </c>
      <c r="I38" s="399">
        <f>INDEX(База[],MATCH(Комплекты[[#This Row],[Обозначение]],База[Артикул],0),MATCH(I$2,База[#Headers],0))</f>
        <v/>
      </c>
      <c r="J38" s="399">
        <f>INDEX(База[],MATCH(Комплекты[[#This Row],[Комплект]],База[Артикул],0),MATCH("наименование",База[#Headers],0))</f>
        <v/>
      </c>
      <c r="K38" s="399" t="n"/>
      <c r="L3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8" s="699">
        <f>IF(IFERROR(MATCH("нет",Комплекты[[#This Row],[   ]:[АВТОВИК]],0)&gt;0,),"НЕТ","ОК")</f>
        <v/>
      </c>
      <c r="O38" s="699" t="n"/>
      <c r="P3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39">
      <c r="A39" s="309">
        <f>ROW()-ROW(Комплекты[[#Headers],[№]])</f>
        <v/>
      </c>
      <c r="B39" s="309">
        <f>Комплекты[[#This Row],[Пр]]&amp;"_"&amp;Комплекты[[#This Row],[Обозначение]]</f>
        <v/>
      </c>
      <c r="C39" s="309">
        <f>COUNTIFS($E$3:Комплекты[[#This Row],[Комплект]],Комплекты[[#This Row],[Комплект]])</f>
        <v/>
      </c>
      <c r="D39" s="310" t="n">
        <v>46043</v>
      </c>
      <c r="E39" s="311" t="n">
        <v>4441000080</v>
      </c>
      <c r="F39" s="302" t="n">
        <v>2</v>
      </c>
      <c r="G39" s="313" t="n">
        <v>9710020400</v>
      </c>
      <c r="H39" s="302" t="n">
        <v>1</v>
      </c>
      <c r="I39" s="399">
        <f>INDEX(База[],MATCH(Комплекты[[#This Row],[Обозначение]],База[Артикул],0),MATCH(I$2,База[#Headers],0))</f>
        <v/>
      </c>
      <c r="J39" s="399">
        <f>INDEX(База[],MATCH(Комплекты[[#This Row],[Комплект]],База[Артикул],0),MATCH("наименование",База[#Headers],0))</f>
        <v/>
      </c>
      <c r="K39" s="399" t="n"/>
      <c r="L3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3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39" s="699">
        <f>IF(IFERROR(MATCH("нет",Комплекты[[#This Row],[   ]:[АВТОВИК]],0)&gt;0,),"НЕТ","ОК")</f>
        <v/>
      </c>
      <c r="O39" s="699" t="n"/>
      <c r="P3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3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3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3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3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3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3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3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0">
      <c r="A40" s="309">
        <f>ROW()-ROW(Комплекты[[#Headers],[№]])</f>
        <v/>
      </c>
      <c r="B40" s="309">
        <f>Комплекты[[#This Row],[Пр]]&amp;"_"&amp;Комплекты[[#This Row],[Обозначение]]</f>
        <v/>
      </c>
      <c r="C40" s="309">
        <f>COUNTIFS($E$3:Комплекты[[#This Row],[Комплект]],Комплекты[[#This Row],[Комплект]])</f>
        <v/>
      </c>
      <c r="D40" s="310" t="n">
        <v>46043</v>
      </c>
      <c r="E40" s="311" t="n">
        <v>4441000090</v>
      </c>
      <c r="F40" s="302" t="n">
        <v>1</v>
      </c>
      <c r="G40" s="313" t="n">
        <v>4496161560</v>
      </c>
      <c r="H40" s="302" t="n">
        <v>1</v>
      </c>
      <c r="I40" s="399">
        <f>INDEX(База[],MATCH(Комплекты[[#This Row],[Обозначение]],База[Артикул],0),MATCH(I$2,База[#Headers],0))</f>
        <v/>
      </c>
      <c r="J40" s="399">
        <f>INDEX(База[],MATCH(Комплекты[[#This Row],[Комплект]],База[Артикул],0),MATCH("наименование",База[#Headers],0))</f>
        <v/>
      </c>
      <c r="K40" s="399" t="n"/>
      <c r="L4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0" s="699">
        <f>IF(IFERROR(MATCH("нет",Комплекты[[#This Row],[   ]:[АВТОВИК]],0)&gt;0,),"НЕТ","ОК")</f>
        <v/>
      </c>
      <c r="O40" s="699" t="n"/>
      <c r="P4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1">
      <c r="A41" s="309">
        <f>ROW()-ROW(Комплекты[[#Headers],[№]])</f>
        <v/>
      </c>
      <c r="B41" s="309">
        <f>Комплекты[[#This Row],[Пр]]&amp;"_"&amp;Комплекты[[#This Row],[Обозначение]]</f>
        <v/>
      </c>
      <c r="C41" s="309">
        <f>COUNTIFS($E$3:Комплекты[[#This Row],[Комплект]],Комплекты[[#This Row],[Комплект]])</f>
        <v/>
      </c>
      <c r="D41" s="310" t="n">
        <v>46043</v>
      </c>
      <c r="E41" s="311" t="n">
        <v>4441000090</v>
      </c>
      <c r="F41" s="302" t="n">
        <v>1</v>
      </c>
      <c r="G41" s="313" t="n">
        <v>4721950310</v>
      </c>
      <c r="H41" s="302" t="n">
        <v>1</v>
      </c>
      <c r="I41" s="399">
        <f>INDEX(База[],MATCH(Комплекты[[#This Row],[Обозначение]],База[Артикул],0),MATCH(I$2,База[#Headers],0))</f>
        <v/>
      </c>
      <c r="J41" s="399">
        <f>INDEX(База[],MATCH(Комплекты[[#This Row],[Комплект]],База[Артикул],0),MATCH("наименование",База[#Headers],0))</f>
        <v/>
      </c>
      <c r="K41" s="399" t="n"/>
      <c r="L4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1" s="699">
        <f>IF(IFERROR(MATCH("нет",Комплекты[[#This Row],[   ]:[АВТОВИК]],0)&gt;0,),"НЕТ","ОК")</f>
        <v/>
      </c>
      <c r="O41" s="699" t="n"/>
      <c r="P4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2">
      <c r="A42" s="309">
        <f>ROW()-ROW(Комплекты[[#Headers],[№]])</f>
        <v/>
      </c>
      <c r="B42" s="309">
        <f>Комплекты[[#This Row],[Пр]]&amp;"_"&amp;Комплекты[[#This Row],[Обозначение]]</f>
        <v/>
      </c>
      <c r="C42" s="309">
        <f>COUNTIFS($E$3:Комплекты[[#This Row],[Комплект]],Комплекты[[#This Row],[Комплект]])</f>
        <v/>
      </c>
      <c r="D42" s="310" t="n">
        <v>46043</v>
      </c>
      <c r="E42" s="311" t="n">
        <v>4441000090</v>
      </c>
      <c r="F42" s="302" t="n">
        <v>2</v>
      </c>
      <c r="G42" s="313" t="n">
        <v>4005000880</v>
      </c>
      <c r="H42" s="302" t="n">
        <v>1</v>
      </c>
      <c r="I42" s="399">
        <f>INDEX(База[],MATCH(Комплекты[[#This Row],[Обозначение]],База[Артикул],0),MATCH(I$2,База[#Headers],0))</f>
        <v/>
      </c>
      <c r="J42" s="399">
        <f>INDEX(База[],MATCH(Комплекты[[#This Row],[Комплект]],База[Артикул],0),MATCH("наименование",База[#Headers],0))</f>
        <v/>
      </c>
      <c r="K42" s="399" t="n"/>
      <c r="L4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2" s="699">
        <f>IF(IFERROR(MATCH("нет",Комплекты[[#This Row],[   ]:[АВТОВИК]],0)&gt;0,),"НЕТ","ОК")</f>
        <v/>
      </c>
      <c r="O42" s="699" t="n"/>
      <c r="P4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3">
      <c r="A43" s="309">
        <f>ROW()-ROW(Комплекты[[#Headers],[№]])</f>
        <v/>
      </c>
      <c r="B43" s="309">
        <f>Комплекты[[#This Row],[Пр]]&amp;"_"&amp;Комплекты[[#This Row],[Обозначение]]</f>
        <v/>
      </c>
      <c r="C43" s="309">
        <f>COUNTIFS($E$3:Комплекты[[#This Row],[Комплект]],Комплекты[[#This Row],[Комплект]])</f>
        <v/>
      </c>
      <c r="D43" s="310" t="n">
        <v>46043</v>
      </c>
      <c r="E43" s="311" t="n">
        <v>4441000090</v>
      </c>
      <c r="F43" s="302" t="n">
        <v>2</v>
      </c>
      <c r="G43" s="313" t="n">
        <v>4491301200</v>
      </c>
      <c r="H43" s="302" t="n">
        <v>1</v>
      </c>
      <c r="I43" s="399">
        <f>INDEX(База[],MATCH(Комплекты[[#This Row],[Обозначение]],База[Артикул],0),MATCH(I$2,База[#Headers],0))</f>
        <v/>
      </c>
      <c r="J43" s="399">
        <f>INDEX(База[],MATCH(Комплекты[[#This Row],[Комплект]],База[Артикул],0),MATCH("наименование",База[#Headers],0))</f>
        <v/>
      </c>
      <c r="K43" s="399" t="n"/>
      <c r="L4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3" s="699">
        <f>IF(IFERROR(MATCH("нет",Комплекты[[#This Row],[   ]:[АВТОВИК]],0)&gt;0,),"НЕТ","ОК")</f>
        <v/>
      </c>
      <c r="O43" s="699" t="n"/>
      <c r="P4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4">
      <c r="A44" s="309">
        <f>ROW()-ROW(Комплекты[[#Headers],[№]])</f>
        <v/>
      </c>
      <c r="B44" s="309">
        <f>Комплекты[[#This Row],[Пр]]&amp;"_"&amp;Комплекты[[#This Row],[Обозначение]]</f>
        <v/>
      </c>
      <c r="C44" s="309">
        <f>COUNTIFS($E$3:Комплекты[[#This Row],[Комплект]],Комплекты[[#This Row],[Комплект]])</f>
        <v/>
      </c>
      <c r="D44" s="310" t="n">
        <v>46043</v>
      </c>
      <c r="E44" s="311" t="n">
        <v>4441000090</v>
      </c>
      <c r="F44" s="302" t="n">
        <v>2</v>
      </c>
      <c r="G44" s="313" t="n">
        <v>4493702820</v>
      </c>
      <c r="H44" s="302" t="n">
        <v>1</v>
      </c>
      <c r="I44" s="399">
        <f>INDEX(База[],MATCH(Комплекты[[#This Row],[Обозначение]],База[Артикул],0),MATCH(I$2,База[#Headers],0))</f>
        <v/>
      </c>
      <c r="J44" s="399">
        <f>INDEX(База[],MATCH(Комплекты[[#This Row],[Комплект]],База[Артикул],0),MATCH("наименование",База[#Headers],0))</f>
        <v/>
      </c>
      <c r="K44" s="399" t="n"/>
      <c r="L4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4" s="699">
        <f>IF(IFERROR(MATCH("нет",Комплекты[[#This Row],[   ]:[АВТОВИК]],0)&gt;0,),"НЕТ","ОК")</f>
        <v/>
      </c>
      <c r="O44" s="699" t="n"/>
      <c r="P4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5">
      <c r="A45" s="309">
        <f>ROW()-ROW(Комплекты[[#Headers],[№]])</f>
        <v/>
      </c>
      <c r="B45" s="309">
        <f>Комплекты[[#This Row],[Пр]]&amp;"_"&amp;Комплекты[[#This Row],[Обозначение]]</f>
        <v/>
      </c>
      <c r="C45" s="309">
        <f>COUNTIFS($E$3:Комплекты[[#This Row],[Комплект]],Комплекты[[#This Row],[Комплект]])</f>
        <v/>
      </c>
      <c r="D45" s="310" t="n">
        <v>46043</v>
      </c>
      <c r="E45" s="311" t="n">
        <v>4441000090</v>
      </c>
      <c r="F45" s="302" t="n">
        <v>2</v>
      </c>
      <c r="G45" s="313" t="n">
        <v>4497490300</v>
      </c>
      <c r="H45" s="302" t="n">
        <v>4</v>
      </c>
      <c r="I45" s="399">
        <f>INDEX(База[],MATCH(Комплекты[[#This Row],[Обозначение]],База[Артикул],0),MATCH(I$2,База[#Headers],0))</f>
        <v/>
      </c>
      <c r="J45" s="399">
        <f>INDEX(База[],MATCH(Комплекты[[#This Row],[Комплект]],База[Артикул],0),MATCH("наименование",База[#Headers],0))</f>
        <v/>
      </c>
      <c r="K45" s="399" t="n"/>
      <c r="L4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5" s="699">
        <f>IF(IFERROR(MATCH("нет",Комплекты[[#This Row],[   ]:[АВТОВИК]],0)&gt;0,),"НЕТ","ОК")</f>
        <v/>
      </c>
      <c r="O45" s="699" t="n"/>
      <c r="P4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6">
      <c r="A46" s="309">
        <f>ROW()-ROW(Комплекты[[#Headers],[№]])</f>
        <v/>
      </c>
      <c r="B46" s="309">
        <f>Комплекты[[#This Row],[Пр]]&amp;"_"&amp;Комплекты[[#This Row],[Обозначение]]</f>
        <v/>
      </c>
      <c r="C46" s="309">
        <f>COUNTIFS($E$3:Комплекты[[#This Row],[Комплект]],Комплекты[[#This Row],[Комплект]])</f>
        <v/>
      </c>
      <c r="D46" s="310" t="n">
        <v>46043</v>
      </c>
      <c r="E46" s="311" t="n">
        <v>4441000090</v>
      </c>
      <c r="F46" s="302" t="n">
        <v>2</v>
      </c>
      <c r="G46" s="313" t="n">
        <v>9522010010</v>
      </c>
      <c r="H46" s="302" t="n">
        <v>1</v>
      </c>
      <c r="I46" s="399">
        <f>INDEX(База[],MATCH(Комплекты[[#This Row],[Обозначение]],База[Артикул],0),MATCH(I$2,База[#Headers],0))</f>
        <v/>
      </c>
      <c r="J46" s="399">
        <f>INDEX(База[],MATCH(Комплекты[[#This Row],[Комплект]],База[Артикул],0),MATCH("наименование",База[#Headers],0))</f>
        <v/>
      </c>
      <c r="K46" s="399" t="n"/>
      <c r="L4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6" s="699">
        <f>IF(IFERROR(MATCH("нет",Комплекты[[#This Row],[   ]:[АВТОВИК]],0)&gt;0,),"НЕТ","ОК")</f>
        <v/>
      </c>
      <c r="O46" s="699" t="n"/>
      <c r="P4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7">
      <c r="A47" s="309">
        <f>ROW()-ROW(Комплекты[[#Headers],[№]])</f>
        <v/>
      </c>
      <c r="B47" s="309">
        <f>Комплекты[[#This Row],[Пр]]&amp;"_"&amp;Комплекты[[#This Row],[Обозначение]]</f>
        <v/>
      </c>
      <c r="C47" s="309">
        <f>COUNTIFS($E$3:Комплекты[[#This Row],[Комплект]],Комплекты[[#This Row],[Комплект]])</f>
        <v/>
      </c>
      <c r="D47" s="310" t="n">
        <v>46043</v>
      </c>
      <c r="E47" s="311" t="n">
        <v>4441000090</v>
      </c>
      <c r="F47" s="302" t="n">
        <v>2</v>
      </c>
      <c r="G47" s="313" t="n">
        <v>9522010020</v>
      </c>
      <c r="H47" s="302" t="n">
        <v>1</v>
      </c>
      <c r="I47" s="399">
        <f>INDEX(База[],MATCH(Комплекты[[#This Row],[Обозначение]],База[Артикул],0),MATCH(I$2,База[#Headers],0))</f>
        <v/>
      </c>
      <c r="J47" s="399">
        <f>INDEX(База[],MATCH(Комплекты[[#This Row],[Комплект]],База[Артикул],0),MATCH("наименование",База[#Headers],0))</f>
        <v/>
      </c>
      <c r="K47" s="399" t="n"/>
      <c r="L4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7" s="699">
        <f>IF(IFERROR(MATCH("нет",Комплекты[[#This Row],[   ]:[АВТОВИК]],0)&gt;0,),"НЕТ","ОК")</f>
        <v/>
      </c>
      <c r="O47" s="699" t="n"/>
      <c r="P4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8">
      <c r="A48" s="309">
        <f>ROW()-ROW(Комплекты[[#Headers],[№]])</f>
        <v/>
      </c>
      <c r="B48" s="309">
        <f>Комплекты[[#This Row],[Пр]]&amp;"_"&amp;Комплекты[[#This Row],[Обозначение]]</f>
        <v/>
      </c>
      <c r="C48" s="309">
        <f>COUNTIFS($E$3:Комплекты[[#This Row],[Комплект]],Комплекты[[#This Row],[Комплект]])</f>
        <v/>
      </c>
      <c r="D48" s="310" t="n">
        <v>46043</v>
      </c>
      <c r="E48" s="311" t="n">
        <v>4441000090</v>
      </c>
      <c r="F48" s="302" t="n">
        <v>2</v>
      </c>
      <c r="G48" s="313" t="n">
        <v>9710020400</v>
      </c>
      <c r="H48" s="302" t="n">
        <v>1</v>
      </c>
      <c r="I48" s="399">
        <f>INDEX(База[],MATCH(Комплекты[[#This Row],[Обозначение]],База[Артикул],0),MATCH(I$2,База[#Headers],0))</f>
        <v/>
      </c>
      <c r="J48" s="399">
        <f>INDEX(База[],MATCH(Комплекты[[#This Row],[Комплект]],База[Артикул],0),MATCH("наименование",База[#Headers],0))</f>
        <v/>
      </c>
      <c r="K48" s="399" t="n"/>
      <c r="L4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8" s="699">
        <f>IF(IFERROR(MATCH("нет",Комплекты[[#This Row],[   ]:[АВТОВИК]],0)&gt;0,),"НЕТ","ОК")</f>
        <v/>
      </c>
      <c r="O48" s="699" t="n"/>
      <c r="P4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49">
      <c r="A49" s="309">
        <f>ROW()-ROW(Комплекты[[#Headers],[№]])</f>
        <v/>
      </c>
      <c r="B49" s="309">
        <f>Комплекты[[#This Row],[Пр]]&amp;"_"&amp;Комплекты[[#This Row],[Обозначение]]</f>
        <v/>
      </c>
      <c r="C49" s="309">
        <f>COUNTIFS($E$3:Комплекты[[#This Row],[Комплект]],Комплекты[[#This Row],[Комплект]])</f>
        <v/>
      </c>
      <c r="D49" s="310" t="n">
        <v>46043</v>
      </c>
      <c r="E49" s="311" t="n">
        <v>4441000100</v>
      </c>
      <c r="F49" s="302" t="n">
        <v>1</v>
      </c>
      <c r="G49" s="313" t="n">
        <v>4496161560</v>
      </c>
      <c r="H49" s="302" t="n">
        <v>1</v>
      </c>
      <c r="I49" s="399">
        <f>INDEX(База[],MATCH(Комплекты[[#This Row],[Обозначение]],База[Артикул],0),MATCH(I$2,База[#Headers],0))</f>
        <v/>
      </c>
      <c r="J49" s="399">
        <f>INDEX(База[],MATCH(Комплекты[[#This Row],[Комплект]],База[Артикул],0),MATCH("наименование",База[#Headers],0))</f>
        <v/>
      </c>
      <c r="K49" s="399" t="n"/>
      <c r="L4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4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49" s="699">
        <f>IF(IFERROR(MATCH("нет",Комплекты[[#This Row],[   ]:[АВТОВИК]],0)&gt;0,),"НЕТ","ОК")</f>
        <v/>
      </c>
      <c r="O49" s="699" t="n"/>
      <c r="P4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4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4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4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4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4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4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4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0">
      <c r="A50" s="309">
        <f>ROW()-ROW(Комплекты[[#Headers],[№]])</f>
        <v/>
      </c>
      <c r="B50" s="309">
        <f>Комплекты[[#This Row],[Пр]]&amp;"_"&amp;Комплекты[[#This Row],[Обозначение]]</f>
        <v/>
      </c>
      <c r="C50" s="309">
        <f>COUNTIFS($E$3:Комплекты[[#This Row],[Комплект]],Комплекты[[#This Row],[Комплект]])</f>
        <v/>
      </c>
      <c r="D50" s="310" t="n">
        <v>46043</v>
      </c>
      <c r="E50" s="311" t="n">
        <v>4441000100</v>
      </c>
      <c r="F50" s="302" t="n">
        <v>1</v>
      </c>
      <c r="G50" s="313" t="n">
        <v>4721950310</v>
      </c>
      <c r="H50" s="302" t="n">
        <v>1</v>
      </c>
      <c r="I50" s="399">
        <f>INDEX(База[],MATCH(Комплекты[[#This Row],[Обозначение]],База[Артикул],0),MATCH(I$2,База[#Headers],0))</f>
        <v/>
      </c>
      <c r="J50" s="399">
        <f>INDEX(База[],MATCH(Комплекты[[#This Row],[Комплект]],База[Артикул],0),MATCH("наименование",База[#Headers],0))</f>
        <v/>
      </c>
      <c r="K50" s="399" t="n"/>
      <c r="L5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0" s="699">
        <f>IF(IFERROR(MATCH("нет",Комплекты[[#This Row],[   ]:[АВТОВИК]],0)&gt;0,),"НЕТ","ОК")</f>
        <v/>
      </c>
      <c r="O50" s="699" t="n"/>
      <c r="P5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1">
      <c r="A51" s="309">
        <f>ROW()-ROW(Комплекты[[#Headers],[№]])</f>
        <v/>
      </c>
      <c r="B51" s="309">
        <f>Комплекты[[#This Row],[Пр]]&amp;"_"&amp;Комплекты[[#This Row],[Обозначение]]</f>
        <v/>
      </c>
      <c r="C51" s="309">
        <f>COUNTIFS($E$3:Комплекты[[#This Row],[Комплект]],Комплекты[[#This Row],[Комплект]])</f>
        <v/>
      </c>
      <c r="D51" s="310" t="n">
        <v>46043</v>
      </c>
      <c r="E51" s="311" t="n">
        <v>4441000100</v>
      </c>
      <c r="F51" s="302" t="n">
        <v>2</v>
      </c>
      <c r="G51" s="313" t="n">
        <v>4005000810</v>
      </c>
      <c r="H51" s="302" t="n">
        <v>1</v>
      </c>
      <c r="I51" s="399">
        <f>INDEX(База[],MATCH(Комплекты[[#This Row],[Обозначение]],База[Артикул],0),MATCH(I$2,База[#Headers],0))</f>
        <v/>
      </c>
      <c r="J51" s="399">
        <f>INDEX(База[],MATCH(Комплекты[[#This Row],[Комплект]],База[Артикул],0),MATCH("наименование",База[#Headers],0))</f>
        <v/>
      </c>
      <c r="K51" s="399" t="n"/>
      <c r="L5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1" s="699">
        <f>IF(IFERROR(MATCH("нет",Комплекты[[#This Row],[   ]:[АВТОВИК]],0)&gt;0,),"НЕТ","ОК")</f>
        <v/>
      </c>
      <c r="O51" s="699" t="n"/>
      <c r="P5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2">
      <c r="A52" s="309">
        <f>ROW()-ROW(Комплекты[[#Headers],[№]])</f>
        <v/>
      </c>
      <c r="B52" s="309">
        <f>Комплекты[[#This Row],[Пр]]&amp;"_"&amp;Комплекты[[#This Row],[Обозначение]]</f>
        <v/>
      </c>
      <c r="C52" s="309">
        <f>COUNTIFS($E$3:Комплекты[[#This Row],[Комплект]],Комплекты[[#This Row],[Комплект]])</f>
        <v/>
      </c>
      <c r="D52" s="310" t="n">
        <v>46043</v>
      </c>
      <c r="E52" s="311" t="n">
        <v>4441000100</v>
      </c>
      <c r="F52" s="302" t="n">
        <v>2</v>
      </c>
      <c r="G52" s="313" t="n">
        <v>4491301200</v>
      </c>
      <c r="H52" s="302" t="n">
        <v>1</v>
      </c>
      <c r="I52" s="399">
        <f>INDEX(База[],MATCH(Комплекты[[#This Row],[Обозначение]],База[Артикул],0),MATCH(I$2,База[#Headers],0))</f>
        <v/>
      </c>
      <c r="J52" s="399">
        <f>INDEX(База[],MATCH(Комплекты[[#This Row],[Комплект]],База[Артикул],0),MATCH("наименование",База[#Headers],0))</f>
        <v/>
      </c>
      <c r="K52" s="399" t="n"/>
      <c r="L5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2" s="699">
        <f>IF(IFERROR(MATCH("нет",Комплекты[[#This Row],[   ]:[АВТОВИК]],0)&gt;0,),"НЕТ","ОК")</f>
        <v/>
      </c>
      <c r="O52" s="699" t="n"/>
      <c r="P5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3">
      <c r="A53" s="309">
        <f>ROW()-ROW(Комплекты[[#Headers],[№]])</f>
        <v/>
      </c>
      <c r="B53" s="309">
        <f>Комплекты[[#This Row],[Пр]]&amp;"_"&amp;Комплекты[[#This Row],[Обозначение]]</f>
        <v/>
      </c>
      <c r="C53" s="309">
        <f>COUNTIFS($E$3:Комплекты[[#This Row],[Комплект]],Комплекты[[#This Row],[Комплект]])</f>
        <v/>
      </c>
      <c r="D53" s="310" t="n">
        <v>46043</v>
      </c>
      <c r="E53" s="311" t="n">
        <v>4441000100</v>
      </c>
      <c r="F53" s="302" t="n">
        <v>2</v>
      </c>
      <c r="G53" s="313" t="n">
        <v>4493792810</v>
      </c>
      <c r="H53" s="302" t="n">
        <v>1</v>
      </c>
      <c r="I53" s="399">
        <f>INDEX(База[],MATCH(Комплекты[[#This Row],[Обозначение]],База[Артикул],0),MATCH(I$2,База[#Headers],0))</f>
        <v/>
      </c>
      <c r="J53" s="399">
        <f>INDEX(База[],MATCH(Комплекты[[#This Row],[Комплект]],База[Артикул],0),MATCH("наименование",База[#Headers],0))</f>
        <v/>
      </c>
      <c r="K53" s="399" t="n"/>
      <c r="L5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3" s="699">
        <f>IF(IFERROR(MATCH("нет",Комплекты[[#This Row],[   ]:[АВТОВИК]],0)&gt;0,),"НЕТ","ОК")</f>
        <v/>
      </c>
      <c r="O53" s="699" t="n"/>
      <c r="P5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4">
      <c r="A54" s="309">
        <f>ROW()-ROW(Комплекты[[#Headers],[№]])</f>
        <v/>
      </c>
      <c r="B54" s="309">
        <f>Комплекты[[#This Row],[Пр]]&amp;"_"&amp;Комплекты[[#This Row],[Обозначение]]</f>
        <v/>
      </c>
      <c r="C54" s="309">
        <f>COUNTIFS($E$3:Комплекты[[#This Row],[Комплект]],Комплекты[[#This Row],[Комплект]])</f>
        <v/>
      </c>
      <c r="D54" s="310" t="n">
        <v>46043</v>
      </c>
      <c r="E54" s="311" t="n">
        <v>4441000100</v>
      </c>
      <c r="F54" s="302" t="n">
        <v>2</v>
      </c>
      <c r="G54" s="313" t="n">
        <v>4497490300</v>
      </c>
      <c r="H54" s="302" t="n">
        <v>4</v>
      </c>
      <c r="I54" s="399">
        <f>INDEX(База[],MATCH(Комплекты[[#This Row],[Обозначение]],База[Артикул],0),MATCH(I$2,База[#Headers],0))</f>
        <v/>
      </c>
      <c r="J54" s="399">
        <f>INDEX(База[],MATCH(Комплекты[[#This Row],[Комплект]],База[Артикул],0),MATCH("наименование",База[#Headers],0))</f>
        <v/>
      </c>
      <c r="K54" s="399" t="n"/>
      <c r="L5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4" s="699">
        <f>IF(IFERROR(MATCH("нет",Комплекты[[#This Row],[   ]:[АВТОВИК]],0)&gt;0,),"НЕТ","ОК")</f>
        <v/>
      </c>
      <c r="O54" s="699" t="n"/>
      <c r="P5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5">
      <c r="A55" s="309">
        <f>ROW()-ROW(Комплекты[[#Headers],[№]])</f>
        <v/>
      </c>
      <c r="B55" s="309">
        <f>Комплекты[[#This Row],[Пр]]&amp;"_"&amp;Комплекты[[#This Row],[Обозначение]]</f>
        <v/>
      </c>
      <c r="C55" s="309">
        <f>COUNTIFS($E$3:Комплекты[[#This Row],[Комплект]],Комплекты[[#This Row],[Комплект]])</f>
        <v/>
      </c>
      <c r="D55" s="310" t="n">
        <v>46043</v>
      </c>
      <c r="E55" s="311" t="n">
        <v>4441000100</v>
      </c>
      <c r="F55" s="302" t="n">
        <v>2</v>
      </c>
      <c r="G55" s="313" t="n">
        <v>9522010010</v>
      </c>
      <c r="H55" s="302" t="n">
        <v>1</v>
      </c>
      <c r="I55" s="399">
        <f>INDEX(База[],MATCH(Комплекты[[#This Row],[Обозначение]],База[Артикул],0),MATCH(I$2,База[#Headers],0))</f>
        <v/>
      </c>
      <c r="J55" s="399">
        <f>INDEX(База[],MATCH(Комплекты[[#This Row],[Комплект]],База[Артикул],0),MATCH("наименование",База[#Headers],0))</f>
        <v/>
      </c>
      <c r="K55" s="399" t="n"/>
      <c r="L5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5" s="699">
        <f>IF(IFERROR(MATCH("нет",Комплекты[[#This Row],[   ]:[АВТОВИК]],0)&gt;0,),"НЕТ","ОК")</f>
        <v/>
      </c>
      <c r="O55" s="699" t="n"/>
      <c r="P5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6">
      <c r="A56" s="309">
        <f>ROW()-ROW(Комплекты[[#Headers],[№]])</f>
        <v/>
      </c>
      <c r="B56" s="309">
        <f>Комплекты[[#This Row],[Пр]]&amp;"_"&amp;Комплекты[[#This Row],[Обозначение]]</f>
        <v/>
      </c>
      <c r="C56" s="309">
        <f>COUNTIFS($E$3:Комплекты[[#This Row],[Комплект]],Комплекты[[#This Row],[Комплект]])</f>
        <v/>
      </c>
      <c r="D56" s="310" t="n">
        <v>46043</v>
      </c>
      <c r="E56" s="311" t="n">
        <v>4441000100</v>
      </c>
      <c r="F56" s="302" t="n">
        <v>2</v>
      </c>
      <c r="G56" s="313" t="n">
        <v>9522010020</v>
      </c>
      <c r="H56" s="302" t="n">
        <v>1</v>
      </c>
      <c r="I56" s="399">
        <f>INDEX(База[],MATCH(Комплекты[[#This Row],[Обозначение]],База[Артикул],0),MATCH(I$2,База[#Headers],0))</f>
        <v/>
      </c>
      <c r="J56" s="399">
        <f>INDEX(База[],MATCH(Комплекты[[#This Row],[Комплект]],База[Артикул],0),MATCH("наименование",База[#Headers],0))</f>
        <v/>
      </c>
      <c r="K56" s="399" t="n"/>
      <c r="L5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6" s="699">
        <f>IF(IFERROR(MATCH("нет",Комплекты[[#This Row],[   ]:[АВТОВИК]],0)&gt;0,),"НЕТ","ОК")</f>
        <v/>
      </c>
      <c r="O56" s="699" t="n"/>
      <c r="P5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7">
      <c r="A57" s="309">
        <f>ROW()-ROW(Комплекты[[#Headers],[№]])</f>
        <v/>
      </c>
      <c r="B57" s="309">
        <f>Комплекты[[#This Row],[Пр]]&amp;"_"&amp;Комплекты[[#This Row],[Обозначение]]</f>
        <v/>
      </c>
      <c r="C57" s="309">
        <f>COUNTIFS($E$3:Комплекты[[#This Row],[Комплект]],Комплекты[[#This Row],[Комплект]])</f>
        <v/>
      </c>
      <c r="D57" s="310" t="n">
        <v>46043</v>
      </c>
      <c r="E57" s="311" t="n">
        <v>4441000100</v>
      </c>
      <c r="F57" s="302" t="n">
        <v>2</v>
      </c>
      <c r="G57" s="313" t="n">
        <v>9710020400</v>
      </c>
      <c r="H57" s="302" t="n">
        <v>1</v>
      </c>
      <c r="I57" s="399">
        <f>INDEX(База[],MATCH(Комплекты[[#This Row],[Обозначение]],База[Артикул],0),MATCH(I$2,База[#Headers],0))</f>
        <v/>
      </c>
      <c r="J57" s="399">
        <f>INDEX(База[],MATCH(Комплекты[[#This Row],[Комплект]],База[Артикул],0),MATCH("наименование",База[#Headers],0))</f>
        <v/>
      </c>
      <c r="K57" s="399" t="n"/>
      <c r="L5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7" s="699">
        <f>IF(IFERROR(MATCH("нет",Комплекты[[#This Row],[   ]:[АВТОВИК]],0)&gt;0,),"НЕТ","ОК")</f>
        <v/>
      </c>
      <c r="O57" s="699" t="n"/>
      <c r="P5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8">
      <c r="A58" s="309">
        <f>ROW()-ROW(Комплекты[[#Headers],[№]])</f>
        <v/>
      </c>
      <c r="B58" s="309">
        <f>Комплекты[[#This Row],[Пр]]&amp;"_"&amp;Комплекты[[#This Row],[Обозначение]]</f>
        <v/>
      </c>
      <c r="C58" s="309">
        <f>COUNTIFS($E$3:Комплекты[[#This Row],[Комплект]],Комплекты[[#This Row],[Комплект]])</f>
        <v/>
      </c>
      <c r="D58" s="310" t="n">
        <v>46043</v>
      </c>
      <c r="E58" s="311" t="n">
        <v>4441000120</v>
      </c>
      <c r="F58" s="302" t="n">
        <v>2</v>
      </c>
      <c r="G58" s="313" t="n">
        <v>4005000810</v>
      </c>
      <c r="H58" s="302" t="n">
        <v>1</v>
      </c>
      <c r="I58" s="399">
        <f>INDEX(База[],MATCH(Комплекты[[#This Row],[Обозначение]],База[Артикул],0),MATCH(I$2,База[#Headers],0))</f>
        <v/>
      </c>
      <c r="J58" s="399">
        <f>INDEX(База[],MATCH(Комплекты[[#This Row],[Комплект]],База[Артикул],0),MATCH("наименование",База[#Headers],0))</f>
        <v/>
      </c>
      <c r="K58" s="399" t="n"/>
      <c r="L5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8" s="699">
        <f>IF(IFERROR(MATCH("нет",Комплекты[[#This Row],[   ]:[АВТОВИК]],0)&gt;0,),"НЕТ","ОК")</f>
        <v/>
      </c>
      <c r="O58" s="699" t="n"/>
      <c r="P5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59">
      <c r="A59" s="309">
        <f>ROW()-ROW(Комплекты[[#Headers],[№]])</f>
        <v/>
      </c>
      <c r="B59" s="309">
        <f>Комплекты[[#This Row],[Пр]]&amp;"_"&amp;Комплекты[[#This Row],[Обозначение]]</f>
        <v/>
      </c>
      <c r="C59" s="309">
        <f>COUNTIFS($E$3:Комплекты[[#This Row],[Комплект]],Комплекты[[#This Row],[Комплект]])</f>
        <v/>
      </c>
      <c r="D59" s="310" t="n">
        <v>46043</v>
      </c>
      <c r="E59" s="311" t="n">
        <v>4441000120</v>
      </c>
      <c r="F59" s="302" t="n">
        <v>2</v>
      </c>
      <c r="G59" s="313" t="n">
        <v>4491301500</v>
      </c>
      <c r="H59" s="302" t="n">
        <v>1</v>
      </c>
      <c r="I59" s="399">
        <f>INDEX(База[],MATCH(Комплекты[[#This Row],[Обозначение]],База[Артикул],0),MATCH(I$2,База[#Headers],0))</f>
        <v/>
      </c>
      <c r="J59" s="399">
        <f>INDEX(База[],MATCH(Комплекты[[#This Row],[Комплект]],База[Артикул],0),MATCH("наименование",База[#Headers],0))</f>
        <v/>
      </c>
      <c r="K59" s="399" t="n"/>
      <c r="L5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5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59" s="699">
        <f>IF(IFERROR(MATCH("нет",Комплекты[[#This Row],[   ]:[АВТОВИК]],0)&gt;0,),"НЕТ","ОК")</f>
        <v/>
      </c>
      <c r="O59" s="699" t="n"/>
      <c r="P5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5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5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5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5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5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5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5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0">
      <c r="A60" s="309">
        <f>ROW()-ROW(Комплекты[[#Headers],[№]])</f>
        <v/>
      </c>
      <c r="B60" s="309">
        <f>Комплекты[[#This Row],[Пр]]&amp;"_"&amp;Комплекты[[#This Row],[Обозначение]]</f>
        <v/>
      </c>
      <c r="C60" s="309">
        <f>COUNTIFS($E$3:Комплекты[[#This Row],[Комплект]],Комплекты[[#This Row],[Комплект]])</f>
        <v/>
      </c>
      <c r="D60" s="310" t="n">
        <v>46043</v>
      </c>
      <c r="E60" s="311" t="n">
        <v>4441000120</v>
      </c>
      <c r="F60" s="302" t="n">
        <v>2</v>
      </c>
      <c r="G60" s="313" t="n">
        <v>4493792810</v>
      </c>
      <c r="H60" s="302" t="n">
        <v>1</v>
      </c>
      <c r="I60" s="399">
        <f>INDEX(База[],MATCH(Комплекты[[#This Row],[Обозначение]],База[Артикул],0),MATCH(I$2,База[#Headers],0))</f>
        <v/>
      </c>
      <c r="J60" s="399">
        <f>INDEX(База[],MATCH(Комплекты[[#This Row],[Комплект]],База[Артикул],0),MATCH("наименование",База[#Headers],0))</f>
        <v/>
      </c>
      <c r="K60" s="399" t="n"/>
      <c r="L6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0" s="699">
        <f>IF(IFERROR(MATCH("нет",Комплекты[[#This Row],[   ]:[АВТОВИК]],0)&gt;0,),"НЕТ","ОК")</f>
        <v/>
      </c>
      <c r="O60" s="699" t="n"/>
      <c r="P6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1">
      <c r="A61" s="309">
        <f>ROW()-ROW(Комплекты[[#Headers],[№]])</f>
        <v/>
      </c>
      <c r="B61" s="309">
        <f>Комплекты[[#This Row],[Пр]]&amp;"_"&amp;Комплекты[[#This Row],[Обозначение]]</f>
        <v/>
      </c>
      <c r="C61" s="309">
        <f>COUNTIFS($E$3:Комплекты[[#This Row],[Комплект]],Комплекты[[#This Row],[Комплект]])</f>
        <v/>
      </c>
      <c r="D61" s="310" t="n">
        <v>46043</v>
      </c>
      <c r="E61" s="311" t="n">
        <v>4441000120</v>
      </c>
      <c r="F61" s="302" t="n">
        <v>2</v>
      </c>
      <c r="G61" s="313" t="n">
        <v>4497490300</v>
      </c>
      <c r="H61" s="302" t="n">
        <v>2</v>
      </c>
      <c r="I61" s="399">
        <f>INDEX(База[],MATCH(Комплекты[[#This Row],[Обозначение]],База[Артикул],0),MATCH(I$2,База[#Headers],0))</f>
        <v/>
      </c>
      <c r="J61" s="399">
        <f>INDEX(База[],MATCH(Комплекты[[#This Row],[Комплект]],База[Артикул],0),MATCH("наименование",База[#Headers],0))</f>
        <v/>
      </c>
      <c r="K61" s="399" t="n"/>
      <c r="L6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1" s="699">
        <f>IF(IFERROR(MATCH("нет",Комплекты[[#This Row],[   ]:[АВТОВИК]],0)&gt;0,),"НЕТ","ОК")</f>
        <v/>
      </c>
      <c r="O61" s="699" t="n"/>
      <c r="P6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2">
      <c r="A62" s="309">
        <f>ROW()-ROW(Комплекты[[#Headers],[№]])</f>
        <v/>
      </c>
      <c r="B62" s="309">
        <f>Комплекты[[#This Row],[Пр]]&amp;"_"&amp;Комплекты[[#This Row],[Обозначение]]</f>
        <v/>
      </c>
      <c r="C62" s="309">
        <f>COUNTIFS($E$3:Комплекты[[#This Row],[Комплект]],Комплекты[[#This Row],[Комплект]])</f>
        <v/>
      </c>
      <c r="D62" s="310" t="n">
        <v>46043</v>
      </c>
      <c r="E62" s="311" t="n">
        <v>4441000120</v>
      </c>
      <c r="F62" s="302" t="n">
        <v>2</v>
      </c>
      <c r="G62" s="313" t="n">
        <v>9522010010</v>
      </c>
      <c r="H62" s="302" t="n">
        <v>1</v>
      </c>
      <c r="I62" s="399">
        <f>INDEX(База[],MATCH(Комплекты[[#This Row],[Обозначение]],База[Артикул],0),MATCH(I$2,База[#Headers],0))</f>
        <v/>
      </c>
      <c r="J62" s="399">
        <f>INDEX(База[],MATCH(Комплекты[[#This Row],[Комплект]],База[Артикул],0),MATCH("наименование",База[#Headers],0))</f>
        <v/>
      </c>
      <c r="K62" s="399" t="n"/>
      <c r="L6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2" s="699">
        <f>IF(IFERROR(MATCH("нет",Комплекты[[#This Row],[   ]:[АВТОВИК]],0)&gt;0,),"НЕТ","ОК")</f>
        <v/>
      </c>
      <c r="O62" s="699" t="n"/>
      <c r="P6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3">
      <c r="A63" s="309">
        <f>ROW()-ROW(Комплекты[[#Headers],[№]])</f>
        <v/>
      </c>
      <c r="B63" s="309">
        <f>Комплекты[[#This Row],[Пр]]&amp;"_"&amp;Комплекты[[#This Row],[Обозначение]]</f>
        <v/>
      </c>
      <c r="C63" s="309">
        <f>COUNTIFS($E$3:Комплекты[[#This Row],[Комплект]],Комплекты[[#This Row],[Комплект]])</f>
        <v/>
      </c>
      <c r="D63" s="310" t="n">
        <v>46043</v>
      </c>
      <c r="E63" s="311" t="n">
        <v>4441000120</v>
      </c>
      <c r="F63" s="302" t="n">
        <v>2</v>
      </c>
      <c r="G63" s="313" t="n">
        <v>9522010020</v>
      </c>
      <c r="H63" s="302" t="n">
        <v>1</v>
      </c>
      <c r="I63" s="399">
        <f>INDEX(База[],MATCH(Комплекты[[#This Row],[Обозначение]],База[Артикул],0),MATCH(I$2,База[#Headers],0))</f>
        <v/>
      </c>
      <c r="J63" s="399">
        <f>INDEX(База[],MATCH(Комплекты[[#This Row],[Комплект]],База[Артикул],0),MATCH("наименование",База[#Headers],0))</f>
        <v/>
      </c>
      <c r="K63" s="399" t="n"/>
      <c r="L6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3" s="699">
        <f>IF(IFERROR(MATCH("нет",Комплекты[[#This Row],[   ]:[АВТОВИК]],0)&gt;0,),"НЕТ","ОК")</f>
        <v/>
      </c>
      <c r="O63" s="699" t="n"/>
      <c r="P6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4">
      <c r="A64" s="309">
        <f>ROW()-ROW(Комплекты[[#Headers],[№]])</f>
        <v/>
      </c>
      <c r="B64" s="309">
        <f>Комплекты[[#This Row],[Пр]]&amp;"_"&amp;Комплекты[[#This Row],[Обозначение]]</f>
        <v/>
      </c>
      <c r="C64" s="309">
        <f>COUNTIFS($E$3:Комплекты[[#This Row],[Комплект]],Комплекты[[#This Row],[Комплект]])</f>
        <v/>
      </c>
      <c r="D64" s="310" t="n">
        <v>46043</v>
      </c>
      <c r="E64" s="311" t="n">
        <v>4441000120</v>
      </c>
      <c r="F64" s="302" t="n">
        <v>2</v>
      </c>
      <c r="G64" s="313" t="n">
        <v>9710020400</v>
      </c>
      <c r="H64" s="302" t="n">
        <v>1</v>
      </c>
      <c r="I64" s="399">
        <f>INDEX(База[],MATCH(Комплекты[[#This Row],[Обозначение]],База[Артикул],0),MATCH(I$2,База[#Headers],0))</f>
        <v/>
      </c>
      <c r="J64" s="399">
        <f>INDEX(База[],MATCH(Комплекты[[#This Row],[Комплект]],База[Артикул],0),MATCH("наименование",База[#Headers],0))</f>
        <v/>
      </c>
      <c r="K64" s="399" t="n"/>
      <c r="L6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4" s="699">
        <f>IF(IFERROR(MATCH("нет",Комплекты[[#This Row],[   ]:[АВТОВИК]],0)&gt;0,),"НЕТ","ОК")</f>
        <v/>
      </c>
      <c r="O64" s="699" t="n"/>
      <c r="P6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5">
      <c r="A65" s="309">
        <f>ROW()-ROW(Комплекты[[#Headers],[№]])</f>
        <v/>
      </c>
      <c r="B65" s="309">
        <f>Комплекты[[#This Row],[Пр]]&amp;"_"&amp;Комплекты[[#This Row],[Обозначение]]</f>
        <v/>
      </c>
      <c r="C65" s="309">
        <f>COUNTIFS($E$3:Комплекты[[#This Row],[Комплект]],Комплекты[[#This Row],[Комплект]])</f>
        <v/>
      </c>
      <c r="D65" s="310" t="n">
        <v>46043</v>
      </c>
      <c r="E65" s="311" t="n">
        <v>4441000140</v>
      </c>
      <c r="F65" s="302" t="n">
        <v>2</v>
      </c>
      <c r="G65" s="313" t="n">
        <v>4005000810</v>
      </c>
      <c r="H65" s="302" t="n">
        <v>1</v>
      </c>
      <c r="I65" s="399">
        <f>INDEX(База[],MATCH(Комплекты[[#This Row],[Обозначение]],База[Артикул],0),MATCH(I$2,База[#Headers],0))</f>
        <v/>
      </c>
      <c r="J65" s="399">
        <f>INDEX(База[],MATCH(Комплекты[[#This Row],[Комплект]],База[Артикул],0),MATCH("наименование",База[#Headers],0))</f>
        <v/>
      </c>
      <c r="K65" s="399" t="n"/>
      <c r="L6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5" s="699">
        <f>IF(IFERROR(MATCH("нет",Комплекты[[#This Row],[   ]:[АВТОВИК]],0)&gt;0,),"НЕТ","ОК")</f>
        <v/>
      </c>
      <c r="O65" s="699" t="n"/>
      <c r="P6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6">
      <c r="A66" s="309">
        <f>ROW()-ROW(Комплекты[[#Headers],[№]])</f>
        <v/>
      </c>
      <c r="B66" s="309">
        <f>Комплекты[[#This Row],[Пр]]&amp;"_"&amp;Комплекты[[#This Row],[Обозначение]]</f>
        <v/>
      </c>
      <c r="C66" s="309">
        <f>COUNTIFS($E$3:Комплекты[[#This Row],[Комплект]],Комплекты[[#This Row],[Комплект]])</f>
        <v/>
      </c>
      <c r="D66" s="310" t="n">
        <v>46043</v>
      </c>
      <c r="E66" s="311" t="n">
        <v>4441000140</v>
      </c>
      <c r="F66" s="302" t="n">
        <v>2</v>
      </c>
      <c r="G66" s="313" t="n">
        <v>4491301500</v>
      </c>
      <c r="H66" s="302" t="n">
        <v>1</v>
      </c>
      <c r="I66" s="399">
        <f>INDEX(База[],MATCH(Комплекты[[#This Row],[Обозначение]],База[Артикул],0),MATCH(I$2,База[#Headers],0))</f>
        <v/>
      </c>
      <c r="J66" s="399">
        <f>INDEX(База[],MATCH(Комплекты[[#This Row],[Комплект]],База[Артикул],0),MATCH("наименование",База[#Headers],0))</f>
        <v/>
      </c>
      <c r="K66" s="399" t="n"/>
      <c r="L6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6" s="699">
        <f>IF(IFERROR(MATCH("нет",Комплекты[[#This Row],[   ]:[АВТОВИК]],0)&gt;0,),"НЕТ","ОК")</f>
        <v/>
      </c>
      <c r="O66" s="699" t="n"/>
      <c r="P6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7">
      <c r="A67" s="309">
        <f>ROW()-ROW(Комплекты[[#Headers],[№]])</f>
        <v/>
      </c>
      <c r="B67" s="309">
        <f>Комплекты[[#This Row],[Пр]]&amp;"_"&amp;Комплекты[[#This Row],[Обозначение]]</f>
        <v/>
      </c>
      <c r="C67" s="309">
        <f>COUNTIFS($E$3:Комплекты[[#This Row],[Комплект]],Комплекты[[#This Row],[Комплект]])</f>
        <v/>
      </c>
      <c r="D67" s="310" t="n">
        <v>46043</v>
      </c>
      <c r="E67" s="311" t="n">
        <v>4441000140</v>
      </c>
      <c r="F67" s="302" t="n">
        <v>2</v>
      </c>
      <c r="G67" s="313" t="n">
        <v>4493792810</v>
      </c>
      <c r="H67" s="302" t="n">
        <v>1</v>
      </c>
      <c r="I67" s="399">
        <f>INDEX(База[],MATCH(Комплекты[[#This Row],[Обозначение]],База[Артикул],0),MATCH(I$2,База[#Headers],0))</f>
        <v/>
      </c>
      <c r="J67" s="399">
        <f>INDEX(База[],MATCH(Комплекты[[#This Row],[Комплект]],База[Артикул],0),MATCH("наименование",База[#Headers],0))</f>
        <v/>
      </c>
      <c r="K67" s="399" t="n"/>
      <c r="L6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7" s="699">
        <f>IF(IFERROR(MATCH("нет",Комплекты[[#This Row],[   ]:[АВТОВИК]],0)&gt;0,),"НЕТ","ОК")</f>
        <v/>
      </c>
      <c r="O67" s="699" t="n"/>
      <c r="P6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8">
      <c r="A68" s="309">
        <f>ROW()-ROW(Комплекты[[#Headers],[№]])</f>
        <v/>
      </c>
      <c r="B68" s="309">
        <f>Комплекты[[#This Row],[Пр]]&amp;"_"&amp;Комплекты[[#This Row],[Обозначение]]</f>
        <v/>
      </c>
      <c r="C68" s="309">
        <f>COUNTIFS($E$3:Комплекты[[#This Row],[Комплект]],Комплекты[[#This Row],[Комплект]])</f>
        <v/>
      </c>
      <c r="D68" s="310" t="n">
        <v>46043</v>
      </c>
      <c r="E68" s="311" t="n">
        <v>4441000140</v>
      </c>
      <c r="F68" s="302" t="n">
        <v>2</v>
      </c>
      <c r="G68" s="313" t="n">
        <v>4497490300</v>
      </c>
      <c r="H68" s="302" t="n">
        <v>4</v>
      </c>
      <c r="I68" s="399">
        <f>INDEX(База[],MATCH(Комплекты[[#This Row],[Обозначение]],База[Артикул],0),MATCH(I$2,База[#Headers],0))</f>
        <v/>
      </c>
      <c r="J68" s="399">
        <f>INDEX(База[],MATCH(Комплекты[[#This Row],[Комплект]],База[Артикул],0),MATCH("наименование",База[#Headers],0))</f>
        <v/>
      </c>
      <c r="K68" s="399" t="n"/>
      <c r="L6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8" s="699">
        <f>IF(IFERROR(MATCH("нет",Комплекты[[#This Row],[   ]:[АВТОВИК]],0)&gt;0,),"НЕТ","ОК")</f>
        <v/>
      </c>
      <c r="O68" s="699" t="n"/>
      <c r="P6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69">
      <c r="A69" s="309">
        <f>ROW()-ROW(Комплекты[[#Headers],[№]])</f>
        <v/>
      </c>
      <c r="B69" s="309">
        <f>Комплекты[[#This Row],[Пр]]&amp;"_"&amp;Комплекты[[#This Row],[Обозначение]]</f>
        <v/>
      </c>
      <c r="C69" s="309">
        <f>COUNTIFS($E$3:Комплекты[[#This Row],[Комплект]],Комплекты[[#This Row],[Комплект]])</f>
        <v/>
      </c>
      <c r="D69" s="310" t="n">
        <v>46043</v>
      </c>
      <c r="E69" s="311" t="n">
        <v>4441000140</v>
      </c>
      <c r="F69" s="302" t="n">
        <v>2</v>
      </c>
      <c r="G69" s="313" t="n">
        <v>9522010010</v>
      </c>
      <c r="H69" s="302" t="n">
        <v>1</v>
      </c>
      <c r="I69" s="399">
        <f>INDEX(База[],MATCH(Комплекты[[#This Row],[Обозначение]],База[Артикул],0),MATCH(I$2,База[#Headers],0))</f>
        <v/>
      </c>
      <c r="J69" s="399">
        <f>INDEX(База[],MATCH(Комплекты[[#This Row],[Комплект]],База[Артикул],0),MATCH("наименование",База[#Headers],0))</f>
        <v/>
      </c>
      <c r="K69" s="399" t="n"/>
      <c r="L6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6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69" s="699">
        <f>IF(IFERROR(MATCH("нет",Комплекты[[#This Row],[   ]:[АВТОВИК]],0)&gt;0,),"НЕТ","ОК")</f>
        <v/>
      </c>
      <c r="O69" s="699" t="n"/>
      <c r="P6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6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6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6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6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6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6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6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0">
      <c r="A70" s="309">
        <f>ROW()-ROW(Комплекты[[#Headers],[№]])</f>
        <v/>
      </c>
      <c r="B70" s="309">
        <f>Комплекты[[#This Row],[Пр]]&amp;"_"&amp;Комплекты[[#This Row],[Обозначение]]</f>
        <v/>
      </c>
      <c r="C70" s="309">
        <f>COUNTIFS($E$3:Комплекты[[#This Row],[Комплект]],Комплекты[[#This Row],[Комплект]])</f>
        <v/>
      </c>
      <c r="D70" s="310" t="n">
        <v>46043</v>
      </c>
      <c r="E70" s="311" t="n">
        <v>4441000140</v>
      </c>
      <c r="F70" s="302" t="n">
        <v>2</v>
      </c>
      <c r="G70" s="313" t="n">
        <v>9522010020</v>
      </c>
      <c r="H70" s="302" t="n">
        <v>1</v>
      </c>
      <c r="I70" s="399">
        <f>INDEX(База[],MATCH(Комплекты[[#This Row],[Обозначение]],База[Артикул],0),MATCH(I$2,База[#Headers],0))</f>
        <v/>
      </c>
      <c r="J70" s="399">
        <f>INDEX(База[],MATCH(Комплекты[[#This Row],[Комплект]],База[Артикул],0),MATCH("наименование",База[#Headers],0))</f>
        <v/>
      </c>
      <c r="K70" s="399" t="n"/>
      <c r="L7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0" s="699">
        <f>IF(IFERROR(MATCH("нет",Комплекты[[#This Row],[   ]:[АВТОВИК]],0)&gt;0,),"НЕТ","ОК")</f>
        <v/>
      </c>
      <c r="O70" s="699" t="n"/>
      <c r="P7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1">
      <c r="A71" s="309">
        <f>ROW()-ROW(Комплекты[[#Headers],[№]])</f>
        <v/>
      </c>
      <c r="B71" s="309">
        <f>Комплекты[[#This Row],[Пр]]&amp;"_"&amp;Комплекты[[#This Row],[Обозначение]]</f>
        <v/>
      </c>
      <c r="C71" s="309">
        <f>COUNTIFS($E$3:Комплекты[[#This Row],[Комплект]],Комплекты[[#This Row],[Комплект]])</f>
        <v/>
      </c>
      <c r="D71" s="310" t="n">
        <v>46043</v>
      </c>
      <c r="E71" s="311" t="n">
        <v>4441000140</v>
      </c>
      <c r="F71" s="302" t="n">
        <v>2</v>
      </c>
      <c r="G71" s="313" t="n">
        <v>9710020400</v>
      </c>
      <c r="H71" s="302" t="n">
        <v>1</v>
      </c>
      <c r="I71" s="399">
        <f>INDEX(База[],MATCH(Комплекты[[#This Row],[Обозначение]],База[Артикул],0),MATCH(I$2,База[#Headers],0))</f>
        <v/>
      </c>
      <c r="J71" s="399">
        <f>INDEX(База[],MATCH(Комплекты[[#This Row],[Комплект]],База[Артикул],0),MATCH("наименование",База[#Headers],0))</f>
        <v/>
      </c>
      <c r="K71" s="399" t="n"/>
      <c r="L7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1" s="699">
        <f>IF(IFERROR(MATCH("нет",Комплекты[[#This Row],[   ]:[АВТОВИК]],0)&gt;0,),"НЕТ","ОК")</f>
        <v/>
      </c>
      <c r="O71" s="699" t="n"/>
      <c r="P7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2">
      <c r="A72" s="309">
        <f>ROW()-ROW(Комплекты[[#Headers],[№]])</f>
        <v/>
      </c>
      <c r="B72" s="309">
        <f>Комплекты[[#This Row],[Пр]]&amp;"_"&amp;Комплекты[[#This Row],[Обозначение]]</f>
        <v/>
      </c>
      <c r="C72" s="309">
        <f>COUNTIFS($E$3:Комплекты[[#This Row],[Комплект]],Комплекты[[#This Row],[Комплект]])</f>
        <v/>
      </c>
      <c r="D72" s="310" t="n">
        <v>46043</v>
      </c>
      <c r="E72" s="311" t="n">
        <v>4441000160</v>
      </c>
      <c r="F72" s="302" t="n">
        <v>1</v>
      </c>
      <c r="G72" s="313" t="n">
        <v>4496161560</v>
      </c>
      <c r="H72" s="302" t="n">
        <v>1</v>
      </c>
      <c r="I72" s="399">
        <f>INDEX(База[],MATCH(Комплекты[[#This Row],[Обозначение]],База[Артикул],0),MATCH(I$2,База[#Headers],0))</f>
        <v/>
      </c>
      <c r="J72" s="399">
        <f>INDEX(База[],MATCH(Комплекты[[#This Row],[Комплект]],База[Артикул],0),MATCH("наименование",База[#Headers],0))</f>
        <v/>
      </c>
      <c r="K72" s="399" t="n"/>
      <c r="L7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2" s="699">
        <f>IF(IFERROR(MATCH("нет",Комплекты[[#This Row],[   ]:[АВТОВИК]],0)&gt;0,),"НЕТ","ОК")</f>
        <v/>
      </c>
      <c r="O72" s="699" t="n"/>
      <c r="P7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3">
      <c r="A73" s="309">
        <f>ROW()-ROW(Комплекты[[#Headers],[№]])</f>
        <v/>
      </c>
      <c r="B73" s="309">
        <f>Комплекты[[#This Row],[Пр]]&amp;"_"&amp;Комплекты[[#This Row],[Обозначение]]</f>
        <v/>
      </c>
      <c r="C73" s="309">
        <f>COUNTIFS($E$3:Комплекты[[#This Row],[Комплект]],Комплекты[[#This Row],[Комплект]])</f>
        <v/>
      </c>
      <c r="D73" s="310" t="n">
        <v>46043</v>
      </c>
      <c r="E73" s="311" t="n">
        <v>4441000160</v>
      </c>
      <c r="F73" s="302" t="n">
        <v>1</v>
      </c>
      <c r="G73" s="313" t="n">
        <v>4721950310</v>
      </c>
      <c r="H73" s="302" t="n">
        <v>1</v>
      </c>
      <c r="I73" s="399">
        <f>INDEX(База[],MATCH(Комплекты[[#This Row],[Обозначение]],База[Артикул],0),MATCH(I$2,База[#Headers],0))</f>
        <v/>
      </c>
      <c r="J73" s="399">
        <f>INDEX(База[],MATCH(Комплекты[[#This Row],[Комплект]],База[Артикул],0),MATCH("наименование",База[#Headers],0))</f>
        <v/>
      </c>
      <c r="K73" s="399" t="n"/>
      <c r="L7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3" s="699">
        <f>IF(IFERROR(MATCH("нет",Комплекты[[#This Row],[   ]:[АВТОВИК]],0)&gt;0,),"НЕТ","ОК")</f>
        <v/>
      </c>
      <c r="O73" s="699" t="n"/>
      <c r="P7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4">
      <c r="A74" s="309">
        <f>ROW()-ROW(Комплекты[[#Headers],[№]])</f>
        <v/>
      </c>
      <c r="B74" s="309">
        <f>Комплекты[[#This Row],[Пр]]&amp;"_"&amp;Комплекты[[#This Row],[Обозначение]]</f>
        <v/>
      </c>
      <c r="C74" s="309">
        <f>COUNTIFS($E$3:Комплекты[[#This Row],[Комплект]],Комплекты[[#This Row],[Комплект]])</f>
        <v/>
      </c>
      <c r="D74" s="310" t="n">
        <v>46043</v>
      </c>
      <c r="E74" s="311" t="n">
        <v>4441000160</v>
      </c>
      <c r="F74" s="302" t="n">
        <v>2</v>
      </c>
      <c r="G74" s="313" t="n">
        <v>4005000810</v>
      </c>
      <c r="H74" s="302" t="n">
        <v>1</v>
      </c>
      <c r="I74" s="399">
        <f>INDEX(База[],MATCH(Комплекты[[#This Row],[Обозначение]],База[Артикул],0),MATCH(I$2,База[#Headers],0))</f>
        <v/>
      </c>
      <c r="J74" s="399">
        <f>INDEX(База[],MATCH(Комплекты[[#This Row],[Комплект]],База[Артикул],0),MATCH("наименование",База[#Headers],0))</f>
        <v/>
      </c>
      <c r="K74" s="399" t="n"/>
      <c r="L7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4" s="699">
        <f>IF(IFERROR(MATCH("нет",Комплекты[[#This Row],[   ]:[АВТОВИК]],0)&gt;0,),"НЕТ","ОК")</f>
        <v/>
      </c>
      <c r="O74" s="699" t="n"/>
      <c r="P7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5">
      <c r="A75" s="309">
        <f>ROW()-ROW(Комплекты[[#Headers],[№]])</f>
        <v/>
      </c>
      <c r="B75" s="309">
        <f>Комплекты[[#This Row],[Пр]]&amp;"_"&amp;Комплекты[[#This Row],[Обозначение]]</f>
        <v/>
      </c>
      <c r="C75" s="309">
        <f>COUNTIFS($E$3:Комплекты[[#This Row],[Комплект]],Комплекты[[#This Row],[Комплект]])</f>
        <v/>
      </c>
      <c r="D75" s="310" t="n">
        <v>46043</v>
      </c>
      <c r="E75" s="311" t="n">
        <v>4441000160</v>
      </c>
      <c r="F75" s="302" t="n">
        <v>2</v>
      </c>
      <c r="G75" s="313" t="n">
        <v>4491301500</v>
      </c>
      <c r="H75" s="302" t="n">
        <v>1</v>
      </c>
      <c r="I75" s="399">
        <f>INDEX(База[],MATCH(Комплекты[[#This Row],[Обозначение]],База[Артикул],0),MATCH(I$2,База[#Headers],0))</f>
        <v/>
      </c>
      <c r="J75" s="399">
        <f>INDEX(База[],MATCH(Комплекты[[#This Row],[Комплект]],База[Артикул],0),MATCH("наименование",База[#Headers],0))</f>
        <v/>
      </c>
      <c r="K75" s="399" t="n"/>
      <c r="L7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5" s="699">
        <f>IF(IFERROR(MATCH("нет",Комплекты[[#This Row],[   ]:[АВТОВИК]],0)&gt;0,),"НЕТ","ОК")</f>
        <v/>
      </c>
      <c r="O75" s="699" t="n"/>
      <c r="P7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6">
      <c r="A76" s="309">
        <f>ROW()-ROW(Комплекты[[#Headers],[№]])</f>
        <v/>
      </c>
      <c r="B76" s="309">
        <f>Комплекты[[#This Row],[Пр]]&amp;"_"&amp;Комплекты[[#This Row],[Обозначение]]</f>
        <v/>
      </c>
      <c r="C76" s="309">
        <f>COUNTIFS($E$3:Комплекты[[#This Row],[Комплект]],Комплекты[[#This Row],[Комплект]])</f>
        <v/>
      </c>
      <c r="D76" s="310" t="n">
        <v>46043</v>
      </c>
      <c r="E76" s="311" t="n">
        <v>4441000160</v>
      </c>
      <c r="F76" s="302" t="n">
        <v>2</v>
      </c>
      <c r="G76" s="313" t="n">
        <v>4493792810</v>
      </c>
      <c r="H76" s="302" t="n">
        <v>1</v>
      </c>
      <c r="I76" s="399">
        <f>INDEX(База[],MATCH(Комплекты[[#This Row],[Обозначение]],База[Артикул],0),MATCH(I$2,База[#Headers],0))</f>
        <v/>
      </c>
      <c r="J76" s="399">
        <f>INDEX(База[],MATCH(Комплекты[[#This Row],[Комплект]],База[Артикул],0),MATCH("наименование",База[#Headers],0))</f>
        <v/>
      </c>
      <c r="K76" s="399" t="n"/>
      <c r="L7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6" s="699">
        <f>IF(IFERROR(MATCH("нет",Комплекты[[#This Row],[   ]:[АВТОВИК]],0)&gt;0,),"НЕТ","ОК")</f>
        <v/>
      </c>
      <c r="O76" s="699" t="n"/>
      <c r="P7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7">
      <c r="A77" s="309">
        <f>ROW()-ROW(Комплекты[[#Headers],[№]])</f>
        <v/>
      </c>
      <c r="B77" s="309">
        <f>Комплекты[[#This Row],[Пр]]&amp;"_"&amp;Комплекты[[#This Row],[Обозначение]]</f>
        <v/>
      </c>
      <c r="C77" s="309">
        <f>COUNTIFS($E$3:Комплекты[[#This Row],[Комплект]],Комплекты[[#This Row],[Комплект]])</f>
        <v/>
      </c>
      <c r="D77" s="310" t="n">
        <v>46043</v>
      </c>
      <c r="E77" s="311" t="n">
        <v>4441000160</v>
      </c>
      <c r="F77" s="302" t="n">
        <v>2</v>
      </c>
      <c r="G77" s="313" t="n">
        <v>4497490300</v>
      </c>
      <c r="H77" s="302" t="n">
        <v>4</v>
      </c>
      <c r="I77" s="399">
        <f>INDEX(База[],MATCH(Комплекты[[#This Row],[Обозначение]],База[Артикул],0),MATCH(I$2,База[#Headers],0))</f>
        <v/>
      </c>
      <c r="J77" s="399">
        <f>INDEX(База[],MATCH(Комплекты[[#This Row],[Комплект]],База[Артикул],0),MATCH("наименование",База[#Headers],0))</f>
        <v/>
      </c>
      <c r="K77" s="399" t="n"/>
      <c r="L7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7" s="699">
        <f>IF(IFERROR(MATCH("нет",Комплекты[[#This Row],[   ]:[АВТОВИК]],0)&gt;0,),"НЕТ","ОК")</f>
        <v/>
      </c>
      <c r="O77" s="699" t="n"/>
      <c r="P7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8">
      <c r="A78" s="309">
        <f>ROW()-ROW(Комплекты[[#Headers],[№]])</f>
        <v/>
      </c>
      <c r="B78" s="309">
        <f>Комплекты[[#This Row],[Пр]]&amp;"_"&amp;Комплекты[[#This Row],[Обозначение]]</f>
        <v/>
      </c>
      <c r="C78" s="309">
        <f>COUNTIFS($E$3:Комплекты[[#This Row],[Комплект]],Комплекты[[#This Row],[Комплект]])</f>
        <v/>
      </c>
      <c r="D78" s="310" t="n">
        <v>46043</v>
      </c>
      <c r="E78" s="311" t="n">
        <v>4441000160</v>
      </c>
      <c r="F78" s="302" t="n">
        <v>2</v>
      </c>
      <c r="G78" s="313" t="n">
        <v>9522010010</v>
      </c>
      <c r="H78" s="302" t="n">
        <v>1</v>
      </c>
      <c r="I78" s="399">
        <f>INDEX(База[],MATCH(Комплекты[[#This Row],[Обозначение]],База[Артикул],0),MATCH(I$2,База[#Headers],0))</f>
        <v/>
      </c>
      <c r="J78" s="399">
        <f>INDEX(База[],MATCH(Комплекты[[#This Row],[Комплект]],База[Артикул],0),MATCH("наименование",База[#Headers],0))</f>
        <v/>
      </c>
      <c r="K78" s="399" t="n"/>
      <c r="L7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8" s="699">
        <f>IF(IFERROR(MATCH("нет",Комплекты[[#This Row],[   ]:[АВТОВИК]],0)&gt;0,),"НЕТ","ОК")</f>
        <v/>
      </c>
      <c r="O78" s="699" t="n"/>
      <c r="P7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79">
      <c r="A79" s="309">
        <f>ROW()-ROW(Комплекты[[#Headers],[№]])</f>
        <v/>
      </c>
      <c r="B79" s="309">
        <f>Комплекты[[#This Row],[Пр]]&amp;"_"&amp;Комплекты[[#This Row],[Обозначение]]</f>
        <v/>
      </c>
      <c r="C79" s="309">
        <f>COUNTIFS($E$3:Комплекты[[#This Row],[Комплект]],Комплекты[[#This Row],[Комплект]])</f>
        <v/>
      </c>
      <c r="D79" s="310" t="n">
        <v>46043</v>
      </c>
      <c r="E79" s="311" t="n">
        <v>4441000160</v>
      </c>
      <c r="F79" s="302" t="n">
        <v>2</v>
      </c>
      <c r="G79" s="313" t="n">
        <v>9522010020</v>
      </c>
      <c r="H79" s="302" t="n">
        <v>1</v>
      </c>
      <c r="I79" s="399">
        <f>INDEX(База[],MATCH(Комплекты[[#This Row],[Обозначение]],База[Артикул],0),MATCH(I$2,База[#Headers],0))</f>
        <v/>
      </c>
      <c r="J79" s="399">
        <f>INDEX(База[],MATCH(Комплекты[[#This Row],[Комплект]],База[Артикул],0),MATCH("наименование",База[#Headers],0))</f>
        <v/>
      </c>
      <c r="K79" s="399" t="n"/>
      <c r="L7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7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79" s="699">
        <f>IF(IFERROR(MATCH("нет",Комплекты[[#This Row],[   ]:[АВТОВИК]],0)&gt;0,),"НЕТ","ОК")</f>
        <v/>
      </c>
      <c r="O79" s="699" t="n"/>
      <c r="P7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7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7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7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7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7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7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7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0">
      <c r="A80" s="309">
        <f>ROW()-ROW(Комплекты[[#Headers],[№]])</f>
        <v/>
      </c>
      <c r="B80" s="309">
        <f>Комплекты[[#This Row],[Пр]]&amp;"_"&amp;Комплекты[[#This Row],[Обозначение]]</f>
        <v/>
      </c>
      <c r="C80" s="309">
        <f>COUNTIFS($E$3:Комплекты[[#This Row],[Комплект]],Комплекты[[#This Row],[Комплект]])</f>
        <v/>
      </c>
      <c r="D80" s="310" t="n">
        <v>46043</v>
      </c>
      <c r="E80" s="311" t="n">
        <v>4441000160</v>
      </c>
      <c r="F80" s="302" t="n">
        <v>2</v>
      </c>
      <c r="G80" s="313" t="n">
        <v>9710020400</v>
      </c>
      <c r="H80" s="302" t="n">
        <v>1</v>
      </c>
      <c r="I80" s="399">
        <f>INDEX(База[],MATCH(Комплекты[[#This Row],[Обозначение]],База[Артикул],0),MATCH(I$2,База[#Headers],0))</f>
        <v/>
      </c>
      <c r="J80" s="399">
        <f>INDEX(База[],MATCH(Комплекты[[#This Row],[Комплект]],База[Артикул],0),MATCH("наименование",База[#Headers],0))</f>
        <v/>
      </c>
      <c r="K80" s="399" t="n"/>
      <c r="L8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0" s="699">
        <f>IF(IFERROR(MATCH("нет",Комплекты[[#This Row],[   ]:[АВТОВИК]],0)&gt;0,),"НЕТ","ОК")</f>
        <v/>
      </c>
      <c r="O80" s="699" t="n"/>
      <c r="P8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1">
      <c r="A81" s="309">
        <f>ROW()-ROW(Комплекты[[#Headers],[№]])</f>
        <v/>
      </c>
      <c r="B81" s="309">
        <f>Комплекты[[#This Row],[Пр]]&amp;"_"&amp;Комплекты[[#This Row],[Обозначение]]</f>
        <v/>
      </c>
      <c r="C81" s="309">
        <f>COUNTIFS($E$3:Комплекты[[#This Row],[Комплект]],Комплекты[[#This Row],[Комплект]])</f>
        <v/>
      </c>
      <c r="D81" s="310" t="n">
        <v>45884</v>
      </c>
      <c r="E81" s="311" t="n">
        <v>4441000180</v>
      </c>
      <c r="F81" s="302" t="n">
        <v>2</v>
      </c>
      <c r="G81" s="313" t="n">
        <v>4491731200</v>
      </c>
      <c r="H81" s="302" t="n">
        <v>1</v>
      </c>
      <c r="I81" s="399">
        <f>INDEX(База[],MATCH(Комплекты[[#This Row],[Обозначение]],База[Артикул],0),MATCH(I$2,База[#Headers],0))</f>
        <v/>
      </c>
      <c r="J81" s="399">
        <f>INDEX(База[],MATCH(Комплекты[[#This Row],[Комплект]],База[Артикул],0),MATCH("наименование",База[#Headers],0))</f>
        <v/>
      </c>
      <c r="K81" s="399" t="n"/>
      <c r="L8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1" s="699">
        <f>IF(IFERROR(MATCH("нет",Комплекты[[#This Row],[   ]:[АВТОВИК]],0)&gt;0,),"НЕТ","ОК")</f>
        <v/>
      </c>
      <c r="O81" s="699" t="n"/>
      <c r="P8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2">
      <c r="A82" s="314">
        <f>ROW()-ROW(Комплекты[[#Headers],[№]])</f>
        <v/>
      </c>
      <c r="B82" s="314">
        <f>Комплекты[[#This Row],[Пр]]&amp;"_"&amp;Комплекты[[#This Row],[Обозначение]]</f>
        <v/>
      </c>
      <c r="C82" s="314">
        <f>COUNTIFS($E$3:Комплекты[[#This Row],[Комплект]],Комплекты[[#This Row],[Комплект]])</f>
        <v/>
      </c>
      <c r="D82" s="315" t="n">
        <v>45884</v>
      </c>
      <c r="E82" s="316" t="n">
        <v>4441000180</v>
      </c>
      <c r="F82" s="303" t="n">
        <v>2</v>
      </c>
      <c r="G82" s="317" t="n">
        <v>4497230300</v>
      </c>
      <c r="H82" s="303" t="n">
        <v>4</v>
      </c>
      <c r="I82" s="705">
        <f>INDEX(База[],MATCH(Комплекты[[#This Row],[Обозначение]],База[Артикул],0),MATCH(I$2,База[#Headers],0))</f>
        <v/>
      </c>
      <c r="J82" s="705">
        <f>INDEX(База[],MATCH(Комплекты[[#This Row],[Комплект]],База[Артикул],0),MATCH("наименование",База[#Headers],0))</f>
        <v/>
      </c>
      <c r="K82" s="705" t="n"/>
      <c r="L82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2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2" s="707">
        <f>IF(IFERROR(MATCH("нет",Комплекты[[#This Row],[   ]:[АВТОВИК]],0)&gt;0,),"НЕТ","ОК")</f>
        <v/>
      </c>
      <c r="O82" s="707" t="n"/>
      <c r="P82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2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2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2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2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2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2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2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3">
      <c r="A83" s="314">
        <f>ROW()-ROW(Комплекты[[#Headers],[№]])</f>
        <v/>
      </c>
      <c r="B83" s="314">
        <f>Комплекты[[#This Row],[Пр]]&amp;"_"&amp;Комплекты[[#This Row],[Обозначение]]</f>
        <v/>
      </c>
      <c r="C83" s="314">
        <f>COUNTIFS($E$3:Комплекты[[#This Row],[Комплект]],Комплекты[[#This Row],[Комплект]])</f>
        <v/>
      </c>
      <c r="D83" s="315" t="n">
        <v>45884</v>
      </c>
      <c r="E83" s="316" t="n">
        <v>4441000180</v>
      </c>
      <c r="F83" s="303" t="n">
        <v>2</v>
      </c>
      <c r="G83" s="317" t="n">
        <v>4801020640</v>
      </c>
      <c r="H83" s="303" t="n">
        <v>1</v>
      </c>
      <c r="I83" s="705">
        <f>INDEX(База[],MATCH(Комплекты[[#This Row],[Обозначение]],База[Артикул],0),MATCH(I$2,База[#Headers],0))</f>
        <v/>
      </c>
      <c r="J83" s="705">
        <f>INDEX(База[],MATCH(Комплекты[[#This Row],[Комплект]],База[Артикул],0),MATCH("наименование",База[#Headers],0))</f>
        <v/>
      </c>
      <c r="K83" s="705" t="n"/>
      <c r="L83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3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3" s="707">
        <f>IF(IFERROR(MATCH("нет",Комплекты[[#This Row],[   ]:[АВТОВИК]],0)&gt;0,),"НЕТ","ОК")</f>
        <v/>
      </c>
      <c r="O83" s="707" t="n"/>
      <c r="P83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3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3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3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3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3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3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3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4">
      <c r="A84" s="309">
        <f>ROW()-ROW(Комплекты[[#Headers],[№]])</f>
        <v/>
      </c>
      <c r="B84" s="309">
        <f>Комплекты[[#This Row],[Пр]]&amp;"_"&amp;Комплекты[[#This Row],[Обозначение]]</f>
        <v/>
      </c>
      <c r="C84" s="309">
        <f>COUNTIFS($E$3:Комплекты[[#This Row],[Комплект]],Комплекты[[#This Row],[Комплект]])</f>
        <v/>
      </c>
      <c r="D84" s="310" t="n">
        <v>45884</v>
      </c>
      <c r="E84" s="311" t="n">
        <v>4441000180</v>
      </c>
      <c r="F84" s="302" t="n">
        <v>2</v>
      </c>
      <c r="G84" s="313" t="n">
        <v>9522010010</v>
      </c>
      <c r="H84" s="302" t="n">
        <v>1</v>
      </c>
      <c r="I84" s="399">
        <f>INDEX(База[],MATCH(Комплекты[[#This Row],[Обозначение]],База[Артикул],0),MATCH(I$2,База[#Headers],0))</f>
        <v/>
      </c>
      <c r="J84" s="399">
        <f>INDEX(База[],MATCH(Комплекты[[#This Row],[Комплект]],База[Артикул],0),MATCH("наименование",База[#Headers],0))</f>
        <v/>
      </c>
      <c r="K84" s="399" t="n"/>
      <c r="L8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4" s="699">
        <f>IF(IFERROR(MATCH("нет",Комплекты[[#This Row],[   ]:[АВТОВИК]],0)&gt;0,),"НЕТ","ОК")</f>
        <v/>
      </c>
      <c r="O84" s="699" t="n"/>
      <c r="P8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5">
      <c r="A85" s="309">
        <f>ROW()-ROW(Комплекты[[#Headers],[№]])</f>
        <v/>
      </c>
      <c r="B85" s="309">
        <f>Комплекты[[#This Row],[Пр]]&amp;"_"&amp;Комплекты[[#This Row],[Обозначение]]</f>
        <v/>
      </c>
      <c r="C85" s="309">
        <f>COUNTIFS($E$3:Комплекты[[#This Row],[Комплект]],Комплекты[[#This Row],[Комплект]])</f>
        <v/>
      </c>
      <c r="D85" s="310" t="n">
        <v>45884</v>
      </c>
      <c r="E85" s="311" t="n">
        <v>4441000180</v>
      </c>
      <c r="F85" s="302" t="n">
        <v>2</v>
      </c>
      <c r="G85" s="313" t="n">
        <v>9522010020</v>
      </c>
      <c r="H85" s="302" t="n">
        <v>1</v>
      </c>
      <c r="I85" s="399">
        <f>INDEX(База[],MATCH(Комплекты[[#This Row],[Обозначение]],База[Артикул],0),MATCH(I$2,База[#Headers],0))</f>
        <v/>
      </c>
      <c r="J85" s="399">
        <f>INDEX(База[],MATCH(Комплекты[[#This Row],[Комплект]],База[Артикул],0),MATCH("наименование",База[#Headers],0))</f>
        <v/>
      </c>
      <c r="K85" s="399" t="n"/>
      <c r="L8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5" s="699">
        <f>IF(IFERROR(MATCH("нет",Комплекты[[#This Row],[   ]:[АВТОВИК]],0)&gt;0,),"НЕТ","ОК")</f>
        <v/>
      </c>
      <c r="O85" s="699" t="n"/>
      <c r="P8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6">
      <c r="A86" s="309">
        <f>ROW()-ROW(Комплекты[[#Headers],[№]])</f>
        <v/>
      </c>
      <c r="B86" s="309">
        <f>Комплекты[[#This Row],[Пр]]&amp;"_"&amp;Комплекты[[#This Row],[Обозначение]]</f>
        <v/>
      </c>
      <c r="C86" s="309">
        <f>COUNTIFS($E$3:Комплекты[[#This Row],[Комплект]],Комплекты[[#This Row],[Комплект]])</f>
        <v/>
      </c>
      <c r="D86" s="310" t="n">
        <v>45884</v>
      </c>
      <c r="E86" s="311" t="n">
        <v>4441000180</v>
      </c>
      <c r="F86" s="302" t="n">
        <v>2</v>
      </c>
      <c r="G86" s="313" t="n">
        <v>9630010510</v>
      </c>
      <c r="H86" s="302" t="n">
        <v>1</v>
      </c>
      <c r="I86" s="399">
        <f>INDEX(База[],MATCH(Комплекты[[#This Row],[Обозначение]],База[Артикул],0),MATCH(I$2,База[#Headers],0))</f>
        <v/>
      </c>
      <c r="J86" s="399">
        <f>INDEX(База[],MATCH(Комплекты[[#This Row],[Комплект]],База[Артикул],0),MATCH("наименование",База[#Headers],0))</f>
        <v/>
      </c>
      <c r="K86" s="399" t="n"/>
      <c r="L8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6" s="699">
        <f>IF(IFERROR(MATCH("нет",Комплекты[[#This Row],[   ]:[АВТОВИК]],0)&gt;0,),"НЕТ","ОК")</f>
        <v/>
      </c>
      <c r="O86" s="699" t="n"/>
      <c r="P8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7">
      <c r="A87" s="309">
        <f>ROW()-ROW(Комплекты[[#Headers],[№]])</f>
        <v/>
      </c>
      <c r="B87" s="309">
        <f>Комплекты[[#This Row],[Пр]]&amp;"_"&amp;Комплекты[[#This Row],[Обозначение]]</f>
        <v/>
      </c>
      <c r="C87" s="309">
        <f>COUNTIFS($E$3:Комплекты[[#This Row],[Комплект]],Комплекты[[#This Row],[Комплект]])</f>
        <v/>
      </c>
      <c r="D87" s="310" t="n">
        <v>45884</v>
      </c>
      <c r="E87" s="311" t="n">
        <v>4441000180</v>
      </c>
      <c r="F87" s="302" t="n">
        <v>2</v>
      </c>
      <c r="G87" s="313" t="n">
        <v>9710020400</v>
      </c>
      <c r="H87" s="302" t="n">
        <v>1</v>
      </c>
      <c r="I87" s="399">
        <f>INDEX(База[],MATCH(Комплекты[[#This Row],[Обозначение]],База[Артикул],0),MATCH(I$2,База[#Headers],0))</f>
        <v/>
      </c>
      <c r="J87" s="399">
        <f>INDEX(База[],MATCH(Комплекты[[#This Row],[Комплект]],База[Артикул],0),MATCH("наименование",База[#Headers],0))</f>
        <v/>
      </c>
      <c r="K87" s="399" t="n"/>
      <c r="L8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7" s="699">
        <f>IF(IFERROR(MATCH("нет",Комплекты[[#This Row],[   ]:[АВТОВИК]],0)&gt;0,),"НЕТ","ОК")</f>
        <v/>
      </c>
      <c r="O87" s="699" t="n"/>
      <c r="P8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8">
      <c r="A88" s="429">
        <f>ROW()-ROW(Комплекты[[#Headers],[№]])</f>
        <v/>
      </c>
      <c r="B88" s="429">
        <f>Комплекты[[#This Row],[Пр]]&amp;"_"&amp;Комплекты[[#This Row],[Обозначение]]</f>
        <v/>
      </c>
      <c r="C88" s="429">
        <f>COUNTIFS($E$3:Комплекты[[#This Row],[Комплект]],Комплекты[[#This Row],[Комплект]])</f>
        <v/>
      </c>
      <c r="D88" s="564" t="n">
        <v>45989</v>
      </c>
      <c r="E88" s="424" t="n">
        <v>4441000200</v>
      </c>
      <c r="F88" s="430" t="n">
        <v>2</v>
      </c>
      <c r="G88" s="431" t="n">
        <v>4410441020</v>
      </c>
      <c r="H88" s="430" t="n">
        <v>1</v>
      </c>
      <c r="I88" s="704">
        <f>INDEX(База[],MATCH(Комплекты[[#This Row],[Обозначение]],База[Артикул],0),MATCH(I$2,База[#Headers],0))</f>
        <v/>
      </c>
      <c r="J88" s="705">
        <f>INDEX(База[],MATCH(Комплекты[[#This Row],[Комплект]],База[Артикул],0),MATCH("наименование",База[#Headers],0))</f>
        <v/>
      </c>
      <c r="K88" s="705" t="n"/>
      <c r="L88" s="706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8" s="706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8" s="706">
        <f>IF(IFERROR(MATCH("нет",Комплекты[[#This Row],[   ]:[АВТОВИК]],0)&gt;0,),"НЕТ","ОК")</f>
        <v/>
      </c>
      <c r="O88" s="707" t="n"/>
      <c r="P88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8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8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8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8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8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8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8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89">
      <c r="A89" s="425">
        <f>ROW()-ROW(Комплекты[[#Headers],[№]])</f>
        <v/>
      </c>
      <c r="B89" s="425">
        <f>Комплекты[[#This Row],[Пр]]&amp;"_"&amp;Комплекты[[#This Row],[Обозначение]]</f>
        <v/>
      </c>
      <c r="C89" s="425">
        <f>COUNTIFS($E$3:Комплекты[[#This Row],[Комплект]],Комплекты[[#This Row],[Комплект]])</f>
        <v/>
      </c>
      <c r="D89" s="426" t="n">
        <v>45989</v>
      </c>
      <c r="E89" s="423" t="n">
        <v>4441000200</v>
      </c>
      <c r="F89" s="427" t="n">
        <v>2</v>
      </c>
      <c r="G89" s="428" t="n">
        <v>4461220530</v>
      </c>
      <c r="H89" s="427" t="n">
        <v>1</v>
      </c>
      <c r="I89" s="600">
        <f>INDEX(База[],MATCH(Комплекты[[#This Row],[Обозначение]],База[Артикул],0),MATCH(I$2,База[#Headers],0))</f>
        <v/>
      </c>
      <c r="J89" s="399">
        <f>INDEX(База[],MATCH(Комплекты[[#This Row],[Комплект]],База[Артикул],0),MATCH("наименование",База[#Headers],0))</f>
        <v/>
      </c>
      <c r="K89" s="399" t="n"/>
      <c r="L89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89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89" s="703">
        <f>IF(IFERROR(MATCH("нет",Комплекты[[#This Row],[   ]:[АВТОВИК]],0)&gt;0,),"НЕТ","ОК")</f>
        <v/>
      </c>
      <c r="O89" s="699" t="n"/>
      <c r="P8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8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8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8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8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8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8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8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0">
      <c r="A90" s="425">
        <f>ROW()-ROW(Комплекты[[#Headers],[№]])</f>
        <v/>
      </c>
      <c r="B90" s="425">
        <f>Комплекты[[#This Row],[Пр]]&amp;"_"&amp;Комплекты[[#This Row],[Обозначение]]</f>
        <v/>
      </c>
      <c r="C90" s="425">
        <f>COUNTIFS($E$3:Комплекты[[#This Row],[Комплект]],Комплекты[[#This Row],[Комплект]])</f>
        <v/>
      </c>
      <c r="D90" s="426" t="n">
        <v>45989</v>
      </c>
      <c r="E90" s="423" t="n">
        <v>4441000200</v>
      </c>
      <c r="F90" s="427" t="n">
        <v>2</v>
      </c>
      <c r="G90" s="428" t="n">
        <v>4491350600</v>
      </c>
      <c r="H90" s="427" t="n">
        <v>1</v>
      </c>
      <c r="I90" s="600">
        <f>INDEX(База[],MATCH(Комплекты[[#This Row],[Обозначение]],База[Артикул],0),MATCH(I$2,База[#Headers],0))</f>
        <v/>
      </c>
      <c r="J90" s="399">
        <f>INDEX(База[],MATCH(Комплекты[[#This Row],[Комплект]],База[Артикул],0),MATCH("наименование",База[#Headers],0))</f>
        <v/>
      </c>
      <c r="K90" s="399" t="n"/>
      <c r="L90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0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0" s="703">
        <f>IF(IFERROR(MATCH("нет",Комплекты[[#This Row],[   ]:[АВТОВИК]],0)&gt;0,),"НЕТ","ОК")</f>
        <v/>
      </c>
      <c r="O90" s="699" t="n"/>
      <c r="P9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1">
      <c r="A91" s="425">
        <f>ROW()-ROW(Комплекты[[#Headers],[№]])</f>
        <v/>
      </c>
      <c r="B91" s="425">
        <f>Комплекты[[#This Row],[Пр]]&amp;"_"&amp;Комплекты[[#This Row],[Обозначение]]</f>
        <v/>
      </c>
      <c r="C91" s="425">
        <f>COUNTIFS($E$3:Комплекты[[#This Row],[Комплект]],Комплекты[[#This Row],[Комплект]])</f>
        <v/>
      </c>
      <c r="D91" s="426" t="n">
        <v>45989</v>
      </c>
      <c r="E91" s="423" t="n">
        <v>4441000200</v>
      </c>
      <c r="F91" s="427" t="n">
        <v>2</v>
      </c>
      <c r="G91" s="428" t="n">
        <v>4493470800</v>
      </c>
      <c r="H91" s="427" t="n">
        <v>1</v>
      </c>
      <c r="I91" s="600">
        <f>INDEX(База[],MATCH(Комплекты[[#This Row],[Обозначение]],База[Артикул],0),MATCH(I$2,База[#Headers],0))</f>
        <v/>
      </c>
      <c r="J91" s="399">
        <f>INDEX(База[],MATCH(Комплекты[[#This Row],[Комплект]],База[Артикул],0),MATCH("наименование",База[#Headers],0))</f>
        <v/>
      </c>
      <c r="K91" s="399" t="n"/>
      <c r="L91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1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1" s="703">
        <f>IF(IFERROR(MATCH("нет",Комплекты[[#This Row],[   ]:[АВТОВИК]],0)&gt;0,),"НЕТ","ОК")</f>
        <v/>
      </c>
      <c r="O91" s="699" t="n"/>
      <c r="P9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2">
      <c r="A92" s="425">
        <f>ROW()-ROW(Комплекты[[#Headers],[№]])</f>
        <v/>
      </c>
      <c r="B92" s="425">
        <f>Комплекты[[#This Row],[Пр]]&amp;"_"&amp;Комплекты[[#This Row],[Обозначение]]</f>
        <v/>
      </c>
      <c r="C92" s="425">
        <f>COUNTIFS($E$3:Комплекты[[#This Row],[Комплект]],Комплекты[[#This Row],[Комплект]])</f>
        <v/>
      </c>
      <c r="D92" s="426" t="n">
        <v>45989</v>
      </c>
      <c r="E92" s="423" t="n">
        <v>4441000200</v>
      </c>
      <c r="F92" s="427" t="n">
        <v>2</v>
      </c>
      <c r="G92" s="428" t="n">
        <v>4494250600</v>
      </c>
      <c r="H92" s="427" t="n">
        <v>1</v>
      </c>
      <c r="I92" s="600">
        <f>INDEX(База[],MATCH(Комплекты[[#This Row],[Обозначение]],База[Артикул],0),MATCH(I$2,База[#Headers],0))</f>
        <v/>
      </c>
      <c r="J92" s="399">
        <f>INDEX(База[],MATCH(Комплекты[[#This Row],[Комплект]],База[Артикул],0),MATCH("наименование",База[#Headers],0))</f>
        <v/>
      </c>
      <c r="K92" s="399" t="n"/>
      <c r="L92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2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2" s="703">
        <f>IF(IFERROR(MATCH("нет",Комплекты[[#This Row],[   ]:[АВТОВИК]],0)&gt;0,),"НЕТ","ОК")</f>
        <v/>
      </c>
      <c r="O92" s="699" t="n"/>
      <c r="P9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3">
      <c r="A93" s="429">
        <f>ROW()-ROW(Комплекты[[#Headers],[№]])</f>
        <v/>
      </c>
      <c r="B93" s="429">
        <f>Комплекты[[#This Row],[Пр]]&amp;"_"&amp;Комплекты[[#This Row],[Обозначение]]</f>
        <v/>
      </c>
      <c r="C93" s="429">
        <f>COUNTIFS($E$3:Комплекты[[#This Row],[Комплект]],Комплекты[[#This Row],[Комплект]])</f>
        <v/>
      </c>
      <c r="D93" s="564" t="n">
        <v>45989</v>
      </c>
      <c r="E93" s="424" t="n">
        <v>4441000200</v>
      </c>
      <c r="F93" s="430" t="n">
        <v>2</v>
      </c>
      <c r="G93" s="431" t="n">
        <v>8946000320</v>
      </c>
      <c r="H93" s="430" t="n">
        <v>1</v>
      </c>
      <c r="I93" s="704">
        <f>INDEX(База[],MATCH(Комплекты[[#This Row],[Обозначение]],База[Артикул],0),MATCH(I$2,База[#Headers],0))</f>
        <v/>
      </c>
      <c r="J93" s="705">
        <f>INDEX(База[],MATCH(Комплекты[[#This Row],[Комплект]],База[Артикул],0),MATCH("наименование",База[#Headers],0))</f>
        <v/>
      </c>
      <c r="K93" s="705" t="n"/>
      <c r="L93" s="706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3" s="706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3" s="706">
        <f>IF(IFERROR(MATCH("нет",Комплекты[[#This Row],[   ]:[АВТОВИК]],0)&gt;0,),"НЕТ","ОК")</f>
        <v/>
      </c>
      <c r="O93" s="707" t="n"/>
      <c r="P93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3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3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3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3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3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3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3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4">
      <c r="A94" s="309">
        <f>ROW()-ROW(Комплекты[[#Headers],[№]])</f>
        <v/>
      </c>
      <c r="B94" s="309">
        <f>Комплекты[[#This Row],[Пр]]&amp;"_"&amp;Комплекты[[#This Row],[Обозначение]]</f>
        <v/>
      </c>
      <c r="C94" s="309">
        <f>COUNTIFS($E$3:Комплекты[[#This Row],[Комплект]],Комплекты[[#This Row],[Комплект]])</f>
        <v/>
      </c>
      <c r="D94" s="310" t="n">
        <v>45884</v>
      </c>
      <c r="E94" s="311" t="n">
        <v>4441000210</v>
      </c>
      <c r="F94" s="302" t="n">
        <v>1</v>
      </c>
      <c r="G94" s="313" t="n">
        <v>4494430600</v>
      </c>
      <c r="H94" s="302" t="n">
        <v>1</v>
      </c>
      <c r="I94" s="399">
        <f>INDEX(База[],MATCH(Комплекты[[#This Row],[Обозначение]],База[Артикул],0),MATCH(I$2,База[#Headers],0))</f>
        <v/>
      </c>
      <c r="J94" s="399">
        <f>INDEX(База[],MATCH(Комплекты[[#This Row],[Комплект]],База[Артикул],0),MATCH("наименование",База[#Headers],0))</f>
        <v/>
      </c>
      <c r="K94" s="399" t="n"/>
      <c r="L9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4" s="699">
        <f>IF(IFERROR(MATCH("нет",Комплекты[[#This Row],[   ]:[АВТОВИК]],0)&gt;0,),"НЕТ","ОК")</f>
        <v/>
      </c>
      <c r="O94" s="699" t="n"/>
      <c r="P9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5">
      <c r="A95" s="309">
        <f>ROW()-ROW(Комплекты[[#Headers],[№]])</f>
        <v/>
      </c>
      <c r="B95" s="309">
        <f>Комплекты[[#This Row],[Пр]]&amp;"_"&amp;Комплекты[[#This Row],[Обозначение]]</f>
        <v/>
      </c>
      <c r="C95" s="309">
        <f>COUNTIFS($E$3:Комплекты[[#This Row],[Комплект]],Комплекты[[#This Row],[Комплект]])</f>
        <v/>
      </c>
      <c r="D95" s="310" t="n">
        <v>45884</v>
      </c>
      <c r="E95" s="311" t="n">
        <v>4441000210</v>
      </c>
      <c r="F95" s="302" t="n">
        <v>1</v>
      </c>
      <c r="G95" s="313" t="n">
        <v>4630840310</v>
      </c>
      <c r="H95" s="302" t="n">
        <v>1</v>
      </c>
      <c r="I95" s="399">
        <f>INDEX(База[],MATCH(Комплекты[[#This Row],[Обозначение]],База[Артикул],0),MATCH(I$2,База[#Headers],0))</f>
        <v/>
      </c>
      <c r="J95" s="399">
        <f>INDEX(База[],MATCH(Комплекты[[#This Row],[Комплект]],База[Артикул],0),MATCH("наименование",База[#Headers],0))</f>
        <v/>
      </c>
      <c r="K95" s="399" t="n"/>
      <c r="L9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5" s="699">
        <f>IF(IFERROR(MATCH("нет",Комплекты[[#This Row],[   ]:[АВТОВИК]],0)&gt;0,),"НЕТ","ОК")</f>
        <v/>
      </c>
      <c r="O95" s="699" t="n"/>
      <c r="P9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6">
      <c r="A96" s="309">
        <f>ROW()-ROW(Комплекты[[#Headers],[№]])</f>
        <v/>
      </c>
      <c r="B96" s="309">
        <f>Комплекты[[#This Row],[Пр]]&amp;"_"&amp;Комплекты[[#This Row],[Обозначение]]</f>
        <v/>
      </c>
      <c r="C96" s="309">
        <f>COUNTIFS($E$3:Комплекты[[#This Row],[Комплект]],Комплекты[[#This Row],[Комплект]])</f>
        <v/>
      </c>
      <c r="D96" s="310" t="n">
        <v>45990</v>
      </c>
      <c r="E96" s="311" t="n">
        <v>4441000220</v>
      </c>
      <c r="F96" s="302" t="n">
        <v>1</v>
      </c>
      <c r="G96" s="313" t="n">
        <v>4494300600</v>
      </c>
      <c r="H96" s="302" t="n">
        <v>1</v>
      </c>
      <c r="I96" s="399">
        <f>INDEX(База[],MATCH(Комплекты[[#This Row],[Обозначение]],База[Артикул],0),MATCH(I$2,База[#Headers],0))</f>
        <v/>
      </c>
      <c r="J96" s="399">
        <f>INDEX(База[],MATCH(Комплекты[[#This Row],[Комплект]],База[Артикул],0),MATCH("наименование",База[#Headers],0))</f>
        <v/>
      </c>
      <c r="K96" s="399" t="n"/>
      <c r="L9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6" s="699">
        <f>IF(IFERROR(MATCH("нет",Комплекты[[#This Row],[   ]:[АВТОВИК]],0)&gt;0,),"НЕТ","ОК")</f>
        <v/>
      </c>
      <c r="O96" s="699" t="n"/>
      <c r="P9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7">
      <c r="A97" s="314">
        <f>ROW()-ROW(Комплекты[[#Headers],[№]])</f>
        <v/>
      </c>
      <c r="B97" s="314">
        <f>Комплекты[[#This Row],[Пр]]&amp;"_"&amp;Комплекты[[#This Row],[Обозначение]]</f>
        <v/>
      </c>
      <c r="C97" s="314">
        <f>COUNTIFS($E$3:Комплекты[[#This Row],[Комплект]],Комплекты[[#This Row],[Комплект]])</f>
        <v/>
      </c>
      <c r="D97" s="315" t="n">
        <v>45990</v>
      </c>
      <c r="E97" s="316" t="n">
        <v>4441000220</v>
      </c>
      <c r="F97" s="303" t="n">
        <v>1</v>
      </c>
      <c r="G97" s="317" t="n">
        <v>4497230800</v>
      </c>
      <c r="H97" s="303" t="n">
        <v>2</v>
      </c>
      <c r="I97" s="705">
        <f>INDEX(База[],MATCH(Комплекты[[#This Row],[Обозначение]],База[Артикул],0),MATCH(I$2,База[#Headers],0))</f>
        <v/>
      </c>
      <c r="J97" s="705">
        <f>INDEX(База[],MATCH(Комплекты[[#This Row],[Комплект]],База[Артикул],0),MATCH("наименование",База[#Headers],0))</f>
        <v/>
      </c>
      <c r="K97" s="705" t="n"/>
      <c r="L97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7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7" s="707">
        <f>IF(IFERROR(MATCH("нет",Комплекты[[#This Row],[   ]:[АВТОВИК]],0)&gt;0,),"НЕТ","ОК")</f>
        <v/>
      </c>
      <c r="O97" s="707" t="n"/>
      <c r="P97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7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7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7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7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7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7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7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8">
      <c r="A98" s="309">
        <f>ROW()-ROW(Комплекты[[#Headers],[№]])</f>
        <v/>
      </c>
      <c r="B98" s="309">
        <f>Комплекты[[#This Row],[Пр]]&amp;"_"&amp;Комплекты[[#This Row],[Обозначение]]</f>
        <v/>
      </c>
      <c r="C98" s="309">
        <f>COUNTIFS($E$3:Комплекты[[#This Row],[Комплект]],Комплекты[[#This Row],[Комплект]])</f>
        <v/>
      </c>
      <c r="D98" s="310" t="n">
        <v>45990</v>
      </c>
      <c r="E98" s="311" t="n">
        <v>4441000220</v>
      </c>
      <c r="F98" s="302" t="n">
        <v>1</v>
      </c>
      <c r="G98" s="313" t="n">
        <v>4802070600</v>
      </c>
      <c r="H98" s="302" t="n">
        <v>1</v>
      </c>
      <c r="I98" s="399">
        <f>INDEX(База[],MATCH(Комплекты[[#This Row],[Обозначение]],База[Артикул],0),MATCH(I$2,База[#Headers],0))</f>
        <v/>
      </c>
      <c r="J98" s="399">
        <f>INDEX(База[],MATCH(Комплекты[[#This Row],[Комплект]],База[Артикул],0),MATCH("наименование",База[#Headers],0))</f>
        <v/>
      </c>
      <c r="K98" s="399" t="n"/>
      <c r="L9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8" s="699">
        <f>IF(IFERROR(MATCH("нет",Комплекты[[#This Row],[   ]:[АВТОВИК]],0)&gt;0,),"НЕТ","ОК")</f>
        <v/>
      </c>
      <c r="O98" s="699" t="n"/>
      <c r="P9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99">
      <c r="A99" s="309">
        <f>ROW()-ROW(Комплекты[[#Headers],[№]])</f>
        <v/>
      </c>
      <c r="B99" s="309">
        <f>Комплекты[[#This Row],[Пр]]&amp;"_"&amp;Комплекты[[#This Row],[Обозначение]]</f>
        <v/>
      </c>
      <c r="C99" s="309">
        <f>COUNTIFS($E$3:Комплекты[[#This Row],[Комплект]],Комплекты[[#This Row],[Комплект]])</f>
        <v/>
      </c>
      <c r="D99" s="310" t="n">
        <v>46168</v>
      </c>
      <c r="E99" s="311" t="n">
        <v>4441000230</v>
      </c>
      <c r="F99" s="302" t="n">
        <v>1</v>
      </c>
      <c r="G99" s="313" t="n">
        <v>4494301200</v>
      </c>
      <c r="H99" s="302" t="n">
        <v>1</v>
      </c>
      <c r="I99" s="399">
        <f>INDEX(База[],MATCH(Комплекты[[#This Row],[Обозначение]],База[Артикул],0),MATCH(I$2,База[#Headers],0))</f>
        <v/>
      </c>
      <c r="J99" s="399">
        <f>INDEX(База[],MATCH(Комплекты[[#This Row],[Комплект]],База[Артикул],0),MATCH("наименование",База[#Headers],0))</f>
        <v/>
      </c>
      <c r="K99" s="399" t="n"/>
      <c r="L9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9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99" s="699">
        <f>IF(IFERROR(MATCH("нет",Комплекты[[#This Row],[   ]:[АВТОВИК]],0)&gt;0,),"НЕТ","ОК")</f>
        <v/>
      </c>
      <c r="O99" s="699" t="n"/>
      <c r="P9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9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9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9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9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9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9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9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0">
      <c r="A100" s="314">
        <f>ROW()-ROW(Комплекты[[#Headers],[№]])</f>
        <v/>
      </c>
      <c r="B100" s="314">
        <f>Комплекты[[#This Row],[Пр]]&amp;"_"&amp;Комплекты[[#This Row],[Обозначение]]</f>
        <v/>
      </c>
      <c r="C100" s="314">
        <f>COUNTIFS($E$3:Комплекты[[#This Row],[Комплект]],Комплекты[[#This Row],[Комплект]])</f>
        <v/>
      </c>
      <c r="D100" s="315" t="n">
        <v>46168</v>
      </c>
      <c r="E100" s="316" t="n">
        <v>4441000230</v>
      </c>
      <c r="F100" s="303" t="n">
        <v>1</v>
      </c>
      <c r="G100" s="317" t="n">
        <v>4497230800</v>
      </c>
      <c r="H100" s="303" t="n">
        <v>2</v>
      </c>
      <c r="I100" s="705">
        <f>INDEX(База[],MATCH(Комплекты[[#This Row],[Обозначение]],База[Артикул],0),MATCH(I$2,База[#Headers],0))</f>
        <v/>
      </c>
      <c r="J100" s="705">
        <f>INDEX(База[],MATCH(Комплекты[[#This Row],[Комплект]],База[Артикул],0),MATCH("наименование",База[#Headers],0))</f>
        <v/>
      </c>
      <c r="K100" s="705" t="n"/>
      <c r="L100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0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0" s="707">
        <f>IF(IFERROR(MATCH("нет",Комплекты[[#This Row],[   ]:[АВТОВИК]],0)&gt;0,),"НЕТ","ОК")</f>
        <v/>
      </c>
      <c r="O100" s="707" t="n"/>
      <c r="P100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0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0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0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0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0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0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0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1">
      <c r="A101" s="309">
        <f>ROW()-ROW(Комплекты[[#Headers],[№]])</f>
        <v/>
      </c>
      <c r="B101" s="309">
        <f>Комплекты[[#This Row],[Пр]]&amp;"_"&amp;Комплекты[[#This Row],[Обозначение]]</f>
        <v/>
      </c>
      <c r="C101" s="309">
        <f>COUNTIFS($E$3:Комплекты[[#This Row],[Комплект]],Комплекты[[#This Row],[Комплект]])</f>
        <v/>
      </c>
      <c r="D101" s="310" t="n">
        <v>46168</v>
      </c>
      <c r="E101" s="311" t="n">
        <v>4441000230</v>
      </c>
      <c r="F101" s="302" t="n">
        <v>1</v>
      </c>
      <c r="G101" s="313" t="n">
        <v>4802070600</v>
      </c>
      <c r="H101" s="302" t="n">
        <v>1</v>
      </c>
      <c r="I101" s="399">
        <f>INDEX(База[],MATCH(Комплекты[[#This Row],[Обозначение]],База[Артикул],0),MATCH(I$2,База[#Headers],0))</f>
        <v/>
      </c>
      <c r="J101" s="399">
        <f>INDEX(База[],MATCH(Комплекты[[#This Row],[Комплект]],База[Артикул],0),MATCH("наименование",База[#Headers],0))</f>
        <v/>
      </c>
      <c r="K101" s="399" t="n"/>
      <c r="L10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1" s="699">
        <f>IF(IFERROR(MATCH("нет",Комплекты[[#This Row],[   ]:[АВТОВИК]],0)&gt;0,),"НЕТ","ОК")</f>
        <v/>
      </c>
      <c r="O101" s="699" t="n"/>
      <c r="P10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2">
      <c r="A102" s="314">
        <f>ROW()-ROW(Комплекты[[#Headers],[№]])</f>
        <v/>
      </c>
      <c r="B102" s="314">
        <f>Комплекты[[#This Row],[Пр]]&amp;"_"&amp;Комплекты[[#This Row],[Обозначение]]</f>
        <v/>
      </c>
      <c r="C102" s="314">
        <f>COUNTIFS($E$3:Комплекты[[#This Row],[Комплект]],Комплекты[[#This Row],[Комплект]])</f>
        <v/>
      </c>
      <c r="D102" s="315" t="n">
        <v>45884</v>
      </c>
      <c r="E102" s="316" t="n">
        <v>4441000260</v>
      </c>
      <c r="F102" s="303" t="n">
        <v>1</v>
      </c>
      <c r="G102" s="317" t="n">
        <v>4334010030</v>
      </c>
      <c r="H102" s="303" t="n">
        <v>1</v>
      </c>
      <c r="I102" s="705">
        <f>INDEX(База[],MATCH(Комплекты[[#This Row],[Обозначение]],База[Артикул],0),MATCH(I$2,База[#Headers],0))</f>
        <v/>
      </c>
      <c r="J102" s="705">
        <f>INDEX(База[],MATCH(Комплекты[[#This Row],[Комплект]],База[Артикул],0),MATCH("наименование",База[#Headers],0))</f>
        <v/>
      </c>
      <c r="K102" s="705" t="n"/>
      <c r="L102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2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2" s="707">
        <f>IF(IFERROR(MATCH("нет",Комплекты[[#This Row],[   ]:[АВТОВИК]],0)&gt;0,),"НЕТ","ОК")</f>
        <v/>
      </c>
      <c r="O102" s="707" t="n"/>
      <c r="P102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2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2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2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2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2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2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2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3">
      <c r="A103" s="309">
        <f>ROW()-ROW(Комплекты[[#Headers],[№]])</f>
        <v/>
      </c>
      <c r="B103" s="309">
        <f>Комплекты[[#This Row],[Пр]]&amp;"_"&amp;Комплекты[[#This Row],[Обозначение]]</f>
        <v/>
      </c>
      <c r="C103" s="309">
        <f>COUNTIFS($E$3:Комплекты[[#This Row],[Комплект]],Комплекты[[#This Row],[Комплект]])</f>
        <v/>
      </c>
      <c r="D103" s="310" t="n">
        <v>45884</v>
      </c>
      <c r="E103" s="311" t="n">
        <v>4441000260</v>
      </c>
      <c r="F103" s="302" t="n">
        <v>1</v>
      </c>
      <c r="G103" s="313" t="n">
        <v>4491731200</v>
      </c>
      <c r="H103" s="302" t="n">
        <v>1</v>
      </c>
      <c r="I103" s="399">
        <f>INDEX(База[],MATCH(Комплекты[[#This Row],[Обозначение]],База[Артикул],0),MATCH(I$2,База[#Headers],0))</f>
        <v/>
      </c>
      <c r="J103" s="399">
        <f>INDEX(База[],MATCH(Комплекты[[#This Row],[Комплект]],База[Артикул],0),MATCH("наименование",База[#Headers],0))</f>
        <v/>
      </c>
      <c r="K103" s="399" t="n"/>
      <c r="L10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3" s="699">
        <f>IF(IFERROR(MATCH("нет",Комплекты[[#This Row],[   ]:[АВТОВИК]],0)&gt;0,),"НЕТ","ОК")</f>
        <v/>
      </c>
      <c r="O103" s="699" t="n"/>
      <c r="P10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4">
      <c r="A104" s="309">
        <f>ROW()-ROW(Комплекты[[#Headers],[№]])</f>
        <v/>
      </c>
      <c r="B104" s="309">
        <f>Комплекты[[#This Row],[Пр]]&amp;"_"&amp;Комплекты[[#This Row],[Обозначение]]</f>
        <v/>
      </c>
      <c r="C104" s="309">
        <f>COUNTIFS($E$3:Комплекты[[#This Row],[Комплект]],Комплекты[[#This Row],[Комплект]])</f>
        <v/>
      </c>
      <c r="D104" s="310" t="n">
        <v>45884</v>
      </c>
      <c r="E104" s="311" t="n">
        <v>4441000260</v>
      </c>
      <c r="F104" s="302" t="n">
        <v>1</v>
      </c>
      <c r="G104" s="313" t="n">
        <v>4497230500</v>
      </c>
      <c r="H104" s="302" t="n">
        <v>2</v>
      </c>
      <c r="I104" s="399">
        <f>INDEX(База[],MATCH(Комплекты[[#This Row],[Обозначение]],База[Артикул],0),MATCH(I$2,База[#Headers],0))</f>
        <v/>
      </c>
      <c r="J104" s="399">
        <f>INDEX(База[],MATCH(Комплекты[[#This Row],[Комплект]],База[Артикул],0),MATCH("наименование",База[#Headers],0))</f>
        <v/>
      </c>
      <c r="K104" s="399" t="n"/>
      <c r="L10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4" s="699">
        <f>IF(IFERROR(MATCH("нет",Комплекты[[#This Row],[   ]:[АВТОВИК]],0)&gt;0,),"НЕТ","ОК")</f>
        <v/>
      </c>
      <c r="O104" s="699" t="n"/>
      <c r="P10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5">
      <c r="A105" s="309">
        <f>ROW()-ROW(Комплекты[[#Headers],[№]])</f>
        <v/>
      </c>
      <c r="B105" s="309">
        <f>Комплекты[[#This Row],[Пр]]&amp;"_"&amp;Комплекты[[#This Row],[Обозначение]]</f>
        <v/>
      </c>
      <c r="C105" s="309">
        <f>COUNTIFS($E$3:Комплекты[[#This Row],[Комплект]],Комплекты[[#This Row],[Комплект]])</f>
        <v/>
      </c>
      <c r="D105" s="310" t="n">
        <v>45884</v>
      </c>
      <c r="E105" s="311" t="n">
        <v>4441000260</v>
      </c>
      <c r="F105" s="302" t="n">
        <v>1</v>
      </c>
      <c r="G105" s="313" t="n">
        <v>4630320200</v>
      </c>
      <c r="H105" s="302" t="n">
        <v>1</v>
      </c>
      <c r="I105" s="399">
        <f>INDEX(База[],MATCH(Комплекты[[#This Row],[Обозначение]],База[Артикул],0),MATCH(I$2,База[#Headers],0))</f>
        <v/>
      </c>
      <c r="J105" s="399">
        <f>INDEX(База[],MATCH(Комплекты[[#This Row],[Комплект]],База[Артикул],0),MATCH("наименование",База[#Headers],0))</f>
        <v/>
      </c>
      <c r="K105" s="399" t="n"/>
      <c r="L10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5" s="699">
        <f>IF(IFERROR(MATCH("нет",Комплекты[[#This Row],[   ]:[АВТОВИК]],0)&gt;0,),"НЕТ","ОК")</f>
        <v/>
      </c>
      <c r="O105" s="699" t="n"/>
      <c r="P10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6">
      <c r="A106" s="309">
        <f>ROW()-ROW(Комплекты[[#Headers],[№]])</f>
        <v/>
      </c>
      <c r="B106" s="309">
        <f>Комплекты[[#This Row],[Пр]]&amp;"_"&amp;Комплекты[[#This Row],[Обозначение]]</f>
        <v/>
      </c>
      <c r="C106" s="309">
        <f>COUNTIFS($E$3:Комплекты[[#This Row],[Комплект]],Комплекты[[#This Row],[Комплект]])</f>
        <v/>
      </c>
      <c r="D106" s="310" t="n">
        <v>45884</v>
      </c>
      <c r="E106" s="311" t="n">
        <v>4441000260</v>
      </c>
      <c r="F106" s="302" t="n">
        <v>1</v>
      </c>
      <c r="G106" s="313" t="n">
        <v>4640061000</v>
      </c>
      <c r="H106" s="302" t="n">
        <v>1</v>
      </c>
      <c r="I106" s="399">
        <f>INDEX(База[],MATCH(Комплекты[[#This Row],[Обозначение]],База[Артикул],0),MATCH(I$2,База[#Headers],0))</f>
        <v/>
      </c>
      <c r="J106" s="399">
        <f>INDEX(База[],MATCH(Комплекты[[#This Row],[Комплект]],База[Артикул],0),MATCH("наименование",База[#Headers],0))</f>
        <v/>
      </c>
      <c r="K106" s="399" t="n"/>
      <c r="L10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6" s="699">
        <f>IF(IFERROR(MATCH("нет",Комплекты[[#This Row],[   ]:[АВТОВИК]],0)&gt;0,),"НЕТ","ОК")</f>
        <v/>
      </c>
      <c r="O106" s="699" t="n"/>
      <c r="P10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7">
      <c r="A107" s="309">
        <f>ROW()-ROW(Комплекты[[#Headers],[№]])</f>
        <v/>
      </c>
      <c r="B107" s="309">
        <f>Комплекты[[#This Row],[Пр]]&amp;"_"&amp;Комплекты[[#This Row],[Обозначение]]</f>
        <v/>
      </c>
      <c r="C107" s="309">
        <f>COUNTIFS($E$3:Комплекты[[#This Row],[Комплект]],Комплекты[[#This Row],[Комплект]])</f>
        <v/>
      </c>
      <c r="D107" s="310" t="n">
        <v>45884</v>
      </c>
      <c r="E107" s="311" t="n">
        <v>4441000260</v>
      </c>
      <c r="F107" s="302" t="n">
        <v>1</v>
      </c>
      <c r="G107" s="313" t="n">
        <v>4801020640</v>
      </c>
      <c r="H107" s="302" t="n">
        <v>1</v>
      </c>
      <c r="I107" s="399">
        <f>INDEX(База[],MATCH(Комплекты[[#This Row],[Обозначение]],База[Артикул],0),MATCH(I$2,База[#Headers],0))</f>
        <v/>
      </c>
      <c r="J107" s="399">
        <f>INDEX(База[],MATCH(Комплекты[[#This Row],[Комплект]],База[Артикул],0),MATCH("наименование",База[#Headers],0))</f>
        <v/>
      </c>
      <c r="K107" s="399" t="n"/>
      <c r="L10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7" s="699">
        <f>IF(IFERROR(MATCH("нет",Комплекты[[#This Row],[   ]:[АВТОВИК]],0)&gt;0,),"НЕТ","ОК")</f>
        <v/>
      </c>
      <c r="O107" s="699" t="n"/>
      <c r="P10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8">
      <c r="A108" s="314">
        <f>ROW()-ROW(Комплекты[[#Headers],[№]])</f>
        <v/>
      </c>
      <c r="B108" s="314">
        <f>Комплекты[[#This Row],[Пр]]&amp;"_"&amp;Комплекты[[#This Row],[Обозначение]]</f>
        <v/>
      </c>
      <c r="C108" s="314">
        <f>COUNTIFS($E$3:Комплекты[[#This Row],[Комплект]],Комплекты[[#This Row],[Комплект]])</f>
        <v/>
      </c>
      <c r="D108" s="310" t="n">
        <v>45884</v>
      </c>
      <c r="E108" s="316" t="n">
        <v>4441000260</v>
      </c>
      <c r="F108" s="303" t="n">
        <v>1</v>
      </c>
      <c r="G108" s="317" t="n">
        <v>9522010010</v>
      </c>
      <c r="H108" s="303" t="n">
        <v>1</v>
      </c>
      <c r="I108" s="705">
        <f>INDEX(База[],MATCH(Комплекты[[#This Row],[Обозначение]],База[Артикул],0),MATCH(I$2,База[#Headers],0))</f>
        <v/>
      </c>
      <c r="J108" s="705">
        <f>INDEX(База[],MATCH(Комплекты[[#This Row],[Комплект]],База[Артикул],0),MATCH("наименование",База[#Headers],0))</f>
        <v/>
      </c>
      <c r="K108" s="705" t="n"/>
      <c r="L108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8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8" s="707">
        <f>IF(IFERROR(MATCH("нет",Комплекты[[#This Row],[   ]:[АВТОВИК]],0)&gt;0,),"НЕТ","ОК")</f>
        <v/>
      </c>
      <c r="O108" s="707" t="n"/>
      <c r="P108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8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8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8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8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8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8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8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09">
      <c r="A109" s="309">
        <f>ROW()-ROW(Комплекты[[#Headers],[№]])</f>
        <v/>
      </c>
      <c r="B109" s="309">
        <f>Комплекты[[#This Row],[Пр]]&amp;"_"&amp;Комплекты[[#This Row],[Обозначение]]</f>
        <v/>
      </c>
      <c r="C109" s="309">
        <f>COUNTIFS($E$3:Комплекты[[#This Row],[Комплект]],Комплекты[[#This Row],[Комплект]])</f>
        <v/>
      </c>
      <c r="D109" s="310" t="n">
        <v>45884</v>
      </c>
      <c r="E109" s="311" t="n">
        <v>4441000260</v>
      </c>
      <c r="F109" s="302" t="n">
        <v>1</v>
      </c>
      <c r="G109" s="313" t="n">
        <v>9522010020</v>
      </c>
      <c r="H109" s="302" t="n">
        <v>1</v>
      </c>
      <c r="I109" s="399">
        <f>INDEX(База[],MATCH(Комплекты[[#This Row],[Обозначение]],База[Артикул],0),MATCH(I$2,База[#Headers],0))</f>
        <v/>
      </c>
      <c r="J109" s="399">
        <f>INDEX(База[],MATCH(Комплекты[[#This Row],[Комплект]],База[Артикул],0),MATCH("наименование",База[#Headers],0))</f>
        <v/>
      </c>
      <c r="K109" s="399" t="n"/>
      <c r="L10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0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09" s="699">
        <f>IF(IFERROR(MATCH("нет",Комплекты[[#This Row],[   ]:[АВТОВИК]],0)&gt;0,),"НЕТ","ОК")</f>
        <v/>
      </c>
      <c r="O109" s="699" t="n"/>
      <c r="P10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0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0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0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0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0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0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0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0">
      <c r="A110" s="309">
        <f>ROW()-ROW(Комплекты[[#Headers],[№]])</f>
        <v/>
      </c>
      <c r="B110" s="309">
        <f>Комплекты[[#This Row],[Пр]]&amp;"_"&amp;Комплекты[[#This Row],[Обозначение]]</f>
        <v/>
      </c>
      <c r="C110" s="309">
        <f>COUNTIFS($E$3:Комплекты[[#This Row],[Комплект]],Комплекты[[#This Row],[Комплект]])</f>
        <v/>
      </c>
      <c r="D110" s="310" t="n">
        <v>45884</v>
      </c>
      <c r="E110" s="311" t="n">
        <v>4441000260</v>
      </c>
      <c r="F110" s="302" t="n">
        <v>1</v>
      </c>
      <c r="G110" s="313" t="n">
        <v>9710029000</v>
      </c>
      <c r="H110" s="302" t="n">
        <v>1</v>
      </c>
      <c r="I110" s="399">
        <f>INDEX(База[],MATCH(Комплекты[[#This Row],[Обозначение]],База[Артикул],0),MATCH(I$2,База[#Headers],0))</f>
        <v/>
      </c>
      <c r="J110" s="399">
        <f>INDEX(База[],MATCH(Комплекты[[#This Row],[Комплект]],База[Артикул],0),MATCH("наименование",База[#Headers],0))</f>
        <v/>
      </c>
      <c r="K110" s="399" t="n"/>
      <c r="L11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0" s="699">
        <f>IF(IFERROR(MATCH("нет",Комплекты[[#This Row],[   ]:[АВТОВИК]],0)&gt;0,),"НЕТ","ОК")</f>
        <v/>
      </c>
      <c r="O110" s="699" t="n"/>
      <c r="P11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1">
      <c r="A111" s="309">
        <f>ROW()-ROW(Комплекты[[#Headers],[№]])</f>
        <v/>
      </c>
      <c r="B111" s="309">
        <f>Комплекты[[#This Row],[Пр]]&amp;"_"&amp;Комплекты[[#This Row],[Обозначение]]</f>
        <v/>
      </c>
      <c r="C111" s="309">
        <f>COUNTIFS($E$3:Комплекты[[#This Row],[Комплект]],Комплекты[[#This Row],[Комплект]])</f>
        <v/>
      </c>
      <c r="D111" s="310" t="n">
        <v>45884</v>
      </c>
      <c r="E111" s="311" t="n">
        <v>4441000380</v>
      </c>
      <c r="F111" s="302" t="n">
        <v>1</v>
      </c>
      <c r="G111" s="313" t="n">
        <v>4334010030</v>
      </c>
      <c r="H111" s="302" t="n">
        <v>1</v>
      </c>
      <c r="I111" s="399">
        <f>INDEX(База[],MATCH(Комплекты[[#This Row],[Обозначение]],База[Артикул],0),MATCH(I$2,База[#Headers],0))</f>
        <v/>
      </c>
      <c r="J111" s="399">
        <f>INDEX(База[],MATCH(Комплекты[[#This Row],[Комплект]],База[Артикул],0),MATCH("наименование",База[#Headers],0))</f>
        <v/>
      </c>
      <c r="K111" s="399" t="n"/>
      <c r="L11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1" s="699">
        <f>IF(IFERROR(MATCH("нет",Комплекты[[#This Row],[   ]:[АВТОВИК]],0)&gt;0,),"НЕТ","ОК")</f>
        <v/>
      </c>
      <c r="O111" s="699" t="n"/>
      <c r="P11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2">
      <c r="A112" s="309">
        <f>ROW()-ROW(Комплекты[[#Headers],[№]])</f>
        <v/>
      </c>
      <c r="B112" s="309">
        <f>Комплекты[[#This Row],[Пр]]&amp;"_"&amp;Комплекты[[#This Row],[Обозначение]]</f>
        <v/>
      </c>
      <c r="C112" s="309">
        <f>COUNTIFS($E$3:Комплекты[[#This Row],[Комплект]],Комплекты[[#This Row],[Комплект]])</f>
        <v/>
      </c>
      <c r="D112" s="310" t="n">
        <v>45884</v>
      </c>
      <c r="E112" s="311" t="n">
        <v>4441000380</v>
      </c>
      <c r="F112" s="302" t="n">
        <v>1</v>
      </c>
      <c r="G112" s="313" t="n">
        <v>4491731500</v>
      </c>
      <c r="H112" s="302" t="n">
        <v>1</v>
      </c>
      <c r="I112" s="399">
        <f>INDEX(База[],MATCH(Комплекты[[#This Row],[Обозначение]],База[Артикул],0),MATCH(I$2,База[#Headers],0))</f>
        <v/>
      </c>
      <c r="J112" s="399">
        <f>INDEX(База[],MATCH(Комплекты[[#This Row],[Комплект]],База[Артикул],0),MATCH("наименование",База[#Headers],0))</f>
        <v/>
      </c>
      <c r="K112" s="399" t="n"/>
      <c r="L11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2" s="699">
        <f>IF(IFERROR(MATCH("нет",Комплекты[[#This Row],[   ]:[АВТОВИК]],0)&gt;0,),"НЕТ","ОК")</f>
        <v/>
      </c>
      <c r="O112" s="699" t="n"/>
      <c r="P11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3">
      <c r="A113" s="309">
        <f>ROW()-ROW(Комплекты[[#Headers],[№]])</f>
        <v/>
      </c>
      <c r="B113" s="309">
        <f>Комплекты[[#This Row],[Пр]]&amp;"_"&amp;Комплекты[[#This Row],[Обозначение]]</f>
        <v/>
      </c>
      <c r="C113" s="309">
        <f>COUNTIFS($E$3:Комплекты[[#This Row],[Комплект]],Комплекты[[#This Row],[Комплект]])</f>
        <v/>
      </c>
      <c r="D113" s="310" t="n">
        <v>45884</v>
      </c>
      <c r="E113" s="311" t="n">
        <v>4441000380</v>
      </c>
      <c r="F113" s="302" t="n">
        <v>1</v>
      </c>
      <c r="G113" s="313" t="n">
        <v>4497230500</v>
      </c>
      <c r="H113" s="302" t="n">
        <v>2</v>
      </c>
      <c r="I113" s="399">
        <f>INDEX(База[],MATCH(Комплекты[[#This Row],[Обозначение]],База[Артикул],0),MATCH(I$2,База[#Headers],0))</f>
        <v/>
      </c>
      <c r="J113" s="399">
        <f>INDEX(База[],MATCH(Комплекты[[#This Row],[Комплект]],База[Артикул],0),MATCH("наименование",База[#Headers],0))</f>
        <v/>
      </c>
      <c r="K113" s="399" t="n"/>
      <c r="L11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3" s="699">
        <f>IF(IFERROR(MATCH("нет",Комплекты[[#This Row],[   ]:[АВТОВИК]],0)&gt;0,),"НЕТ","ОК")</f>
        <v/>
      </c>
      <c r="O113" s="699" t="n"/>
      <c r="P11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4">
      <c r="A114" s="309">
        <f>ROW()-ROW(Комплекты[[#Headers],[№]])</f>
        <v/>
      </c>
      <c r="B114" s="309">
        <f>Комплекты[[#This Row],[Пр]]&amp;"_"&amp;Комплекты[[#This Row],[Обозначение]]</f>
        <v/>
      </c>
      <c r="C114" s="309">
        <f>COUNTIFS($E$3:Комплекты[[#This Row],[Комплект]],Комплекты[[#This Row],[Комплект]])</f>
        <v/>
      </c>
      <c r="D114" s="310" t="n">
        <v>45884</v>
      </c>
      <c r="E114" s="311" t="n">
        <v>4441000380</v>
      </c>
      <c r="F114" s="302" t="n">
        <v>1</v>
      </c>
      <c r="G114" s="313" t="n">
        <v>4630320200</v>
      </c>
      <c r="H114" s="302" t="n">
        <v>1</v>
      </c>
      <c r="I114" s="399">
        <f>INDEX(База[],MATCH(Комплекты[[#This Row],[Обозначение]],База[Артикул],0),MATCH(I$2,База[#Headers],0))</f>
        <v/>
      </c>
      <c r="J114" s="399">
        <f>INDEX(База[],MATCH(Комплекты[[#This Row],[Комплект]],База[Артикул],0),MATCH("наименование",База[#Headers],0))</f>
        <v/>
      </c>
      <c r="K114" s="399" t="n"/>
      <c r="L11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4" s="699">
        <f>IF(IFERROR(MATCH("нет",Комплекты[[#This Row],[   ]:[АВТОВИК]],0)&gt;0,),"НЕТ","ОК")</f>
        <v/>
      </c>
      <c r="O114" s="699" t="n"/>
      <c r="P11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5">
      <c r="A115" s="314">
        <f>ROW()-ROW(Комплекты[[#Headers],[№]])</f>
        <v/>
      </c>
      <c r="B115" s="314">
        <f>Комплекты[[#This Row],[Пр]]&amp;"_"&amp;Комплекты[[#This Row],[Обозначение]]</f>
        <v/>
      </c>
      <c r="C115" s="314">
        <f>COUNTIFS($E$3:Комплекты[[#This Row],[Комплект]],Комплекты[[#This Row],[Комплект]])</f>
        <v/>
      </c>
      <c r="D115" s="310" t="n">
        <v>45884</v>
      </c>
      <c r="E115" s="316" t="n">
        <v>4441000380</v>
      </c>
      <c r="F115" s="303" t="n">
        <v>1</v>
      </c>
      <c r="G115" s="317" t="n">
        <v>4640061000</v>
      </c>
      <c r="H115" s="303" t="n">
        <v>1</v>
      </c>
      <c r="I115" s="705">
        <f>INDEX(База[],MATCH(Комплекты[[#This Row],[Обозначение]],База[Артикул],0),MATCH(I$2,База[#Headers],0))</f>
        <v/>
      </c>
      <c r="J115" s="705">
        <f>INDEX(База[],MATCH(Комплекты[[#This Row],[Комплект]],База[Артикул],0),MATCH("наименование",База[#Headers],0))</f>
        <v/>
      </c>
      <c r="K115" s="705" t="n"/>
      <c r="L115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5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5" s="707">
        <f>IF(IFERROR(MATCH("нет",Комплекты[[#This Row],[   ]:[АВТОВИК]],0)&gt;0,),"НЕТ","ОК")</f>
        <v/>
      </c>
      <c r="O115" s="707" t="n"/>
      <c r="P115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5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5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5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5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5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5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5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6">
      <c r="A116" s="309">
        <f>ROW()-ROW(Комплекты[[#Headers],[№]])</f>
        <v/>
      </c>
      <c r="B116" s="309">
        <f>Комплекты[[#This Row],[Пр]]&amp;"_"&amp;Комплекты[[#This Row],[Обозначение]]</f>
        <v/>
      </c>
      <c r="C116" s="309">
        <f>COUNTIFS($E$3:Комплекты[[#This Row],[Комплект]],Комплекты[[#This Row],[Комплект]])</f>
        <v/>
      </c>
      <c r="D116" s="310" t="n">
        <v>45884</v>
      </c>
      <c r="E116" s="311" t="n">
        <v>4441000380</v>
      </c>
      <c r="F116" s="302" t="n">
        <v>1</v>
      </c>
      <c r="G116" s="313" t="n">
        <v>4801020640</v>
      </c>
      <c r="H116" s="302" t="n">
        <v>1</v>
      </c>
      <c r="I116" s="399">
        <f>INDEX(База[],MATCH(Комплекты[[#This Row],[Обозначение]],База[Артикул],0),MATCH(I$2,База[#Headers],0))</f>
        <v/>
      </c>
      <c r="J116" s="399">
        <f>INDEX(База[],MATCH(Комплекты[[#This Row],[Комплект]],База[Артикул],0),MATCH("наименование",База[#Headers],0))</f>
        <v/>
      </c>
      <c r="K116" s="399" t="n"/>
      <c r="L11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6" s="699">
        <f>IF(IFERROR(MATCH("нет",Комплекты[[#This Row],[   ]:[АВТОВИК]],0)&gt;0,),"НЕТ","ОК")</f>
        <v/>
      </c>
      <c r="O116" s="699" t="n"/>
      <c r="P11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7">
      <c r="A117" s="309">
        <f>ROW()-ROW(Комплекты[[#Headers],[№]])</f>
        <v/>
      </c>
      <c r="B117" s="309">
        <f>Комплекты[[#This Row],[Пр]]&amp;"_"&amp;Комплекты[[#This Row],[Обозначение]]</f>
        <v/>
      </c>
      <c r="C117" s="309">
        <f>COUNTIFS($E$3:Комплекты[[#This Row],[Комплект]],Комплекты[[#This Row],[Комплект]])</f>
        <v/>
      </c>
      <c r="D117" s="310" t="n">
        <v>45884</v>
      </c>
      <c r="E117" s="311" t="n">
        <v>4441000380</v>
      </c>
      <c r="F117" s="302" t="n">
        <v>1</v>
      </c>
      <c r="G117" s="313" t="n">
        <v>9522010010</v>
      </c>
      <c r="H117" s="302" t="n">
        <v>1</v>
      </c>
      <c r="I117" s="399">
        <f>INDEX(База[],MATCH(Комплекты[[#This Row],[Обозначение]],База[Артикул],0),MATCH(I$2,База[#Headers],0))</f>
        <v/>
      </c>
      <c r="J117" s="399">
        <f>INDEX(База[],MATCH(Комплекты[[#This Row],[Комплект]],База[Артикул],0),MATCH("наименование",База[#Headers],0))</f>
        <v/>
      </c>
      <c r="K117" s="399" t="n"/>
      <c r="L11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7" s="699">
        <f>IF(IFERROR(MATCH("нет",Комплекты[[#This Row],[   ]:[АВТОВИК]],0)&gt;0,),"НЕТ","ОК")</f>
        <v/>
      </c>
      <c r="O117" s="699" t="n"/>
      <c r="P11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8">
      <c r="A118" s="309">
        <f>ROW()-ROW(Комплекты[[#Headers],[№]])</f>
        <v/>
      </c>
      <c r="B118" s="309">
        <f>Комплекты[[#This Row],[Пр]]&amp;"_"&amp;Комплекты[[#This Row],[Обозначение]]</f>
        <v/>
      </c>
      <c r="C118" s="309">
        <f>COUNTIFS($E$3:Комплекты[[#This Row],[Комплект]],Комплекты[[#This Row],[Комплект]])</f>
        <v/>
      </c>
      <c r="D118" s="310" t="n">
        <v>45884</v>
      </c>
      <c r="E118" s="311" t="n">
        <v>4441000380</v>
      </c>
      <c r="F118" s="302" t="n">
        <v>1</v>
      </c>
      <c r="G118" s="313" t="n">
        <v>9522010020</v>
      </c>
      <c r="H118" s="302" t="n">
        <v>1</v>
      </c>
      <c r="I118" s="399">
        <f>INDEX(База[],MATCH(Комплекты[[#This Row],[Обозначение]],База[Артикул],0),MATCH(I$2,База[#Headers],0))</f>
        <v/>
      </c>
      <c r="J118" s="399">
        <f>INDEX(База[],MATCH(Комплекты[[#This Row],[Комплект]],База[Артикул],0),MATCH("наименование",База[#Headers],0))</f>
        <v/>
      </c>
      <c r="K118" s="399" t="n"/>
      <c r="L11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8" s="699">
        <f>IF(IFERROR(MATCH("нет",Комплекты[[#This Row],[   ]:[АВТОВИК]],0)&gt;0,),"НЕТ","ОК")</f>
        <v/>
      </c>
      <c r="O118" s="699" t="n"/>
      <c r="P11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19">
      <c r="A119" s="309">
        <f>ROW()-ROW(Комплекты[[#Headers],[№]])</f>
        <v/>
      </c>
      <c r="B119" s="309">
        <f>Комплекты[[#This Row],[Пр]]&amp;"_"&amp;Комплекты[[#This Row],[Обозначение]]</f>
        <v/>
      </c>
      <c r="C119" s="309">
        <f>COUNTIFS($E$3:Комплекты[[#This Row],[Комплект]],Комплекты[[#This Row],[Комплект]])</f>
        <v/>
      </c>
      <c r="D119" s="310" t="n">
        <v>45884</v>
      </c>
      <c r="E119" s="311" t="n">
        <v>4441000380</v>
      </c>
      <c r="F119" s="302" t="n">
        <v>1</v>
      </c>
      <c r="G119" s="313" t="n">
        <v>9710029000</v>
      </c>
      <c r="H119" s="302" t="n">
        <v>1</v>
      </c>
      <c r="I119" s="399">
        <f>INDEX(База[],MATCH(Комплекты[[#This Row],[Обозначение]],База[Артикул],0),MATCH(I$2,База[#Headers],0))</f>
        <v/>
      </c>
      <c r="J119" s="399">
        <f>INDEX(База[],MATCH(Комплекты[[#This Row],[Комплект]],База[Артикул],0),MATCH("наименование",База[#Headers],0))</f>
        <v/>
      </c>
      <c r="K119" s="399" t="n"/>
      <c r="L11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1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19" s="699">
        <f>IF(IFERROR(MATCH("нет",Комплекты[[#This Row],[   ]:[АВТОВИК]],0)&gt;0,),"НЕТ","ОК")</f>
        <v/>
      </c>
      <c r="O119" s="699" t="n"/>
      <c r="P11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1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1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1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1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1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1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1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0">
      <c r="A120" s="425">
        <f>ROW()-ROW(Комплекты[[#Headers],[№]])</f>
        <v/>
      </c>
      <c r="B120" s="425">
        <f>Комплекты[[#This Row],[Пр]]&amp;"_"&amp;Комплекты[[#This Row],[Обозначение]]</f>
        <v/>
      </c>
      <c r="C120" s="425">
        <f>COUNTIFS($E$3:Комплекты[[#This Row],[Комплект]],Комплекты[[#This Row],[Комплект]])</f>
        <v/>
      </c>
      <c r="D120" s="426" t="n">
        <v>45990</v>
      </c>
      <c r="E120" s="423" t="n">
        <v>4441000400</v>
      </c>
      <c r="F120" s="427" t="n">
        <v>1</v>
      </c>
      <c r="G120" s="428" t="n">
        <v>4491731500</v>
      </c>
      <c r="H120" s="427" t="n">
        <v>1</v>
      </c>
      <c r="I120" s="600">
        <f>INDEX(База[],MATCH(Комплекты[[#This Row],[Обозначение]],База[Артикул],0),MATCH(I$2,База[#Headers],0))</f>
        <v/>
      </c>
      <c r="J120" s="399">
        <f>INDEX(База[],MATCH(Комплекты[[#This Row],[Комплект]],База[Артикул],0),MATCH("наименование",База[#Headers],0))</f>
        <v/>
      </c>
      <c r="K120" s="399" t="n"/>
      <c r="L120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0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0" s="703">
        <f>IF(IFERROR(MATCH("нет",Комплекты[[#This Row],[   ]:[АВТОВИК]],0)&gt;0,),"НЕТ","ОК")</f>
        <v/>
      </c>
      <c r="O120" s="699" t="n"/>
      <c r="P12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1">
      <c r="A121" s="425">
        <f>ROW()-ROW(Комплекты[[#Headers],[№]])</f>
        <v/>
      </c>
      <c r="B121" s="425">
        <f>Комплекты[[#This Row],[Пр]]&amp;"_"&amp;Комплекты[[#This Row],[Обозначение]]</f>
        <v/>
      </c>
      <c r="C121" s="425">
        <f>COUNTIFS($E$3:Комплекты[[#This Row],[Комплект]],Комплекты[[#This Row],[Комплект]])</f>
        <v/>
      </c>
      <c r="D121" s="426" t="n">
        <v>45990</v>
      </c>
      <c r="E121" s="423" t="n">
        <v>4441000400</v>
      </c>
      <c r="F121" s="427" t="n">
        <v>1</v>
      </c>
      <c r="G121" s="428" t="n">
        <v>4497230500</v>
      </c>
      <c r="H121" s="427" t="n">
        <v>2</v>
      </c>
      <c r="I121" s="600">
        <f>INDEX(База[],MATCH(Комплекты[[#This Row],[Обозначение]],База[Артикул],0),MATCH(I$2,База[#Headers],0))</f>
        <v/>
      </c>
      <c r="J121" s="399">
        <f>INDEX(База[],MATCH(Комплекты[[#This Row],[Комплект]],База[Артикул],0),MATCH("наименование",База[#Headers],0))</f>
        <v/>
      </c>
      <c r="K121" s="399" t="n"/>
      <c r="L121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1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1" s="703">
        <f>IF(IFERROR(MATCH("нет",Комплекты[[#This Row],[   ]:[АВТОВИК]],0)&gt;0,),"НЕТ","ОК")</f>
        <v/>
      </c>
      <c r="O121" s="699" t="n"/>
      <c r="P12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2">
      <c r="A122" s="429">
        <f>ROW()-ROW(Комплекты[[#Headers],[№]])</f>
        <v/>
      </c>
      <c r="B122" s="429">
        <f>Комплекты[[#This Row],[Пр]]&amp;"_"&amp;Комплекты[[#This Row],[Обозначение]]</f>
        <v/>
      </c>
      <c r="C122" s="429">
        <f>COUNTIFS($E$3:Комплекты[[#This Row],[Комплект]],Комплекты[[#This Row],[Комплект]])</f>
        <v/>
      </c>
      <c r="D122" s="426" t="n">
        <v>45990</v>
      </c>
      <c r="E122" s="424" t="n">
        <v>4441000400</v>
      </c>
      <c r="F122" s="430" t="n">
        <v>1</v>
      </c>
      <c r="G122" s="431" t="n">
        <v>4801020640</v>
      </c>
      <c r="H122" s="430" t="n">
        <v>1</v>
      </c>
      <c r="I122" s="704">
        <f>INDEX(База[],MATCH(Комплекты[[#This Row],[Обозначение]],База[Артикул],0),MATCH(I$2,База[#Headers],0))</f>
        <v/>
      </c>
      <c r="J122" s="705">
        <f>INDEX(База[],MATCH(Комплекты[[#This Row],[Комплект]],База[Артикул],0),MATCH("наименование",База[#Headers],0))</f>
        <v/>
      </c>
      <c r="K122" s="705" t="n"/>
      <c r="L122" s="706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2" s="706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2" s="706">
        <f>IF(IFERROR(MATCH("нет",Комплекты[[#This Row],[   ]:[АВТОВИК]],0)&gt;0,),"НЕТ","ОК")</f>
        <v/>
      </c>
      <c r="O122" s="707" t="n"/>
      <c r="P122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2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2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2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2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2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2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2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3">
      <c r="A123" s="425">
        <f>ROW()-ROW(Комплекты[[#Headers],[№]])</f>
        <v/>
      </c>
      <c r="B123" s="425">
        <f>Комплекты[[#This Row],[Пр]]&amp;"_"&amp;Комплекты[[#This Row],[Обозначение]]</f>
        <v/>
      </c>
      <c r="C123" s="425">
        <f>COUNTIFS($E$3:Комплекты[[#This Row],[Комплект]],Комплекты[[#This Row],[Комплект]])</f>
        <v/>
      </c>
      <c r="D123" s="426" t="n">
        <v>45990</v>
      </c>
      <c r="E123" s="423" t="n">
        <v>4441000400</v>
      </c>
      <c r="F123" s="427" t="n">
        <v>1</v>
      </c>
      <c r="G123" s="428" t="n">
        <v>9522010010</v>
      </c>
      <c r="H123" s="427" t="n">
        <v>1</v>
      </c>
      <c r="I123" s="600">
        <f>INDEX(База[],MATCH(Комплекты[[#This Row],[Обозначение]],База[Артикул],0),MATCH(I$2,База[#Headers],0))</f>
        <v/>
      </c>
      <c r="J123" s="399">
        <f>INDEX(База[],MATCH(Комплекты[[#This Row],[Комплект]],База[Артикул],0),MATCH("наименование",База[#Headers],0))</f>
        <v/>
      </c>
      <c r="K123" s="399" t="n"/>
      <c r="L123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3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3" s="703">
        <f>IF(IFERROR(MATCH("нет",Комплекты[[#This Row],[   ]:[АВТОВИК]],0)&gt;0,),"НЕТ","ОК")</f>
        <v/>
      </c>
      <c r="O123" s="699" t="n"/>
      <c r="P12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4">
      <c r="A124" s="425">
        <f>ROW()-ROW(Комплекты[[#Headers],[№]])</f>
        <v/>
      </c>
      <c r="B124" s="425">
        <f>Комплекты[[#This Row],[Пр]]&amp;"_"&amp;Комплекты[[#This Row],[Обозначение]]</f>
        <v/>
      </c>
      <c r="C124" s="425">
        <f>COUNTIFS($E$3:Комплекты[[#This Row],[Комплект]],Комплекты[[#This Row],[Комплект]])</f>
        <v/>
      </c>
      <c r="D124" s="426" t="n">
        <v>45990</v>
      </c>
      <c r="E124" s="423" t="n">
        <v>4441000400</v>
      </c>
      <c r="F124" s="427" t="n">
        <v>1</v>
      </c>
      <c r="G124" s="428" t="n">
        <v>9522010020</v>
      </c>
      <c r="H124" s="427" t="n">
        <v>1</v>
      </c>
      <c r="I124" s="600">
        <f>INDEX(База[],MATCH(Комплекты[[#This Row],[Обозначение]],База[Артикул],0),MATCH(I$2,База[#Headers],0))</f>
        <v/>
      </c>
      <c r="J124" s="399">
        <f>INDEX(База[],MATCH(Комплекты[[#This Row],[Комплект]],База[Артикул],0),MATCH("наименование",База[#Headers],0))</f>
        <v/>
      </c>
      <c r="K124" s="399" t="n"/>
      <c r="L124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4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4" s="703">
        <f>IF(IFERROR(MATCH("нет",Комплекты[[#This Row],[   ]:[АВТОВИК]],0)&gt;0,),"НЕТ","ОК")</f>
        <v/>
      </c>
      <c r="O124" s="699" t="n"/>
      <c r="P12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5">
      <c r="A125" s="425">
        <f>ROW()-ROW(Комплекты[[#Headers],[№]])</f>
        <v/>
      </c>
      <c r="B125" s="425">
        <f>Комплекты[[#This Row],[Пр]]&amp;"_"&amp;Комплекты[[#This Row],[Обозначение]]</f>
        <v/>
      </c>
      <c r="C125" s="425">
        <f>COUNTIFS($E$3:Комплекты[[#This Row],[Комплект]],Комплекты[[#This Row],[Комплект]])</f>
        <v/>
      </c>
      <c r="D125" s="426" t="n">
        <v>45990</v>
      </c>
      <c r="E125" s="423" t="n">
        <v>4441000400</v>
      </c>
      <c r="F125" s="427" t="n">
        <v>1</v>
      </c>
      <c r="G125" s="428" t="n">
        <v>9710029000</v>
      </c>
      <c r="H125" s="427" t="n">
        <v>1</v>
      </c>
      <c r="I125" s="600">
        <f>INDEX(База[],MATCH(Комплекты[[#This Row],[Обозначение]],База[Артикул],0),MATCH(I$2,База[#Headers],0))</f>
        <v/>
      </c>
      <c r="J125" s="399">
        <f>INDEX(База[],MATCH(Комплекты[[#This Row],[Комплект]],База[Артикул],0),MATCH("наименование",База[#Headers],0))</f>
        <v/>
      </c>
      <c r="K125" s="399" t="n"/>
      <c r="L125" s="70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5" s="70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5" s="703">
        <f>IF(IFERROR(MATCH("нет",Комплекты[[#This Row],[   ]:[АВТОВИК]],0)&gt;0,),"НЕТ","ОК")</f>
        <v/>
      </c>
      <c r="O125" s="699" t="n"/>
      <c r="P12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6">
      <c r="A126" s="309">
        <f>ROW()-ROW(Комплекты[[#Headers],[№]])</f>
        <v/>
      </c>
      <c r="B126" s="309">
        <f>Комплекты[[#This Row],[Пр]]&amp;"_"&amp;Комплекты[[#This Row],[Обозначение]]</f>
        <v/>
      </c>
      <c r="C126" s="309">
        <f>COUNTIFS($E$3:Комплекты[[#This Row],[Комплект]],Комплекты[[#This Row],[Комплект]])</f>
        <v/>
      </c>
      <c r="D126" s="310" t="n">
        <v>46120</v>
      </c>
      <c r="E126" s="311" t="n">
        <v>4441000410</v>
      </c>
      <c r="F126" s="302" t="n">
        <v>1</v>
      </c>
      <c r="G126" s="313" t="n">
        <v>4491731500</v>
      </c>
      <c r="H126" s="302" t="n">
        <v>1</v>
      </c>
      <c r="I126" s="399">
        <f>INDEX(База[],MATCH(Комплекты[[#This Row],[Обозначение]],База[Артикул],0),MATCH(I$2,База[#Headers],0))</f>
        <v/>
      </c>
      <c r="J126" s="399">
        <f>INDEX(База[],MATCH(Комплекты[[#This Row],[Комплект]],База[Артикул],0),MATCH("наименование",База[#Headers],0))</f>
        <v/>
      </c>
      <c r="K126" s="399" t="n"/>
      <c r="L12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6" s="699">
        <f>IF(IFERROR(MATCH("нет",Комплекты[[#This Row],[   ]:[АВТОВИК]],0)&gt;0,),"НЕТ","ОК")</f>
        <v/>
      </c>
      <c r="O126" s="699" t="n"/>
      <c r="P12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7">
      <c r="A127" s="309">
        <f>ROW()-ROW(Комплекты[[#Headers],[№]])</f>
        <v/>
      </c>
      <c r="B127" s="309">
        <f>Комплекты[[#This Row],[Пр]]&amp;"_"&amp;Комплекты[[#This Row],[Обозначение]]</f>
        <v/>
      </c>
      <c r="C127" s="309">
        <f>COUNTIFS($E$3:Комплекты[[#This Row],[Комплект]],Комплекты[[#This Row],[Комплект]])</f>
        <v/>
      </c>
      <c r="D127" s="310" t="n">
        <v>46120</v>
      </c>
      <c r="E127" s="311" t="n">
        <v>4441000410</v>
      </c>
      <c r="F127" s="302" t="n">
        <v>1</v>
      </c>
      <c r="G127" s="313" t="n">
        <v>4497230500</v>
      </c>
      <c r="H127" s="302" t="n">
        <v>2</v>
      </c>
      <c r="I127" s="399">
        <f>INDEX(База[],MATCH(Комплекты[[#This Row],[Обозначение]],База[Артикул],0),MATCH(I$2,База[#Headers],0))</f>
        <v/>
      </c>
      <c r="J127" s="399">
        <f>INDEX(База[],MATCH(Комплекты[[#This Row],[Комплект]],База[Артикул],0),MATCH("наименование",База[#Headers],0))</f>
        <v/>
      </c>
      <c r="K127" s="399" t="n"/>
      <c r="L12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7" s="699">
        <f>IF(IFERROR(MATCH("нет",Комплекты[[#This Row],[   ]:[АВТОВИК]],0)&gt;0,),"НЕТ","ОК")</f>
        <v/>
      </c>
      <c r="O127" s="699" t="n"/>
      <c r="P12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8">
      <c r="A128" s="309">
        <f>ROW()-ROW(Комплекты[[#Headers],[№]])</f>
        <v/>
      </c>
      <c r="B128" s="309">
        <f>Комплекты[[#This Row],[Пр]]&amp;"_"&amp;Комплекты[[#This Row],[Обозначение]]</f>
        <v/>
      </c>
      <c r="C128" s="309">
        <f>COUNTIFS($E$3:Комплекты[[#This Row],[Комплект]],Комплекты[[#This Row],[Комплект]])</f>
        <v/>
      </c>
      <c r="D128" s="310" t="n">
        <v>46120</v>
      </c>
      <c r="E128" s="311" t="n">
        <v>4441000410</v>
      </c>
      <c r="F128" s="302" t="n">
        <v>1</v>
      </c>
      <c r="G128" s="313" t="n">
        <v>4801020640</v>
      </c>
      <c r="H128" s="302" t="n">
        <v>1</v>
      </c>
      <c r="I128" s="399">
        <f>INDEX(База[],MATCH(Комплекты[[#This Row],[Обозначение]],База[Артикул],0),MATCH(I$2,База[#Headers],0))</f>
        <v/>
      </c>
      <c r="J128" s="399">
        <f>INDEX(База[],MATCH(Комплекты[[#This Row],[Комплект]],База[Артикул],0),MATCH("наименование",База[#Headers],0))</f>
        <v/>
      </c>
      <c r="K128" s="399" t="n"/>
      <c r="L12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8" s="699">
        <f>IF(IFERROR(MATCH("нет",Комплекты[[#This Row],[   ]:[АВТОВИК]],0)&gt;0,),"НЕТ","ОК")</f>
        <v/>
      </c>
      <c r="O128" s="699" t="n"/>
      <c r="P12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29">
      <c r="A129" s="309">
        <f>ROW()-ROW(Комплекты[[#Headers],[№]])</f>
        <v/>
      </c>
      <c r="B129" s="309">
        <f>Комплекты[[#This Row],[Пр]]&amp;"_"&amp;Комплекты[[#This Row],[Обозначение]]</f>
        <v/>
      </c>
      <c r="C129" s="309">
        <f>COUNTIFS($E$3:Комплекты[[#This Row],[Комплект]],Комплекты[[#This Row],[Комплект]])</f>
        <v/>
      </c>
      <c r="D129" s="310" t="n">
        <v>45884</v>
      </c>
      <c r="E129" s="311" t="n">
        <v>4441000440</v>
      </c>
      <c r="F129" s="302" t="n">
        <v>1</v>
      </c>
      <c r="G129" s="313" t="n">
        <v>4334010030</v>
      </c>
      <c r="H129" s="302" t="n">
        <v>1</v>
      </c>
      <c r="I129" s="399">
        <f>INDEX(База[],MATCH(Комплекты[[#This Row],[Обозначение]],База[Артикул],0),MATCH(I$2,База[#Headers],0))</f>
        <v/>
      </c>
      <c r="J129" s="399">
        <f>INDEX(База[],MATCH(Комплекты[[#This Row],[Комплект]],База[Артикул],0),MATCH("наименование",База[#Headers],0))</f>
        <v/>
      </c>
      <c r="K129" s="399" t="n"/>
      <c r="L12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2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29" s="699">
        <f>IF(IFERROR(MATCH("нет",Комплекты[[#This Row],[   ]:[АВТОВИК]],0)&gt;0,),"НЕТ","ОК")</f>
        <v/>
      </c>
      <c r="O129" s="699" t="n"/>
      <c r="P12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2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2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2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2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2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2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2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0">
      <c r="A130" s="309">
        <f>ROW()-ROW(Комплекты[[#Headers],[№]])</f>
        <v/>
      </c>
      <c r="B130" s="309">
        <f>Комплекты[[#This Row],[Пр]]&amp;"_"&amp;Комплекты[[#This Row],[Обозначение]]</f>
        <v/>
      </c>
      <c r="C130" s="309">
        <f>COUNTIFS($E$3:Комплекты[[#This Row],[Комплект]],Комплекты[[#This Row],[Комплект]])</f>
        <v/>
      </c>
      <c r="D130" s="310" t="n">
        <v>45884</v>
      </c>
      <c r="E130" s="311" t="n">
        <v>4441000440</v>
      </c>
      <c r="F130" s="302" t="n">
        <v>1</v>
      </c>
      <c r="G130" s="313" t="n">
        <v>4497230500</v>
      </c>
      <c r="H130" s="302" t="n">
        <v>2</v>
      </c>
      <c r="I130" s="399">
        <f>INDEX(База[],MATCH(Комплекты[[#This Row],[Обозначение]],База[Артикул],0),MATCH(I$2,База[#Headers],0))</f>
        <v/>
      </c>
      <c r="J130" s="399">
        <f>INDEX(База[],MATCH(Комплекты[[#This Row],[Комплект]],База[Артикул],0),MATCH("наименование",База[#Headers],0))</f>
        <v/>
      </c>
      <c r="K130" s="399" t="n"/>
      <c r="L13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0" s="699">
        <f>IF(IFERROR(MATCH("нет",Комплекты[[#This Row],[   ]:[АВТОВИК]],0)&gt;0,),"НЕТ","ОК")</f>
        <v/>
      </c>
      <c r="O130" s="699" t="n"/>
      <c r="P13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1">
      <c r="A131" s="309">
        <f>ROW()-ROW(Комплекты[[#Headers],[№]])</f>
        <v/>
      </c>
      <c r="B131" s="309">
        <f>Комплекты[[#This Row],[Пр]]&amp;"_"&amp;Комплекты[[#This Row],[Обозначение]]</f>
        <v/>
      </c>
      <c r="C131" s="309">
        <f>COUNTIFS($E$3:Комплекты[[#This Row],[Комплект]],Комплекты[[#This Row],[Комплект]])</f>
        <v/>
      </c>
      <c r="D131" s="310" t="n">
        <v>45884</v>
      </c>
      <c r="E131" s="311" t="n">
        <v>4441000440</v>
      </c>
      <c r="F131" s="302" t="n">
        <v>1</v>
      </c>
      <c r="G131" s="313" t="n">
        <v>4630320200</v>
      </c>
      <c r="H131" s="302" t="n">
        <v>1</v>
      </c>
      <c r="I131" s="399">
        <f>INDEX(База[],MATCH(Комплекты[[#This Row],[Обозначение]],База[Артикул],0),MATCH(I$2,База[#Headers],0))</f>
        <v/>
      </c>
      <c r="J131" s="399">
        <f>INDEX(База[],MATCH(Комплекты[[#This Row],[Комплект]],База[Артикул],0),MATCH("наименование",База[#Headers],0))</f>
        <v/>
      </c>
      <c r="K131" s="399" t="n"/>
      <c r="L13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1" s="699">
        <f>IF(IFERROR(MATCH("нет",Комплекты[[#This Row],[   ]:[АВТОВИК]],0)&gt;0,),"НЕТ","ОК")</f>
        <v/>
      </c>
      <c r="O131" s="699" t="n"/>
      <c r="P13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2">
      <c r="A132" s="309">
        <f>ROW()-ROW(Комплекты[[#Headers],[№]])</f>
        <v/>
      </c>
      <c r="B132" s="309">
        <f>Комплекты[[#This Row],[Пр]]&amp;"_"&amp;Комплекты[[#This Row],[Обозначение]]</f>
        <v/>
      </c>
      <c r="C132" s="309">
        <f>COUNTIFS($E$3:Комплекты[[#This Row],[Комплект]],Комплекты[[#This Row],[Комплект]])</f>
        <v/>
      </c>
      <c r="D132" s="310" t="n">
        <v>45884</v>
      </c>
      <c r="E132" s="311" t="n">
        <v>4441000440</v>
      </c>
      <c r="F132" s="302" t="n">
        <v>1</v>
      </c>
      <c r="G132" s="313" t="n">
        <v>4640061000</v>
      </c>
      <c r="H132" s="302" t="n">
        <v>1</v>
      </c>
      <c r="I132" s="399">
        <f>INDEX(База[],MATCH(Комплекты[[#This Row],[Обозначение]],База[Артикул],0),MATCH(I$2,База[#Headers],0))</f>
        <v/>
      </c>
      <c r="J132" s="399">
        <f>INDEX(База[],MATCH(Комплекты[[#This Row],[Комплект]],База[Артикул],0),MATCH("наименование",База[#Headers],0))</f>
        <v/>
      </c>
      <c r="K132" s="399" t="n"/>
      <c r="L13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2" s="699">
        <f>IF(IFERROR(MATCH("нет",Комплекты[[#This Row],[   ]:[АВТОВИК]],0)&gt;0,),"НЕТ","ОК")</f>
        <v/>
      </c>
      <c r="O132" s="699" t="n"/>
      <c r="P13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3">
      <c r="A133" s="309">
        <f>ROW()-ROW(Комплекты[[#Headers],[№]])</f>
        <v/>
      </c>
      <c r="B133" s="309">
        <f>Комплекты[[#This Row],[Пр]]&amp;"_"&amp;Комплекты[[#This Row],[Обозначение]]</f>
        <v/>
      </c>
      <c r="C133" s="309">
        <f>COUNTIFS($E$3:Комплекты[[#This Row],[Комплект]],Комплекты[[#This Row],[Комплект]])</f>
        <v/>
      </c>
      <c r="D133" s="310" t="n">
        <v>45884</v>
      </c>
      <c r="E133" s="311" t="n">
        <v>4441000440</v>
      </c>
      <c r="F133" s="302" t="n">
        <v>1</v>
      </c>
      <c r="G133" s="313" t="n">
        <v>4801020640</v>
      </c>
      <c r="H133" s="302" t="n">
        <v>1</v>
      </c>
      <c r="I133" s="399">
        <f>INDEX(База[],MATCH(Комплекты[[#This Row],[Обозначение]],База[Артикул],0),MATCH(I$2,База[#Headers],0))</f>
        <v/>
      </c>
      <c r="J133" s="399">
        <f>INDEX(База[],MATCH(Комплекты[[#This Row],[Комплект]],База[Артикул],0),MATCH("наименование",База[#Headers],0))</f>
        <v/>
      </c>
      <c r="K133" s="399" t="n"/>
      <c r="L13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3" s="699">
        <f>IF(IFERROR(MATCH("нет",Комплекты[[#This Row],[   ]:[АВТОВИК]],0)&gt;0,),"НЕТ","ОК")</f>
        <v/>
      </c>
      <c r="O133" s="699" t="n"/>
      <c r="P13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4">
      <c r="A134" s="309">
        <f>ROW()-ROW(Комплекты[[#Headers],[№]])</f>
        <v/>
      </c>
      <c r="B134" s="309">
        <f>Комплекты[[#This Row],[Пр]]&amp;"_"&amp;Комплекты[[#This Row],[Обозначение]]</f>
        <v/>
      </c>
      <c r="C134" s="309">
        <f>COUNTIFS($E$3:Комплекты[[#This Row],[Комплект]],Комплекты[[#This Row],[Комплект]])</f>
        <v/>
      </c>
      <c r="D134" s="310" t="n">
        <v>45884</v>
      </c>
      <c r="E134" s="311" t="n">
        <v>4441000440</v>
      </c>
      <c r="F134" s="302" t="n">
        <v>1</v>
      </c>
      <c r="G134" s="313" t="n">
        <v>9522010010</v>
      </c>
      <c r="H134" s="302" t="n">
        <v>1</v>
      </c>
      <c r="I134" s="399">
        <f>INDEX(База[],MATCH(Комплекты[[#This Row],[Обозначение]],База[Артикул],0),MATCH(I$2,База[#Headers],0))</f>
        <v/>
      </c>
      <c r="J134" s="399">
        <f>INDEX(База[],MATCH(Комплекты[[#This Row],[Комплект]],База[Артикул],0),MATCH("наименование",База[#Headers],0))</f>
        <v/>
      </c>
      <c r="K134" s="399" t="n"/>
      <c r="L13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4" s="699">
        <f>IF(IFERROR(MATCH("нет",Комплекты[[#This Row],[   ]:[АВТОВИК]],0)&gt;0,),"НЕТ","ОК")</f>
        <v/>
      </c>
      <c r="O134" s="699" t="n"/>
      <c r="P13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5">
      <c r="A135" s="309">
        <f>ROW()-ROW(Комплекты[[#Headers],[№]])</f>
        <v/>
      </c>
      <c r="B135" s="309">
        <f>Комплекты[[#This Row],[Пр]]&amp;"_"&amp;Комплекты[[#This Row],[Обозначение]]</f>
        <v/>
      </c>
      <c r="C135" s="309">
        <f>COUNTIFS($E$3:Комплекты[[#This Row],[Комплект]],Комплекты[[#This Row],[Комплект]])</f>
        <v/>
      </c>
      <c r="D135" s="310" t="n">
        <v>45884</v>
      </c>
      <c r="E135" s="311" t="n">
        <v>4441000440</v>
      </c>
      <c r="F135" s="302" t="n">
        <v>1</v>
      </c>
      <c r="G135" s="313" t="n">
        <v>9522010020</v>
      </c>
      <c r="H135" s="302" t="n">
        <v>1</v>
      </c>
      <c r="I135" s="399">
        <f>INDEX(База[],MATCH(Комплекты[[#This Row],[Обозначение]],База[Артикул],0),MATCH(I$2,База[#Headers],0))</f>
        <v/>
      </c>
      <c r="J135" s="399">
        <f>INDEX(База[],MATCH(Комплекты[[#This Row],[Комплект]],База[Артикул],0),MATCH("наименование",База[#Headers],0))</f>
        <v/>
      </c>
      <c r="K135" s="399" t="n"/>
      <c r="L13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5" s="699">
        <f>IF(IFERROR(MATCH("нет",Комплекты[[#This Row],[   ]:[АВТОВИК]],0)&gt;0,),"НЕТ","ОК")</f>
        <v/>
      </c>
      <c r="O135" s="699" t="n"/>
      <c r="P13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6">
      <c r="A136" s="309">
        <f>ROW()-ROW(Комплекты[[#Headers],[№]])</f>
        <v/>
      </c>
      <c r="B136" s="309">
        <f>Комплекты[[#This Row],[Пр]]&amp;"_"&amp;Комплекты[[#This Row],[Обозначение]]</f>
        <v/>
      </c>
      <c r="C136" s="309">
        <f>COUNTIFS($E$3:Комплекты[[#This Row],[Комплект]],Комплекты[[#This Row],[Комплект]])</f>
        <v/>
      </c>
      <c r="D136" s="310" t="n">
        <v>45884</v>
      </c>
      <c r="E136" s="311" t="n">
        <v>4441000440</v>
      </c>
      <c r="F136" s="302" t="n">
        <v>1</v>
      </c>
      <c r="G136" s="313" t="n">
        <v>9710029000</v>
      </c>
      <c r="H136" s="302" t="n">
        <v>1</v>
      </c>
      <c r="I136" s="399">
        <f>INDEX(База[],MATCH(Комплекты[[#This Row],[Обозначение]],База[Артикул],0),MATCH(I$2,База[#Headers],0))</f>
        <v/>
      </c>
      <c r="J136" s="399">
        <f>INDEX(База[],MATCH(Комплекты[[#This Row],[Комплект]],База[Артикул],0),MATCH("наименование",База[#Headers],0))</f>
        <v/>
      </c>
      <c r="K136" s="399" t="n"/>
      <c r="L13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6" s="699">
        <f>IF(IFERROR(MATCH("нет",Комплекты[[#This Row],[   ]:[АВТОВИК]],0)&gt;0,),"НЕТ","ОК")</f>
        <v/>
      </c>
      <c r="O136" s="699" t="n"/>
      <c r="P13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7">
      <c r="A137" s="309">
        <f>ROW()-ROW(Комплекты[[#Headers],[№]])</f>
        <v/>
      </c>
      <c r="B137" s="309">
        <f>Комплекты[[#This Row],[Пр]]&amp;"_"&amp;Комплекты[[#This Row],[Обозначение]]</f>
        <v/>
      </c>
      <c r="C137" s="309">
        <f>COUNTIFS($E$3:Комплекты[[#This Row],[Комплект]],Комплекты[[#This Row],[Комплект]])</f>
        <v/>
      </c>
      <c r="D137" s="310" t="n">
        <v>45884</v>
      </c>
      <c r="E137" s="311" t="n">
        <v>4441000440</v>
      </c>
      <c r="F137" s="302" t="n">
        <v>2</v>
      </c>
      <c r="G137" s="313" t="n">
        <v>4460084042</v>
      </c>
      <c r="H137" s="302" t="n">
        <v>1</v>
      </c>
      <c r="I137" s="399">
        <f>INDEX(База[],MATCH(Комплекты[[#This Row],[Обозначение]],База[Артикул],0),MATCH(I$2,База[#Headers],0))</f>
        <v/>
      </c>
      <c r="J137" s="399">
        <f>INDEX(База[],MATCH(Комплекты[[#This Row],[Комплект]],База[Артикул],0),MATCH("наименование",База[#Headers],0))</f>
        <v/>
      </c>
      <c r="K137" s="399" t="n"/>
      <c r="L13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7" s="699">
        <f>IF(IFERROR(MATCH("нет",Комплекты[[#This Row],[   ]:[АВТОВИК]],0)&gt;0,),"НЕТ","ОК")</f>
        <v/>
      </c>
      <c r="O137" s="699" t="n"/>
      <c r="P13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8">
      <c r="A138" s="309">
        <f>ROW()-ROW(Комплекты[[#Headers],[№]])</f>
        <v/>
      </c>
      <c r="B138" s="309">
        <f>Комплекты[[#This Row],[Пр]]&amp;"_"&amp;Комплекты[[#This Row],[Обозначение]]</f>
        <v/>
      </c>
      <c r="C138" s="309">
        <f>COUNTIFS($E$3:Комплекты[[#This Row],[Комплект]],Комплекты[[#This Row],[Комплект]])</f>
        <v/>
      </c>
      <c r="D138" s="310" t="n">
        <v>45884</v>
      </c>
      <c r="E138" s="311" t="n">
        <v>4441000440</v>
      </c>
      <c r="F138" s="302" t="n">
        <v>2</v>
      </c>
      <c r="G138" s="313" t="n">
        <v>4493711800</v>
      </c>
      <c r="H138" s="302" t="n">
        <v>1</v>
      </c>
      <c r="I138" s="399">
        <f>INDEX(База[],MATCH(Комплекты[[#This Row],[Обозначение]],База[Артикул],0),MATCH(I$2,База[#Headers],0))</f>
        <v/>
      </c>
      <c r="J138" s="399">
        <f>INDEX(База[],MATCH(Комплекты[[#This Row],[Комплект]],База[Артикул],0),MATCH("наименование",База[#Headers],0))</f>
        <v/>
      </c>
      <c r="K138" s="399" t="n"/>
      <c r="L13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8" s="699">
        <f>IF(IFERROR(MATCH("нет",Комплекты[[#This Row],[   ]:[АВТОВИК]],0)&gt;0,),"НЕТ","ОК")</f>
        <v/>
      </c>
      <c r="O138" s="699" t="n"/>
      <c r="P13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39">
      <c r="A139" s="309">
        <f>ROW()-ROW(Комплекты[[#Headers],[№]])</f>
        <v/>
      </c>
      <c r="B139" s="309">
        <f>Комплекты[[#This Row],[Пр]]&amp;"_"&amp;Комплекты[[#This Row],[Обозначение]]</f>
        <v/>
      </c>
      <c r="C139" s="309">
        <f>COUNTIFS($E$3:Комплекты[[#This Row],[Комплект]],Комплекты[[#This Row],[Комплект]])</f>
        <v/>
      </c>
      <c r="D139" s="310" t="n">
        <v>46043</v>
      </c>
      <c r="E139" s="311" t="n">
        <v>4441000450</v>
      </c>
      <c r="F139" s="302" t="n">
        <v>2</v>
      </c>
      <c r="G139" s="313" t="n">
        <v>4005000880</v>
      </c>
      <c r="H139" s="302" t="n">
        <v>1</v>
      </c>
      <c r="I139" s="399">
        <f>INDEX(База[],MATCH(Комплекты[[#This Row],[Обозначение]],База[Артикул],0),MATCH(I$2,База[#Headers],0))</f>
        <v/>
      </c>
      <c r="J139" s="399">
        <f>INDEX(База[],MATCH(Комплекты[[#This Row],[Комплект]],База[Артикул],0),MATCH("наименование",База[#Headers],0))</f>
        <v/>
      </c>
      <c r="K139" s="399" t="n"/>
      <c r="L13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3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39" s="699">
        <f>IF(IFERROR(MATCH("нет",Комплекты[[#This Row],[   ]:[АВТОВИК]],0)&gt;0,),"НЕТ","ОК")</f>
        <v/>
      </c>
      <c r="O139" s="699" t="n"/>
      <c r="P13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3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3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3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3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3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3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3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0">
      <c r="A140" s="309">
        <f>ROW()-ROW(Комплекты[[#Headers],[№]])</f>
        <v/>
      </c>
      <c r="B140" s="309">
        <f>Комплекты[[#This Row],[Пр]]&amp;"_"&amp;Комплекты[[#This Row],[Обозначение]]</f>
        <v/>
      </c>
      <c r="C140" s="309">
        <f>COUNTIFS($E$3:Комплекты[[#This Row],[Комплект]],Комплекты[[#This Row],[Комплект]])</f>
        <v/>
      </c>
      <c r="D140" s="310" t="n">
        <v>46043</v>
      </c>
      <c r="E140" s="311" t="n">
        <v>4441000450</v>
      </c>
      <c r="F140" s="302" t="n">
        <v>2</v>
      </c>
      <c r="G140" s="313" t="n">
        <v>4491301200</v>
      </c>
      <c r="H140" s="302" t="n">
        <v>1</v>
      </c>
      <c r="I140" s="399">
        <f>INDEX(База[],MATCH(Комплекты[[#This Row],[Обозначение]],База[Артикул],0),MATCH(I$2,База[#Headers],0))</f>
        <v/>
      </c>
      <c r="J140" s="399">
        <f>INDEX(База[],MATCH(Комплекты[[#This Row],[Комплект]],База[Артикул],0),MATCH("наименование",База[#Headers],0))</f>
        <v/>
      </c>
      <c r="K140" s="399" t="n"/>
      <c r="L14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0" s="699">
        <f>IF(IFERROR(MATCH("нет",Комплекты[[#This Row],[   ]:[АВТОВИК]],0)&gt;0,),"НЕТ","ОК")</f>
        <v/>
      </c>
      <c r="O140" s="699" t="n"/>
      <c r="P14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1">
      <c r="A141" s="309">
        <f>ROW()-ROW(Комплекты[[#Headers],[№]])</f>
        <v/>
      </c>
      <c r="B141" s="309">
        <f>Комплекты[[#This Row],[Пр]]&amp;"_"&amp;Комплекты[[#This Row],[Обозначение]]</f>
        <v/>
      </c>
      <c r="C141" s="309">
        <f>COUNTIFS($E$3:Комплекты[[#This Row],[Комплект]],Комплекты[[#This Row],[Комплект]])</f>
        <v/>
      </c>
      <c r="D141" s="310" t="n">
        <v>46043</v>
      </c>
      <c r="E141" s="311" t="n">
        <v>4441000450</v>
      </c>
      <c r="F141" s="302" t="n">
        <v>2</v>
      </c>
      <c r="G141" s="313" t="n">
        <v>4493792810</v>
      </c>
      <c r="H141" s="302" t="n">
        <v>1</v>
      </c>
      <c r="I141" s="399">
        <f>INDEX(База[],MATCH(Комплекты[[#This Row],[Обозначение]],База[Артикул],0),MATCH(I$2,База[#Headers],0))</f>
        <v/>
      </c>
      <c r="J141" s="399">
        <f>INDEX(База[],MATCH(Комплекты[[#This Row],[Комплект]],База[Артикул],0),MATCH("наименование",База[#Headers],0))</f>
        <v/>
      </c>
      <c r="K141" s="399" t="n"/>
      <c r="L14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1" s="699">
        <f>IF(IFERROR(MATCH("нет",Комплекты[[#This Row],[   ]:[АВТОВИК]],0)&gt;0,),"НЕТ","ОК")</f>
        <v/>
      </c>
      <c r="O141" s="699" t="n"/>
      <c r="P14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2">
      <c r="A142" s="309">
        <f>ROW()-ROW(Комплекты[[#Headers],[№]])</f>
        <v/>
      </c>
      <c r="B142" s="309">
        <f>Комплекты[[#This Row],[Пр]]&amp;"_"&amp;Комплекты[[#This Row],[Обозначение]]</f>
        <v/>
      </c>
      <c r="C142" s="309">
        <f>COUNTIFS($E$3:Комплекты[[#This Row],[Комплект]],Комплекты[[#This Row],[Комплект]])</f>
        <v/>
      </c>
      <c r="D142" s="310" t="n">
        <v>46043</v>
      </c>
      <c r="E142" s="311" t="n">
        <v>4441000450</v>
      </c>
      <c r="F142" s="302" t="n">
        <v>2</v>
      </c>
      <c r="G142" s="313" t="n">
        <v>4497490300</v>
      </c>
      <c r="H142" s="302" t="n">
        <v>2</v>
      </c>
      <c r="I142" s="399">
        <f>INDEX(База[],MATCH(Комплекты[[#This Row],[Обозначение]],База[Артикул],0),MATCH(I$2,База[#Headers],0))</f>
        <v/>
      </c>
      <c r="J142" s="399">
        <f>INDEX(База[],MATCH(Комплекты[[#This Row],[Комплект]],База[Артикул],0),MATCH("наименование",База[#Headers],0))</f>
        <v/>
      </c>
      <c r="K142" s="399" t="n"/>
      <c r="L14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2" s="699">
        <f>IF(IFERROR(MATCH("нет",Комплекты[[#This Row],[   ]:[АВТОВИК]],0)&gt;0,),"НЕТ","ОК")</f>
        <v/>
      </c>
      <c r="O142" s="699" t="n"/>
      <c r="P14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3">
      <c r="A143" s="309">
        <f>ROW()-ROW(Комплекты[[#Headers],[№]])</f>
        <v/>
      </c>
      <c r="B143" s="309">
        <f>Комплекты[[#This Row],[Пр]]&amp;"_"&amp;Комплекты[[#This Row],[Обозначение]]</f>
        <v/>
      </c>
      <c r="C143" s="309">
        <f>COUNTIFS($E$3:Комплекты[[#This Row],[Комплект]],Комплекты[[#This Row],[Комплект]])</f>
        <v/>
      </c>
      <c r="D143" s="310" t="n">
        <v>46043</v>
      </c>
      <c r="E143" s="311" t="n">
        <v>4441000450</v>
      </c>
      <c r="F143" s="302" t="n">
        <v>2</v>
      </c>
      <c r="G143" s="313" t="n">
        <v>9522010010</v>
      </c>
      <c r="H143" s="302" t="n">
        <v>1</v>
      </c>
      <c r="I143" s="399">
        <f>INDEX(База[],MATCH(Комплекты[[#This Row],[Обозначение]],База[Артикул],0),MATCH(I$2,База[#Headers],0))</f>
        <v/>
      </c>
      <c r="J143" s="399">
        <f>INDEX(База[],MATCH(Комплекты[[#This Row],[Комплект]],База[Артикул],0),MATCH("наименование",База[#Headers],0))</f>
        <v/>
      </c>
      <c r="K143" s="399" t="n"/>
      <c r="L14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3" s="699">
        <f>IF(IFERROR(MATCH("нет",Комплекты[[#This Row],[   ]:[АВТОВИК]],0)&gt;0,),"НЕТ","ОК")</f>
        <v/>
      </c>
      <c r="O143" s="699" t="n"/>
      <c r="P14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4">
      <c r="A144" s="309">
        <f>ROW()-ROW(Комплекты[[#Headers],[№]])</f>
        <v/>
      </c>
      <c r="B144" s="309">
        <f>Комплекты[[#This Row],[Пр]]&amp;"_"&amp;Комплекты[[#This Row],[Обозначение]]</f>
        <v/>
      </c>
      <c r="C144" s="309">
        <f>COUNTIFS($E$3:Комплекты[[#This Row],[Комплект]],Комплекты[[#This Row],[Комплект]])</f>
        <v/>
      </c>
      <c r="D144" s="310" t="n">
        <v>46043</v>
      </c>
      <c r="E144" s="311" t="n">
        <v>4441000450</v>
      </c>
      <c r="F144" s="302" t="n">
        <v>2</v>
      </c>
      <c r="G144" s="313" t="n">
        <v>9522010020</v>
      </c>
      <c r="H144" s="302" t="n">
        <v>1</v>
      </c>
      <c r="I144" s="399">
        <f>INDEX(База[],MATCH(Комплекты[[#This Row],[Обозначение]],База[Артикул],0),MATCH(I$2,База[#Headers],0))</f>
        <v/>
      </c>
      <c r="J144" s="399">
        <f>INDEX(База[],MATCH(Комплекты[[#This Row],[Комплект]],База[Артикул],0),MATCH("наименование",База[#Headers],0))</f>
        <v/>
      </c>
      <c r="K144" s="399" t="n"/>
      <c r="L14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4" s="699">
        <f>IF(IFERROR(MATCH("нет",Комплекты[[#This Row],[   ]:[АВТОВИК]],0)&gt;0,),"НЕТ","ОК")</f>
        <v/>
      </c>
      <c r="O144" s="699" t="n"/>
      <c r="P14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5">
      <c r="A145" s="309">
        <f>ROW()-ROW(Комплекты[[#Headers],[№]])</f>
        <v/>
      </c>
      <c r="B145" s="309">
        <f>Комплекты[[#This Row],[Пр]]&amp;"_"&amp;Комплекты[[#This Row],[Обозначение]]</f>
        <v/>
      </c>
      <c r="C145" s="309">
        <f>COUNTIFS($E$3:Комплекты[[#This Row],[Комплект]],Комплекты[[#This Row],[Комплект]])</f>
        <v/>
      </c>
      <c r="D145" s="310" t="n">
        <v>46043</v>
      </c>
      <c r="E145" s="311" t="n">
        <v>4441000450</v>
      </c>
      <c r="F145" s="302" t="n">
        <v>2</v>
      </c>
      <c r="G145" s="313" t="n">
        <v>9710020400</v>
      </c>
      <c r="H145" s="302" t="n">
        <v>1</v>
      </c>
      <c r="I145" s="399">
        <f>INDEX(База[],MATCH(Комплекты[[#This Row],[Обозначение]],База[Артикул],0),MATCH(I$2,База[#Headers],0))</f>
        <v/>
      </c>
      <c r="J145" s="399">
        <f>INDEX(База[],MATCH(Комплекты[[#This Row],[Комплект]],База[Артикул],0),MATCH("наименование",База[#Headers],0))</f>
        <v/>
      </c>
      <c r="K145" s="399" t="n"/>
      <c r="L14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5" s="699">
        <f>IF(IFERROR(MATCH("нет",Комплекты[[#This Row],[   ]:[АВТОВИК]],0)&gt;0,),"НЕТ","ОК")</f>
        <v/>
      </c>
      <c r="O145" s="699" t="n"/>
      <c r="P14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6">
      <c r="A146" s="309">
        <f>ROW()-ROW(Комплекты[[#Headers],[№]])</f>
        <v/>
      </c>
      <c r="B146" s="309">
        <f>Комплекты[[#This Row],[Пр]]&amp;"_"&amp;Комплекты[[#This Row],[Обозначение]]</f>
        <v/>
      </c>
      <c r="C146" s="309">
        <f>COUNTIFS($E$3:Комплекты[[#This Row],[Комплект]],Комплекты[[#This Row],[Комплект]])</f>
        <v/>
      </c>
      <c r="D146" s="310" t="n">
        <v>46043</v>
      </c>
      <c r="E146" s="311" t="n">
        <v>4441000460</v>
      </c>
      <c r="F146" s="302" t="n">
        <v>2</v>
      </c>
      <c r="G146" s="313" t="n">
        <v>4005000880</v>
      </c>
      <c r="H146" s="302" t="n">
        <v>1</v>
      </c>
      <c r="I146" s="399">
        <f>INDEX(База[],MATCH(Комплекты[[#This Row],[Обозначение]],База[Артикул],0),MATCH(I$2,База[#Headers],0))</f>
        <v/>
      </c>
      <c r="J146" s="399">
        <f>INDEX(База[],MATCH(Комплекты[[#This Row],[Комплект]],База[Артикул],0),MATCH("наименование",База[#Headers],0))</f>
        <v/>
      </c>
      <c r="K146" s="399" t="n"/>
      <c r="L14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6" s="699">
        <f>IF(IFERROR(MATCH("нет",Комплекты[[#This Row],[   ]:[АВТОВИК]],0)&gt;0,),"НЕТ","ОК")</f>
        <v/>
      </c>
      <c r="O146" s="699" t="n"/>
      <c r="P14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7">
      <c r="A147" s="314">
        <f>ROW()-ROW(Комплекты[[#Headers],[№]])</f>
        <v/>
      </c>
      <c r="B147" s="314">
        <f>Комплекты[[#This Row],[Пр]]&amp;"_"&amp;Комплекты[[#This Row],[Обозначение]]</f>
        <v/>
      </c>
      <c r="C147" s="314">
        <f>COUNTIFS($E$3:Комплекты[[#This Row],[Комплект]],Комплекты[[#This Row],[Комплект]])</f>
        <v/>
      </c>
      <c r="D147" s="315" t="n">
        <v>46043</v>
      </c>
      <c r="E147" s="316" t="n">
        <v>4441000460</v>
      </c>
      <c r="F147" s="303" t="n">
        <v>2</v>
      </c>
      <c r="G147" s="317" t="n">
        <v>4491301200</v>
      </c>
      <c r="H147" s="303" t="n">
        <v>1</v>
      </c>
      <c r="I147" s="705">
        <f>INDEX(База[],MATCH(Комплекты[[#This Row],[Обозначение]],База[Артикул],0),MATCH(I$2,База[#Headers],0))</f>
        <v/>
      </c>
      <c r="J147" s="705">
        <f>INDEX(База[],MATCH(Комплекты[[#This Row],[Комплект]],База[Артикул],0),MATCH("наименование",База[#Headers],0))</f>
        <v/>
      </c>
      <c r="K147" s="705" t="n"/>
      <c r="L147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7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7" s="707">
        <f>IF(IFERROR(MATCH("нет",Комплекты[[#This Row],[   ]:[АВТОВИК]],0)&gt;0,),"НЕТ","ОК")</f>
        <v/>
      </c>
      <c r="O147" s="707" t="n"/>
      <c r="P147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7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7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7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7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7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7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7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8">
      <c r="A148" s="309">
        <f>ROW()-ROW(Комплекты[[#Headers],[№]])</f>
        <v/>
      </c>
      <c r="B148" s="309">
        <f>Комплекты[[#This Row],[Пр]]&amp;"_"&amp;Комплекты[[#This Row],[Обозначение]]</f>
        <v/>
      </c>
      <c r="C148" s="309">
        <f>COUNTIFS($E$3:Комплекты[[#This Row],[Комплект]],Комплекты[[#This Row],[Комплект]])</f>
        <v/>
      </c>
      <c r="D148" s="310" t="n">
        <v>46043</v>
      </c>
      <c r="E148" s="311" t="n">
        <v>4441000460</v>
      </c>
      <c r="F148" s="302" t="n">
        <v>2</v>
      </c>
      <c r="G148" s="313" t="n">
        <v>4493792810</v>
      </c>
      <c r="H148" s="302" t="n">
        <v>1</v>
      </c>
      <c r="I148" s="399">
        <f>INDEX(База[],MATCH(Комплекты[[#This Row],[Обозначение]],База[Артикул],0),MATCH(I$2,База[#Headers],0))</f>
        <v/>
      </c>
      <c r="J148" s="399">
        <f>INDEX(База[],MATCH(Комплекты[[#This Row],[Комплект]],База[Артикул],0),MATCH("наименование",База[#Headers],0))</f>
        <v/>
      </c>
      <c r="K148" s="399" t="n"/>
      <c r="L14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8" s="699">
        <f>IF(IFERROR(MATCH("нет",Комплекты[[#This Row],[   ]:[АВТОВИК]],0)&gt;0,),"НЕТ","ОК")</f>
        <v/>
      </c>
      <c r="O148" s="699" t="n"/>
      <c r="P14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49">
      <c r="A149" s="309">
        <f>ROW()-ROW(Комплекты[[#Headers],[№]])</f>
        <v/>
      </c>
      <c r="B149" s="309">
        <f>Комплекты[[#This Row],[Пр]]&amp;"_"&amp;Комплекты[[#This Row],[Обозначение]]</f>
        <v/>
      </c>
      <c r="C149" s="309">
        <f>COUNTIFS($E$3:Комплекты[[#This Row],[Комплект]],Комплекты[[#This Row],[Комплект]])</f>
        <v/>
      </c>
      <c r="D149" s="310" t="n">
        <v>46043</v>
      </c>
      <c r="E149" s="311" t="n">
        <v>4441000460</v>
      </c>
      <c r="F149" s="302" t="n">
        <v>2</v>
      </c>
      <c r="G149" s="313" t="n">
        <v>4497490300</v>
      </c>
      <c r="H149" s="302" t="n">
        <v>4</v>
      </c>
      <c r="I149" s="399">
        <f>INDEX(База[],MATCH(Комплекты[[#This Row],[Обозначение]],База[Артикул],0),MATCH(I$2,База[#Headers],0))</f>
        <v/>
      </c>
      <c r="J149" s="399">
        <f>INDEX(База[],MATCH(Комплекты[[#This Row],[Комплект]],База[Артикул],0),MATCH("наименование",База[#Headers],0))</f>
        <v/>
      </c>
      <c r="K149" s="399" t="n"/>
      <c r="L14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4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49" s="699">
        <f>IF(IFERROR(MATCH("нет",Комплекты[[#This Row],[   ]:[АВТОВИК]],0)&gt;0,),"НЕТ","ОК")</f>
        <v/>
      </c>
      <c r="O149" s="699" t="n"/>
      <c r="P14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4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4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4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4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4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4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4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0">
      <c r="A150" s="309">
        <f>ROW()-ROW(Комплекты[[#Headers],[№]])</f>
        <v/>
      </c>
      <c r="B150" s="309">
        <f>Комплекты[[#This Row],[Пр]]&amp;"_"&amp;Комплекты[[#This Row],[Обозначение]]</f>
        <v/>
      </c>
      <c r="C150" s="309">
        <f>COUNTIFS($E$3:Комплекты[[#This Row],[Комплект]],Комплекты[[#This Row],[Комплект]])</f>
        <v/>
      </c>
      <c r="D150" s="310" t="n">
        <v>46043</v>
      </c>
      <c r="E150" s="311" t="n">
        <v>4441000460</v>
      </c>
      <c r="F150" s="302" t="n">
        <v>2</v>
      </c>
      <c r="G150" s="313" t="n">
        <v>9522010010</v>
      </c>
      <c r="H150" s="302" t="n">
        <v>1</v>
      </c>
      <c r="I150" s="399">
        <f>INDEX(База[],MATCH(Комплекты[[#This Row],[Обозначение]],База[Артикул],0),MATCH(I$2,База[#Headers],0))</f>
        <v/>
      </c>
      <c r="J150" s="399">
        <f>INDEX(База[],MATCH(Комплекты[[#This Row],[Комплект]],База[Артикул],0),MATCH("наименование",База[#Headers],0))</f>
        <v/>
      </c>
      <c r="K150" s="399" t="n"/>
      <c r="L15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0" s="699">
        <f>IF(IFERROR(MATCH("нет",Комплекты[[#This Row],[   ]:[АВТОВИК]],0)&gt;0,),"НЕТ","ОК")</f>
        <v/>
      </c>
      <c r="O150" s="699" t="n"/>
      <c r="P15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1">
      <c r="A151" s="309">
        <f>ROW()-ROW(Комплекты[[#Headers],[№]])</f>
        <v/>
      </c>
      <c r="B151" s="309">
        <f>Комплекты[[#This Row],[Пр]]&amp;"_"&amp;Комплекты[[#This Row],[Обозначение]]</f>
        <v/>
      </c>
      <c r="C151" s="309">
        <f>COUNTIFS($E$3:Комплекты[[#This Row],[Комплект]],Комплекты[[#This Row],[Комплект]])</f>
        <v/>
      </c>
      <c r="D151" s="310" t="n">
        <v>46043</v>
      </c>
      <c r="E151" s="311" t="n">
        <v>4441000460</v>
      </c>
      <c r="F151" s="302" t="n">
        <v>2</v>
      </c>
      <c r="G151" s="313" t="n">
        <v>9522010020</v>
      </c>
      <c r="H151" s="302" t="n">
        <v>1</v>
      </c>
      <c r="I151" s="399">
        <f>INDEX(База[],MATCH(Комплекты[[#This Row],[Обозначение]],База[Артикул],0),MATCH(I$2,База[#Headers],0))</f>
        <v/>
      </c>
      <c r="J151" s="399">
        <f>INDEX(База[],MATCH(Комплекты[[#This Row],[Комплект]],База[Артикул],0),MATCH("наименование",База[#Headers],0))</f>
        <v/>
      </c>
      <c r="K151" s="399" t="n"/>
      <c r="L15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1" s="699">
        <f>IF(IFERROR(MATCH("нет",Комплекты[[#This Row],[   ]:[АВТОВИК]],0)&gt;0,),"НЕТ","ОК")</f>
        <v/>
      </c>
      <c r="O151" s="699" t="n"/>
      <c r="P15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2">
      <c r="A152" s="309">
        <f>ROW()-ROW(Комплекты[[#Headers],[№]])</f>
        <v/>
      </c>
      <c r="B152" s="309">
        <f>Комплекты[[#This Row],[Пр]]&amp;"_"&amp;Комплекты[[#This Row],[Обозначение]]</f>
        <v/>
      </c>
      <c r="C152" s="309">
        <f>COUNTIFS($E$3:Комплекты[[#This Row],[Комплект]],Комплекты[[#This Row],[Комплект]])</f>
        <v/>
      </c>
      <c r="D152" s="310" t="n">
        <v>46043</v>
      </c>
      <c r="E152" s="311" t="n">
        <v>4441000460</v>
      </c>
      <c r="F152" s="302" t="n">
        <v>2</v>
      </c>
      <c r="G152" s="313" t="n">
        <v>9710020400</v>
      </c>
      <c r="H152" s="302" t="n">
        <v>1</v>
      </c>
      <c r="I152" s="399">
        <f>INDEX(База[],MATCH(Комплекты[[#This Row],[Обозначение]],База[Артикул],0),MATCH(I$2,База[#Headers],0))</f>
        <v/>
      </c>
      <c r="J152" s="399">
        <f>INDEX(База[],MATCH(Комплекты[[#This Row],[Комплект]],База[Артикул],0),MATCH("наименование",База[#Headers],0))</f>
        <v/>
      </c>
      <c r="K152" s="399" t="n"/>
      <c r="L15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2" s="699">
        <f>IF(IFERROR(MATCH("нет",Комплекты[[#This Row],[   ]:[АВТОВИК]],0)&gt;0,),"НЕТ","ОК")</f>
        <v/>
      </c>
      <c r="O152" s="699" t="n"/>
      <c r="P15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3">
      <c r="A153" s="309">
        <f>ROW()-ROW(Комплекты[[#Headers],[№]])</f>
        <v/>
      </c>
      <c r="B153" s="309">
        <f>Комплекты[[#This Row],[Пр]]&amp;"_"&amp;Комплекты[[#This Row],[Обозначение]]</f>
        <v/>
      </c>
      <c r="C153" s="309">
        <f>COUNTIFS($E$3:Комплекты[[#This Row],[Комплект]],Комплекты[[#This Row],[Комплект]])</f>
        <v/>
      </c>
      <c r="D153" s="310" t="n">
        <v>46043</v>
      </c>
      <c r="E153" s="311" t="n">
        <v>4441000470</v>
      </c>
      <c r="F153" s="302" t="n">
        <v>1</v>
      </c>
      <c r="G153" s="313" t="n">
        <v>4496161560</v>
      </c>
      <c r="H153" s="302" t="n">
        <v>1</v>
      </c>
      <c r="I153" s="399">
        <f>INDEX(База[],MATCH(Комплекты[[#This Row],[Обозначение]],База[Артикул],0),MATCH(I$2,База[#Headers],0))</f>
        <v/>
      </c>
      <c r="J153" s="399">
        <f>INDEX(База[],MATCH(Комплекты[[#This Row],[Комплект]],База[Артикул],0),MATCH("наименование",База[#Headers],0))</f>
        <v/>
      </c>
      <c r="K153" s="399" t="n"/>
      <c r="L15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3" s="699">
        <f>IF(IFERROR(MATCH("нет",Комплекты[[#This Row],[   ]:[АВТОВИК]],0)&gt;0,),"НЕТ","ОК")</f>
        <v/>
      </c>
      <c r="O153" s="699" t="n"/>
      <c r="P15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4">
      <c r="A154" s="309">
        <f>ROW()-ROW(Комплекты[[#Headers],[№]])</f>
        <v/>
      </c>
      <c r="B154" s="309">
        <f>Комплекты[[#This Row],[Пр]]&amp;"_"&amp;Комплекты[[#This Row],[Обозначение]]</f>
        <v/>
      </c>
      <c r="C154" s="309">
        <f>COUNTIFS($E$3:Комплекты[[#This Row],[Комплект]],Комплекты[[#This Row],[Комплект]])</f>
        <v/>
      </c>
      <c r="D154" s="310" t="n">
        <v>46043</v>
      </c>
      <c r="E154" s="311" t="n">
        <v>4441000470</v>
      </c>
      <c r="F154" s="302" t="n">
        <v>1</v>
      </c>
      <c r="G154" s="313" t="n">
        <v>4721950310</v>
      </c>
      <c r="H154" s="302" t="n">
        <v>1</v>
      </c>
      <c r="I154" s="399">
        <f>INDEX(База[],MATCH(Комплекты[[#This Row],[Обозначение]],База[Артикул],0),MATCH(I$2,База[#Headers],0))</f>
        <v/>
      </c>
      <c r="J154" s="399">
        <f>INDEX(База[],MATCH(Комплекты[[#This Row],[Комплект]],База[Артикул],0),MATCH("наименование",База[#Headers],0))</f>
        <v/>
      </c>
      <c r="K154" s="399" t="n"/>
      <c r="L15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4" s="699">
        <f>IF(IFERROR(MATCH("нет",Комплекты[[#This Row],[   ]:[АВТОВИК]],0)&gt;0,),"НЕТ","ОК")</f>
        <v/>
      </c>
      <c r="O154" s="699" t="n"/>
      <c r="P15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5">
      <c r="A155" s="309">
        <f>ROW()-ROW(Комплекты[[#Headers],[№]])</f>
        <v/>
      </c>
      <c r="B155" s="309">
        <f>Комплекты[[#This Row],[Пр]]&amp;"_"&amp;Комплекты[[#This Row],[Обозначение]]</f>
        <v/>
      </c>
      <c r="C155" s="309">
        <f>COUNTIFS($E$3:Комплекты[[#This Row],[Комплект]],Комплекты[[#This Row],[Комплект]])</f>
        <v/>
      </c>
      <c r="D155" s="310" t="n">
        <v>46043</v>
      </c>
      <c r="E155" s="311" t="n">
        <v>4441000470</v>
      </c>
      <c r="F155" s="302" t="n">
        <v>2</v>
      </c>
      <c r="G155" s="313" t="n">
        <v>4005000880</v>
      </c>
      <c r="H155" s="302" t="n">
        <v>1</v>
      </c>
      <c r="I155" s="399">
        <f>INDEX(База[],MATCH(Комплекты[[#This Row],[Обозначение]],База[Артикул],0),MATCH(I$2,База[#Headers],0))</f>
        <v/>
      </c>
      <c r="J155" s="399">
        <f>INDEX(База[],MATCH(Комплекты[[#This Row],[Комплект]],База[Артикул],0),MATCH("наименование",База[#Headers],0))</f>
        <v/>
      </c>
      <c r="K155" s="399" t="n"/>
      <c r="L15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5" s="699">
        <f>IF(IFERROR(MATCH("нет",Комплекты[[#This Row],[   ]:[АВТОВИК]],0)&gt;0,),"НЕТ","ОК")</f>
        <v/>
      </c>
      <c r="O155" s="699" t="n"/>
      <c r="P15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6">
      <c r="A156" s="309">
        <f>ROW()-ROW(Комплекты[[#Headers],[№]])</f>
        <v/>
      </c>
      <c r="B156" s="309">
        <f>Комплекты[[#This Row],[Пр]]&amp;"_"&amp;Комплекты[[#This Row],[Обозначение]]</f>
        <v/>
      </c>
      <c r="C156" s="309">
        <f>COUNTIFS($E$3:Комплекты[[#This Row],[Комплект]],Комплекты[[#This Row],[Комплект]])</f>
        <v/>
      </c>
      <c r="D156" s="310" t="n">
        <v>46043</v>
      </c>
      <c r="E156" s="311" t="n">
        <v>4441000470</v>
      </c>
      <c r="F156" s="302" t="n">
        <v>2</v>
      </c>
      <c r="G156" s="313" t="n">
        <v>4491301200</v>
      </c>
      <c r="H156" s="302" t="n">
        <v>1</v>
      </c>
      <c r="I156" s="399">
        <f>INDEX(База[],MATCH(Комплекты[[#This Row],[Обозначение]],База[Артикул],0),MATCH(I$2,База[#Headers],0))</f>
        <v/>
      </c>
      <c r="J156" s="399">
        <f>INDEX(База[],MATCH(Комплекты[[#This Row],[Комплект]],База[Артикул],0),MATCH("наименование",База[#Headers],0))</f>
        <v/>
      </c>
      <c r="K156" s="399" t="n"/>
      <c r="L15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6" s="699">
        <f>IF(IFERROR(MATCH("нет",Комплекты[[#This Row],[   ]:[АВТОВИК]],0)&gt;0,),"НЕТ","ОК")</f>
        <v/>
      </c>
      <c r="O156" s="699" t="n"/>
      <c r="P15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7">
      <c r="A157" s="309">
        <f>ROW()-ROW(Комплекты[[#Headers],[№]])</f>
        <v/>
      </c>
      <c r="B157" s="309">
        <f>Комплекты[[#This Row],[Пр]]&amp;"_"&amp;Комплекты[[#This Row],[Обозначение]]</f>
        <v/>
      </c>
      <c r="C157" s="309">
        <f>COUNTIFS($E$3:Комплекты[[#This Row],[Комплект]],Комплекты[[#This Row],[Комплект]])</f>
        <v/>
      </c>
      <c r="D157" s="310" t="n">
        <v>46043</v>
      </c>
      <c r="E157" s="311" t="n">
        <v>4441000470</v>
      </c>
      <c r="F157" s="302" t="n">
        <v>2</v>
      </c>
      <c r="G157" s="313" t="n">
        <v>4493792810</v>
      </c>
      <c r="H157" s="302" t="n">
        <v>1</v>
      </c>
      <c r="I157" s="399">
        <f>INDEX(База[],MATCH(Комплекты[[#This Row],[Обозначение]],База[Артикул],0),MATCH(I$2,База[#Headers],0))</f>
        <v/>
      </c>
      <c r="J157" s="399">
        <f>INDEX(База[],MATCH(Комплекты[[#This Row],[Комплект]],База[Артикул],0),MATCH("наименование",База[#Headers],0))</f>
        <v/>
      </c>
      <c r="K157" s="399" t="n"/>
      <c r="L15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7" s="699">
        <f>IF(IFERROR(MATCH("нет",Комплекты[[#This Row],[   ]:[АВТОВИК]],0)&gt;0,),"НЕТ","ОК")</f>
        <v/>
      </c>
      <c r="O157" s="699" t="n"/>
      <c r="P15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8">
      <c r="A158" s="309">
        <f>ROW()-ROW(Комплекты[[#Headers],[№]])</f>
        <v/>
      </c>
      <c r="B158" s="309">
        <f>Комплекты[[#This Row],[Пр]]&amp;"_"&amp;Комплекты[[#This Row],[Обозначение]]</f>
        <v/>
      </c>
      <c r="C158" s="309">
        <f>COUNTIFS($E$3:Комплекты[[#This Row],[Комплект]],Комплекты[[#This Row],[Комплект]])</f>
        <v/>
      </c>
      <c r="D158" s="310" t="n">
        <v>46043</v>
      </c>
      <c r="E158" s="311" t="n">
        <v>4441000470</v>
      </c>
      <c r="F158" s="302" t="n">
        <v>2</v>
      </c>
      <c r="G158" s="313" t="n">
        <v>4497490300</v>
      </c>
      <c r="H158" s="302" t="n">
        <v>4</v>
      </c>
      <c r="I158" s="399">
        <f>INDEX(База[],MATCH(Комплекты[[#This Row],[Обозначение]],База[Артикул],0),MATCH(I$2,База[#Headers],0))</f>
        <v/>
      </c>
      <c r="J158" s="399">
        <f>INDEX(База[],MATCH(Комплекты[[#This Row],[Комплект]],База[Артикул],0),MATCH("наименование",База[#Headers],0))</f>
        <v/>
      </c>
      <c r="K158" s="399" t="n"/>
      <c r="L15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8" s="699">
        <f>IF(IFERROR(MATCH("нет",Комплекты[[#This Row],[   ]:[АВТОВИК]],0)&gt;0,),"НЕТ","ОК")</f>
        <v/>
      </c>
      <c r="O158" s="699" t="n"/>
      <c r="P15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59">
      <c r="A159" s="309">
        <f>ROW()-ROW(Комплекты[[#Headers],[№]])</f>
        <v/>
      </c>
      <c r="B159" s="309">
        <f>Комплекты[[#This Row],[Пр]]&amp;"_"&amp;Комплекты[[#This Row],[Обозначение]]</f>
        <v/>
      </c>
      <c r="C159" s="309">
        <f>COUNTIFS($E$3:Комплекты[[#This Row],[Комплект]],Комплекты[[#This Row],[Комплект]])</f>
        <v/>
      </c>
      <c r="D159" s="310" t="n">
        <v>46043</v>
      </c>
      <c r="E159" s="311" t="n">
        <v>4441000470</v>
      </c>
      <c r="F159" s="302" t="n">
        <v>2</v>
      </c>
      <c r="G159" s="313" t="n">
        <v>9522010010</v>
      </c>
      <c r="H159" s="302" t="n">
        <v>1</v>
      </c>
      <c r="I159" s="399">
        <f>INDEX(База[],MATCH(Комплекты[[#This Row],[Обозначение]],База[Артикул],0),MATCH(I$2,База[#Headers],0))</f>
        <v/>
      </c>
      <c r="J159" s="399">
        <f>INDEX(База[],MATCH(Комплекты[[#This Row],[Комплект]],База[Артикул],0),MATCH("наименование",База[#Headers],0))</f>
        <v/>
      </c>
      <c r="K159" s="399" t="n"/>
      <c r="L15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5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59" s="699">
        <f>IF(IFERROR(MATCH("нет",Комплекты[[#This Row],[   ]:[АВТОВИК]],0)&gt;0,),"НЕТ","ОК")</f>
        <v/>
      </c>
      <c r="O159" s="699" t="n"/>
      <c r="P15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5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5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5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5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5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5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5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0">
      <c r="A160" s="309">
        <f>ROW()-ROW(Комплекты[[#Headers],[№]])</f>
        <v/>
      </c>
      <c r="B160" s="309">
        <f>Комплекты[[#This Row],[Пр]]&amp;"_"&amp;Комплекты[[#This Row],[Обозначение]]</f>
        <v/>
      </c>
      <c r="C160" s="309">
        <f>COUNTIFS($E$3:Комплекты[[#This Row],[Комплект]],Комплекты[[#This Row],[Комплект]])</f>
        <v/>
      </c>
      <c r="D160" s="310" t="n">
        <v>46043</v>
      </c>
      <c r="E160" s="311" t="n">
        <v>4441000470</v>
      </c>
      <c r="F160" s="302" t="n">
        <v>2</v>
      </c>
      <c r="G160" s="313" t="n">
        <v>9522010020</v>
      </c>
      <c r="H160" s="302" t="n">
        <v>1</v>
      </c>
      <c r="I160" s="399">
        <f>INDEX(База[],MATCH(Комплекты[[#This Row],[Обозначение]],База[Артикул],0),MATCH(I$2,База[#Headers],0))</f>
        <v/>
      </c>
      <c r="J160" s="399">
        <f>INDEX(База[],MATCH(Комплекты[[#This Row],[Комплект]],База[Артикул],0),MATCH("наименование",База[#Headers],0))</f>
        <v/>
      </c>
      <c r="K160" s="399" t="n"/>
      <c r="L16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0" s="699">
        <f>IF(IFERROR(MATCH("нет",Комплекты[[#This Row],[   ]:[АВТОВИК]],0)&gt;0,),"НЕТ","ОК")</f>
        <v/>
      </c>
      <c r="O160" s="699" t="n"/>
      <c r="P16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1">
      <c r="A161" s="309">
        <f>ROW()-ROW(Комплекты[[#Headers],[№]])</f>
        <v/>
      </c>
      <c r="B161" s="309">
        <f>Комплекты[[#This Row],[Пр]]&amp;"_"&amp;Комплекты[[#This Row],[Обозначение]]</f>
        <v/>
      </c>
      <c r="C161" s="309">
        <f>COUNTIFS($E$3:Комплекты[[#This Row],[Комплект]],Комплекты[[#This Row],[Комплект]])</f>
        <v/>
      </c>
      <c r="D161" s="310" t="n">
        <v>46043</v>
      </c>
      <c r="E161" s="311" t="n">
        <v>4441000470</v>
      </c>
      <c r="F161" s="302" t="n">
        <v>2</v>
      </c>
      <c r="G161" s="313" t="n">
        <v>9710020400</v>
      </c>
      <c r="H161" s="302" t="n">
        <v>1</v>
      </c>
      <c r="I161" s="399">
        <f>INDEX(База[],MATCH(Комплекты[[#This Row],[Обозначение]],База[Артикул],0),MATCH(I$2,База[#Headers],0))</f>
        <v/>
      </c>
      <c r="J161" s="399">
        <f>INDEX(База[],MATCH(Комплекты[[#This Row],[Комплект]],База[Артикул],0),MATCH("наименование",База[#Headers],0))</f>
        <v/>
      </c>
      <c r="K161" s="399" t="n"/>
      <c r="L16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1" s="699">
        <f>IF(IFERROR(MATCH("нет",Комплекты[[#This Row],[   ]:[АВТОВИК]],0)&gt;0,),"НЕТ","ОК")</f>
        <v/>
      </c>
      <c r="O161" s="699" t="n"/>
      <c r="P16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2">
      <c r="A162" s="309">
        <f>ROW()-ROW(Комплекты[[#Headers],[№]])</f>
        <v/>
      </c>
      <c r="B162" s="309">
        <f>Комплекты[[#This Row],[Пр]]&amp;"_"&amp;Комплекты[[#This Row],[Обозначение]]</f>
        <v/>
      </c>
      <c r="C162" s="309">
        <f>COUNTIFS($E$3:Комплекты[[#This Row],[Комплект]],Комплекты[[#This Row],[Комплект]])</f>
        <v/>
      </c>
      <c r="D162" s="310" t="n">
        <v>46043</v>
      </c>
      <c r="E162" s="311" t="n">
        <v>4441000480</v>
      </c>
      <c r="F162" s="302" t="n">
        <v>2</v>
      </c>
      <c r="G162" s="313" t="n">
        <v>4005000880</v>
      </c>
      <c r="H162" s="302" t="n">
        <v>1</v>
      </c>
      <c r="I162" s="399">
        <f>INDEX(База[],MATCH(Комплекты[[#This Row],[Обозначение]],База[Артикул],0),MATCH(I$2,База[#Headers],0))</f>
        <v/>
      </c>
      <c r="J162" s="399">
        <f>INDEX(База[],MATCH(Комплекты[[#This Row],[Комплект]],База[Артикул],0),MATCH("наименование",База[#Headers],0))</f>
        <v/>
      </c>
      <c r="K162" s="399" t="n"/>
      <c r="L16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2" s="699">
        <f>IF(IFERROR(MATCH("нет",Комплекты[[#This Row],[   ]:[АВТОВИК]],0)&gt;0,),"НЕТ","ОК")</f>
        <v/>
      </c>
      <c r="O162" s="699" t="n"/>
      <c r="P16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3">
      <c r="A163" s="309">
        <f>ROW()-ROW(Комплекты[[#Headers],[№]])</f>
        <v/>
      </c>
      <c r="B163" s="309">
        <f>Комплекты[[#This Row],[Пр]]&amp;"_"&amp;Комплекты[[#This Row],[Обозначение]]</f>
        <v/>
      </c>
      <c r="C163" s="309">
        <f>COUNTIFS($E$3:Комплекты[[#This Row],[Комплект]],Комплекты[[#This Row],[Комплект]])</f>
        <v/>
      </c>
      <c r="D163" s="310" t="n">
        <v>46043</v>
      </c>
      <c r="E163" s="311" t="n">
        <v>4441000480</v>
      </c>
      <c r="F163" s="302" t="n">
        <v>2</v>
      </c>
      <c r="G163" s="313" t="n">
        <v>4491301500</v>
      </c>
      <c r="H163" s="302" t="n">
        <v>1</v>
      </c>
      <c r="I163" s="399">
        <f>INDEX(База[],MATCH(Комплекты[[#This Row],[Обозначение]],База[Артикул],0),MATCH(I$2,База[#Headers],0))</f>
        <v/>
      </c>
      <c r="J163" s="399">
        <f>INDEX(База[],MATCH(Комплекты[[#This Row],[Комплект]],База[Артикул],0),MATCH("наименование",База[#Headers],0))</f>
        <v/>
      </c>
      <c r="K163" s="399" t="n"/>
      <c r="L16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3" s="699">
        <f>IF(IFERROR(MATCH("нет",Комплекты[[#This Row],[   ]:[АВТОВИК]],0)&gt;0,),"НЕТ","ОК")</f>
        <v/>
      </c>
      <c r="O163" s="699" t="n"/>
      <c r="P16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4">
      <c r="A164" s="309">
        <f>ROW()-ROW(Комплекты[[#Headers],[№]])</f>
        <v/>
      </c>
      <c r="B164" s="309">
        <f>Комплекты[[#This Row],[Пр]]&amp;"_"&amp;Комплекты[[#This Row],[Обозначение]]</f>
        <v/>
      </c>
      <c r="C164" s="309">
        <f>COUNTIFS($E$3:Комплекты[[#This Row],[Комплект]],Комплекты[[#This Row],[Комплект]])</f>
        <v/>
      </c>
      <c r="D164" s="310" t="n">
        <v>46043</v>
      </c>
      <c r="E164" s="311" t="n">
        <v>4441000480</v>
      </c>
      <c r="F164" s="302" t="n">
        <v>2</v>
      </c>
      <c r="G164" s="313" t="n">
        <v>4493792810</v>
      </c>
      <c r="H164" s="302" t="n">
        <v>1</v>
      </c>
      <c r="I164" s="399">
        <f>INDEX(База[],MATCH(Комплекты[[#This Row],[Обозначение]],База[Артикул],0),MATCH(I$2,База[#Headers],0))</f>
        <v/>
      </c>
      <c r="J164" s="399">
        <f>INDEX(База[],MATCH(Комплекты[[#This Row],[Комплект]],База[Артикул],0),MATCH("наименование",База[#Headers],0))</f>
        <v/>
      </c>
      <c r="K164" s="399" t="n"/>
      <c r="L16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4" s="699">
        <f>IF(IFERROR(MATCH("нет",Комплекты[[#This Row],[   ]:[АВТОВИК]],0)&gt;0,),"НЕТ","ОК")</f>
        <v/>
      </c>
      <c r="O164" s="699" t="n"/>
      <c r="P16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5">
      <c r="A165" s="309">
        <f>ROW()-ROW(Комплекты[[#Headers],[№]])</f>
        <v/>
      </c>
      <c r="B165" s="309">
        <f>Комплекты[[#This Row],[Пр]]&amp;"_"&amp;Комплекты[[#This Row],[Обозначение]]</f>
        <v/>
      </c>
      <c r="C165" s="309">
        <f>COUNTIFS($E$3:Комплекты[[#This Row],[Комплект]],Комплекты[[#This Row],[Комплект]])</f>
        <v/>
      </c>
      <c r="D165" s="310" t="n">
        <v>46043</v>
      </c>
      <c r="E165" s="311" t="n">
        <v>4441000480</v>
      </c>
      <c r="F165" s="302" t="n">
        <v>2</v>
      </c>
      <c r="G165" s="313" t="n">
        <v>4497490300</v>
      </c>
      <c r="H165" s="302" t="n">
        <v>2</v>
      </c>
      <c r="I165" s="399">
        <f>INDEX(База[],MATCH(Комплекты[[#This Row],[Обозначение]],База[Артикул],0),MATCH(I$2,База[#Headers],0))</f>
        <v/>
      </c>
      <c r="J165" s="399">
        <f>INDEX(База[],MATCH(Комплекты[[#This Row],[Комплект]],База[Артикул],0),MATCH("наименование",База[#Headers],0))</f>
        <v/>
      </c>
      <c r="K165" s="399" t="n"/>
      <c r="L16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5" s="699">
        <f>IF(IFERROR(MATCH("нет",Комплекты[[#This Row],[   ]:[АВТОВИК]],0)&gt;0,),"НЕТ","ОК")</f>
        <v/>
      </c>
      <c r="O165" s="699" t="n"/>
      <c r="P16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6">
      <c r="A166" s="309">
        <f>ROW()-ROW(Комплекты[[#Headers],[№]])</f>
        <v/>
      </c>
      <c r="B166" s="309">
        <f>Комплекты[[#This Row],[Пр]]&amp;"_"&amp;Комплекты[[#This Row],[Обозначение]]</f>
        <v/>
      </c>
      <c r="C166" s="309">
        <f>COUNTIFS($E$3:Комплекты[[#This Row],[Комплект]],Комплекты[[#This Row],[Комплект]])</f>
        <v/>
      </c>
      <c r="D166" s="310" t="n">
        <v>46043</v>
      </c>
      <c r="E166" s="311" t="n">
        <v>4441000480</v>
      </c>
      <c r="F166" s="302" t="n">
        <v>2</v>
      </c>
      <c r="G166" s="313" t="n">
        <v>9522010010</v>
      </c>
      <c r="H166" s="302" t="n">
        <v>1</v>
      </c>
      <c r="I166" s="399">
        <f>INDEX(База[],MATCH(Комплекты[[#This Row],[Обозначение]],База[Артикул],0),MATCH(I$2,База[#Headers],0))</f>
        <v/>
      </c>
      <c r="J166" s="399">
        <f>INDEX(База[],MATCH(Комплекты[[#This Row],[Комплект]],База[Артикул],0),MATCH("наименование",База[#Headers],0))</f>
        <v/>
      </c>
      <c r="K166" s="399" t="n"/>
      <c r="L16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6" s="699">
        <f>IF(IFERROR(MATCH("нет",Комплекты[[#This Row],[   ]:[АВТОВИК]],0)&gt;0,),"НЕТ","ОК")</f>
        <v/>
      </c>
      <c r="O166" s="699" t="n"/>
      <c r="P16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7">
      <c r="A167" s="309">
        <f>ROW()-ROW(Комплекты[[#Headers],[№]])</f>
        <v/>
      </c>
      <c r="B167" s="309">
        <f>Комплекты[[#This Row],[Пр]]&amp;"_"&amp;Комплекты[[#This Row],[Обозначение]]</f>
        <v/>
      </c>
      <c r="C167" s="309">
        <f>COUNTIFS($E$3:Комплекты[[#This Row],[Комплект]],Комплекты[[#This Row],[Комплект]])</f>
        <v/>
      </c>
      <c r="D167" s="310" t="n">
        <v>46043</v>
      </c>
      <c r="E167" s="311" t="n">
        <v>4441000480</v>
      </c>
      <c r="F167" s="302" t="n">
        <v>2</v>
      </c>
      <c r="G167" s="313" t="n">
        <v>9522010020</v>
      </c>
      <c r="H167" s="302" t="n">
        <v>1</v>
      </c>
      <c r="I167" s="399">
        <f>INDEX(База[],MATCH(Комплекты[[#This Row],[Обозначение]],База[Артикул],0),MATCH(I$2,База[#Headers],0))</f>
        <v/>
      </c>
      <c r="J167" s="399">
        <f>INDEX(База[],MATCH(Комплекты[[#This Row],[Комплект]],База[Артикул],0),MATCH("наименование",База[#Headers],0))</f>
        <v/>
      </c>
      <c r="K167" s="399" t="n"/>
      <c r="L16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7" s="699">
        <f>IF(IFERROR(MATCH("нет",Комплекты[[#This Row],[   ]:[АВТОВИК]],0)&gt;0,),"НЕТ","ОК")</f>
        <v/>
      </c>
      <c r="O167" s="699" t="n"/>
      <c r="P16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8">
      <c r="A168" s="309">
        <f>ROW()-ROW(Комплекты[[#Headers],[№]])</f>
        <v/>
      </c>
      <c r="B168" s="309">
        <f>Комплекты[[#This Row],[Пр]]&amp;"_"&amp;Комплекты[[#This Row],[Обозначение]]</f>
        <v/>
      </c>
      <c r="C168" s="309">
        <f>COUNTIFS($E$3:Комплекты[[#This Row],[Комплект]],Комплекты[[#This Row],[Комплект]])</f>
        <v/>
      </c>
      <c r="D168" s="310" t="n">
        <v>46043</v>
      </c>
      <c r="E168" s="311" t="n">
        <v>4441000480</v>
      </c>
      <c r="F168" s="302" t="n">
        <v>2</v>
      </c>
      <c r="G168" s="313" t="n">
        <v>9710020400</v>
      </c>
      <c r="H168" s="302" t="n">
        <v>1</v>
      </c>
      <c r="I168" s="399">
        <f>INDEX(База[],MATCH(Комплекты[[#This Row],[Обозначение]],База[Артикул],0),MATCH(I$2,База[#Headers],0))</f>
        <v/>
      </c>
      <c r="J168" s="399">
        <f>INDEX(База[],MATCH(Комплекты[[#This Row],[Комплект]],База[Артикул],0),MATCH("наименование",База[#Headers],0))</f>
        <v/>
      </c>
      <c r="K168" s="399" t="n"/>
      <c r="L16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8" s="699">
        <f>IF(IFERROR(MATCH("нет",Комплекты[[#This Row],[   ]:[АВТОВИК]],0)&gt;0,),"НЕТ","ОК")</f>
        <v/>
      </c>
      <c r="O168" s="699" t="n"/>
      <c r="P16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69">
      <c r="A169" s="309">
        <f>ROW()-ROW(Комплекты[[#Headers],[№]])</f>
        <v/>
      </c>
      <c r="B169" s="309">
        <f>Комплекты[[#This Row],[Пр]]&amp;"_"&amp;Комплекты[[#This Row],[Обозначение]]</f>
        <v/>
      </c>
      <c r="C169" s="309">
        <f>COUNTIFS($E$3:Комплекты[[#This Row],[Комплект]],Комплекты[[#This Row],[Комплект]])</f>
        <v/>
      </c>
      <c r="D169" s="310" t="n">
        <v>46043</v>
      </c>
      <c r="E169" s="311" t="n">
        <v>4441000490</v>
      </c>
      <c r="F169" s="302" t="n">
        <v>2</v>
      </c>
      <c r="G169" s="313" t="n">
        <v>4005000880</v>
      </c>
      <c r="H169" s="302" t="n">
        <v>1</v>
      </c>
      <c r="I169" s="399">
        <f>INDEX(База[],MATCH(Комплекты[[#This Row],[Обозначение]],База[Артикул],0),MATCH(I$2,База[#Headers],0))</f>
        <v/>
      </c>
      <c r="J169" s="399">
        <f>INDEX(База[],MATCH(Комплекты[[#This Row],[Комплект]],База[Артикул],0),MATCH("наименование",База[#Headers],0))</f>
        <v/>
      </c>
      <c r="K169" s="399" t="n"/>
      <c r="L16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6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69" s="699">
        <f>IF(IFERROR(MATCH("нет",Комплекты[[#This Row],[   ]:[АВТОВИК]],0)&gt;0,),"НЕТ","ОК")</f>
        <v/>
      </c>
      <c r="O169" s="699" t="n"/>
      <c r="P16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6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6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6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6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6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6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6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0">
      <c r="A170" s="309">
        <f>ROW()-ROW(Комплекты[[#Headers],[№]])</f>
        <v/>
      </c>
      <c r="B170" s="309">
        <f>Комплекты[[#This Row],[Пр]]&amp;"_"&amp;Комплекты[[#This Row],[Обозначение]]</f>
        <v/>
      </c>
      <c r="C170" s="309">
        <f>COUNTIFS($E$3:Комплекты[[#This Row],[Комплект]],Комплекты[[#This Row],[Комплект]])</f>
        <v/>
      </c>
      <c r="D170" s="310" t="n">
        <v>46043</v>
      </c>
      <c r="E170" s="311" t="n">
        <v>4441000490</v>
      </c>
      <c r="F170" s="302" t="n">
        <v>2</v>
      </c>
      <c r="G170" s="313" t="n">
        <v>4491301500</v>
      </c>
      <c r="H170" s="302" t="n">
        <v>1</v>
      </c>
      <c r="I170" s="399">
        <f>INDEX(База[],MATCH(Комплекты[[#This Row],[Обозначение]],База[Артикул],0),MATCH(I$2,База[#Headers],0))</f>
        <v/>
      </c>
      <c r="J170" s="399">
        <f>INDEX(База[],MATCH(Комплекты[[#This Row],[Комплект]],База[Артикул],0),MATCH("наименование",База[#Headers],0))</f>
        <v/>
      </c>
      <c r="K170" s="399" t="n"/>
      <c r="L17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0" s="699">
        <f>IF(IFERROR(MATCH("нет",Комплекты[[#This Row],[   ]:[АВТОВИК]],0)&gt;0,),"НЕТ","ОК")</f>
        <v/>
      </c>
      <c r="O170" s="699" t="n"/>
      <c r="P17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1">
      <c r="A171" s="309">
        <f>ROW()-ROW(Комплекты[[#Headers],[№]])</f>
        <v/>
      </c>
      <c r="B171" s="309">
        <f>Комплекты[[#This Row],[Пр]]&amp;"_"&amp;Комплекты[[#This Row],[Обозначение]]</f>
        <v/>
      </c>
      <c r="C171" s="309">
        <f>COUNTIFS($E$3:Комплекты[[#This Row],[Комплект]],Комплекты[[#This Row],[Комплект]])</f>
        <v/>
      </c>
      <c r="D171" s="310" t="n">
        <v>46043</v>
      </c>
      <c r="E171" s="311" t="n">
        <v>4441000490</v>
      </c>
      <c r="F171" s="302" t="n">
        <v>2</v>
      </c>
      <c r="G171" s="313" t="n">
        <v>4493792810</v>
      </c>
      <c r="H171" s="302" t="n">
        <v>1</v>
      </c>
      <c r="I171" s="399">
        <f>INDEX(База[],MATCH(Комплекты[[#This Row],[Обозначение]],База[Артикул],0),MATCH(I$2,База[#Headers],0))</f>
        <v/>
      </c>
      <c r="J171" s="399">
        <f>INDEX(База[],MATCH(Комплекты[[#This Row],[Комплект]],База[Артикул],0),MATCH("наименование",База[#Headers],0))</f>
        <v/>
      </c>
      <c r="K171" s="399" t="n"/>
      <c r="L17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1" s="699">
        <f>IF(IFERROR(MATCH("нет",Комплекты[[#This Row],[   ]:[АВТОВИК]],0)&gt;0,),"НЕТ","ОК")</f>
        <v/>
      </c>
      <c r="O171" s="699" t="n"/>
      <c r="P17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2">
      <c r="A172" s="309">
        <f>ROW()-ROW(Комплекты[[#Headers],[№]])</f>
        <v/>
      </c>
      <c r="B172" s="309">
        <f>Комплекты[[#This Row],[Пр]]&amp;"_"&amp;Комплекты[[#This Row],[Обозначение]]</f>
        <v/>
      </c>
      <c r="C172" s="309">
        <f>COUNTIFS($E$3:Комплекты[[#This Row],[Комплект]],Комплекты[[#This Row],[Комплект]])</f>
        <v/>
      </c>
      <c r="D172" s="310" t="n">
        <v>46043</v>
      </c>
      <c r="E172" s="311" t="n">
        <v>4441000490</v>
      </c>
      <c r="F172" s="302" t="n">
        <v>2</v>
      </c>
      <c r="G172" s="313" t="n">
        <v>4497490300</v>
      </c>
      <c r="H172" s="302" t="n">
        <v>4</v>
      </c>
      <c r="I172" s="399">
        <f>INDEX(База[],MATCH(Комплекты[[#This Row],[Обозначение]],База[Артикул],0),MATCH(I$2,База[#Headers],0))</f>
        <v/>
      </c>
      <c r="J172" s="399">
        <f>INDEX(База[],MATCH(Комплекты[[#This Row],[Комплект]],База[Артикул],0),MATCH("наименование",База[#Headers],0))</f>
        <v/>
      </c>
      <c r="K172" s="399" t="n"/>
      <c r="L17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2" s="699">
        <f>IF(IFERROR(MATCH("нет",Комплекты[[#This Row],[   ]:[АВТОВИК]],0)&gt;0,),"НЕТ","ОК")</f>
        <v/>
      </c>
      <c r="O172" s="699" t="n"/>
      <c r="P17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3">
      <c r="A173" s="309">
        <f>ROW()-ROW(Комплекты[[#Headers],[№]])</f>
        <v/>
      </c>
      <c r="B173" s="309">
        <f>Комплекты[[#This Row],[Пр]]&amp;"_"&amp;Комплекты[[#This Row],[Обозначение]]</f>
        <v/>
      </c>
      <c r="C173" s="309">
        <f>COUNTIFS($E$3:Комплекты[[#This Row],[Комплект]],Комплекты[[#This Row],[Комплект]])</f>
        <v/>
      </c>
      <c r="D173" s="310" t="n">
        <v>46043</v>
      </c>
      <c r="E173" s="311" t="n">
        <v>4441000490</v>
      </c>
      <c r="F173" s="302" t="n">
        <v>2</v>
      </c>
      <c r="G173" s="313" t="n">
        <v>9522010010</v>
      </c>
      <c r="H173" s="302" t="n">
        <v>1</v>
      </c>
      <c r="I173" s="399">
        <f>INDEX(База[],MATCH(Комплекты[[#This Row],[Обозначение]],База[Артикул],0),MATCH(I$2,База[#Headers],0))</f>
        <v/>
      </c>
      <c r="J173" s="399">
        <f>INDEX(База[],MATCH(Комплекты[[#This Row],[Комплект]],База[Артикул],0),MATCH("наименование",База[#Headers],0))</f>
        <v/>
      </c>
      <c r="K173" s="399" t="n"/>
      <c r="L17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3" s="699">
        <f>IF(IFERROR(MATCH("нет",Комплекты[[#This Row],[   ]:[АВТОВИК]],0)&gt;0,),"НЕТ","ОК")</f>
        <v/>
      </c>
      <c r="O173" s="699" t="n"/>
      <c r="P17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4">
      <c r="A174" s="314">
        <f>ROW()-ROW(Комплекты[[#Headers],[№]])</f>
        <v/>
      </c>
      <c r="B174" s="314">
        <f>Комплекты[[#This Row],[Пр]]&amp;"_"&amp;Комплекты[[#This Row],[Обозначение]]</f>
        <v/>
      </c>
      <c r="C174" s="314">
        <f>COUNTIFS($E$3:Комплекты[[#This Row],[Комплект]],Комплекты[[#This Row],[Комплект]])</f>
        <v/>
      </c>
      <c r="D174" s="315" t="n">
        <v>46043</v>
      </c>
      <c r="E174" s="316" t="n">
        <v>4441000490</v>
      </c>
      <c r="F174" s="303" t="n">
        <v>2</v>
      </c>
      <c r="G174" s="317" t="n">
        <v>9522010020</v>
      </c>
      <c r="H174" s="303" t="n">
        <v>1</v>
      </c>
      <c r="I174" s="705">
        <f>INDEX(База[],MATCH(Комплекты[[#This Row],[Обозначение]],База[Артикул],0),MATCH(I$2,База[#Headers],0))</f>
        <v/>
      </c>
      <c r="J174" s="705">
        <f>INDEX(База[],MATCH(Комплекты[[#This Row],[Комплект]],База[Артикул],0),MATCH("наименование",База[#Headers],0))</f>
        <v/>
      </c>
      <c r="K174" s="705" t="n"/>
      <c r="L174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4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4" s="707">
        <f>IF(IFERROR(MATCH("нет",Комплекты[[#This Row],[   ]:[АВТОВИК]],0)&gt;0,),"НЕТ","ОК")</f>
        <v/>
      </c>
      <c r="O174" s="707" t="n"/>
      <c r="P174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4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4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4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4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4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4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4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5">
      <c r="A175" s="309">
        <f>ROW()-ROW(Комплекты[[#Headers],[№]])</f>
        <v/>
      </c>
      <c r="B175" s="309">
        <f>Комплекты[[#This Row],[Пр]]&amp;"_"&amp;Комплекты[[#This Row],[Обозначение]]</f>
        <v/>
      </c>
      <c r="C175" s="309">
        <f>COUNTIFS($E$3:Комплекты[[#This Row],[Комплект]],Комплекты[[#This Row],[Комплект]])</f>
        <v/>
      </c>
      <c r="D175" s="310" t="n">
        <v>46043</v>
      </c>
      <c r="E175" s="311" t="n">
        <v>4441000490</v>
      </c>
      <c r="F175" s="302" t="n">
        <v>2</v>
      </c>
      <c r="G175" s="313" t="n">
        <v>9710020400</v>
      </c>
      <c r="H175" s="302" t="n">
        <v>1</v>
      </c>
      <c r="I175" s="399">
        <f>INDEX(База[],MATCH(Комплекты[[#This Row],[Обозначение]],База[Артикул],0),MATCH(I$2,База[#Headers],0))</f>
        <v/>
      </c>
      <c r="J175" s="399">
        <f>INDEX(База[],MATCH(Комплекты[[#This Row],[Комплект]],База[Артикул],0),MATCH("наименование",База[#Headers],0))</f>
        <v/>
      </c>
      <c r="K175" s="399" t="n"/>
      <c r="L17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5" s="699">
        <f>IF(IFERROR(MATCH("нет",Комплекты[[#This Row],[   ]:[АВТОВИК]],0)&gt;0,),"НЕТ","ОК")</f>
        <v/>
      </c>
      <c r="O175" s="699" t="n"/>
      <c r="P17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6">
      <c r="A176" s="309">
        <f>ROW()-ROW(Комплекты[[#Headers],[№]])</f>
        <v/>
      </c>
      <c r="B176" s="309">
        <f>Комплекты[[#This Row],[Пр]]&amp;"_"&amp;Комплекты[[#This Row],[Обозначение]]</f>
        <v/>
      </c>
      <c r="C176" s="309">
        <f>COUNTIFS($E$3:Комплекты[[#This Row],[Комплект]],Комплекты[[#This Row],[Комплект]])</f>
        <v/>
      </c>
      <c r="D176" s="310" t="n">
        <v>46043</v>
      </c>
      <c r="E176" s="311" t="n">
        <v>4441000500</v>
      </c>
      <c r="F176" s="302" t="n">
        <v>1</v>
      </c>
      <c r="G176" s="313" t="n">
        <v>4496161560</v>
      </c>
      <c r="H176" s="302" t="n">
        <v>1</v>
      </c>
      <c r="I176" s="399">
        <f>INDEX(База[],MATCH(Комплекты[[#This Row],[Обозначение]],База[Артикул],0),MATCH(I$2,База[#Headers],0))</f>
        <v/>
      </c>
      <c r="J176" s="399">
        <f>INDEX(База[],MATCH(Комплекты[[#This Row],[Комплект]],База[Артикул],0),MATCH("наименование",База[#Headers],0))</f>
        <v/>
      </c>
      <c r="K176" s="399" t="n"/>
      <c r="L17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6" s="699">
        <f>IF(IFERROR(MATCH("нет",Комплекты[[#This Row],[   ]:[АВТОВИК]],0)&gt;0,),"НЕТ","ОК")</f>
        <v/>
      </c>
      <c r="O176" s="699" t="n"/>
      <c r="P17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7">
      <c r="A177" s="309">
        <f>ROW()-ROW(Комплекты[[#Headers],[№]])</f>
        <v/>
      </c>
      <c r="B177" s="309">
        <f>Комплекты[[#This Row],[Пр]]&amp;"_"&amp;Комплекты[[#This Row],[Обозначение]]</f>
        <v/>
      </c>
      <c r="C177" s="309">
        <f>COUNTIFS($E$3:Комплекты[[#This Row],[Комплект]],Комплекты[[#This Row],[Комплект]])</f>
        <v/>
      </c>
      <c r="D177" s="310" t="n">
        <v>46043</v>
      </c>
      <c r="E177" s="311" t="n">
        <v>4441000500</v>
      </c>
      <c r="F177" s="302" t="n">
        <v>1</v>
      </c>
      <c r="G177" s="313" t="n">
        <v>4721950310</v>
      </c>
      <c r="H177" s="302" t="n">
        <v>1</v>
      </c>
      <c r="I177" s="399">
        <f>INDEX(База[],MATCH(Комплекты[[#This Row],[Обозначение]],База[Артикул],0),MATCH(I$2,База[#Headers],0))</f>
        <v/>
      </c>
      <c r="J177" s="399">
        <f>INDEX(База[],MATCH(Комплекты[[#This Row],[Комплект]],База[Артикул],0),MATCH("наименование",База[#Headers],0))</f>
        <v/>
      </c>
      <c r="K177" s="399" t="n"/>
      <c r="L17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7" s="699">
        <f>IF(IFERROR(MATCH("нет",Комплекты[[#This Row],[   ]:[АВТОВИК]],0)&gt;0,),"НЕТ","ОК")</f>
        <v/>
      </c>
      <c r="O177" s="699" t="n"/>
      <c r="P17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8">
      <c r="A178" s="309">
        <f>ROW()-ROW(Комплекты[[#Headers],[№]])</f>
        <v/>
      </c>
      <c r="B178" s="309">
        <f>Комплекты[[#This Row],[Пр]]&amp;"_"&amp;Комплекты[[#This Row],[Обозначение]]</f>
        <v/>
      </c>
      <c r="C178" s="309">
        <f>COUNTIFS($E$3:Комплекты[[#This Row],[Комплект]],Комплекты[[#This Row],[Комплект]])</f>
        <v/>
      </c>
      <c r="D178" s="310" t="n">
        <v>46043</v>
      </c>
      <c r="E178" s="311" t="n">
        <v>4441000500</v>
      </c>
      <c r="F178" s="302" t="n">
        <v>2</v>
      </c>
      <c r="G178" s="313" t="n">
        <v>4005000880</v>
      </c>
      <c r="H178" s="302" t="n">
        <v>1</v>
      </c>
      <c r="I178" s="399">
        <f>INDEX(База[],MATCH(Комплекты[[#This Row],[Обозначение]],База[Артикул],0),MATCH(I$2,База[#Headers],0))</f>
        <v/>
      </c>
      <c r="J178" s="399">
        <f>INDEX(База[],MATCH(Комплекты[[#This Row],[Комплект]],База[Артикул],0),MATCH("наименование",База[#Headers],0))</f>
        <v/>
      </c>
      <c r="K178" s="399" t="n"/>
      <c r="L17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8" s="699">
        <f>IF(IFERROR(MATCH("нет",Комплекты[[#This Row],[   ]:[АВТОВИК]],0)&gt;0,),"НЕТ","ОК")</f>
        <v/>
      </c>
      <c r="O178" s="699" t="n"/>
      <c r="P17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79">
      <c r="A179" s="309">
        <f>ROW()-ROW(Комплекты[[#Headers],[№]])</f>
        <v/>
      </c>
      <c r="B179" s="309">
        <f>Комплекты[[#This Row],[Пр]]&amp;"_"&amp;Комплекты[[#This Row],[Обозначение]]</f>
        <v/>
      </c>
      <c r="C179" s="309">
        <f>COUNTIFS($E$3:Комплекты[[#This Row],[Комплект]],Комплекты[[#This Row],[Комплект]])</f>
        <v/>
      </c>
      <c r="D179" s="310" t="n">
        <v>46043</v>
      </c>
      <c r="E179" s="311" t="n">
        <v>4441000500</v>
      </c>
      <c r="F179" s="302" t="n">
        <v>2</v>
      </c>
      <c r="G179" s="313" t="n">
        <v>4491301500</v>
      </c>
      <c r="H179" s="302" t="n">
        <v>1</v>
      </c>
      <c r="I179" s="399">
        <f>INDEX(База[],MATCH(Комплекты[[#This Row],[Обозначение]],База[Артикул],0),MATCH(I$2,База[#Headers],0))</f>
        <v/>
      </c>
      <c r="J179" s="399">
        <f>INDEX(База[],MATCH(Комплекты[[#This Row],[Комплект]],База[Артикул],0),MATCH("наименование",База[#Headers],0))</f>
        <v/>
      </c>
      <c r="K179" s="399" t="n"/>
      <c r="L17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7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79" s="699">
        <f>IF(IFERROR(MATCH("нет",Комплекты[[#This Row],[   ]:[АВТОВИК]],0)&gt;0,),"НЕТ","ОК")</f>
        <v/>
      </c>
      <c r="O179" s="699" t="n"/>
      <c r="P17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7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7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7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7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7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7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7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0">
      <c r="A180" s="309">
        <f>ROW()-ROW(Комплекты[[#Headers],[№]])</f>
        <v/>
      </c>
      <c r="B180" s="309">
        <f>Комплекты[[#This Row],[Пр]]&amp;"_"&amp;Комплекты[[#This Row],[Обозначение]]</f>
        <v/>
      </c>
      <c r="C180" s="309">
        <f>COUNTIFS($E$3:Комплекты[[#This Row],[Комплект]],Комплекты[[#This Row],[Комплект]])</f>
        <v/>
      </c>
      <c r="D180" s="310" t="n">
        <v>46043</v>
      </c>
      <c r="E180" s="311" t="n">
        <v>4441000500</v>
      </c>
      <c r="F180" s="302" t="n">
        <v>2</v>
      </c>
      <c r="G180" s="313" t="n">
        <v>4493792810</v>
      </c>
      <c r="H180" s="302" t="n">
        <v>1</v>
      </c>
      <c r="I180" s="399">
        <f>INDEX(База[],MATCH(Комплекты[[#This Row],[Обозначение]],База[Артикул],0),MATCH(I$2,База[#Headers],0))</f>
        <v/>
      </c>
      <c r="J180" s="399">
        <f>INDEX(База[],MATCH(Комплекты[[#This Row],[Комплект]],База[Артикул],0),MATCH("наименование",База[#Headers],0))</f>
        <v/>
      </c>
      <c r="K180" s="399" t="n"/>
      <c r="L18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0" s="699">
        <f>IF(IFERROR(MATCH("нет",Комплекты[[#This Row],[   ]:[АВТОВИК]],0)&gt;0,),"НЕТ","ОК")</f>
        <v/>
      </c>
      <c r="O180" s="699" t="n"/>
      <c r="P18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1">
      <c r="A181" s="309">
        <f>ROW()-ROW(Комплекты[[#Headers],[№]])</f>
        <v/>
      </c>
      <c r="B181" s="309">
        <f>Комплекты[[#This Row],[Пр]]&amp;"_"&amp;Комплекты[[#This Row],[Обозначение]]</f>
        <v/>
      </c>
      <c r="C181" s="309">
        <f>COUNTIFS($E$3:Комплекты[[#This Row],[Комплект]],Комплекты[[#This Row],[Комплект]])</f>
        <v/>
      </c>
      <c r="D181" s="310" t="n">
        <v>46043</v>
      </c>
      <c r="E181" s="311" t="n">
        <v>4441000500</v>
      </c>
      <c r="F181" s="302" t="n">
        <v>2</v>
      </c>
      <c r="G181" s="313" t="n">
        <v>4497490300</v>
      </c>
      <c r="H181" s="302" t="n">
        <v>4</v>
      </c>
      <c r="I181" s="399">
        <f>INDEX(База[],MATCH(Комплекты[[#This Row],[Обозначение]],База[Артикул],0),MATCH(I$2,База[#Headers],0))</f>
        <v/>
      </c>
      <c r="J181" s="399">
        <f>INDEX(База[],MATCH(Комплекты[[#This Row],[Комплект]],База[Артикул],0),MATCH("наименование",База[#Headers],0))</f>
        <v/>
      </c>
      <c r="K181" s="399" t="n"/>
      <c r="L18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1" s="699">
        <f>IF(IFERROR(MATCH("нет",Комплекты[[#This Row],[   ]:[АВТОВИК]],0)&gt;0,),"НЕТ","ОК")</f>
        <v/>
      </c>
      <c r="O181" s="699" t="n"/>
      <c r="P18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2">
      <c r="A182" s="309">
        <f>ROW()-ROW(Комплекты[[#Headers],[№]])</f>
        <v/>
      </c>
      <c r="B182" s="309">
        <f>Комплекты[[#This Row],[Пр]]&amp;"_"&amp;Комплекты[[#This Row],[Обозначение]]</f>
        <v/>
      </c>
      <c r="C182" s="309">
        <f>COUNTIFS($E$3:Комплекты[[#This Row],[Комплект]],Комплекты[[#This Row],[Комплект]])</f>
        <v/>
      </c>
      <c r="D182" s="310" t="n">
        <v>46043</v>
      </c>
      <c r="E182" s="311" t="n">
        <v>4441000500</v>
      </c>
      <c r="F182" s="302" t="n">
        <v>2</v>
      </c>
      <c r="G182" s="313" t="n">
        <v>9522010010</v>
      </c>
      <c r="H182" s="302" t="n">
        <v>1</v>
      </c>
      <c r="I182" s="399">
        <f>INDEX(База[],MATCH(Комплекты[[#This Row],[Обозначение]],База[Артикул],0),MATCH(I$2,База[#Headers],0))</f>
        <v/>
      </c>
      <c r="J182" s="399">
        <f>INDEX(База[],MATCH(Комплекты[[#This Row],[Комплект]],База[Артикул],0),MATCH("наименование",База[#Headers],0))</f>
        <v/>
      </c>
      <c r="K182" s="399" t="n"/>
      <c r="L18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2" s="699">
        <f>IF(IFERROR(MATCH("нет",Комплекты[[#This Row],[   ]:[АВТОВИК]],0)&gt;0,),"НЕТ","ОК")</f>
        <v/>
      </c>
      <c r="O182" s="699" t="n"/>
      <c r="P18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3">
      <c r="A183" s="309">
        <f>ROW()-ROW(Комплекты[[#Headers],[№]])</f>
        <v/>
      </c>
      <c r="B183" s="309">
        <f>Комплекты[[#This Row],[Пр]]&amp;"_"&amp;Комплекты[[#This Row],[Обозначение]]</f>
        <v/>
      </c>
      <c r="C183" s="309">
        <f>COUNTIFS($E$3:Комплекты[[#This Row],[Комплект]],Комплекты[[#This Row],[Комплект]])</f>
        <v/>
      </c>
      <c r="D183" s="310" t="n">
        <v>46043</v>
      </c>
      <c r="E183" s="311" t="n">
        <v>4441000500</v>
      </c>
      <c r="F183" s="302" t="n">
        <v>2</v>
      </c>
      <c r="G183" s="313" t="n">
        <v>9522010020</v>
      </c>
      <c r="H183" s="302" t="n">
        <v>1</v>
      </c>
      <c r="I183" s="399">
        <f>INDEX(База[],MATCH(Комплекты[[#This Row],[Обозначение]],База[Артикул],0),MATCH(I$2,База[#Headers],0))</f>
        <v/>
      </c>
      <c r="J183" s="399">
        <f>INDEX(База[],MATCH(Комплекты[[#This Row],[Комплект]],База[Артикул],0),MATCH("наименование",База[#Headers],0))</f>
        <v/>
      </c>
      <c r="K183" s="399" t="n"/>
      <c r="L18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3" s="699">
        <f>IF(IFERROR(MATCH("нет",Комплекты[[#This Row],[   ]:[АВТОВИК]],0)&gt;0,),"НЕТ","ОК")</f>
        <v/>
      </c>
      <c r="O183" s="699" t="n"/>
      <c r="P18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4">
      <c r="A184" s="309">
        <f>ROW()-ROW(Комплекты[[#Headers],[№]])</f>
        <v/>
      </c>
      <c r="B184" s="309">
        <f>Комплекты[[#This Row],[Пр]]&amp;"_"&amp;Комплекты[[#This Row],[Обозначение]]</f>
        <v/>
      </c>
      <c r="C184" s="309">
        <f>COUNTIFS($E$3:Комплекты[[#This Row],[Комплект]],Комплекты[[#This Row],[Комплект]])</f>
        <v/>
      </c>
      <c r="D184" s="310" t="n">
        <v>46043</v>
      </c>
      <c r="E184" s="311" t="n">
        <v>4441000500</v>
      </c>
      <c r="F184" s="302" t="n">
        <v>2</v>
      </c>
      <c r="G184" s="313" t="n">
        <v>9710020400</v>
      </c>
      <c r="H184" s="302" t="n">
        <v>1</v>
      </c>
      <c r="I184" s="399">
        <f>INDEX(База[],MATCH(Комплекты[[#This Row],[Обозначение]],База[Артикул],0),MATCH(I$2,База[#Headers],0))</f>
        <v/>
      </c>
      <c r="J184" s="399">
        <f>INDEX(База[],MATCH(Комплекты[[#This Row],[Комплект]],База[Артикул],0),MATCH("наименование",База[#Headers],0))</f>
        <v/>
      </c>
      <c r="K184" s="399" t="n"/>
      <c r="L18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4" s="699">
        <f>IF(IFERROR(MATCH("нет",Комплекты[[#This Row],[   ]:[АВТОВИК]],0)&gt;0,),"НЕТ","ОК")</f>
        <v/>
      </c>
      <c r="O184" s="699" t="n"/>
      <c r="P18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5">
      <c r="A185" s="309">
        <f>ROW()-ROW(Комплекты[[#Headers],[№]])</f>
        <v/>
      </c>
      <c r="B185" s="309">
        <f>Комплекты[[#This Row],[Пр]]&amp;"_"&amp;Комплекты[[#This Row],[Обозначение]]</f>
        <v/>
      </c>
      <c r="C185" s="309">
        <f>COUNTIFS($E$3:Комплекты[[#This Row],[Комплект]],Комплекты[[#This Row],[Комплект]])</f>
        <v/>
      </c>
      <c r="D185" s="310" t="n">
        <v>46048</v>
      </c>
      <c r="E185" s="311" t="n">
        <v>4441000530</v>
      </c>
      <c r="F185" s="302" t="n">
        <v>2</v>
      </c>
      <c r="G185" s="313" t="n">
        <v>4491731200</v>
      </c>
      <c r="H185" s="302" t="n">
        <v>1</v>
      </c>
      <c r="I185" s="399">
        <f>INDEX(База[],MATCH(Комплекты[[#This Row],[Обозначение]],База[Артикул],0),MATCH(I$2,База[#Headers],0))</f>
        <v/>
      </c>
      <c r="J185" s="399">
        <f>INDEX(База[],MATCH(Комплекты[[#This Row],[Комплект]],База[Артикул],0),MATCH("наименование",База[#Headers],0))</f>
        <v/>
      </c>
      <c r="K185" s="399" t="n"/>
      <c r="L18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5" s="699">
        <f>IF(IFERROR(MATCH("нет",Комплекты[[#This Row],[   ]:[АВТОВИК]],0)&gt;0,),"НЕТ","ОК")</f>
        <v/>
      </c>
      <c r="O185" s="699" t="n"/>
      <c r="P18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6">
      <c r="A186" s="309">
        <f>ROW()-ROW(Комплекты[[#Headers],[№]])</f>
        <v/>
      </c>
      <c r="B186" s="309">
        <f>Комплекты[[#This Row],[Пр]]&amp;"_"&amp;Комплекты[[#This Row],[Обозначение]]</f>
        <v/>
      </c>
      <c r="C186" s="309">
        <f>COUNTIFS($E$3:Комплекты[[#This Row],[Комплект]],Комплекты[[#This Row],[Комплект]])</f>
        <v/>
      </c>
      <c r="D186" s="310" t="n">
        <v>46048</v>
      </c>
      <c r="E186" s="311" t="n">
        <v>4441000530</v>
      </c>
      <c r="F186" s="302" t="n">
        <v>2</v>
      </c>
      <c r="G186" s="313" t="n">
        <v>4497230300</v>
      </c>
      <c r="H186" s="302" t="n">
        <v>2</v>
      </c>
      <c r="I186" s="399">
        <f>INDEX(База[],MATCH(Комплекты[[#This Row],[Обозначение]],База[Артикул],0),MATCH(I$2,База[#Headers],0))</f>
        <v/>
      </c>
      <c r="J186" s="399">
        <f>INDEX(База[],MATCH(Комплекты[[#This Row],[Комплект]],База[Артикул],0),MATCH("наименование",База[#Headers],0))</f>
        <v/>
      </c>
      <c r="K186" s="399" t="n"/>
      <c r="L18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6" s="699">
        <f>IF(IFERROR(MATCH("нет",Комплекты[[#This Row],[   ]:[АВТОВИК]],0)&gt;0,),"НЕТ","ОК")</f>
        <v/>
      </c>
      <c r="O186" s="699" t="n"/>
      <c r="P18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7">
      <c r="A187" s="309">
        <f>ROW()-ROW(Комплекты[[#Headers],[№]])</f>
        <v/>
      </c>
      <c r="B187" s="309">
        <f>Комплекты[[#This Row],[Пр]]&amp;"_"&amp;Комплекты[[#This Row],[Обозначение]]</f>
        <v/>
      </c>
      <c r="C187" s="309">
        <f>COUNTIFS($E$3:Комплекты[[#This Row],[Комплект]],Комплекты[[#This Row],[Комплект]])</f>
        <v/>
      </c>
      <c r="D187" s="310" t="n">
        <v>46048</v>
      </c>
      <c r="E187" s="311" t="n">
        <v>4441000530</v>
      </c>
      <c r="F187" s="302" t="n">
        <v>2</v>
      </c>
      <c r="G187" s="313" t="n">
        <v>4801020640</v>
      </c>
      <c r="H187" s="302" t="n">
        <v>1</v>
      </c>
      <c r="I187" s="399">
        <f>INDEX(База[],MATCH(Комплекты[[#This Row],[Обозначение]],База[Артикул],0),MATCH(I$2,База[#Headers],0))</f>
        <v/>
      </c>
      <c r="J187" s="399">
        <f>INDEX(База[],MATCH(Комплекты[[#This Row],[Комплект]],База[Артикул],0),MATCH("наименование",База[#Headers],0))</f>
        <v/>
      </c>
      <c r="K187" s="399" t="n"/>
      <c r="L18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7" s="699">
        <f>IF(IFERROR(MATCH("нет",Комплекты[[#This Row],[   ]:[АВТОВИК]],0)&gt;0,),"НЕТ","ОК")</f>
        <v/>
      </c>
      <c r="O187" s="699" t="n"/>
      <c r="P18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8">
      <c r="A188" s="309">
        <f>ROW()-ROW(Комплекты[[#Headers],[№]])</f>
        <v/>
      </c>
      <c r="B188" s="309">
        <f>Комплекты[[#This Row],[Пр]]&amp;"_"&amp;Комплекты[[#This Row],[Обозначение]]</f>
        <v/>
      </c>
      <c r="C188" s="309">
        <f>COUNTIFS($E$3:Комплекты[[#This Row],[Комплект]],Комплекты[[#This Row],[Комплект]])</f>
        <v/>
      </c>
      <c r="D188" s="310" t="n">
        <v>46048</v>
      </c>
      <c r="E188" s="311" t="n">
        <v>4441000530</v>
      </c>
      <c r="F188" s="302" t="n">
        <v>2</v>
      </c>
      <c r="G188" s="313" t="n">
        <v>9522010010</v>
      </c>
      <c r="H188" s="302" t="n">
        <v>1</v>
      </c>
      <c r="I188" s="399">
        <f>INDEX(База[],MATCH(Комплекты[[#This Row],[Обозначение]],База[Артикул],0),MATCH(I$2,База[#Headers],0))</f>
        <v/>
      </c>
      <c r="J188" s="399">
        <f>INDEX(База[],MATCH(Комплекты[[#This Row],[Комплект]],База[Артикул],0),MATCH("наименование",База[#Headers],0))</f>
        <v/>
      </c>
      <c r="K188" s="399" t="n"/>
      <c r="L18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8" s="699">
        <f>IF(IFERROR(MATCH("нет",Комплекты[[#This Row],[   ]:[АВТОВИК]],0)&gt;0,),"НЕТ","ОК")</f>
        <v/>
      </c>
      <c r="O188" s="699" t="n"/>
      <c r="P18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89">
      <c r="A189" s="309">
        <f>ROW()-ROW(Комплекты[[#Headers],[№]])</f>
        <v/>
      </c>
      <c r="B189" s="309">
        <f>Комплекты[[#This Row],[Пр]]&amp;"_"&amp;Комплекты[[#This Row],[Обозначение]]</f>
        <v/>
      </c>
      <c r="C189" s="309">
        <f>COUNTIFS($E$3:Комплекты[[#This Row],[Комплект]],Комплекты[[#This Row],[Комплект]])</f>
        <v/>
      </c>
      <c r="D189" s="310" t="n">
        <v>46048</v>
      </c>
      <c r="E189" s="311" t="n">
        <v>4441000530</v>
      </c>
      <c r="F189" s="302" t="n">
        <v>2</v>
      </c>
      <c r="G189" s="313" t="n">
        <v>9522010020</v>
      </c>
      <c r="H189" s="302" t="n">
        <v>1</v>
      </c>
      <c r="I189" s="399">
        <f>INDEX(База[],MATCH(Комплекты[[#This Row],[Обозначение]],База[Артикул],0),MATCH(I$2,База[#Headers],0))</f>
        <v/>
      </c>
      <c r="J189" s="399">
        <f>INDEX(База[],MATCH(Комплекты[[#This Row],[Комплект]],База[Артикул],0),MATCH("наименование",База[#Headers],0))</f>
        <v/>
      </c>
      <c r="K189" s="399" t="n"/>
      <c r="L18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8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89" s="699">
        <f>IF(IFERROR(MATCH("нет",Комплекты[[#This Row],[   ]:[АВТОВИК]],0)&gt;0,),"НЕТ","ОК")</f>
        <v/>
      </c>
      <c r="O189" s="699" t="n"/>
      <c r="P18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8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8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8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8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8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8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8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0">
      <c r="A190" s="314">
        <f>ROW()-ROW(Комплекты[[#Headers],[№]])</f>
        <v/>
      </c>
      <c r="B190" s="314">
        <f>Комплекты[[#This Row],[Пр]]&amp;"_"&amp;Комплекты[[#This Row],[Обозначение]]</f>
        <v/>
      </c>
      <c r="C190" s="314">
        <f>COUNTIFS($E$3:Комплекты[[#This Row],[Комплект]],Комплекты[[#This Row],[Комплект]])</f>
        <v/>
      </c>
      <c r="D190" s="315" t="n">
        <v>46048</v>
      </c>
      <c r="E190" s="316" t="n">
        <v>4441000530</v>
      </c>
      <c r="F190" s="303" t="n">
        <v>2</v>
      </c>
      <c r="G190" s="317" t="n">
        <v>9710029000</v>
      </c>
      <c r="H190" s="303" t="n">
        <v>1</v>
      </c>
      <c r="I190" s="705">
        <f>INDEX(База[],MATCH(Комплекты[[#This Row],[Обозначение]],База[Артикул],0),MATCH(I$2,База[#Headers],0))</f>
        <v/>
      </c>
      <c r="J190" s="705">
        <f>INDEX(База[],MATCH(Комплекты[[#This Row],[Комплект]],База[Артикул],0),MATCH("наименование",База[#Headers],0))</f>
        <v/>
      </c>
      <c r="K190" s="705" t="n"/>
      <c r="L190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0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0" s="707">
        <f>IF(IFERROR(MATCH("нет",Комплекты[[#This Row],[   ]:[АВТОВИК]],0)&gt;0,),"НЕТ","ОК")</f>
        <v/>
      </c>
      <c r="O190" s="707" t="n"/>
      <c r="P190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0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0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0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0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0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0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0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1">
      <c r="A191" s="309">
        <f>ROW()-ROW(Комплекты[[#Headers],[№]])</f>
        <v/>
      </c>
      <c r="B191" s="309">
        <f>Комплекты[[#This Row],[Пр]]&amp;"_"&amp;Комплекты[[#This Row],[Обозначение]]</f>
        <v/>
      </c>
      <c r="C191" s="309">
        <f>COUNTIFS($E$3:Комплекты[[#This Row],[Комплект]],Комплекты[[#This Row],[Комплект]])</f>
        <v/>
      </c>
      <c r="D191" s="310" t="n">
        <v>46052</v>
      </c>
      <c r="E191" s="311" t="n">
        <v>4441000550</v>
      </c>
      <c r="F191" s="302" t="n">
        <v>2</v>
      </c>
      <c r="G191" s="313" t="n">
        <v>4462907000</v>
      </c>
      <c r="H191" s="302" t="n">
        <v>1</v>
      </c>
      <c r="I191" s="399">
        <f>INDEX(База[],MATCH(Комплекты[[#This Row],[Обозначение]],База[Артикул],0),MATCH(I$2,База[#Headers],0))</f>
        <v/>
      </c>
      <c r="J191" s="399">
        <f>INDEX(База[],MATCH(Комплекты[[#This Row],[Комплект]],База[Артикул],0),MATCH("наименование",База[#Headers],0))</f>
        <v/>
      </c>
      <c r="K191" s="399" t="n"/>
      <c r="L19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1" s="699">
        <f>IF(IFERROR(MATCH("нет",Комплекты[[#This Row],[   ]:[АВТОВИК]],0)&gt;0,),"НЕТ","ОК")</f>
        <v/>
      </c>
      <c r="O191" s="699" t="n"/>
      <c r="P19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2">
      <c r="A192" s="309">
        <f>ROW()-ROW(Комплекты[[#Headers],[№]])</f>
        <v/>
      </c>
      <c r="B192" s="309">
        <f>Комплекты[[#This Row],[Пр]]&amp;"_"&amp;Комплекты[[#This Row],[Обозначение]]</f>
        <v/>
      </c>
      <c r="C192" s="309">
        <f>COUNTIFS($E$3:Комплекты[[#This Row],[Комплект]],Комплекты[[#This Row],[Комплект]])</f>
        <v/>
      </c>
      <c r="D192" s="310" t="n">
        <v>46052</v>
      </c>
      <c r="E192" s="311" t="n">
        <v>4441000550</v>
      </c>
      <c r="F192" s="302" t="n">
        <v>2</v>
      </c>
      <c r="G192" s="313" t="n">
        <v>4499271200</v>
      </c>
      <c r="H192" s="302" t="n">
        <v>1</v>
      </c>
      <c r="I192" s="399">
        <f>INDEX(База[],MATCH(Комплекты[[#This Row],[Обозначение]],База[Артикул],0),MATCH(I$2,База[#Headers],0))</f>
        <v/>
      </c>
      <c r="J192" s="399">
        <f>INDEX(База[],MATCH(Комплекты[[#This Row],[Комплект]],База[Артикул],0),MATCH("наименование",База[#Headers],0))</f>
        <v/>
      </c>
      <c r="K192" s="399" t="n"/>
      <c r="L19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2" s="699">
        <f>IF(IFERROR(MATCH("нет",Комплекты[[#This Row],[   ]:[АВТОВИК]],0)&gt;0,),"НЕТ","ОК")</f>
        <v/>
      </c>
      <c r="O192" s="699" t="n"/>
      <c r="P19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3">
      <c r="A193" s="425">
        <f>ROW()-ROW(Комплекты[[#Headers],[№]])</f>
        <v/>
      </c>
      <c r="B193" s="309">
        <f>Комплекты[[#This Row],[Пр]]&amp;"_"&amp;Комплекты[[#This Row],[Обозначение]]</f>
        <v/>
      </c>
      <c r="C193" s="309">
        <f>COUNTIFS($E$3:Комплекты[[#This Row],[Комплект]],Комплекты[[#This Row],[Комплект]])</f>
        <v/>
      </c>
      <c r="D193" s="426" t="n">
        <v>46059</v>
      </c>
      <c r="E193" s="423" t="n">
        <v>4441000590</v>
      </c>
      <c r="F193" s="427" t="n">
        <v>2</v>
      </c>
      <c r="G193" s="428" t="n">
        <v>4491731200</v>
      </c>
      <c r="H193" s="427" t="n">
        <v>1</v>
      </c>
      <c r="I193" s="600">
        <f>INDEX(База[],MATCH(Комплекты[[#This Row],[Обозначение]],База[Артикул],0),MATCH(I$2,База[#Headers],0))</f>
        <v/>
      </c>
      <c r="J193" s="399">
        <f>INDEX(База[],MATCH(Комплекты[[#This Row],[Комплект]],База[Артикул],0),MATCH("наименование",База[#Headers],0))</f>
        <v/>
      </c>
      <c r="K193" s="399" t="n"/>
      <c r="L193" s="70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3" s="70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3" s="709">
        <f>IF(IFERROR(MATCH("нет",Комплекты[[#This Row],[   ]:[АВТОВИК]],0)&gt;0,),"НЕТ","ОК")</f>
        <v/>
      </c>
      <c r="O193" s="699" t="n"/>
      <c r="P19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4">
      <c r="A194" s="425">
        <f>ROW()-ROW(Комплекты[[#Headers],[№]])</f>
        <v/>
      </c>
      <c r="B194" s="309">
        <f>Комплекты[[#This Row],[Пр]]&amp;"_"&amp;Комплекты[[#This Row],[Обозначение]]</f>
        <v/>
      </c>
      <c r="C194" s="309">
        <f>COUNTIFS($E$3:Комплекты[[#This Row],[Комплект]],Комплекты[[#This Row],[Комплект]])</f>
        <v/>
      </c>
      <c r="D194" s="426" t="n">
        <v>46059</v>
      </c>
      <c r="E194" s="423" t="n">
        <v>4441000590</v>
      </c>
      <c r="F194" s="427" t="n">
        <v>2</v>
      </c>
      <c r="G194" s="428" t="n">
        <v>4497230300</v>
      </c>
      <c r="H194" s="427" t="n">
        <v>4</v>
      </c>
      <c r="I194" s="600">
        <f>INDEX(База[],MATCH(Комплекты[[#This Row],[Обозначение]],База[Артикул],0),MATCH(I$2,База[#Headers],0))</f>
        <v/>
      </c>
      <c r="J194" s="399">
        <f>INDEX(База[],MATCH(Комплекты[[#This Row],[Комплект]],База[Артикул],0),MATCH("наименование",База[#Headers],0))</f>
        <v/>
      </c>
      <c r="K194" s="399" t="n"/>
      <c r="L194" s="70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4" s="70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4" s="709">
        <f>IF(IFERROR(MATCH("нет",Комплекты[[#This Row],[   ]:[АВТОВИК]],0)&gt;0,),"НЕТ","ОК")</f>
        <v/>
      </c>
      <c r="O194" s="699" t="n"/>
      <c r="P19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5">
      <c r="A195" s="425">
        <f>ROW()-ROW(Комплекты[[#Headers],[№]])</f>
        <v/>
      </c>
      <c r="B195" s="309">
        <f>Комплекты[[#This Row],[Пр]]&amp;"_"&amp;Комплекты[[#This Row],[Обозначение]]</f>
        <v/>
      </c>
      <c r="C195" s="309">
        <f>COUNTIFS($E$3:Комплекты[[#This Row],[Комплект]],Комплекты[[#This Row],[Комплект]])</f>
        <v/>
      </c>
      <c r="D195" s="426" t="n">
        <v>46059</v>
      </c>
      <c r="E195" s="423" t="n">
        <v>4441000590</v>
      </c>
      <c r="F195" s="427" t="n">
        <v>2</v>
      </c>
      <c r="G195" s="428" t="n">
        <v>4801020640</v>
      </c>
      <c r="H195" s="427" t="n">
        <v>1</v>
      </c>
      <c r="I195" s="600">
        <f>INDEX(База[],MATCH(Комплекты[[#This Row],[Обозначение]],База[Артикул],0),MATCH(I$2,База[#Headers],0))</f>
        <v/>
      </c>
      <c r="J195" s="399">
        <f>INDEX(База[],MATCH(Комплекты[[#This Row],[Комплект]],База[Артикул],0),MATCH("наименование",База[#Headers],0))</f>
        <v/>
      </c>
      <c r="K195" s="399" t="n"/>
      <c r="L195" s="70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5" s="70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5" s="709">
        <f>IF(IFERROR(MATCH("нет",Комплекты[[#This Row],[   ]:[АВТОВИК]],0)&gt;0,),"НЕТ","ОК")</f>
        <v/>
      </c>
      <c r="O195" s="699" t="n"/>
      <c r="P19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6">
      <c r="A196" s="425">
        <f>ROW()-ROW(Комплекты[[#Headers],[№]])</f>
        <v/>
      </c>
      <c r="B196" s="309">
        <f>Комплекты[[#This Row],[Пр]]&amp;"_"&amp;Комплекты[[#This Row],[Обозначение]]</f>
        <v/>
      </c>
      <c r="C196" s="309">
        <f>COUNTIFS($E$3:Комплекты[[#This Row],[Комплект]],Комплекты[[#This Row],[Комплект]])</f>
        <v/>
      </c>
      <c r="D196" s="426" t="n">
        <v>46059</v>
      </c>
      <c r="E196" s="423" t="n">
        <v>4441000590</v>
      </c>
      <c r="F196" s="427" t="n">
        <v>2</v>
      </c>
      <c r="G196" s="428" t="n">
        <v>9522010010</v>
      </c>
      <c r="H196" s="427" t="n">
        <v>1</v>
      </c>
      <c r="I196" s="600">
        <f>INDEX(База[],MATCH(Комплекты[[#This Row],[Обозначение]],База[Артикул],0),MATCH(I$2,База[#Headers],0))</f>
        <v/>
      </c>
      <c r="J196" s="399">
        <f>INDEX(База[],MATCH(Комплекты[[#This Row],[Комплект]],База[Артикул],0),MATCH("наименование",База[#Headers],0))</f>
        <v/>
      </c>
      <c r="K196" s="399" t="n"/>
      <c r="L196" s="70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6" s="70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6" s="709">
        <f>IF(IFERROR(MATCH("нет",Комплекты[[#This Row],[   ]:[АВТОВИК]],0)&gt;0,),"НЕТ","ОК")</f>
        <v/>
      </c>
      <c r="O196" s="699" t="n"/>
      <c r="P19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7">
      <c r="A197" s="425">
        <f>ROW()-ROW(Комплекты[[#Headers],[№]])</f>
        <v/>
      </c>
      <c r="B197" s="309">
        <f>Комплекты[[#This Row],[Пр]]&amp;"_"&amp;Комплекты[[#This Row],[Обозначение]]</f>
        <v/>
      </c>
      <c r="C197" s="309">
        <f>COUNTIFS($E$3:Комплекты[[#This Row],[Комплект]],Комплекты[[#This Row],[Комплект]])</f>
        <v/>
      </c>
      <c r="D197" s="426" t="n">
        <v>46059</v>
      </c>
      <c r="E197" s="423" t="n">
        <v>4441000590</v>
      </c>
      <c r="F197" s="427" t="n">
        <v>2</v>
      </c>
      <c r="G197" s="428" t="n">
        <v>9522010020</v>
      </c>
      <c r="H197" s="427" t="n">
        <v>1</v>
      </c>
      <c r="I197" s="600">
        <f>INDEX(База[],MATCH(Комплекты[[#This Row],[Обозначение]],База[Артикул],0),MATCH(I$2,База[#Headers],0))</f>
        <v/>
      </c>
      <c r="J197" s="399">
        <f>INDEX(База[],MATCH(Комплекты[[#This Row],[Комплект]],База[Артикул],0),MATCH("наименование",База[#Headers],0))</f>
        <v/>
      </c>
      <c r="K197" s="399" t="n"/>
      <c r="L197" s="70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7" s="70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7" s="709">
        <f>IF(IFERROR(MATCH("нет",Комплекты[[#This Row],[   ]:[АВТОВИК]],0)&gt;0,),"НЕТ","ОК")</f>
        <v/>
      </c>
      <c r="O197" s="699" t="n"/>
      <c r="P19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8">
      <c r="A198" s="425">
        <f>ROW()-ROW(Комплекты[[#Headers],[№]])</f>
        <v/>
      </c>
      <c r="B198" s="309">
        <f>Комплекты[[#This Row],[Пр]]&amp;"_"&amp;Комплекты[[#This Row],[Обозначение]]</f>
        <v/>
      </c>
      <c r="C198" s="309">
        <f>COUNTIFS($E$3:Комплекты[[#This Row],[Комплект]],Комплекты[[#This Row],[Комплект]])</f>
        <v/>
      </c>
      <c r="D198" s="426" t="n">
        <v>46059</v>
      </c>
      <c r="E198" s="423" t="n">
        <v>4441000590</v>
      </c>
      <c r="F198" s="427" t="n">
        <v>2</v>
      </c>
      <c r="G198" s="428" t="n">
        <v>9710029000</v>
      </c>
      <c r="H198" s="427" t="n">
        <v>1</v>
      </c>
      <c r="I198" s="600">
        <f>INDEX(База[],MATCH(Комплекты[[#This Row],[Обозначение]],База[Артикул],0),MATCH(I$2,База[#Headers],0))</f>
        <v/>
      </c>
      <c r="J198" s="399">
        <f>INDEX(База[],MATCH(Комплекты[[#This Row],[Комплект]],База[Артикул],0),MATCH("наименование",База[#Headers],0))</f>
        <v/>
      </c>
      <c r="K198" s="399" t="n"/>
      <c r="L198" s="70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8" s="70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8" s="709">
        <f>IF(IFERROR(MATCH("нет",Комплекты[[#This Row],[   ]:[АВТОВИК]],0)&gt;0,),"НЕТ","ОК")</f>
        <v/>
      </c>
      <c r="O198" s="699" t="n"/>
      <c r="P19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199">
      <c r="A199" s="309">
        <f>ROW()-ROW(Комплекты[[#Headers],[№]])</f>
        <v/>
      </c>
      <c r="B199" s="309">
        <f>Комплекты[[#This Row],[Пр]]&amp;"_"&amp;Комплекты[[#This Row],[Обозначение]]</f>
        <v/>
      </c>
      <c r="C199" s="309">
        <f>COUNTIFS($E$3:Комплекты[[#This Row],[Комплект]],Комплекты[[#This Row],[Комплект]])</f>
        <v/>
      </c>
      <c r="D199" s="310" t="n">
        <v>46063</v>
      </c>
      <c r="E199" s="311" t="n">
        <v>4441000600</v>
      </c>
      <c r="F199" s="302" t="n">
        <v>1</v>
      </c>
      <c r="G199" s="313" t="n">
        <v>4334010030</v>
      </c>
      <c r="H199" s="302" t="n">
        <v>1</v>
      </c>
      <c r="I199" s="399">
        <f>INDEX(База[],MATCH(Комплекты[[#This Row],[Обозначение]],База[Артикул],0),MATCH(I$2,База[#Headers],0))</f>
        <v/>
      </c>
      <c r="J199" s="399">
        <f>INDEX(База[],MATCH(Комплекты[[#This Row],[Комплект]],База[Артикул],0),MATCH("наименование",База[#Headers],0))</f>
        <v/>
      </c>
      <c r="K199" s="399" t="n"/>
      <c r="L19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19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199" s="699">
        <f>IF(IFERROR(MATCH("нет",Комплекты[[#This Row],[   ]:[АВТОВИК]],0)&gt;0,),"НЕТ","ОК")</f>
        <v/>
      </c>
      <c r="O199" s="699" t="n"/>
      <c r="P19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19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19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19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19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19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19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19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0">
      <c r="A200" s="309">
        <f>ROW()-ROW(Комплекты[[#Headers],[№]])</f>
        <v/>
      </c>
      <c r="B200" s="309">
        <f>Комплекты[[#This Row],[Пр]]&amp;"_"&amp;Комплекты[[#This Row],[Обозначение]]</f>
        <v/>
      </c>
      <c r="C200" s="309">
        <f>COUNTIFS($E$3:Комплекты[[#This Row],[Комплект]],Комплекты[[#This Row],[Комплект]])</f>
        <v/>
      </c>
      <c r="D200" s="310" t="n">
        <v>46063</v>
      </c>
      <c r="E200" s="311" t="n">
        <v>4441000600</v>
      </c>
      <c r="F200" s="302" t="n">
        <v>1</v>
      </c>
      <c r="G200" s="313" t="n">
        <v>4491731500</v>
      </c>
      <c r="H200" s="302" t="n">
        <v>1</v>
      </c>
      <c r="I200" s="399">
        <f>INDEX(База[],MATCH(Комплекты[[#This Row],[Обозначение]],База[Артикул],0),MATCH(I$2,База[#Headers],0))</f>
        <v/>
      </c>
      <c r="J200" s="399">
        <f>INDEX(База[],MATCH(Комплекты[[#This Row],[Комплект]],База[Артикул],0),MATCH("наименование",База[#Headers],0))</f>
        <v/>
      </c>
      <c r="K200" s="399" t="n"/>
      <c r="L20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0" s="699">
        <f>IF(IFERROR(MATCH("нет",Комплекты[[#This Row],[   ]:[АВТОВИК]],0)&gt;0,),"НЕТ","ОК")</f>
        <v/>
      </c>
      <c r="O200" s="699" t="n"/>
      <c r="P20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1">
      <c r="A201" s="309">
        <f>ROW()-ROW(Комплекты[[#Headers],[№]])</f>
        <v/>
      </c>
      <c r="B201" s="309">
        <f>Комплекты[[#This Row],[Пр]]&amp;"_"&amp;Комплекты[[#This Row],[Обозначение]]</f>
        <v/>
      </c>
      <c r="C201" s="309">
        <f>COUNTIFS($E$3:Комплекты[[#This Row],[Комплект]],Комплекты[[#This Row],[Комплект]])</f>
        <v/>
      </c>
      <c r="D201" s="310" t="n">
        <v>46063</v>
      </c>
      <c r="E201" s="311" t="n">
        <v>4441000600</v>
      </c>
      <c r="F201" s="302" t="n">
        <v>1</v>
      </c>
      <c r="G201" s="313" t="n">
        <v>4494300600</v>
      </c>
      <c r="H201" s="302" t="n">
        <v>1</v>
      </c>
      <c r="I201" s="399">
        <f>INDEX(База[],MATCH(Комплекты[[#This Row],[Обозначение]],База[Артикул],0),MATCH(I$2,База[#Headers],0))</f>
        <v/>
      </c>
      <c r="J201" s="399">
        <f>INDEX(База[],MATCH(Комплекты[[#This Row],[Комплект]],База[Артикул],0),MATCH("наименование",База[#Headers],0))</f>
        <v/>
      </c>
      <c r="K201" s="399" t="n"/>
      <c r="L20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1" s="699">
        <f>IF(IFERROR(MATCH("нет",Комплекты[[#This Row],[   ]:[АВТОВИК]],0)&gt;0,),"НЕТ","ОК")</f>
        <v/>
      </c>
      <c r="O201" s="699" t="n"/>
      <c r="P20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2">
      <c r="A202" s="309">
        <f>ROW()-ROW(Комплекты[[#Headers],[№]])</f>
        <v/>
      </c>
      <c r="B202" s="309">
        <f>Комплекты[[#This Row],[Пр]]&amp;"_"&amp;Комплекты[[#This Row],[Обозначение]]</f>
        <v/>
      </c>
      <c r="C202" s="309">
        <f>COUNTIFS($E$3:Комплекты[[#This Row],[Комплект]],Комплекты[[#This Row],[Комплект]])</f>
        <v/>
      </c>
      <c r="D202" s="310" t="n">
        <v>46063</v>
      </c>
      <c r="E202" s="311" t="n">
        <v>4441000600</v>
      </c>
      <c r="F202" s="302" t="n">
        <v>1</v>
      </c>
      <c r="G202" s="313" t="n">
        <v>4497230500</v>
      </c>
      <c r="H202" s="302" t="n">
        <v>4</v>
      </c>
      <c r="I202" s="399">
        <f>INDEX(База[],MATCH(Комплекты[[#This Row],[Обозначение]],База[Артикул],0),MATCH(I$2,База[#Headers],0))</f>
        <v/>
      </c>
      <c r="J202" s="399">
        <f>INDEX(База[],MATCH(Комплекты[[#This Row],[Комплект]],База[Артикул],0),MATCH("наименование",База[#Headers],0))</f>
        <v/>
      </c>
      <c r="K202" s="399" t="n"/>
      <c r="L20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2" s="699">
        <f>IF(IFERROR(MATCH("нет",Комплекты[[#This Row],[   ]:[АВТОВИК]],0)&gt;0,),"НЕТ","ОК")</f>
        <v/>
      </c>
      <c r="O202" s="699" t="n"/>
      <c r="P20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3">
      <c r="A203" s="309">
        <f>ROW()-ROW(Комплекты[[#Headers],[№]])</f>
        <v/>
      </c>
      <c r="B203" s="309">
        <f>Комплекты[[#This Row],[Пр]]&amp;"_"&amp;Комплекты[[#This Row],[Обозначение]]</f>
        <v/>
      </c>
      <c r="C203" s="309">
        <f>COUNTIFS($E$3:Комплекты[[#This Row],[Комплект]],Комплекты[[#This Row],[Комплект]])</f>
        <v/>
      </c>
      <c r="D203" s="310" t="n">
        <v>46063</v>
      </c>
      <c r="E203" s="311" t="n">
        <v>4441000600</v>
      </c>
      <c r="F203" s="302" t="n">
        <v>1</v>
      </c>
      <c r="G203" s="313" t="n">
        <v>4630320200</v>
      </c>
      <c r="H203" s="302" t="n">
        <v>1</v>
      </c>
      <c r="I203" s="399">
        <f>INDEX(База[],MATCH(Комплекты[[#This Row],[Обозначение]],База[Артикул],0),MATCH(I$2,База[#Headers],0))</f>
        <v/>
      </c>
      <c r="J203" s="399">
        <f>INDEX(База[],MATCH(Комплекты[[#This Row],[Комплект]],База[Артикул],0),MATCH("наименование",База[#Headers],0))</f>
        <v/>
      </c>
      <c r="K203" s="399" t="n"/>
      <c r="L20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3" s="699">
        <f>IF(IFERROR(MATCH("нет",Комплекты[[#This Row],[   ]:[АВТОВИК]],0)&gt;0,),"НЕТ","ОК")</f>
        <v/>
      </c>
      <c r="O203" s="699" t="n"/>
      <c r="P20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4">
      <c r="A204" s="309">
        <f>ROW()-ROW(Комплекты[[#Headers],[№]])</f>
        <v/>
      </c>
      <c r="B204" s="309">
        <f>Комплекты[[#This Row],[Пр]]&amp;"_"&amp;Комплекты[[#This Row],[Обозначение]]</f>
        <v/>
      </c>
      <c r="C204" s="309">
        <f>COUNTIFS($E$3:Комплекты[[#This Row],[Комплект]],Комплекты[[#This Row],[Комплект]])</f>
        <v/>
      </c>
      <c r="D204" s="310" t="n">
        <v>46063</v>
      </c>
      <c r="E204" s="311" t="n">
        <v>4441000600</v>
      </c>
      <c r="F204" s="302" t="n">
        <v>1</v>
      </c>
      <c r="G204" s="313" t="n">
        <v>4640060020</v>
      </c>
      <c r="H204" s="302" t="n">
        <v>1</v>
      </c>
      <c r="I204" s="399">
        <f>INDEX(База[],MATCH(Комплекты[[#This Row],[Обозначение]],База[Артикул],0),MATCH(I$2,База[#Headers],0))</f>
        <v/>
      </c>
      <c r="J204" s="399">
        <f>INDEX(База[],MATCH(Комплекты[[#This Row],[Комплект]],База[Артикул],0),MATCH("наименование",База[#Headers],0))</f>
        <v/>
      </c>
      <c r="K204" s="399" t="n"/>
      <c r="L20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4" s="699">
        <f>IF(IFERROR(MATCH("нет",Комплекты[[#This Row],[   ]:[АВТОВИК]],0)&gt;0,),"НЕТ","ОК")</f>
        <v/>
      </c>
      <c r="O204" s="699" t="n"/>
      <c r="P20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5">
      <c r="A205" s="309">
        <f>ROW()-ROW(Комплекты[[#Headers],[№]])</f>
        <v/>
      </c>
      <c r="B205" s="309">
        <f>Комплекты[[#This Row],[Пр]]&amp;"_"&amp;Комплекты[[#This Row],[Обозначение]]</f>
        <v/>
      </c>
      <c r="C205" s="309">
        <f>COUNTIFS($E$3:Комплекты[[#This Row],[Комплект]],Комплекты[[#This Row],[Комплект]])</f>
        <v/>
      </c>
      <c r="D205" s="310" t="n">
        <v>46063</v>
      </c>
      <c r="E205" s="311" t="n">
        <v>4441000600</v>
      </c>
      <c r="F205" s="302" t="n">
        <v>1</v>
      </c>
      <c r="G205" s="313" t="n">
        <v>4801020640</v>
      </c>
      <c r="H205" s="302" t="n">
        <v>1</v>
      </c>
      <c r="I205" s="399">
        <f>INDEX(База[],MATCH(Комплекты[[#This Row],[Обозначение]],База[Артикул],0),MATCH(I$2,База[#Headers],0))</f>
        <v/>
      </c>
      <c r="J205" s="399">
        <f>INDEX(База[],MATCH(Комплекты[[#This Row],[Комплект]],База[Артикул],0),MATCH("наименование",База[#Headers],0))</f>
        <v/>
      </c>
      <c r="K205" s="399" t="n"/>
      <c r="L20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5" s="699">
        <f>IF(IFERROR(MATCH("нет",Комплекты[[#This Row],[   ]:[АВТОВИК]],0)&gt;0,),"НЕТ","ОК")</f>
        <v/>
      </c>
      <c r="O205" s="699" t="n"/>
      <c r="P20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6">
      <c r="A206" s="309">
        <f>ROW()-ROW(Комплекты[[#Headers],[№]])</f>
        <v/>
      </c>
      <c r="B206" s="309">
        <f>Комплекты[[#This Row],[Пр]]&amp;"_"&amp;Комплекты[[#This Row],[Обозначение]]</f>
        <v/>
      </c>
      <c r="C206" s="309">
        <f>COUNTIFS($E$3:Комплекты[[#This Row],[Комплект]],Комплекты[[#This Row],[Комплект]])</f>
        <v/>
      </c>
      <c r="D206" s="310" t="n">
        <v>46063</v>
      </c>
      <c r="E206" s="311" t="n">
        <v>4441000600</v>
      </c>
      <c r="F206" s="302" t="n">
        <v>1</v>
      </c>
      <c r="G206" s="313" t="n">
        <v>4802070600</v>
      </c>
      <c r="H206" s="302" t="n">
        <v>1</v>
      </c>
      <c r="I206" s="399">
        <f>INDEX(База[],MATCH(Комплекты[[#This Row],[Обозначение]],База[Артикул],0),MATCH(I$2,База[#Headers],0))</f>
        <v/>
      </c>
      <c r="J206" s="399">
        <f>INDEX(База[],MATCH(Комплекты[[#This Row],[Комплект]],База[Артикул],0),MATCH("наименование",База[#Headers],0))</f>
        <v/>
      </c>
      <c r="K206" s="399" t="n"/>
      <c r="L20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6" s="699">
        <f>IF(IFERROR(MATCH("нет",Комплекты[[#This Row],[   ]:[АВТОВИК]],0)&gt;0,),"НЕТ","ОК")</f>
        <v/>
      </c>
      <c r="O206" s="699" t="n"/>
      <c r="P20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7">
      <c r="A207" s="309">
        <f>ROW()-ROW(Комплекты[[#Headers],[№]])</f>
        <v/>
      </c>
      <c r="B207" s="309">
        <f>Комплекты[[#This Row],[Пр]]&amp;"_"&amp;Комплекты[[#This Row],[Обозначение]]</f>
        <v/>
      </c>
      <c r="C207" s="309">
        <f>COUNTIFS($E$3:Комплекты[[#This Row],[Комплект]],Комплекты[[#This Row],[Комплект]])</f>
        <v/>
      </c>
      <c r="D207" s="310" t="n">
        <v>46063</v>
      </c>
      <c r="E207" s="311" t="n">
        <v>4441000600</v>
      </c>
      <c r="F207" s="302" t="n">
        <v>1</v>
      </c>
      <c r="G207" s="313" t="n">
        <v>9522010010</v>
      </c>
      <c r="H207" s="302" t="n">
        <v>1</v>
      </c>
      <c r="I207" s="399">
        <f>INDEX(База[],MATCH(Комплекты[[#This Row],[Обозначение]],База[Артикул],0),MATCH(I$2,База[#Headers],0))</f>
        <v/>
      </c>
      <c r="J207" s="399">
        <f>INDEX(База[],MATCH(Комплекты[[#This Row],[Комплект]],База[Артикул],0),MATCH("наименование",База[#Headers],0))</f>
        <v/>
      </c>
      <c r="K207" s="399" t="n"/>
      <c r="L20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7" s="699">
        <f>IF(IFERROR(MATCH("нет",Комплекты[[#This Row],[   ]:[АВТОВИК]],0)&gt;0,),"НЕТ","ОК")</f>
        <v/>
      </c>
      <c r="O207" s="699" t="n"/>
      <c r="P20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8">
      <c r="A208" s="309">
        <f>ROW()-ROW(Комплекты[[#Headers],[№]])</f>
        <v/>
      </c>
      <c r="B208" s="309">
        <f>Комплекты[[#This Row],[Пр]]&amp;"_"&amp;Комплекты[[#This Row],[Обозначение]]</f>
        <v/>
      </c>
      <c r="C208" s="309">
        <f>COUNTIFS($E$3:Комплекты[[#This Row],[Комплект]],Комплекты[[#This Row],[Комплект]])</f>
        <v/>
      </c>
      <c r="D208" s="310" t="n">
        <v>46063</v>
      </c>
      <c r="E208" s="311" t="n">
        <v>4441000600</v>
      </c>
      <c r="F208" s="302" t="n">
        <v>1</v>
      </c>
      <c r="G208" s="313" t="n">
        <v>9522010020</v>
      </c>
      <c r="H208" s="302" t="n">
        <v>1</v>
      </c>
      <c r="I208" s="399">
        <f>INDEX(База[],MATCH(Комплекты[[#This Row],[Обозначение]],База[Артикул],0),MATCH(I$2,База[#Headers],0))</f>
        <v/>
      </c>
      <c r="J208" s="399">
        <f>INDEX(База[],MATCH(Комплекты[[#This Row],[Комплект]],База[Артикул],0),MATCH("наименование",База[#Headers],0))</f>
        <v/>
      </c>
      <c r="K208" s="399" t="n"/>
      <c r="L20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8" s="699">
        <f>IF(IFERROR(MATCH("нет",Комплекты[[#This Row],[   ]:[АВТОВИК]],0)&gt;0,),"НЕТ","ОК")</f>
        <v/>
      </c>
      <c r="O208" s="699" t="n"/>
      <c r="P20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09">
      <c r="A209" s="309">
        <f>ROW()-ROW(Комплекты[[#Headers],[№]])</f>
        <v/>
      </c>
      <c r="B209" s="309">
        <f>Комплекты[[#This Row],[Пр]]&amp;"_"&amp;Комплекты[[#This Row],[Обозначение]]</f>
        <v/>
      </c>
      <c r="C209" s="309">
        <f>COUNTIFS($E$3:Комплекты[[#This Row],[Комплект]],Комплекты[[#This Row],[Комплект]])</f>
        <v/>
      </c>
      <c r="D209" s="310" t="n">
        <v>46108</v>
      </c>
      <c r="E209" s="311" t="n">
        <v>4441000700</v>
      </c>
      <c r="F209" s="302" t="n">
        <v>1</v>
      </c>
      <c r="G209" s="313" t="n">
        <v>4491731200</v>
      </c>
      <c r="H209" s="302" t="n">
        <v>1</v>
      </c>
      <c r="I209" s="399">
        <f>INDEX(База[],MATCH(Комплекты[[#This Row],[Обозначение]],База[Артикул],0),MATCH(I$2,База[#Headers],0))</f>
        <v/>
      </c>
      <c r="J209" s="399">
        <f>INDEX(База[],MATCH(Комплекты[[#This Row],[Комплект]],База[Артикул],0),MATCH("наименование",База[#Headers],0))</f>
        <v/>
      </c>
      <c r="K209" s="399" t="n"/>
      <c r="L20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0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09" s="699">
        <f>IF(IFERROR(MATCH("нет",Комплекты[[#This Row],[   ]:[АВТОВИК]],0)&gt;0,),"НЕТ","ОК")</f>
        <v/>
      </c>
      <c r="O209" s="699" t="n"/>
      <c r="P20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0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0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0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0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0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0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0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0">
      <c r="A210" s="309">
        <f>ROW()-ROW(Комплекты[[#Headers],[№]])</f>
        <v/>
      </c>
      <c r="B210" s="309">
        <f>Комплекты[[#This Row],[Пр]]&amp;"_"&amp;Комплекты[[#This Row],[Обозначение]]</f>
        <v/>
      </c>
      <c r="C210" s="309">
        <f>COUNTIFS($E$3:Комплекты[[#This Row],[Комплект]],Комплекты[[#This Row],[Комплект]])</f>
        <v/>
      </c>
      <c r="D210" s="310" t="n">
        <v>46108</v>
      </c>
      <c r="E210" s="311" t="n">
        <v>4441000700</v>
      </c>
      <c r="F210" s="302" t="n">
        <v>1</v>
      </c>
      <c r="G210" s="313" t="n">
        <v>4497230500</v>
      </c>
      <c r="H210" s="302" t="n">
        <v>2</v>
      </c>
      <c r="I210" s="399">
        <f>INDEX(База[],MATCH(Комплекты[[#This Row],[Обозначение]],База[Артикул],0),MATCH(I$2,База[#Headers],0))</f>
        <v/>
      </c>
      <c r="J210" s="399">
        <f>INDEX(База[],MATCH(Комплекты[[#This Row],[Комплект]],База[Артикул],0),MATCH("наименование",База[#Headers],0))</f>
        <v/>
      </c>
      <c r="K210" s="399" t="n"/>
      <c r="L21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0" s="699">
        <f>IF(IFERROR(MATCH("нет",Комплекты[[#This Row],[   ]:[АВТОВИК]],0)&gt;0,),"НЕТ","ОК")</f>
        <v/>
      </c>
      <c r="O210" s="699" t="n"/>
      <c r="P21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1">
      <c r="A211" s="309">
        <f>ROW()-ROW(Комплекты[[#Headers],[№]])</f>
        <v/>
      </c>
      <c r="B211" s="309">
        <f>Комплекты[[#This Row],[Пр]]&amp;"_"&amp;Комплекты[[#This Row],[Обозначение]]</f>
        <v/>
      </c>
      <c r="C211" s="309">
        <f>COUNTIFS($E$3:Комплекты[[#This Row],[Комплект]],Комплекты[[#This Row],[Комплект]])</f>
        <v/>
      </c>
      <c r="D211" s="310" t="n">
        <v>46108</v>
      </c>
      <c r="E211" s="311" t="n">
        <v>4441000700</v>
      </c>
      <c r="F211" s="302" t="n">
        <v>1</v>
      </c>
      <c r="G211" s="313" t="n">
        <v>4801020640</v>
      </c>
      <c r="H211" s="302" t="n">
        <v>1</v>
      </c>
      <c r="I211" s="399">
        <f>INDEX(База[],MATCH(Комплекты[[#This Row],[Обозначение]],База[Артикул],0),MATCH(I$2,База[#Headers],0))</f>
        <v/>
      </c>
      <c r="J211" s="399">
        <f>INDEX(База[],MATCH(Комплекты[[#This Row],[Комплект]],База[Артикул],0),MATCH("наименование",База[#Headers],0))</f>
        <v/>
      </c>
      <c r="K211" s="399" t="n"/>
      <c r="L21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1" s="699">
        <f>IF(IFERROR(MATCH("нет",Комплекты[[#This Row],[   ]:[АВТОВИК]],0)&gt;0,),"НЕТ","ОК")</f>
        <v/>
      </c>
      <c r="O211" s="699" t="n"/>
      <c r="P21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2">
      <c r="A212" s="309">
        <f>ROW()-ROW(Комплекты[[#Headers],[№]])</f>
        <v/>
      </c>
      <c r="B212" s="309">
        <f>Комплекты[[#This Row],[Пр]]&amp;"_"&amp;Комплекты[[#This Row],[Обозначение]]</f>
        <v/>
      </c>
      <c r="C212" s="309">
        <f>COUNTIFS($E$3:Комплекты[[#This Row],[Комплект]],Комплекты[[#This Row],[Комплект]])</f>
        <v/>
      </c>
      <c r="D212" s="310" t="n">
        <v>46108</v>
      </c>
      <c r="E212" s="311" t="n">
        <v>4441000700</v>
      </c>
      <c r="F212" s="302" t="n">
        <v>1</v>
      </c>
      <c r="G212" s="313" t="n">
        <v>9522010010</v>
      </c>
      <c r="H212" s="302" t="n">
        <v>1</v>
      </c>
      <c r="I212" s="399">
        <f>INDEX(База[],MATCH(Комплекты[[#This Row],[Обозначение]],База[Артикул],0),MATCH(I$2,База[#Headers],0))</f>
        <v/>
      </c>
      <c r="J212" s="399">
        <f>INDEX(База[],MATCH(Комплекты[[#This Row],[Комплект]],База[Артикул],0),MATCH("наименование",База[#Headers],0))</f>
        <v/>
      </c>
      <c r="K212" s="399" t="n"/>
      <c r="L21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2" s="699">
        <f>IF(IFERROR(MATCH("нет",Комплекты[[#This Row],[   ]:[АВТОВИК]],0)&gt;0,),"НЕТ","ОК")</f>
        <v/>
      </c>
      <c r="O212" s="699" t="n"/>
      <c r="P21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3">
      <c r="A213" s="314">
        <f>ROW()-ROW(Комплекты[[#Headers],[№]])</f>
        <v/>
      </c>
      <c r="B213" s="314">
        <f>Комплекты[[#This Row],[Пр]]&amp;"_"&amp;Комплекты[[#This Row],[Обозначение]]</f>
        <v/>
      </c>
      <c r="C213" s="314">
        <f>COUNTIFS($E$3:Комплекты[[#This Row],[Комплект]],Комплекты[[#This Row],[Комплект]])</f>
        <v/>
      </c>
      <c r="D213" s="315" t="n">
        <v>46108</v>
      </c>
      <c r="E213" s="316" t="n">
        <v>4441000700</v>
      </c>
      <c r="F213" s="303" t="n">
        <v>1</v>
      </c>
      <c r="G213" s="317" t="n">
        <v>9522010020</v>
      </c>
      <c r="H213" s="303" t="n">
        <v>1</v>
      </c>
      <c r="I213" s="705">
        <f>INDEX(База[],MATCH(Комплекты[[#This Row],[Обозначение]],База[Артикул],0),MATCH(I$2,База[#Headers],0))</f>
        <v/>
      </c>
      <c r="J213" s="705">
        <f>INDEX(База[],MATCH(Комплекты[[#This Row],[Комплект]],База[Артикул],0),MATCH("наименование",База[#Headers],0))</f>
        <v/>
      </c>
      <c r="K213" s="705" t="n"/>
      <c r="L213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3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3" s="707">
        <f>IF(IFERROR(MATCH("нет",Комплекты[[#This Row],[   ]:[АВТОВИК]],0)&gt;0,),"НЕТ","ОК")</f>
        <v/>
      </c>
      <c r="O213" s="707" t="n"/>
      <c r="P213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3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3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3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3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3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3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3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4">
      <c r="A214" s="309">
        <f>ROW()-ROW(Комплекты[[#Headers],[№]])</f>
        <v/>
      </c>
      <c r="B214" s="309">
        <f>Комплекты[[#This Row],[Пр]]&amp;"_"&amp;Комплекты[[#This Row],[Обозначение]]</f>
        <v/>
      </c>
      <c r="C214" s="309">
        <f>COUNTIFS($E$3:Комплекты[[#This Row],[Комплект]],Комплекты[[#This Row],[Комплект]])</f>
        <v/>
      </c>
      <c r="D214" s="310" t="n">
        <v>46108</v>
      </c>
      <c r="E214" s="311" t="n">
        <v>4441000700</v>
      </c>
      <c r="F214" s="302" t="n">
        <v>1</v>
      </c>
      <c r="G214" s="313" t="n">
        <v>9710029000</v>
      </c>
      <c r="H214" s="302" t="n">
        <v>1</v>
      </c>
      <c r="I214" s="399">
        <f>INDEX(База[],MATCH(Комплекты[[#This Row],[Обозначение]],База[Артикул],0),MATCH(I$2,База[#Headers],0))</f>
        <v/>
      </c>
      <c r="J214" s="399">
        <f>INDEX(База[],MATCH(Комплекты[[#This Row],[Комплект]],База[Артикул],0),MATCH("наименование",База[#Headers],0))</f>
        <v/>
      </c>
      <c r="K214" s="399" t="n"/>
      <c r="L21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4" s="699">
        <f>IF(IFERROR(MATCH("нет",Комплекты[[#This Row],[   ]:[АВТОВИК]],0)&gt;0,),"НЕТ","ОК")</f>
        <v/>
      </c>
      <c r="O214" s="699" t="n"/>
      <c r="P21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5">
      <c r="A215" s="309">
        <f>ROW()-ROW(Комплекты[[#Headers],[№]])</f>
        <v/>
      </c>
      <c r="B215" s="309">
        <f>Комплекты[[#This Row],[Пр]]&amp;"_"&amp;Комплекты[[#This Row],[Обозначение]]</f>
        <v/>
      </c>
      <c r="C215" s="309">
        <f>COUNTIFS($E$3:Комплекты[[#This Row],[Комплект]],Комплекты[[#This Row],[Комплект]])</f>
        <v/>
      </c>
      <c r="D215" s="310" t="n">
        <v>46108</v>
      </c>
      <c r="E215" s="311" t="n">
        <v>4441000710</v>
      </c>
      <c r="F215" s="302" t="n">
        <v>1</v>
      </c>
      <c r="G215" s="313" t="n">
        <v>4491731800</v>
      </c>
      <c r="H215" s="302" t="n">
        <v>1</v>
      </c>
      <c r="I215" s="399">
        <f>INDEX(База[],MATCH(Комплекты[[#This Row],[Обозначение]],База[Артикул],0),MATCH(I$2,База[#Headers],0))</f>
        <v/>
      </c>
      <c r="J215" s="399">
        <f>INDEX(База[],MATCH(Комплекты[[#This Row],[Комплект]],База[Артикул],0),MATCH("наименование",База[#Headers],0))</f>
        <v/>
      </c>
      <c r="K215" s="399" t="n"/>
      <c r="L21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5" s="699">
        <f>IF(IFERROR(MATCH("нет",Комплекты[[#This Row],[   ]:[АВТОВИК]],0)&gt;0,),"НЕТ","ОК")</f>
        <v/>
      </c>
      <c r="O215" s="699" t="n"/>
      <c r="P21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6">
      <c r="A216" s="309">
        <f>ROW()-ROW(Комплекты[[#Headers],[№]])</f>
        <v/>
      </c>
      <c r="B216" s="309">
        <f>Комплекты[[#This Row],[Пр]]&amp;"_"&amp;Комплекты[[#This Row],[Обозначение]]</f>
        <v/>
      </c>
      <c r="C216" s="309">
        <f>COUNTIFS($E$3:Комплекты[[#This Row],[Комплект]],Комплекты[[#This Row],[Комплект]])</f>
        <v/>
      </c>
      <c r="D216" s="310" t="n">
        <v>46108</v>
      </c>
      <c r="E216" s="311" t="n">
        <v>4441000710</v>
      </c>
      <c r="F216" s="302" t="n">
        <v>1</v>
      </c>
      <c r="G216" s="313" t="n">
        <v>4497230500</v>
      </c>
      <c r="H216" s="302" t="n">
        <v>2</v>
      </c>
      <c r="I216" s="399">
        <f>INDEX(База[],MATCH(Комплекты[[#This Row],[Обозначение]],База[Артикул],0),MATCH(I$2,База[#Headers],0))</f>
        <v/>
      </c>
      <c r="J216" s="399">
        <f>INDEX(База[],MATCH(Комплекты[[#This Row],[Комплект]],База[Артикул],0),MATCH("наименование",База[#Headers],0))</f>
        <v/>
      </c>
      <c r="K216" s="399" t="n"/>
      <c r="L21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6" s="699">
        <f>IF(IFERROR(MATCH("нет",Комплекты[[#This Row],[   ]:[АВТОВИК]],0)&gt;0,),"НЕТ","ОК")</f>
        <v/>
      </c>
      <c r="O216" s="699" t="n"/>
      <c r="P21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7">
      <c r="A217" s="309">
        <f>ROW()-ROW(Комплекты[[#Headers],[№]])</f>
        <v/>
      </c>
      <c r="B217" s="309">
        <f>Комплекты[[#This Row],[Пр]]&amp;"_"&amp;Комплекты[[#This Row],[Обозначение]]</f>
        <v/>
      </c>
      <c r="C217" s="309">
        <f>COUNTIFS($E$3:Комплекты[[#This Row],[Комплект]],Комплекты[[#This Row],[Комплект]])</f>
        <v/>
      </c>
      <c r="D217" s="310" t="n">
        <v>46108</v>
      </c>
      <c r="E217" s="311" t="n">
        <v>4441000710</v>
      </c>
      <c r="F217" s="302" t="n">
        <v>1</v>
      </c>
      <c r="G217" s="313" t="n">
        <v>4801020640</v>
      </c>
      <c r="H217" s="302" t="n">
        <v>1</v>
      </c>
      <c r="I217" s="399">
        <f>INDEX(База[],MATCH(Комплекты[[#This Row],[Обозначение]],База[Артикул],0),MATCH(I$2,База[#Headers],0))</f>
        <v/>
      </c>
      <c r="J217" s="399">
        <f>INDEX(База[],MATCH(Комплекты[[#This Row],[Комплект]],База[Артикул],0),MATCH("наименование",База[#Headers],0))</f>
        <v/>
      </c>
      <c r="K217" s="399" t="n"/>
      <c r="L21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7" s="699">
        <f>IF(IFERROR(MATCH("нет",Комплекты[[#This Row],[   ]:[АВТОВИК]],0)&gt;0,),"НЕТ","ОК")</f>
        <v/>
      </c>
      <c r="O217" s="699" t="n"/>
      <c r="P21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8">
      <c r="A218" s="309">
        <f>ROW()-ROW(Комплекты[[#Headers],[№]])</f>
        <v/>
      </c>
      <c r="B218" s="309">
        <f>Комплекты[[#This Row],[Пр]]&amp;"_"&amp;Комплекты[[#This Row],[Обозначение]]</f>
        <v/>
      </c>
      <c r="C218" s="309">
        <f>COUNTIFS($E$3:Комплекты[[#This Row],[Комплект]],Комплекты[[#This Row],[Комплект]])</f>
        <v/>
      </c>
      <c r="D218" s="310" t="n">
        <v>46108</v>
      </c>
      <c r="E218" s="311" t="n">
        <v>4441000710</v>
      </c>
      <c r="F218" s="302" t="n">
        <v>1</v>
      </c>
      <c r="G218" s="313" t="n">
        <v>9522010010</v>
      </c>
      <c r="H218" s="302" t="n">
        <v>1</v>
      </c>
      <c r="I218" s="399">
        <f>INDEX(База[],MATCH(Комплекты[[#This Row],[Обозначение]],База[Артикул],0),MATCH(I$2,База[#Headers],0))</f>
        <v/>
      </c>
      <c r="J218" s="399">
        <f>INDEX(База[],MATCH(Комплекты[[#This Row],[Комплект]],База[Артикул],0),MATCH("наименование",База[#Headers],0))</f>
        <v/>
      </c>
      <c r="K218" s="399" t="n"/>
      <c r="L21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8" s="699">
        <f>IF(IFERROR(MATCH("нет",Комплекты[[#This Row],[   ]:[АВТОВИК]],0)&gt;0,),"НЕТ","ОК")</f>
        <v/>
      </c>
      <c r="O218" s="699" t="n"/>
      <c r="P21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19">
      <c r="A219" s="309">
        <f>ROW()-ROW(Комплекты[[#Headers],[№]])</f>
        <v/>
      </c>
      <c r="B219" s="309">
        <f>Комплекты[[#This Row],[Пр]]&amp;"_"&amp;Комплекты[[#This Row],[Обозначение]]</f>
        <v/>
      </c>
      <c r="C219" s="309">
        <f>COUNTIFS($E$3:Комплекты[[#This Row],[Комплект]],Комплекты[[#This Row],[Комплект]])</f>
        <v/>
      </c>
      <c r="D219" s="310" t="n">
        <v>46108</v>
      </c>
      <c r="E219" s="311" t="n">
        <v>4441000710</v>
      </c>
      <c r="F219" s="302" t="n">
        <v>1</v>
      </c>
      <c r="G219" s="313" t="n">
        <v>9522010020</v>
      </c>
      <c r="H219" s="302" t="n">
        <v>1</v>
      </c>
      <c r="I219" s="399">
        <f>INDEX(База[],MATCH(Комплекты[[#This Row],[Обозначение]],База[Артикул],0),MATCH(I$2,База[#Headers],0))</f>
        <v/>
      </c>
      <c r="J219" s="399">
        <f>INDEX(База[],MATCH(Комплекты[[#This Row],[Комплект]],База[Артикул],0),MATCH("наименование",База[#Headers],0))</f>
        <v/>
      </c>
      <c r="K219" s="399" t="n"/>
      <c r="L21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1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19" s="699">
        <f>IF(IFERROR(MATCH("нет",Комплекты[[#This Row],[   ]:[АВТОВИК]],0)&gt;0,),"НЕТ","ОК")</f>
        <v/>
      </c>
      <c r="O219" s="699" t="n"/>
      <c r="P21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1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1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1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1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1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1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1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0">
      <c r="A220" s="309">
        <f>ROW()-ROW(Комплекты[[#Headers],[№]])</f>
        <v/>
      </c>
      <c r="B220" s="309">
        <f>Комплекты[[#This Row],[Пр]]&amp;"_"&amp;Комплекты[[#This Row],[Обозначение]]</f>
        <v/>
      </c>
      <c r="C220" s="309">
        <f>COUNTIFS($E$3:Комплекты[[#This Row],[Комплект]],Комплекты[[#This Row],[Комплект]])</f>
        <v/>
      </c>
      <c r="D220" s="310" t="n">
        <v>46108</v>
      </c>
      <c r="E220" s="311" t="n">
        <v>4441000710</v>
      </c>
      <c r="F220" s="302" t="n">
        <v>1</v>
      </c>
      <c r="G220" s="313" t="n">
        <v>9710029000</v>
      </c>
      <c r="H220" s="302" t="n">
        <v>1</v>
      </c>
      <c r="I220" s="399">
        <f>INDEX(База[],MATCH(Комплекты[[#This Row],[Обозначение]],База[Артикул],0),MATCH(I$2,База[#Headers],0))</f>
        <v/>
      </c>
      <c r="J220" s="399">
        <f>INDEX(База[],MATCH(Комплекты[[#This Row],[Комплект]],База[Артикул],0),MATCH("наименование",База[#Headers],0))</f>
        <v/>
      </c>
      <c r="K220" s="399" t="n"/>
      <c r="L22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0" s="699">
        <f>IF(IFERROR(MATCH("нет",Комплекты[[#This Row],[   ]:[АВТОВИК]],0)&gt;0,),"НЕТ","ОК")</f>
        <v/>
      </c>
      <c r="O220" s="699" t="n"/>
      <c r="P22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1">
      <c r="A221" s="309">
        <f>ROW()-ROW(Комплекты[[#Headers],[№]])</f>
        <v/>
      </c>
      <c r="B221" s="309">
        <f>Комплекты[[#This Row],[Пр]]&amp;"_"&amp;Комплекты[[#This Row],[Обозначение]]</f>
        <v/>
      </c>
      <c r="C221" s="309">
        <f>COUNTIFS($E$3:Комплекты[[#This Row],[Комплект]],Комплекты[[#This Row],[Комплект]])</f>
        <v/>
      </c>
      <c r="D221" s="310" t="n">
        <v>45974</v>
      </c>
      <c r="E221" s="311" t="inlineStr">
        <is>
          <t>4006061140К1.</t>
        </is>
      </c>
      <c r="F221" s="302" t="n">
        <v>1</v>
      </c>
      <c r="G221" s="313" t="n">
        <v>4496161560</v>
      </c>
      <c r="H221" s="302" t="n">
        <v>1</v>
      </c>
      <c r="I221" s="399">
        <f>INDEX(База[],MATCH(Комплекты[[#This Row],[Обозначение]],База[Артикул],0),MATCH(I$2,База[#Headers],0))</f>
        <v/>
      </c>
      <c r="J221" s="399">
        <f>INDEX(База[],MATCH(Комплекты[[#This Row],[Комплект]],База[Артикул],0),MATCH("наименование",База[#Headers],0))</f>
        <v/>
      </c>
      <c r="K221" s="399" t="n"/>
      <c r="L22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1" s="699">
        <f>IF(IFERROR(MATCH("нет",Комплекты[[#This Row],[   ]:[АВТОВИК]],0)&gt;0,),"НЕТ","ОК")</f>
        <v/>
      </c>
      <c r="O221" s="699" t="n"/>
      <c r="P22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2">
      <c r="A222" s="309">
        <f>ROW()-ROW(Комплекты[[#Headers],[№]])</f>
        <v/>
      </c>
      <c r="B222" s="309">
        <f>Комплекты[[#This Row],[Пр]]&amp;"_"&amp;Комплекты[[#This Row],[Обозначение]]</f>
        <v/>
      </c>
      <c r="C222" s="309">
        <f>COUNTIFS($E$3:Комплекты[[#This Row],[Комплект]],Комплекты[[#This Row],[Комплект]])</f>
        <v/>
      </c>
      <c r="D222" s="310" t="n">
        <v>45974</v>
      </c>
      <c r="E222" s="311" t="inlineStr">
        <is>
          <t>4006061140К1.</t>
        </is>
      </c>
      <c r="F222" s="302" t="n">
        <v>1</v>
      </c>
      <c r="G222" s="313" t="n">
        <v>4721950310</v>
      </c>
      <c r="H222" s="302" t="n">
        <v>1</v>
      </c>
      <c r="I222" s="399">
        <f>INDEX(База[],MATCH(Комплекты[[#This Row],[Обозначение]],База[Артикул],0),MATCH(I$2,База[#Headers],0))</f>
        <v/>
      </c>
      <c r="J222" s="399">
        <f>INDEX(База[],MATCH(Комплекты[[#This Row],[Комплект]],База[Артикул],0),MATCH("наименование",База[#Headers],0))</f>
        <v/>
      </c>
      <c r="K222" s="399" t="n"/>
      <c r="L22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2" s="699">
        <f>IF(IFERROR(MATCH("нет",Комплекты[[#This Row],[   ]:[АВТОВИК]],0)&gt;0,),"НЕТ","ОК")</f>
        <v/>
      </c>
      <c r="O222" s="699" t="n"/>
      <c r="P22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3">
      <c r="A223" s="309">
        <f>ROW()-ROW(Комплекты[[#Headers],[№]])</f>
        <v/>
      </c>
      <c r="B223" s="309">
        <f>Комплекты[[#This Row],[Пр]]&amp;"_"&amp;Комплекты[[#This Row],[Обозначение]]</f>
        <v/>
      </c>
      <c r="C223" s="309">
        <f>COUNTIFS($E$3:Комплекты[[#This Row],[Комплект]],Комплекты[[#This Row],[Комплект]])</f>
        <v/>
      </c>
      <c r="D223" s="310" t="n">
        <v>45974</v>
      </c>
      <c r="E223" s="311" t="inlineStr">
        <is>
          <t>4006061140К1.</t>
        </is>
      </c>
      <c r="F223" s="302" t="n">
        <v>2</v>
      </c>
      <c r="G223" s="313" t="n">
        <v>4005000880</v>
      </c>
      <c r="H223" s="302" t="n">
        <v>1</v>
      </c>
      <c r="I223" s="399">
        <f>INDEX(База[],MATCH(Комплекты[[#This Row],[Обозначение]],База[Артикул],0),MATCH(I$2,База[#Headers],0))</f>
        <v/>
      </c>
      <c r="J223" s="399">
        <f>INDEX(База[],MATCH(Комплекты[[#This Row],[Комплект]],База[Артикул],0),MATCH("наименование",База[#Headers],0))</f>
        <v/>
      </c>
      <c r="K223" s="399" t="n"/>
      <c r="L22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3" s="699">
        <f>IF(IFERROR(MATCH("нет",Комплекты[[#This Row],[   ]:[АВТОВИК]],0)&gt;0,),"НЕТ","ОК")</f>
        <v/>
      </c>
      <c r="O223" s="699" t="n"/>
      <c r="P22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4">
      <c r="A224" s="309">
        <f>ROW()-ROW(Комплекты[[#Headers],[№]])</f>
        <v/>
      </c>
      <c r="B224" s="309">
        <f>Комплекты[[#This Row],[Пр]]&amp;"_"&amp;Комплекты[[#This Row],[Обозначение]]</f>
        <v/>
      </c>
      <c r="C224" s="309">
        <f>COUNTIFS($E$3:Комплекты[[#This Row],[Комплект]],Комплекты[[#This Row],[Комплект]])</f>
        <v/>
      </c>
      <c r="D224" s="310" t="n">
        <v>45974</v>
      </c>
      <c r="E224" s="311" t="inlineStr">
        <is>
          <t>4006061140К1.</t>
        </is>
      </c>
      <c r="F224" s="302" t="n">
        <v>2</v>
      </c>
      <c r="G224" s="313" t="n">
        <v>4491301500</v>
      </c>
      <c r="H224" s="302" t="n">
        <v>1</v>
      </c>
      <c r="I224" s="399">
        <f>INDEX(База[],MATCH(Комплекты[[#This Row],[Обозначение]],База[Артикул],0),MATCH(I$2,База[#Headers],0))</f>
        <v/>
      </c>
      <c r="J224" s="399">
        <f>INDEX(База[],MATCH(Комплекты[[#This Row],[Комплект]],База[Артикул],0),MATCH("наименование",База[#Headers],0))</f>
        <v/>
      </c>
      <c r="K224" s="399" t="n"/>
      <c r="L224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4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4" s="699">
        <f>IF(IFERROR(MATCH("нет",Комплекты[[#This Row],[   ]:[АВТОВИК]],0)&gt;0,),"НЕТ","ОК")</f>
        <v/>
      </c>
      <c r="O224" s="699" t="n"/>
      <c r="P224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4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4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4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4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4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4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4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5">
      <c r="A225" s="309">
        <f>ROW()-ROW(Комплекты[[#Headers],[№]])</f>
        <v/>
      </c>
      <c r="B225" s="309">
        <f>Комплекты[[#This Row],[Пр]]&amp;"_"&amp;Комплекты[[#This Row],[Обозначение]]</f>
        <v/>
      </c>
      <c r="C225" s="309">
        <f>COUNTIFS($E$3:Комплекты[[#This Row],[Комплект]],Комплекты[[#This Row],[Комплект]])</f>
        <v/>
      </c>
      <c r="D225" s="310" t="n">
        <v>45974</v>
      </c>
      <c r="E225" s="311" t="inlineStr">
        <is>
          <t>4006061140К1.</t>
        </is>
      </c>
      <c r="F225" s="302" t="n">
        <v>2</v>
      </c>
      <c r="G225" s="313" t="n">
        <v>4493702820</v>
      </c>
      <c r="H225" s="302" t="n">
        <v>1</v>
      </c>
      <c r="I225" s="399">
        <f>INDEX(База[],MATCH(Комплекты[[#This Row],[Обозначение]],База[Артикул],0),MATCH(I$2,База[#Headers],0))</f>
        <v/>
      </c>
      <c r="J225" s="399">
        <f>INDEX(База[],MATCH(Комплекты[[#This Row],[Комплект]],База[Артикул],0),MATCH("наименование",База[#Headers],0))</f>
        <v/>
      </c>
      <c r="K225" s="399" t="n"/>
      <c r="L22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5" s="699">
        <f>IF(IFERROR(MATCH("нет",Комплекты[[#This Row],[   ]:[АВТОВИК]],0)&gt;0,),"НЕТ","ОК")</f>
        <v/>
      </c>
      <c r="O225" s="699" t="n"/>
      <c r="P22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6">
      <c r="A226" s="309">
        <f>ROW()-ROW(Комплекты[[#Headers],[№]])</f>
        <v/>
      </c>
      <c r="B226" s="309">
        <f>Комплекты[[#This Row],[Пр]]&amp;"_"&amp;Комплекты[[#This Row],[Обозначение]]</f>
        <v/>
      </c>
      <c r="C226" s="309">
        <f>COUNTIFS($E$3:Комплекты[[#This Row],[Комплект]],Комплекты[[#This Row],[Комплект]])</f>
        <v/>
      </c>
      <c r="D226" s="310" t="n">
        <v>45974</v>
      </c>
      <c r="E226" s="311" t="inlineStr">
        <is>
          <t>4006061140К1.</t>
        </is>
      </c>
      <c r="F226" s="302" t="n">
        <v>2</v>
      </c>
      <c r="G226" s="313" t="n">
        <v>4497490300</v>
      </c>
      <c r="H226" s="302" t="n">
        <v>4</v>
      </c>
      <c r="I226" s="399">
        <f>INDEX(База[],MATCH(Комплекты[[#This Row],[Обозначение]],База[Артикул],0),MATCH(I$2,База[#Headers],0))</f>
        <v/>
      </c>
      <c r="J226" s="399">
        <f>INDEX(База[],MATCH(Комплекты[[#This Row],[Комплект]],База[Артикул],0),MATCH("наименование",База[#Headers],0))</f>
        <v/>
      </c>
      <c r="K226" s="399" t="n"/>
      <c r="L22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6" s="699">
        <f>IF(IFERROR(MATCH("нет",Комплекты[[#This Row],[   ]:[АВТОВИК]],0)&gt;0,),"НЕТ","ОК")</f>
        <v/>
      </c>
      <c r="O226" s="699" t="n"/>
      <c r="P22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7">
      <c r="A227" s="314">
        <f>ROW()-ROW(Комплекты[[#Headers],[№]])</f>
        <v/>
      </c>
      <c r="B227" s="314">
        <f>Комплекты[[#This Row],[Пр]]&amp;"_"&amp;Комплекты[[#This Row],[Обозначение]]</f>
        <v/>
      </c>
      <c r="C227" s="314">
        <f>COUNTIFS($E$3:Комплекты[[#This Row],[Комплект]],Комплекты[[#This Row],[Комплект]])</f>
        <v/>
      </c>
      <c r="D227" s="310" t="n">
        <v>45974</v>
      </c>
      <c r="E227" s="316" t="inlineStr">
        <is>
          <t>4006061140К1.</t>
        </is>
      </c>
      <c r="F227" s="303" t="n">
        <v>2</v>
      </c>
      <c r="G227" s="317" t="n">
        <v>9522010010</v>
      </c>
      <c r="H227" s="303" t="n">
        <v>1</v>
      </c>
      <c r="I227" s="705">
        <f>INDEX(База[],MATCH(Комплекты[[#This Row],[Обозначение]],База[Артикул],0),MATCH(I$2,База[#Headers],0))</f>
        <v/>
      </c>
      <c r="J227" s="705">
        <f>INDEX(База[],MATCH(Комплекты[[#This Row],[Комплект]],База[Артикул],0),MATCH("наименование",База[#Headers],0))</f>
        <v/>
      </c>
      <c r="K227" s="705" t="n"/>
      <c r="L227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7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7" s="707">
        <f>IF(IFERROR(MATCH("нет",Комплекты[[#This Row],[   ]:[АВТОВИК]],0)&gt;0,),"НЕТ","ОК")</f>
        <v/>
      </c>
      <c r="O227" s="707" t="n"/>
      <c r="P227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7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7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7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7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7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7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7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8">
      <c r="A228" s="309">
        <f>ROW()-ROW(Комплекты[[#Headers],[№]])</f>
        <v/>
      </c>
      <c r="B228" s="309">
        <f>Комплекты[[#This Row],[Пр]]&amp;"_"&amp;Комплекты[[#This Row],[Обозначение]]</f>
        <v/>
      </c>
      <c r="C228" s="309">
        <f>COUNTIFS($E$3:Комплекты[[#This Row],[Комплект]],Комплекты[[#This Row],[Комплект]])</f>
        <v/>
      </c>
      <c r="D228" s="310" t="n">
        <v>45974</v>
      </c>
      <c r="E228" s="311" t="inlineStr">
        <is>
          <t>4006061140К1.</t>
        </is>
      </c>
      <c r="F228" s="302" t="n">
        <v>2</v>
      </c>
      <c r="G228" s="313" t="n">
        <v>9522010020</v>
      </c>
      <c r="H228" s="302" t="n">
        <v>1</v>
      </c>
      <c r="I228" s="399">
        <f>INDEX(База[],MATCH(Комплекты[[#This Row],[Обозначение]],База[Артикул],0),MATCH(I$2,База[#Headers],0))</f>
        <v/>
      </c>
      <c r="J228" s="399">
        <f>INDEX(База[],MATCH(Комплекты[[#This Row],[Комплект]],База[Артикул],0),MATCH("наименование",База[#Headers],0))</f>
        <v/>
      </c>
      <c r="K228" s="399" t="n"/>
      <c r="L22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8" s="699">
        <f>IF(IFERROR(MATCH("нет",Комплекты[[#This Row],[   ]:[АВТОВИК]],0)&gt;0,),"НЕТ","ОК")</f>
        <v/>
      </c>
      <c r="O228" s="699" t="n"/>
      <c r="P22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29">
      <c r="A229" s="309">
        <f>ROW()-ROW(Комплекты[[#Headers],[№]])</f>
        <v/>
      </c>
      <c r="B229" s="309">
        <f>Комплекты[[#This Row],[Пр]]&amp;"_"&amp;Комплекты[[#This Row],[Обозначение]]</f>
        <v/>
      </c>
      <c r="C229" s="309">
        <f>COUNTIFS($E$3:Комплекты[[#This Row],[Комплект]],Комплекты[[#This Row],[Комплект]])</f>
        <v/>
      </c>
      <c r="D229" s="310" t="n">
        <v>45974</v>
      </c>
      <c r="E229" s="311" t="inlineStr">
        <is>
          <t>4006061140К1.</t>
        </is>
      </c>
      <c r="F229" s="302" t="n">
        <v>2</v>
      </c>
      <c r="G229" s="313" t="n">
        <v>9710020400</v>
      </c>
      <c r="H229" s="302" t="n">
        <v>1</v>
      </c>
      <c r="I229" s="399">
        <f>INDEX(База[],MATCH(Комплекты[[#This Row],[Обозначение]],База[Артикул],0),MATCH(I$2,База[#Headers],0))</f>
        <v/>
      </c>
      <c r="J229" s="399">
        <f>INDEX(База[],MATCH(Комплекты[[#This Row],[Комплект]],База[Артикул],0),MATCH("наименование",База[#Headers],0))</f>
        <v/>
      </c>
      <c r="K229" s="399" t="n"/>
      <c r="L22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2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29" s="699">
        <f>IF(IFERROR(MATCH("нет",Комплекты[[#This Row],[   ]:[АВТОВИК]],0)&gt;0,),"НЕТ","ОК")</f>
        <v/>
      </c>
      <c r="O229" s="699" t="n"/>
      <c r="P22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2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2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2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2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2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2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2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0">
      <c r="A230" s="309">
        <f>ROW()-ROW(Комплекты[[#Headers],[№]])</f>
        <v/>
      </c>
      <c r="B230" s="309">
        <f>Комплекты[[#This Row],[Пр]]&amp;"_"&amp;Комплекты[[#This Row],[Обозначение]]</f>
        <v/>
      </c>
      <c r="C230" s="309">
        <f>COUNTIFS($E$3:Комплекты[[#This Row],[Комплект]],Комплекты[[#This Row],[Комплект]])</f>
        <v/>
      </c>
      <c r="D230" s="310" t="n">
        <v>45884</v>
      </c>
      <c r="E230" s="311" t="inlineStr">
        <is>
          <t>4006061140К3</t>
        </is>
      </c>
      <c r="F230" s="302" t="n">
        <v>2</v>
      </c>
      <c r="G230" s="313" t="n">
        <v>4005000880</v>
      </c>
      <c r="H230" s="302" t="n">
        <v>1</v>
      </c>
      <c r="I230" s="399">
        <f>INDEX(База[],MATCH(Комплекты[[#This Row],[Обозначение]],База[Артикул],0),MATCH(I$2,База[#Headers],0))</f>
        <v/>
      </c>
      <c r="J230" s="399">
        <f>INDEX(База[],MATCH(Комплекты[[#This Row],[Комплект]],База[Артикул],0),MATCH("наименование",База[#Headers],0))</f>
        <v/>
      </c>
      <c r="K230" s="399" t="n"/>
      <c r="L23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0" s="699">
        <f>IF(IFERROR(MATCH("нет",Комплекты[[#This Row],[   ]:[АВТОВИК]],0)&gt;0,),"НЕТ","ОК")</f>
        <v/>
      </c>
      <c r="O230" s="699" t="n"/>
      <c r="P23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1">
      <c r="A231" s="309">
        <f>ROW()-ROW(Комплекты[[#Headers],[№]])</f>
        <v/>
      </c>
      <c r="B231" s="309">
        <f>Комплекты[[#This Row],[Пр]]&amp;"_"&amp;Комплекты[[#This Row],[Обозначение]]</f>
        <v/>
      </c>
      <c r="C231" s="309">
        <f>COUNTIFS($E$3:Комплекты[[#This Row],[Комплект]],Комплекты[[#This Row],[Комплект]])</f>
        <v/>
      </c>
      <c r="D231" s="310" t="n">
        <v>45884</v>
      </c>
      <c r="E231" s="311" t="inlineStr">
        <is>
          <t>4006061140К3</t>
        </is>
      </c>
      <c r="F231" s="302" t="n">
        <v>2</v>
      </c>
      <c r="G231" s="313" t="n">
        <v>4491301500</v>
      </c>
      <c r="H231" s="302" t="n">
        <v>1</v>
      </c>
      <c r="I231" s="399">
        <f>INDEX(База[],MATCH(Комплекты[[#This Row],[Обозначение]],База[Артикул],0),MATCH(I$2,База[#Headers],0))</f>
        <v/>
      </c>
      <c r="J231" s="399">
        <f>INDEX(База[],MATCH(Комплекты[[#This Row],[Комплект]],База[Артикул],0),MATCH("наименование",База[#Headers],0))</f>
        <v/>
      </c>
      <c r="K231" s="399" t="n"/>
      <c r="L23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1" s="699">
        <f>IF(IFERROR(MATCH("нет",Комплекты[[#This Row],[   ]:[АВТОВИК]],0)&gt;0,),"НЕТ","ОК")</f>
        <v/>
      </c>
      <c r="O231" s="699" t="n"/>
      <c r="P23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2">
      <c r="A232" s="309">
        <f>ROW()-ROW(Комплекты[[#Headers],[№]])</f>
        <v/>
      </c>
      <c r="B232" s="309">
        <f>Комплекты[[#This Row],[Пр]]&amp;"_"&amp;Комплекты[[#This Row],[Обозначение]]</f>
        <v/>
      </c>
      <c r="C232" s="309">
        <f>COUNTIFS($E$3:Комплекты[[#This Row],[Комплект]],Комплекты[[#This Row],[Комплект]])</f>
        <v/>
      </c>
      <c r="D232" s="310" t="n">
        <v>45884</v>
      </c>
      <c r="E232" s="311" t="inlineStr">
        <is>
          <t>4006061140К3</t>
        </is>
      </c>
      <c r="F232" s="302" t="n">
        <v>2</v>
      </c>
      <c r="G232" s="313" t="n">
        <v>4493702820</v>
      </c>
      <c r="H232" s="302" t="n">
        <v>1</v>
      </c>
      <c r="I232" s="399">
        <f>INDEX(База[],MATCH(Комплекты[[#This Row],[Обозначение]],База[Артикул],0),MATCH(I$2,База[#Headers],0))</f>
        <v/>
      </c>
      <c r="J232" s="399">
        <f>INDEX(База[],MATCH(Комплекты[[#This Row],[Комплект]],База[Артикул],0),MATCH("наименование",База[#Headers],0))</f>
        <v/>
      </c>
      <c r="K232" s="399" t="n"/>
      <c r="L23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2" s="699">
        <f>IF(IFERROR(MATCH("нет",Комплекты[[#This Row],[   ]:[АВТОВИК]],0)&gt;0,),"НЕТ","ОК")</f>
        <v/>
      </c>
      <c r="O232" s="699" t="n"/>
      <c r="P23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3">
      <c r="A233" s="309">
        <f>ROW()-ROW(Комплекты[[#Headers],[№]])</f>
        <v/>
      </c>
      <c r="B233" s="309">
        <f>Комплекты[[#This Row],[Пр]]&amp;"_"&amp;Комплекты[[#This Row],[Обозначение]]</f>
        <v/>
      </c>
      <c r="C233" s="309">
        <f>COUNTIFS($E$3:Комплекты[[#This Row],[Комплект]],Комплекты[[#This Row],[Комплект]])</f>
        <v/>
      </c>
      <c r="D233" s="310" t="n">
        <v>45884</v>
      </c>
      <c r="E233" s="311" t="inlineStr">
        <is>
          <t>4006061140К3</t>
        </is>
      </c>
      <c r="F233" s="302" t="n">
        <v>2</v>
      </c>
      <c r="G233" s="313" t="n">
        <v>4497490300</v>
      </c>
      <c r="H233" s="302" t="n">
        <v>2</v>
      </c>
      <c r="I233" s="399">
        <f>INDEX(База[],MATCH(Комплекты[[#This Row],[Обозначение]],База[Артикул],0),MATCH(I$2,База[#Headers],0))</f>
        <v/>
      </c>
      <c r="J233" s="399">
        <f>INDEX(База[],MATCH(Комплекты[[#This Row],[Комплект]],База[Артикул],0),MATCH("наименование",База[#Headers],0))</f>
        <v/>
      </c>
      <c r="K233" s="399" t="n"/>
      <c r="L23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3" s="699">
        <f>IF(IFERROR(MATCH("нет",Комплекты[[#This Row],[   ]:[АВТОВИК]],0)&gt;0,),"НЕТ","ОК")</f>
        <v/>
      </c>
      <c r="O233" s="699" t="n"/>
      <c r="P23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4">
      <c r="A234" s="314">
        <f>ROW()-ROW(Комплекты[[#Headers],[№]])</f>
        <v/>
      </c>
      <c r="B234" s="314">
        <f>Комплекты[[#This Row],[Пр]]&amp;"_"&amp;Комплекты[[#This Row],[Обозначение]]</f>
        <v/>
      </c>
      <c r="C234" s="314">
        <f>COUNTIFS($E$3:Комплекты[[#This Row],[Комплект]],Комплекты[[#This Row],[Комплект]])</f>
        <v/>
      </c>
      <c r="D234" s="310" t="n">
        <v>45884</v>
      </c>
      <c r="E234" s="316" t="inlineStr">
        <is>
          <t>4006061140К3</t>
        </is>
      </c>
      <c r="F234" s="303" t="n">
        <v>2</v>
      </c>
      <c r="G234" s="317" t="n">
        <v>9522010010</v>
      </c>
      <c r="H234" s="303" t="n">
        <v>1</v>
      </c>
      <c r="I234" s="705">
        <f>INDEX(База[],MATCH(Комплекты[[#This Row],[Обозначение]],База[Артикул],0),MATCH(I$2,База[#Headers],0))</f>
        <v/>
      </c>
      <c r="J234" s="705">
        <f>INDEX(База[],MATCH(Комплекты[[#This Row],[Комплект]],База[Артикул],0),MATCH("наименование",База[#Headers],0))</f>
        <v/>
      </c>
      <c r="K234" s="705" t="n"/>
      <c r="L234" s="707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4" s="707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4" s="707">
        <f>IF(IFERROR(MATCH("нет",Комплекты[[#This Row],[   ]:[АВТОВИК]],0)&gt;0,),"НЕТ","ОК")</f>
        <v/>
      </c>
      <c r="O234" s="707" t="n"/>
      <c r="P234" s="707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4" s="707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4" s="707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4" s="707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4" s="707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4" s="707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4" s="707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4" s="708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5">
      <c r="A235" s="309">
        <f>ROW()-ROW(Комплекты[[#Headers],[№]])</f>
        <v/>
      </c>
      <c r="B235" s="309">
        <f>Комплекты[[#This Row],[Пр]]&amp;"_"&amp;Комплекты[[#This Row],[Обозначение]]</f>
        <v/>
      </c>
      <c r="C235" s="309">
        <f>COUNTIFS($E$3:Комплекты[[#This Row],[Комплект]],Комплекты[[#This Row],[Комплект]])</f>
        <v/>
      </c>
      <c r="D235" s="310" t="n">
        <v>45884</v>
      </c>
      <c r="E235" s="311" t="inlineStr">
        <is>
          <t>4006061140К3</t>
        </is>
      </c>
      <c r="F235" s="302" t="n">
        <v>2</v>
      </c>
      <c r="G235" s="313" t="n">
        <v>9522010020</v>
      </c>
      <c r="H235" s="302" t="n">
        <v>1</v>
      </c>
      <c r="I235" s="399">
        <f>INDEX(База[],MATCH(Комплекты[[#This Row],[Обозначение]],База[Артикул],0),MATCH(I$2,База[#Headers],0))</f>
        <v/>
      </c>
      <c r="J235" s="399">
        <f>INDEX(База[],MATCH(Комплекты[[#This Row],[Комплект]],База[Артикул],0),MATCH("наименование",База[#Headers],0))</f>
        <v/>
      </c>
      <c r="K235" s="399" t="n"/>
      <c r="L235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5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5" s="699">
        <f>IF(IFERROR(MATCH("нет",Комплекты[[#This Row],[   ]:[АВТОВИК]],0)&gt;0,),"НЕТ","ОК")</f>
        <v/>
      </c>
      <c r="O235" s="699" t="n"/>
      <c r="P235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5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5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5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5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5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5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5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6">
      <c r="A236" s="309">
        <f>ROW()-ROW(Комплекты[[#Headers],[№]])</f>
        <v/>
      </c>
      <c r="B236" s="309">
        <f>Комплекты[[#This Row],[Пр]]&amp;"_"&amp;Комплекты[[#This Row],[Обозначение]]</f>
        <v/>
      </c>
      <c r="C236" s="309">
        <f>COUNTIFS($E$3:Комплекты[[#This Row],[Комплект]],Комплекты[[#This Row],[Комплект]])</f>
        <v/>
      </c>
      <c r="D236" s="310" t="n">
        <v>45884</v>
      </c>
      <c r="E236" s="311" t="inlineStr">
        <is>
          <t>4006061140К3</t>
        </is>
      </c>
      <c r="F236" s="302" t="n">
        <v>2</v>
      </c>
      <c r="G236" s="313" t="n">
        <v>9710020400</v>
      </c>
      <c r="H236" s="302" t="n">
        <v>1</v>
      </c>
      <c r="I236" s="399">
        <f>INDEX(База[],MATCH(Комплекты[[#This Row],[Обозначение]],База[Артикул],0),MATCH(I$2,База[#Headers],0))</f>
        <v/>
      </c>
      <c r="J236" s="399">
        <f>INDEX(База[],MATCH(Комплекты[[#This Row],[Комплект]],База[Артикул],0),MATCH("наименование",База[#Headers],0))</f>
        <v/>
      </c>
      <c r="K236" s="399" t="n"/>
      <c r="L236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6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6" s="699">
        <f>IF(IFERROR(MATCH("нет",Комплекты[[#This Row],[   ]:[АВТОВИК]],0)&gt;0,),"НЕТ","ОК")</f>
        <v/>
      </c>
      <c r="O236" s="699" t="n"/>
      <c r="P236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6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6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6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6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6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6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6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7">
      <c r="A237" s="684">
        <f>ROW()-ROW(Комплекты[[#Headers],[№]])</f>
        <v/>
      </c>
      <c r="B237" s="684">
        <f>Комплекты[[#This Row],[Пр]]&amp;"_"&amp;Комплекты[[#This Row],[Обозначение]]</f>
        <v/>
      </c>
      <c r="C237" s="684">
        <f>COUNTIFS($E$3:Комплекты[[#This Row],[Комплект]],Комплекты[[#This Row],[Комплект]])</f>
        <v/>
      </c>
      <c r="D237" s="685" t="n">
        <v>45884</v>
      </c>
      <c r="E237" s="686" t="inlineStr">
        <is>
          <t>Арт_TEBS_2-2_12_W_-1</t>
        </is>
      </c>
      <c r="F237" s="687" t="n">
        <v>2</v>
      </c>
      <c r="G237" s="688" t="n">
        <v>4491731200</v>
      </c>
      <c r="H237" s="687" t="n">
        <v>1</v>
      </c>
      <c r="I237" s="399">
        <f>INDEX(База[],MATCH(Комплекты[[#This Row],[Обозначение]],База[Артикул],0),MATCH(I$2,База[#Headers],0))</f>
        <v/>
      </c>
      <c r="J237" s="399">
        <f>INDEX(База[],MATCH(Комплекты[[#This Row],[Комплект]],База[Артикул],0),MATCH("наименование",База[#Headers],0))</f>
        <v/>
      </c>
      <c r="K237" s="399" t="n"/>
      <c r="L237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7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7" s="699">
        <f>IF(IFERROR(MATCH("нет",Комплекты[[#This Row],[   ]:[АВТОВИК]],0)&gt;0,),"НЕТ","ОК")</f>
        <v/>
      </c>
      <c r="O237" s="699" t="n"/>
      <c r="P237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7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7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7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7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7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7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7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8">
      <c r="A238" s="684">
        <f>ROW()-ROW(Комплекты[[#Headers],[№]])</f>
        <v/>
      </c>
      <c r="B238" s="684">
        <f>Комплекты[[#This Row],[Пр]]&amp;"_"&amp;Комплекты[[#This Row],[Обозначение]]</f>
        <v/>
      </c>
      <c r="C238" s="684">
        <f>COUNTIFS($E$3:Комплекты[[#This Row],[Комплект]],Комплекты[[#This Row],[Комплект]])</f>
        <v/>
      </c>
      <c r="D238" s="685" t="n">
        <v>45884</v>
      </c>
      <c r="E238" s="686" t="inlineStr">
        <is>
          <t>Арт_TEBS_2-2_12_W_-1</t>
        </is>
      </c>
      <c r="F238" s="687" t="n">
        <v>2</v>
      </c>
      <c r="G238" s="688" t="n">
        <v>4497230300</v>
      </c>
      <c r="H238" s="687" t="n">
        <v>2</v>
      </c>
      <c r="I238" s="399">
        <f>INDEX(База[],MATCH(Комплекты[[#This Row],[Обозначение]],База[Артикул],0),MATCH(I$2,База[#Headers],0))</f>
        <v/>
      </c>
      <c r="J238" s="399">
        <f>INDEX(База[],MATCH(Комплекты[[#This Row],[Комплект]],База[Артикул],0),MATCH("наименование",База[#Headers],0))</f>
        <v/>
      </c>
      <c r="K238" s="399" t="n"/>
      <c r="L238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8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8" s="699">
        <f>IF(IFERROR(MATCH("нет",Комплекты[[#This Row],[   ]:[АВТОВИК]],0)&gt;0,),"НЕТ","ОК")</f>
        <v/>
      </c>
      <c r="O238" s="699" t="n"/>
      <c r="P238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8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8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8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8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8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8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8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39">
      <c r="A239" s="684">
        <f>ROW()-ROW(Комплекты[[#Headers],[№]])</f>
        <v/>
      </c>
      <c r="B239" s="684">
        <f>Комплекты[[#This Row],[Пр]]&amp;"_"&amp;Комплекты[[#This Row],[Обозначение]]</f>
        <v/>
      </c>
      <c r="C239" s="684">
        <f>COUNTIFS($E$3:Комплекты[[#This Row],[Комплект]],Комплекты[[#This Row],[Комплект]])</f>
        <v/>
      </c>
      <c r="D239" s="685" t="n">
        <v>45884</v>
      </c>
      <c r="E239" s="686" t="inlineStr">
        <is>
          <t>Арт_TEBS_2-2_12_W_-1</t>
        </is>
      </c>
      <c r="F239" s="687" t="n">
        <v>2</v>
      </c>
      <c r="G239" s="688" t="n">
        <v>4801020640</v>
      </c>
      <c r="H239" s="687" t="n">
        <v>1</v>
      </c>
      <c r="I239" s="399">
        <f>INDEX(База[],MATCH(Комплекты[[#This Row],[Обозначение]],База[Артикул],0),MATCH(I$2,База[#Headers],0))</f>
        <v/>
      </c>
      <c r="J239" s="399">
        <f>INDEX(База[],MATCH(Комплекты[[#This Row],[Комплект]],База[Артикул],0),MATCH("наименование",База[#Headers],0))</f>
        <v/>
      </c>
      <c r="K239" s="399" t="n"/>
      <c r="L239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39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39" s="699">
        <f>IF(IFERROR(MATCH("нет",Комплекты[[#This Row],[   ]:[АВТОВИК]],0)&gt;0,),"НЕТ","ОК")</f>
        <v/>
      </c>
      <c r="O239" s="699" t="n"/>
      <c r="P239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39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39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39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39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39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39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39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0">
      <c r="A240" s="684">
        <f>ROW()-ROW(Комплекты[[#Headers],[№]])</f>
        <v/>
      </c>
      <c r="B240" s="684">
        <f>Комплекты[[#This Row],[Пр]]&amp;"_"&amp;Комплекты[[#This Row],[Обозначение]]</f>
        <v/>
      </c>
      <c r="C240" s="684">
        <f>COUNTIFS($E$3:Комплекты[[#This Row],[Комплект]],Комплекты[[#This Row],[Комплект]])</f>
        <v/>
      </c>
      <c r="D240" s="685" t="n">
        <v>45884</v>
      </c>
      <c r="E240" s="686" t="inlineStr">
        <is>
          <t>Арт_TEBS_2-2_12_W_-1</t>
        </is>
      </c>
      <c r="F240" s="687" t="n">
        <v>2</v>
      </c>
      <c r="G240" s="688" t="n">
        <v>9522010010</v>
      </c>
      <c r="H240" s="687" t="n">
        <v>1</v>
      </c>
      <c r="I240" s="399">
        <f>INDEX(База[],MATCH(Комплекты[[#This Row],[Обозначение]],База[Артикул],0),MATCH(I$2,База[#Headers],0))</f>
        <v/>
      </c>
      <c r="J240" s="399">
        <f>INDEX(База[],MATCH(Комплекты[[#This Row],[Комплект]],База[Артикул],0),MATCH("наименование",База[#Headers],0))</f>
        <v/>
      </c>
      <c r="K240" s="399" t="n"/>
      <c r="L240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0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0" s="699">
        <f>IF(IFERROR(MATCH("нет",Комплекты[[#This Row],[   ]:[АВТОВИК]],0)&gt;0,),"НЕТ","ОК")</f>
        <v/>
      </c>
      <c r="O240" s="699" t="n"/>
      <c r="P240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0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0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0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0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0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0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0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1">
      <c r="A241" s="684">
        <f>ROW()-ROW(Комплекты[[#Headers],[№]])</f>
        <v/>
      </c>
      <c r="B241" s="684">
        <f>Комплекты[[#This Row],[Пр]]&amp;"_"&amp;Комплекты[[#This Row],[Обозначение]]</f>
        <v/>
      </c>
      <c r="C241" s="684">
        <f>COUNTIFS($E$3:Комплекты[[#This Row],[Комплект]],Комплекты[[#This Row],[Комплект]])</f>
        <v/>
      </c>
      <c r="D241" s="685" t="n">
        <v>45884</v>
      </c>
      <c r="E241" s="686" t="inlineStr">
        <is>
          <t>Арт_TEBS_2-2_12_W_-1</t>
        </is>
      </c>
      <c r="F241" s="687" t="n">
        <v>2</v>
      </c>
      <c r="G241" s="688" t="n">
        <v>9522010020</v>
      </c>
      <c r="H241" s="687" t="n">
        <v>1</v>
      </c>
      <c r="I241" s="399">
        <f>INDEX(База[],MATCH(Комплекты[[#This Row],[Обозначение]],База[Артикул],0),MATCH(I$2,База[#Headers],0))</f>
        <v/>
      </c>
      <c r="J241" s="399">
        <f>INDEX(База[],MATCH(Комплекты[[#This Row],[Комплект]],База[Артикул],0),MATCH("наименование",База[#Headers],0))</f>
        <v/>
      </c>
      <c r="K241" s="399" t="n"/>
      <c r="L241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1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1" s="699">
        <f>IF(IFERROR(MATCH("нет",Комплекты[[#This Row],[   ]:[АВТОВИК]],0)&gt;0,),"НЕТ","ОК")</f>
        <v/>
      </c>
      <c r="O241" s="699" t="n"/>
      <c r="P241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1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1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1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1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1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1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1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2">
      <c r="A242" s="684">
        <f>ROW()-ROW(Комплекты[[#Headers],[№]])</f>
        <v/>
      </c>
      <c r="B242" s="684">
        <f>Комплекты[[#This Row],[Пр]]&amp;"_"&amp;Комплекты[[#This Row],[Обозначение]]</f>
        <v/>
      </c>
      <c r="C242" s="684">
        <f>COUNTIFS($E$3:Комплекты[[#This Row],[Комплект]],Комплекты[[#This Row],[Комплект]])</f>
        <v/>
      </c>
      <c r="D242" s="685" t="n">
        <v>45884</v>
      </c>
      <c r="E242" s="686" t="inlineStr">
        <is>
          <t>Арт_TEBS_2-2_12_W_-1</t>
        </is>
      </c>
      <c r="F242" s="687" t="n">
        <v>2</v>
      </c>
      <c r="G242" s="688" t="n">
        <v>9630010510</v>
      </c>
      <c r="H242" s="687" t="n">
        <v>1</v>
      </c>
      <c r="I242" s="399">
        <f>INDEX(База[],MATCH(Комплекты[[#This Row],[Обозначение]],База[Артикул],0),MATCH(I$2,База[#Headers],0))</f>
        <v/>
      </c>
      <c r="J242" s="399">
        <f>INDEX(База[],MATCH(Комплекты[[#This Row],[Комплект]],База[Артикул],0),MATCH("наименование",База[#Headers],0))</f>
        <v/>
      </c>
      <c r="K242" s="399" t="n"/>
      <c r="L242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2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2" s="699">
        <f>IF(IFERROR(MATCH("нет",Комплекты[[#This Row],[   ]:[АВТОВИК]],0)&gt;0,),"НЕТ","ОК")</f>
        <v/>
      </c>
      <c r="O242" s="699" t="n"/>
      <c r="P242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2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2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2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2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2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2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2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3">
      <c r="A243" s="684">
        <f>ROW()-ROW(Комплекты[[#Headers],[№]])</f>
        <v/>
      </c>
      <c r="B243" s="684">
        <f>Комплекты[[#This Row],[Пр]]&amp;"_"&amp;Комплекты[[#This Row],[Обозначение]]</f>
        <v/>
      </c>
      <c r="C243" s="684">
        <f>COUNTIFS($E$3:Комплекты[[#This Row],[Комплект]],Комплекты[[#This Row],[Комплект]])</f>
        <v/>
      </c>
      <c r="D243" s="685" t="n">
        <v>45884</v>
      </c>
      <c r="E243" s="686" t="inlineStr">
        <is>
          <t>Арт_TEBS_2-2_12_W_-1</t>
        </is>
      </c>
      <c r="F243" s="687" t="n">
        <v>2</v>
      </c>
      <c r="G243" s="688" t="n">
        <v>9710020400</v>
      </c>
      <c r="H243" s="687" t="n">
        <v>1</v>
      </c>
      <c r="I243" s="399">
        <f>INDEX(База[],MATCH(Комплекты[[#This Row],[Обозначение]],База[Артикул],0),MATCH(I$2,База[#Headers],0))</f>
        <v/>
      </c>
      <c r="J243" s="399">
        <f>INDEX(База[],MATCH(Комплекты[[#This Row],[Комплект]],База[Артикул],0),MATCH("наименование",База[#Headers],0))</f>
        <v/>
      </c>
      <c r="K243" s="399" t="n"/>
      <c r="L243" s="699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3" s="699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3" s="699">
        <f>IF(IFERROR(MATCH("нет",Комплекты[[#This Row],[   ]:[АВТОВИК]],0)&gt;0,),"НЕТ","ОК")</f>
        <v/>
      </c>
      <c r="O243" s="699" t="n"/>
      <c r="P243" s="699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3" s="699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3" s="699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3" s="699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3" s="699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3" s="699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3" s="699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3" s="700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4">
      <c r="A244" s="391">
        <f>ROW()-ROW(Комплекты[[#Headers],[№]])</f>
        <v/>
      </c>
      <c r="B244" s="391">
        <f>Комплекты[[#This Row],[Пр]]&amp;"_"&amp;Комплекты[[#This Row],[Обозначение]]</f>
        <v/>
      </c>
      <c r="C244" s="391">
        <f>COUNTIFS($E$3:Комплекты[[#This Row],[Комплект]],Комплекты[[#This Row],[Комплект]])</f>
        <v/>
      </c>
      <c r="D244" s="396" t="n">
        <v>45974</v>
      </c>
      <c r="E244" s="392" t="inlineStr">
        <is>
          <t>Арт_Пнев_Под_2</t>
        </is>
      </c>
      <c r="F244" s="397" t="n">
        <v>1</v>
      </c>
      <c r="G244" s="398" t="n">
        <v>4334010030</v>
      </c>
      <c r="H244" s="397" t="n">
        <v>1</v>
      </c>
      <c r="I244" s="393">
        <f>INDEX(База[],MATCH(Комплекты[[#This Row],[Обозначение]],База[Артикул],0),MATCH(I$2,База[#Headers],0))</f>
        <v/>
      </c>
      <c r="J244" s="399">
        <f>INDEX(База[],MATCH(Комплекты[[#This Row],[Комплект]],База[Артикул],0),MATCH("наименование",База[#Headers],0))</f>
        <v/>
      </c>
      <c r="K244" s="399" t="n"/>
      <c r="L244" s="710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4" s="710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4" s="710">
        <f>IF(IFERROR(MATCH("нет",Комплекты[[#This Row],[   ]:[АВТОВИК]],0)&gt;0,),"НЕТ","ОК")</f>
        <v/>
      </c>
      <c r="O244" s="710" t="n"/>
      <c r="P244" s="710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4" s="710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4" s="710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4" s="710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4" s="710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4" s="710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4" s="710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4" s="711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5">
      <c r="A245" s="391">
        <f>ROW()-ROW(Комплекты[[#Headers],[№]])</f>
        <v/>
      </c>
      <c r="B245" s="391">
        <f>Комплекты[[#This Row],[Пр]]&amp;"_"&amp;Комплекты[[#This Row],[Обозначение]]</f>
        <v/>
      </c>
      <c r="C245" s="391">
        <f>COUNTIFS($E$3:Комплекты[[#This Row],[Комплект]],Комплекты[[#This Row],[Комплект]])</f>
        <v/>
      </c>
      <c r="D245" s="396" t="n">
        <v>45974</v>
      </c>
      <c r="E245" s="392" t="inlineStr">
        <is>
          <t>Арт_Пнев_Под_2</t>
        </is>
      </c>
      <c r="F245" s="397" t="n">
        <v>1</v>
      </c>
      <c r="G245" s="398" t="n">
        <v>4341001250</v>
      </c>
      <c r="H245" s="397" t="n">
        <v>1</v>
      </c>
      <c r="I245" s="393">
        <f>INDEX(База[],MATCH(Комплекты[[#This Row],[Обозначение]],База[Артикул],0),MATCH(I$2,База[#Headers],0))</f>
        <v/>
      </c>
      <c r="J245" s="399">
        <f>INDEX(База[],MATCH(Комплекты[[#This Row],[Комплект]],База[Артикул],0),MATCH("наименование",База[#Headers],0))</f>
        <v/>
      </c>
      <c r="K245" s="399" t="n"/>
      <c r="L245" s="710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5" s="710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5" s="710">
        <f>IF(IFERROR(MATCH("нет",Комплекты[[#This Row],[   ]:[АВТОВИК]],0)&gt;0,),"НЕТ","ОК")</f>
        <v/>
      </c>
      <c r="O245" s="710" t="n"/>
      <c r="P245" s="710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5" s="710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5" s="710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5" s="710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5" s="710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5" s="710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5" s="710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5" s="711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6">
      <c r="A246" s="646">
        <f>ROW()-ROW(Комплекты[[#Headers],[№]])</f>
        <v/>
      </c>
      <c r="B246" s="646">
        <f>Комплекты[[#This Row],[Пр]]&amp;"_"&amp;Комплекты[[#This Row],[Обозначение]]</f>
        <v/>
      </c>
      <c r="C246" s="646">
        <f>COUNTIFS($E$3:Комплекты[[#This Row],[Комплект]],Комплекты[[#This Row],[Комплект]])</f>
        <v/>
      </c>
      <c r="D246" s="690" t="n">
        <v>45974</v>
      </c>
      <c r="E246" s="647" t="inlineStr">
        <is>
          <t>Арт_Пнев_Под_2</t>
        </is>
      </c>
      <c r="F246" s="648" t="n">
        <v>1</v>
      </c>
      <c r="G246" s="649" t="n">
        <v>4630320200</v>
      </c>
      <c r="H246" s="648" t="n">
        <v>1</v>
      </c>
      <c r="I246" s="712">
        <f>INDEX(База[],MATCH(Комплекты[[#This Row],[Обозначение]],База[Артикул],0),MATCH(I$2,База[#Headers],0))</f>
        <v/>
      </c>
      <c r="J246" s="705">
        <f>INDEX(База[],MATCH(Комплекты[[#This Row],[Комплект]],База[Артикул],0),MATCH("наименование",База[#Headers],0))</f>
        <v/>
      </c>
      <c r="K246" s="705" t="n"/>
      <c r="L246" s="71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6" s="71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6" s="713">
        <f>IF(IFERROR(MATCH("нет",Комплекты[[#This Row],[   ]:[АВТОВИК]],0)&gt;0,),"НЕТ","ОК")</f>
        <v/>
      </c>
      <c r="O246" s="713" t="n"/>
      <c r="P246" s="713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6" s="713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6" s="713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6" s="713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6" s="713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6" s="713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6" s="713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6" s="714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7">
      <c r="A247" s="391">
        <f>ROW()-ROW(Комплекты[[#Headers],[№]])</f>
        <v/>
      </c>
      <c r="B247" s="391">
        <f>Комплекты[[#This Row],[Пр]]&amp;"_"&amp;Комплекты[[#This Row],[Обозначение]]</f>
        <v/>
      </c>
      <c r="C247" s="391">
        <f>COUNTIFS($E$3:Комплекты[[#This Row],[Комплект]],Комплекты[[#This Row],[Комплект]])</f>
        <v/>
      </c>
      <c r="D247" s="396" t="n">
        <v>45974</v>
      </c>
      <c r="E247" s="392" t="inlineStr">
        <is>
          <t>Арт_Пнев_Под_2</t>
        </is>
      </c>
      <c r="F247" s="397" t="n">
        <v>1</v>
      </c>
      <c r="G247" s="398" t="n">
        <v>4640061000</v>
      </c>
      <c r="H247" s="397" t="n">
        <v>1</v>
      </c>
      <c r="I247" s="393">
        <f>INDEX(База[],MATCH(Комплекты[[#This Row],[Обозначение]],База[Артикул],0),MATCH(I$2,База[#Headers],0))</f>
        <v/>
      </c>
      <c r="J247" s="399">
        <f>INDEX(База[],MATCH(Комплекты[[#This Row],[Комплект]],База[Артикул],0),MATCH("наименование",База[#Headers],0))</f>
        <v/>
      </c>
      <c r="K247" s="399" t="n"/>
      <c r="L247" s="710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7" s="710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7" s="710">
        <f>IF(IFERROR(MATCH("нет",Комплекты[[#This Row],[   ]:[АВТОВИК]],0)&gt;0,),"НЕТ","ОК")</f>
        <v/>
      </c>
      <c r="O247" s="710" t="n"/>
      <c r="P247" s="710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7" s="710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7" s="710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7" s="710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7" s="710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7" s="710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7" s="710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7" s="711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8">
      <c r="A248" s="391">
        <f>ROW()-ROW(Комплекты[[#Headers],[№]])</f>
        <v/>
      </c>
      <c r="B248" s="391">
        <f>Комплекты[[#This Row],[Пр]]&amp;"_"&amp;Комплекты[[#This Row],[Обозначение]]</f>
        <v/>
      </c>
      <c r="C248" s="391">
        <f>COUNTIFS($E$3:Комплекты[[#This Row],[Комплект]],Комплекты[[#This Row],[Комплект]])</f>
        <v/>
      </c>
      <c r="D248" s="396" t="n">
        <v>45974</v>
      </c>
      <c r="E248" s="392" t="inlineStr">
        <is>
          <t>Арт_Пнев_Под_2</t>
        </is>
      </c>
      <c r="F248" s="397" t="n">
        <v>1</v>
      </c>
      <c r="G248" s="398" t="n">
        <v>9630010510</v>
      </c>
      <c r="H248" s="397" t="n">
        <v>1</v>
      </c>
      <c r="I248" s="393">
        <f>INDEX(База[],MATCH(Комплекты[[#This Row],[Обозначение]],База[Артикул],0),MATCH(I$2,База[#Headers],0))</f>
        <v/>
      </c>
      <c r="J248" s="399">
        <f>INDEX(База[],MATCH(Комплекты[[#This Row],[Комплект]],База[Артикул],0),MATCH("наименование",База[#Headers],0))</f>
        <v/>
      </c>
      <c r="K248" s="399" t="n"/>
      <c r="L248" s="710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8" s="710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8" s="710">
        <f>IF(IFERROR(MATCH("нет",Комплекты[[#This Row],[   ]:[АВТОВИК]],0)&gt;0,),"НЕТ","ОК")</f>
        <v/>
      </c>
      <c r="O248" s="710" t="n"/>
      <c r="P248" s="710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8" s="710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8" s="710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8" s="710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8" s="710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8" s="710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8" s="710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8" s="711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  <row r="249">
      <c r="A249" s="646">
        <f>ROW()-ROW(Комплекты[[#Headers],[№]])</f>
        <v/>
      </c>
      <c r="B249" s="646">
        <f>Комплекты[[#This Row],[Пр]]&amp;"_"&amp;Комплекты[[#This Row],[Обозначение]]</f>
        <v/>
      </c>
      <c r="C249" s="646">
        <f>COUNTIFS($E$3:Комплекты[[#This Row],[Комплект]],Комплекты[[#This Row],[Комплект]])</f>
        <v/>
      </c>
      <c r="D249" s="690" t="n">
        <v>45974</v>
      </c>
      <c r="E249" s="647" t="inlineStr">
        <is>
          <t>Арт_Пнев_Под_2</t>
        </is>
      </c>
      <c r="F249" s="648" t="n">
        <v>1</v>
      </c>
      <c r="G249" s="649" t="n">
        <v>9735000510</v>
      </c>
      <c r="H249" s="648" t="n">
        <v>1</v>
      </c>
      <c r="I249" s="712">
        <f>INDEX(База[],MATCH(Комплекты[[#This Row],[Обозначение]],База[Артикул],0),MATCH(I$2,База[#Headers],0))</f>
        <v/>
      </c>
      <c r="J249" s="705">
        <f>INDEX(База[],MATCH(Комплекты[[#This Row],[Комплект]],База[Артикул],0),MATCH("наименование",База[#Headers],0))</f>
        <v/>
      </c>
      <c r="K249" s="705" t="n"/>
      <c r="L249" s="713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/>
      </c>
      <c r="M249" s="713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/>
      </c>
      <c r="N249" s="713">
        <f>IF(IFERROR(MATCH("нет",Комплекты[[#This Row],[   ]:[АВТОВИК]],0)&gt;0,),"НЕТ","ОК")</f>
        <v/>
      </c>
      <c r="O249" s="713" t="n"/>
      <c r="P249" s="713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/>
      </c>
      <c r="Q249" s="713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/>
      </c>
      <c r="R249" s="713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/>
      </c>
      <c r="S249" s="713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/>
      </c>
      <c r="T249" s="713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/>
      </c>
      <c r="U249" s="713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/>
      </c>
      <c r="V249" s="713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/>
      </c>
      <c r="W249" s="714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/>
      </c>
    </row>
  </sheetData>
  <conditionalFormatting sqref="A3:K249">
    <cfRule type="expression" priority="1535" dxfId="7">
      <formula>IF($N3="ОК",0,1)</formula>
    </cfRule>
  </conditionalFormatting>
  <conditionalFormatting sqref="C3:C249">
    <cfRule type="colorScale" priority="2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249">
    <cfRule type="colorScale" priority="2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249">
    <cfRule type="expression" priority="24" dxfId="7">
      <formula>IF($M3="ОК",0,1)</formula>
    </cfRule>
  </conditionalFormatting>
  <conditionalFormatting sqref="F3:F249">
    <cfRule type="cellIs" priority="29" operator="equal" dxfId="1">
      <formula>2</formula>
    </cfRule>
  </conditionalFormatting>
  <conditionalFormatting sqref="F3:G249">
    <cfRule type="expression" priority="26" dxfId="21">
      <formula>IF($L3="ОК",0,1)</formula>
    </cfRule>
  </conditionalFormatting>
  <conditionalFormatting sqref="G3:G249">
    <cfRule type="beginsWith" priority="2" operator="beginsWith" dxfId="19" text="4640061000">
      <formula>LEFT(G3,LEN("4640061000"))="4640061000"</formula>
    </cfRule>
    <cfRule type="beginsWith" priority="5" operator="beginsWith" dxfId="18" text="4640060020">
      <formula>LEFT(G3,LEN("4640060020"))="4640060020"</formula>
    </cfRule>
    <cfRule type="beginsWith" priority="6" operator="beginsWith" dxfId="17" text="449379">
      <formula>LEFT(G3,LEN("449379"))="449379"</formula>
    </cfRule>
    <cfRule type="beginsWith" priority="7" operator="beginsWith" dxfId="16" text="449370">
      <formula>LEFT(G3,LEN("449370"))="449370"</formula>
    </cfRule>
    <cfRule type="beginsWith" priority="8" operator="beginsWith" dxfId="15" text="449130">
      <formula>LEFT(G3,LEN("449130"))="449130"</formula>
    </cfRule>
    <cfRule type="beginsWith" priority="9" operator="beginsWith" dxfId="14" text="449430">
      <formula>LEFT(G3,LEN("449430"))="449430"</formula>
    </cfRule>
    <cfRule type="beginsWith" priority="10" operator="beginsWith" dxfId="13" text="449173">
      <formula>LEFT(G3,LEN("449173"))="449173"</formula>
    </cfRule>
    <cfRule type="beginsWith" priority="11" operator="beginsWith" dxfId="6" text="449712">
      <formula>LEFT(G3,LEN("449712"))="449712"</formula>
    </cfRule>
    <cfRule type="beginsWith" priority="14" operator="beginsWith" dxfId="11" text="449749">
      <formula>LEFT(G3,LEN("449749"))="449749"</formula>
    </cfRule>
    <cfRule type="beginsWith" priority="15" operator="beginsWith" dxfId="10" text="449723">
      <formula>LEFT(G3,LEN("449723"))="449723"</formula>
    </cfRule>
    <cfRule type="beginsWith" priority="16" operator="beginsWith" dxfId="9" text="4802070600">
      <formula>LEFT(G3,LEN("4802070600"))="4802070600"</formula>
    </cfRule>
    <cfRule type="beginsWith" priority="17" operator="beginsWith" dxfId="8" text="4801020640">
      <formula>LEFT(G3,LEN("4801020640"))="4801020640"</formula>
    </cfRule>
  </conditionalFormatting>
  <conditionalFormatting sqref="H3:H249">
    <cfRule type="colorScale" priority="28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W249">
    <cfRule type="containsText" priority="21" operator="containsText" dxfId="7" text="НЕТ">
      <formula>NOT(ISERROR(SEARCH("НЕТ",N3)))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52"/>
  <sheetViews>
    <sheetView workbookViewId="0">
      <pane xSplit="5" ySplit="4" topLeftCell="F128" activePane="bottomRight" state="frozen"/>
      <selection activeCell="N3" sqref="N3"/>
      <selection pane="topRight" activeCell="A1" sqref="A1"/>
      <selection pane="bottomLeft" activeCell="A1" sqref="A1"/>
      <selection pane="bottomRight" activeCell="K148" sqref="K148"/>
    </sheetView>
  </sheetViews>
  <sheetFormatPr baseColWidth="8" defaultColWidth="12.6640625" defaultRowHeight="14.4" outlineLevelRow="1"/>
  <cols>
    <col width="5.6640625" customWidth="1" style="1" min="1" max="1"/>
    <col width="13.6640625" customWidth="1" style="1" min="2" max="2"/>
    <col outlineLevel="1" width="3.6640625" customWidth="1" style="1" min="3" max="3"/>
    <col outlineLevel="1" width="9.6640625" customWidth="1" style="1" min="4" max="4"/>
    <col width="40.6640625" customWidth="1" style="2" min="5" max="5"/>
    <col outlineLevel="1" width="6.6640625" customWidth="1" style="1" min="6" max="17"/>
    <col width="8.6640625" customWidth="1" style="1" min="18" max="18"/>
    <col width="3.6640625" customWidth="1" style="460" min="19" max="19"/>
    <col outlineLevel="1" width="6.6640625" customWidth="1" style="1" min="20" max="31"/>
    <col width="8.6640625" customWidth="1" style="1" min="32" max="32"/>
    <col width="4.6640625" customWidth="1" style="359" min="33" max="33"/>
    <col outlineLevel="1" width="12.6640625" customWidth="1" style="1" min="34" max="34"/>
    <col width="12.6640625" customWidth="1" style="1" min="35" max="16384"/>
  </cols>
  <sheetData>
    <row r="1" hidden="1" outlineLevel="1">
      <c r="E1" s="381" t="inlineStr">
        <is>
          <t>Параметры для сдвига расчета:</t>
        </is>
      </c>
      <c r="F1" s="382" t="inlineStr">
        <is>
          <t>стр. н.</t>
        </is>
      </c>
      <c r="G1" s="382" t="inlineStr">
        <is>
          <t>стр. к.</t>
        </is>
      </c>
      <c r="H1" s="382" t="inlineStr">
        <is>
          <t>стл. н.</t>
        </is>
      </c>
      <c r="I1" s="382" t="inlineStr">
        <is>
          <t>шаг</t>
        </is>
      </c>
      <c r="J1" s="383" t="inlineStr">
        <is>
          <t>П</t>
        </is>
      </c>
      <c r="K1" s="384" t="inlineStr">
        <is>
          <t>Ф</t>
        </is>
      </c>
    </row>
    <row r="2" hidden="1" outlineLevel="1">
      <c r="E2" s="381" t="inlineStr">
        <is>
          <t>Значения для сдвига расчета:</t>
        </is>
      </c>
      <c r="F2" s="515">
        <f>ROW(ПНЕВМАТИКА!$A$4)+2</f>
        <v/>
      </c>
      <c r="G2" s="515">
        <f>ROW(ПНЕВМАТИКА!$A$331)-1</f>
        <v/>
      </c>
      <c r="H2" s="515">
        <f>COLUMN(ПНЕВМАТИКА!$O$5)</f>
        <v/>
      </c>
      <c r="I2" s="515" t="n">
        <v>4</v>
      </c>
      <c r="J2" s="516" t="n">
        <v>1</v>
      </c>
      <c r="K2" s="517" t="n">
        <v>2</v>
      </c>
      <c r="L2" s="1" t="inlineStr">
        <is>
          <t>0 - для АОП</t>
        </is>
      </c>
    </row>
    <row r="3" collapsed="1" ht="18" customHeight="1">
      <c r="A3" s="776" t="inlineStr">
        <is>
          <t>Клиент:</t>
        </is>
      </c>
      <c r="B3" s="916" t="n"/>
      <c r="C3" s="916" t="n"/>
      <c r="D3" s="917" t="n"/>
      <c r="E3" s="279" t="inlineStr">
        <is>
          <t>ВСЕ</t>
        </is>
      </c>
      <c r="F3" s="777" t="inlineStr">
        <is>
          <t>Прогноз продаж по месяцам 2026, шт.</t>
        </is>
      </c>
      <c r="G3" s="916" t="n"/>
      <c r="H3" s="916" t="n"/>
      <c r="I3" s="916" t="n"/>
      <c r="J3" s="916" t="n"/>
      <c r="K3" s="916" t="n"/>
      <c r="L3" s="916" t="n"/>
      <c r="M3" s="916" t="n"/>
      <c r="N3" s="916" t="n"/>
      <c r="O3" s="916" t="n"/>
      <c r="P3" s="916" t="n"/>
      <c r="Q3" s="916" t="n"/>
      <c r="R3" s="917" t="n"/>
      <c r="S3" s="379" t="n"/>
      <c r="T3" s="778" t="inlineStr">
        <is>
          <t>Фактические продажи по месяцам 2026, шт.</t>
        </is>
      </c>
      <c r="U3" s="916" t="n"/>
      <c r="V3" s="916" t="n"/>
      <c r="W3" s="916" t="n"/>
      <c r="X3" s="916" t="n"/>
      <c r="Y3" s="916" t="n"/>
      <c r="Z3" s="916" t="n"/>
      <c r="AA3" s="916" t="n"/>
      <c r="AB3" s="916" t="n"/>
      <c r="AC3" s="916" t="n"/>
      <c r="AD3" s="916" t="n"/>
      <c r="AE3" s="916" t="n"/>
      <c r="AF3" s="917" t="n"/>
      <c r="AG3" s="380" t="n"/>
    </row>
    <row r="4" ht="28.8" customHeight="1">
      <c r="A4" s="456" t="inlineStr">
        <is>
          <t>Прод</t>
        </is>
      </c>
      <c r="B4" s="745" t="inlineStr">
        <is>
          <t>Обозначение</t>
        </is>
      </c>
      <c r="C4" s="745" t="inlineStr">
        <is>
          <t>Пр</t>
        </is>
      </c>
      <c r="D4" s="745" t="inlineStr">
        <is>
          <t>Тип</t>
        </is>
      </c>
      <c r="E4" s="745" t="inlineStr">
        <is>
          <t>Наименование</t>
        </is>
      </c>
      <c r="F4" s="745" t="inlineStr">
        <is>
          <t>П- 
01</t>
        </is>
      </c>
      <c r="G4" s="745" t="inlineStr">
        <is>
          <t>П- 
02</t>
        </is>
      </c>
      <c r="H4" s="745" t="inlineStr">
        <is>
          <t>П- 
03</t>
        </is>
      </c>
      <c r="I4" s="745" t="inlineStr">
        <is>
          <t>П- 
04</t>
        </is>
      </c>
      <c r="J4" s="745" t="inlineStr">
        <is>
          <t>П- 
05</t>
        </is>
      </c>
      <c r="K4" s="745" t="inlineStr">
        <is>
          <t>П- 
06</t>
        </is>
      </c>
      <c r="L4" s="745" t="inlineStr">
        <is>
          <t>П- 
07</t>
        </is>
      </c>
      <c r="M4" s="745" t="inlineStr">
        <is>
          <t>П- 
08</t>
        </is>
      </c>
      <c r="N4" s="745" t="inlineStr">
        <is>
          <t>П- 
09</t>
        </is>
      </c>
      <c r="O4" s="745" t="inlineStr">
        <is>
          <t>П- 
10</t>
        </is>
      </c>
      <c r="P4" s="745" t="inlineStr">
        <is>
          <t>П- 
11</t>
        </is>
      </c>
      <c r="Q4" s="745" t="inlineStr">
        <is>
          <t>П- 
12</t>
        </is>
      </c>
      <c r="R4" s="745" t="inlineStr">
        <is>
          <t>П- 
2026</t>
        </is>
      </c>
      <c r="S4" s="457" t="inlineStr">
        <is>
          <t>=</t>
        </is>
      </c>
      <c r="T4" s="458" t="inlineStr">
        <is>
          <t>Ф- 
01</t>
        </is>
      </c>
      <c r="U4" s="458" t="inlineStr">
        <is>
          <t>Ф- 
02</t>
        </is>
      </c>
      <c r="V4" s="458" t="inlineStr">
        <is>
          <t>Ф- 
03</t>
        </is>
      </c>
      <c r="W4" s="458" t="inlineStr">
        <is>
          <t>Ф- 
04</t>
        </is>
      </c>
      <c r="X4" s="458" t="inlineStr">
        <is>
          <t>Ф- 
05</t>
        </is>
      </c>
      <c r="Y4" s="458" t="inlineStr">
        <is>
          <t>Ф- 
06</t>
        </is>
      </c>
      <c r="Z4" s="458" t="inlineStr">
        <is>
          <t>Ф- 
07</t>
        </is>
      </c>
      <c r="AA4" s="458" t="inlineStr">
        <is>
          <t>Ф- 
08</t>
        </is>
      </c>
      <c r="AB4" s="458" t="inlineStr">
        <is>
          <t>Ф- 
09</t>
        </is>
      </c>
      <c r="AC4" s="458" t="inlineStr">
        <is>
          <t>Ф- 
10</t>
        </is>
      </c>
      <c r="AD4" s="458" t="inlineStr">
        <is>
          <t>Ф- 
11</t>
        </is>
      </c>
      <c r="AE4" s="458" t="inlineStr">
        <is>
          <t>Ф- 
12</t>
        </is>
      </c>
      <c r="AF4" s="458" t="inlineStr">
        <is>
          <t>Ф- 
2026</t>
        </is>
      </c>
      <c r="AG4" s="518" t="inlineStr">
        <is>
          <t>Ф</t>
        </is>
      </c>
      <c r="AH4" s="459" t="inlineStr">
        <is>
          <t>Ключ</t>
        </is>
      </c>
    </row>
    <row r="5">
      <c r="A5" s="273" t="n">
        <v>1</v>
      </c>
      <c r="B5" s="277" t="n">
        <v>828877016</v>
      </c>
      <c r="C5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" s="281">
        <f>INDEX(База[],MATCH(Пневматика_СВОДНАЯ_2026[[#This Row],[Обозначение]],База[Артикул],0),MATCH(D$4,База[#Headers],0))</f>
        <v/>
      </c>
      <c r="E5" s="278">
        <f>INDEX(База[],MATCH(Пневматика_СВОДНАЯ_2026[[#This Row],[Обозначение]],База[Артикул],0),MATCH(E$4,База[#Headers],0))</f>
        <v/>
      </c>
      <c r="F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" s="276">
        <f>SUM(Пневматика_СВОДНАЯ_2026[[#This Row],[П- 
01]:[П- 
12]])</f>
        <v/>
      </c>
      <c r="S5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" s="276">
        <f>SUM(Пневматика_СВОДНАЯ_2026[[#This Row],[Ф- 
01]:[Ф- 
12]])</f>
        <v/>
      </c>
      <c r="AG5" s="519">
        <f>IF((Пневматика_СВОДНАЯ_2026[[#This Row],[П- 
2026]]+Пневматика_СВОДНАЯ_2026[[#This Row],[Ф- 
2026]])&gt;0,1,0)</f>
        <v/>
      </c>
      <c r="AH5" s="298">
        <f>Пневматика_СВОДНАЯ_2026[[#This Row],[Прод]]&amp;"_"&amp;Пневматика_СВОДНАЯ_2026[[#This Row],[Обозначение]]</f>
        <v/>
      </c>
    </row>
    <row r="6">
      <c r="A6" s="273" t="n">
        <v>1</v>
      </c>
      <c r="B6" s="277" t="n">
        <v>4231079000</v>
      </c>
      <c r="C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" s="281">
        <f>INDEX(База[],MATCH(Пневматика_СВОДНАЯ_2026[[#This Row],[Обозначение]],База[Артикул],0),MATCH(D$4,База[#Headers],0))</f>
        <v/>
      </c>
      <c r="E6" s="278">
        <f>INDEX(База[],MATCH(Пневматика_СВОДНАЯ_2026[[#This Row],[Обозначение]],База[Артикул],0),MATCH(E$4,База[#Headers],0))</f>
        <v/>
      </c>
      <c r="F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" s="276">
        <f>SUM(Пневматика_СВОДНАЯ_2026[[#This Row],[П- 
01]:[П- 
12]])</f>
        <v/>
      </c>
      <c r="S6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" s="276">
        <f>SUM(Пневматика_СВОДНАЯ_2026[[#This Row],[Ф- 
01]:[Ф- 
12]])</f>
        <v/>
      </c>
      <c r="AG6" s="519">
        <f>IF((Пневматика_СВОДНАЯ_2026[[#This Row],[П- 
2026]]+Пневматика_СВОДНАЯ_2026[[#This Row],[Ф- 
2026]])&gt;0,1,0)</f>
        <v/>
      </c>
      <c r="AH6" s="298">
        <f>Пневматика_СВОДНАЯ_2026[[#This Row],[Прод]]&amp;"_"&amp;Пневматика_СВОДНАЯ_2026[[#This Row],[Обозначение]]</f>
        <v/>
      </c>
    </row>
    <row r="7">
      <c r="A7" s="539" t="n">
        <v>1</v>
      </c>
      <c r="B7" s="540" t="n">
        <v>4235041001</v>
      </c>
      <c r="C7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" s="541">
        <f>INDEX(База[],MATCH(Пневматика_СВОДНАЯ_2026[[#This Row],[Обозначение]],База[Артикул],0),MATCH(D$4,База[#Headers],0))</f>
        <v/>
      </c>
      <c r="E7" s="542">
        <f>INDEX(База[],MATCH(Пневматика_СВОДНАЯ_2026[[#This Row],[Обозначение]],База[Артикул],0),MATCH(E$4,База[#Headers],0))</f>
        <v/>
      </c>
      <c r="F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" s="276">
        <f>SUM(Пневматика_СВОДНАЯ_2026[[#This Row],[П- 
01]:[П- 
12]])</f>
        <v/>
      </c>
      <c r="S7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" s="276">
        <f>SUM(Пневматика_СВОДНАЯ_2026[[#This Row],[Ф- 
01]:[Ф- 
12]])</f>
        <v/>
      </c>
      <c r="AG7" s="544">
        <f>IF((Пневматика_СВОДНАЯ_2026[[#This Row],[П- 
2026]]+Пневматика_СВОДНАЯ_2026[[#This Row],[Ф- 
2026]])&gt;0,1,0)</f>
        <v/>
      </c>
      <c r="AH7" s="545">
        <f>Пневматика_СВОДНАЯ_2026[[#This Row],[Прод]]&amp;"_"&amp;Пневматика_СВОДНАЯ_2026[[#This Row],[Обозначение]]</f>
        <v/>
      </c>
    </row>
    <row r="8">
      <c r="A8" s="273" t="n">
        <v>1</v>
      </c>
      <c r="B8" s="274" t="n">
        <v>4334010030</v>
      </c>
      <c r="C8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" s="281">
        <f>INDEX(База[],MATCH(Пневматика_СВОДНАЯ_2026[[#This Row],[Обозначение]],База[Артикул],0),MATCH(D$4,База[#Headers],0))</f>
        <v/>
      </c>
      <c r="E8" s="55">
        <f>INDEX(База[],MATCH(Пневматика_СВОДНАЯ_2026[[#This Row],[Обозначение]],База[Артикул],0),MATCH(E$4,База[#Headers],0))</f>
        <v/>
      </c>
      <c r="F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" s="276">
        <f>SUM(Пневматика_СВОДНАЯ_2026[[#This Row],[П- 
01]:[П- 
12]])</f>
        <v/>
      </c>
      <c r="S8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" s="276">
        <f>SUM(Пневматика_СВОДНАЯ_2026[[#This Row],[Ф- 
01]:[Ф- 
12]])</f>
        <v/>
      </c>
      <c r="AG8" s="519">
        <f>IF((Пневматика_СВОДНАЯ_2026[[#This Row],[П- 
2026]]+Пневматика_СВОДНАЯ_2026[[#This Row],[Ф- 
2026]])&gt;0,1,0)</f>
        <v/>
      </c>
      <c r="AH8" s="280">
        <f>Пневматика_СВОДНАЯ_2026[[#This Row],[Прод]]&amp;"_"&amp;Пневматика_СВОДНАЯ_2026[[#This Row],[Обозначение]]</f>
        <v/>
      </c>
    </row>
    <row r="9">
      <c r="A9" s="273" t="n">
        <v>1</v>
      </c>
      <c r="B9" s="274" t="n">
        <v>4341001250</v>
      </c>
      <c r="C9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" s="281">
        <f>INDEX(База[],MATCH(Пневматика_СВОДНАЯ_2026[[#This Row],[Обозначение]],База[Артикул],0),MATCH(D$4,База[#Headers],0))</f>
        <v/>
      </c>
      <c r="E9" s="55">
        <f>INDEX(База[],MATCH(Пневматика_СВОДНАЯ_2026[[#This Row],[Обозначение]],База[Артикул],0),MATCH(E$4,База[#Headers],0))</f>
        <v/>
      </c>
      <c r="F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" s="276">
        <f>SUM(Пневматика_СВОДНАЯ_2026[[#This Row],[П- 
01]:[П- 
12]])</f>
        <v/>
      </c>
      <c r="S9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" s="276">
        <f>SUM(Пневматика_СВОДНАЯ_2026[[#This Row],[Ф- 
01]:[Ф- 
12]])</f>
        <v/>
      </c>
      <c r="AG9" s="519">
        <f>IF((Пневматика_СВОДНАЯ_2026[[#This Row],[П- 
2026]]+Пневматика_СВОДНАЯ_2026[[#This Row],[Ф- 
2026]])&gt;0,1,0)</f>
        <v/>
      </c>
      <c r="AH9" s="280">
        <f>Пневматика_СВОДНАЯ_2026[[#This Row],[Прод]]&amp;"_"&amp;Пневматика_СВОДНАЯ_2026[[#This Row],[Обозначение]]</f>
        <v/>
      </c>
    </row>
    <row r="10">
      <c r="A10" s="539" t="n">
        <v>1</v>
      </c>
      <c r="B10" s="540" t="n">
        <v>4410328080</v>
      </c>
      <c r="C10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" s="541">
        <f>INDEX(База[],MATCH(Пневматика_СВОДНАЯ_2026[[#This Row],[Обозначение]],База[Артикул],0),MATCH(D$4,База[#Headers],0))</f>
        <v/>
      </c>
      <c r="E10" s="542">
        <f>INDEX(База[],MATCH(Пневматика_СВОДНАЯ_2026[[#This Row],[Обозначение]],База[Артикул],0),MATCH(E$4,База[#Headers],0))</f>
        <v/>
      </c>
      <c r="F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" s="276">
        <f>SUM(Пневматика_СВОДНАЯ_2026[[#This Row],[П- 
01]:[П- 
12]])</f>
        <v/>
      </c>
      <c r="S10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" s="276">
        <f>SUM(Пневматика_СВОДНАЯ_2026[[#This Row],[Ф- 
01]:[Ф- 
12]])</f>
        <v/>
      </c>
      <c r="AG10" s="544">
        <f>IF((Пневматика_СВОДНАЯ_2026[[#This Row],[П- 
2026]]+Пневматика_СВОДНАЯ_2026[[#This Row],[Ф- 
2026]])&gt;0,1,0)</f>
        <v/>
      </c>
      <c r="AH10" s="545">
        <f>Пневматика_СВОДНАЯ_2026[[#This Row],[Прод]]&amp;"_"&amp;Пневматика_СВОДНАЯ_2026[[#This Row],[Обозначение]]</f>
        <v/>
      </c>
    </row>
    <row r="11">
      <c r="A11" s="273" t="n">
        <v>1</v>
      </c>
      <c r="B11" s="277" t="n">
        <v>4463003700</v>
      </c>
      <c r="C1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" s="281">
        <f>INDEX(База[],MATCH(Пневматика_СВОДНАЯ_2026[[#This Row],[Обозначение]],База[Артикул],0),MATCH(D$4,База[#Headers],0))</f>
        <v/>
      </c>
      <c r="E11" s="278">
        <f>INDEX(База[],MATCH(Пневматика_СВОДНАЯ_2026[[#This Row],[Обозначение]],База[Артикул],0),MATCH(E$4,База[#Headers],0))</f>
        <v/>
      </c>
      <c r="F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" s="276">
        <f>SUM(Пневматика_СВОДНАЯ_2026[[#This Row],[П- 
01]:[П- 
12]])</f>
        <v/>
      </c>
      <c r="S11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" s="276">
        <f>SUM(Пневматика_СВОДНАЯ_2026[[#This Row],[Ф- 
01]:[Ф- 
12]])</f>
        <v/>
      </c>
      <c r="AG11" s="519">
        <f>IF((Пневматика_СВОДНАЯ_2026[[#This Row],[П- 
2026]]+Пневматика_СВОДНАЯ_2026[[#This Row],[Ф- 
2026]])&gt;0,1,0)</f>
        <v/>
      </c>
      <c r="AH11" s="298">
        <f>Пневматика_СВОДНАЯ_2026[[#This Row],[Прод]]&amp;"_"&amp;Пневматика_СВОДНАЯ_2026[[#This Row],[Обозначение]]</f>
        <v/>
      </c>
    </row>
    <row r="12">
      <c r="A12" s="273" t="n">
        <v>1</v>
      </c>
      <c r="B12" s="277" t="n">
        <v>4491731200</v>
      </c>
      <c r="C12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" s="281">
        <f>INDEX(База[],MATCH(Пневматика_СВОДНАЯ_2026[[#This Row],[Обозначение]],База[Артикул],0),MATCH(D$4,База[#Headers],0))</f>
        <v/>
      </c>
      <c r="E12" s="278">
        <f>INDEX(База[],MATCH(Пневматика_СВОДНАЯ_2026[[#This Row],[Обозначение]],База[Артикул],0),MATCH(E$4,База[#Headers],0))</f>
        <v/>
      </c>
      <c r="F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" s="276">
        <f>SUM(Пневматика_СВОДНАЯ_2026[[#This Row],[П- 
01]:[П- 
12]])</f>
        <v/>
      </c>
      <c r="S12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" s="276">
        <f>SUM(Пневматика_СВОДНАЯ_2026[[#This Row],[Ф- 
01]:[Ф- 
12]])</f>
        <v/>
      </c>
      <c r="AG12" s="519">
        <f>IF((Пневматика_СВОДНАЯ_2026[[#This Row],[П- 
2026]]+Пневматика_СВОДНАЯ_2026[[#This Row],[Ф- 
2026]])&gt;0,1,0)</f>
        <v/>
      </c>
      <c r="AH12" s="298">
        <f>Пневматика_СВОДНАЯ_2026[[#This Row],[Прод]]&amp;"_"&amp;Пневматика_СВОДНАЯ_2026[[#This Row],[Обозначение]]</f>
        <v/>
      </c>
    </row>
    <row r="13">
      <c r="A13" s="273" t="n">
        <v>1</v>
      </c>
      <c r="B13" s="277" t="n">
        <v>4491731500</v>
      </c>
      <c r="C13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" s="281">
        <f>INDEX(База[],MATCH(Пневматика_СВОДНАЯ_2026[[#This Row],[Обозначение]],База[Артикул],0),MATCH(D$4,База[#Headers],0))</f>
        <v/>
      </c>
      <c r="E13" s="278">
        <f>INDEX(База[],MATCH(Пневматика_СВОДНАЯ_2026[[#This Row],[Обозначение]],База[Артикул],0),MATCH(E$4,База[#Headers],0))</f>
        <v/>
      </c>
      <c r="F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" s="276">
        <f>SUM(Пневматика_СВОДНАЯ_2026[[#This Row],[П- 
01]:[П- 
12]])</f>
        <v/>
      </c>
      <c r="S13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" s="276">
        <f>SUM(Пневматика_СВОДНАЯ_2026[[#This Row],[Ф- 
01]:[Ф- 
12]])</f>
        <v/>
      </c>
      <c r="AG13" s="519">
        <f>IF((Пневматика_СВОДНАЯ_2026[[#This Row],[П- 
2026]]+Пневматика_СВОДНАЯ_2026[[#This Row],[Ф- 
2026]])&gt;0,1,0)</f>
        <v/>
      </c>
      <c r="AH13" s="280">
        <f>Пневматика_СВОДНАЯ_2026[[#This Row],[Прод]]&amp;"_"&amp;Пневматика_СВОДНАЯ_2026[[#This Row],[Обозначение]]</f>
        <v/>
      </c>
    </row>
    <row r="14">
      <c r="A14" s="273" t="n">
        <v>1</v>
      </c>
      <c r="B14" s="277" t="n">
        <v>4494300600</v>
      </c>
      <c r="C14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4" s="281">
        <f>INDEX(База[],MATCH(Пневматика_СВОДНАЯ_2026[[#This Row],[Обозначение]],База[Артикул],0),MATCH(D$4,База[#Headers],0))</f>
        <v/>
      </c>
      <c r="E14" s="278">
        <f>INDEX(База[],MATCH(Пневматика_СВОДНАЯ_2026[[#This Row],[Обозначение]],База[Артикул],0),MATCH(E$4,База[#Headers],0))</f>
        <v/>
      </c>
      <c r="F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4" s="433">
        <f>SUM(Пневматика_СВОДНАЯ_2026[[#This Row],[П- 
01]:[П- 
12]])</f>
        <v/>
      </c>
      <c r="S14" s="451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4" s="433">
        <f>SUM(Пневматика_СВОДНАЯ_2026[[#This Row],[Ф- 
01]:[Ф- 
12]])</f>
        <v/>
      </c>
      <c r="AG14" s="519">
        <f>IF((Пневматика_СВОДНАЯ_2026[[#This Row],[П- 
2026]]+Пневматика_СВОДНАЯ_2026[[#This Row],[Ф- 
2026]])&gt;0,1,0)</f>
        <v/>
      </c>
      <c r="AH14" s="298">
        <f>Пневматика_СВОДНАЯ_2026[[#This Row],[Прод]]&amp;"_"&amp;Пневматика_СВОДНАЯ_2026[[#This Row],[Обозначение]]</f>
        <v/>
      </c>
    </row>
    <row r="15" ht="28.8" customFormat="1" customHeight="1" s="14">
      <c r="A15" s="273" t="n">
        <v>1</v>
      </c>
      <c r="B15" s="277" t="n">
        <v>4494430400</v>
      </c>
      <c r="C15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5" s="281">
        <f>INDEX(База[],MATCH(Пневматика_СВОДНАЯ_2026[[#This Row],[Обозначение]],База[Артикул],0),MATCH(D$4,База[#Headers],0))</f>
        <v/>
      </c>
      <c r="E15" s="278">
        <f>INDEX(База[],MATCH(Пневматика_СВОДНАЯ_2026[[#This Row],[Обозначение]],База[Артикул],0),MATCH(E$4,База[#Headers],0))</f>
        <v/>
      </c>
      <c r="F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5" s="276">
        <f>SUM(Пневматика_СВОДНАЯ_2026[[#This Row],[П- 
01]:[П- 
12]])</f>
        <v/>
      </c>
      <c r="S15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5" s="276">
        <f>SUM(Пневматика_СВОДНАЯ_2026[[#This Row],[Ф- 
01]:[Ф- 
12]])</f>
        <v/>
      </c>
      <c r="AG15" s="519">
        <f>IF((Пневматика_СВОДНАЯ_2026[[#This Row],[П- 
2026]]+Пневматика_СВОДНАЯ_2026[[#This Row],[Ф- 
2026]])&gt;0,1,0)</f>
        <v/>
      </c>
      <c r="AH15" s="298">
        <f>Пневматика_СВОДНАЯ_2026[[#This Row],[Прод]]&amp;"_"&amp;Пневматика_СВОДНАЯ_2026[[#This Row],[Обозначение]]</f>
        <v/>
      </c>
    </row>
    <row r="16" ht="28.8" customFormat="1" customHeight="1" s="14">
      <c r="A16" s="273" t="n">
        <v>1</v>
      </c>
      <c r="B16" s="277" t="n">
        <v>4494430600</v>
      </c>
      <c r="C1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6" s="281">
        <f>INDEX(База[],MATCH(Пневматика_СВОДНАЯ_2026[[#This Row],[Обозначение]],База[Артикул],0),MATCH(D$4,База[#Headers],0))</f>
        <v/>
      </c>
      <c r="E16" s="278">
        <f>INDEX(База[],MATCH(Пневматика_СВОДНАЯ_2026[[#This Row],[Обозначение]],База[Артикул],0),MATCH(E$4,База[#Headers],0))</f>
        <v/>
      </c>
      <c r="F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6" s="276">
        <f>SUM(Пневматика_СВОДНАЯ_2026[[#This Row],[П- 
01]:[П- 
12]])</f>
        <v/>
      </c>
      <c r="S16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6" s="276">
        <f>SUM(Пневматика_СВОДНАЯ_2026[[#This Row],[Ф- 
01]:[Ф- 
12]])</f>
        <v/>
      </c>
      <c r="AG16" s="519">
        <f>IF((Пневматика_СВОДНАЯ_2026[[#This Row],[П- 
2026]]+Пневматика_СВОДНАЯ_2026[[#This Row],[Ф- 
2026]])&gt;0,1,0)</f>
        <v/>
      </c>
      <c r="AH16" s="298">
        <f>Пневматика_СВОДНАЯ_2026[[#This Row],[Прод]]&amp;"_"&amp;Пневматика_СВОДНАЯ_2026[[#This Row],[Обозначение]]</f>
        <v/>
      </c>
    </row>
    <row r="17" ht="28.8" customFormat="1" customHeight="1" s="14">
      <c r="A17" s="273" t="n">
        <v>1</v>
      </c>
      <c r="B17" s="274" t="n">
        <v>4496161560</v>
      </c>
      <c r="C17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7" s="281">
        <f>INDEX(База[],MATCH(Пневматика_СВОДНАЯ_2026[[#This Row],[Обозначение]],База[Артикул],0),MATCH(D$4,База[#Headers],0))</f>
        <v/>
      </c>
      <c r="E17" s="55">
        <f>INDEX(База[],MATCH(Пневматика_СВОДНАЯ_2026[[#This Row],[Обозначение]],База[Артикул],0),MATCH(E$4,База[#Headers],0))</f>
        <v/>
      </c>
      <c r="F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7" s="276">
        <f>SUM(Пневматика_СВОДНАЯ_2026[[#This Row],[П- 
01]:[П- 
12]])</f>
        <v/>
      </c>
      <c r="S17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7" s="276">
        <f>SUM(Пневматика_СВОДНАЯ_2026[[#This Row],[Ф- 
01]:[Ф- 
12]])</f>
        <v/>
      </c>
      <c r="AG17" s="519">
        <f>IF((Пневматика_СВОДНАЯ_2026[[#This Row],[П- 
2026]]+Пневматика_СВОДНАЯ_2026[[#This Row],[Ф- 
2026]])&gt;0,1,0)</f>
        <v/>
      </c>
      <c r="AH17" s="280">
        <f>Пневматика_СВОДНАЯ_2026[[#This Row],[Прод]]&amp;"_"&amp;Пневматика_СВОДНАЯ_2026[[#This Row],[Обозначение]]</f>
        <v/>
      </c>
    </row>
    <row r="18" customFormat="1" s="14">
      <c r="A18" s="273" t="n">
        <v>1</v>
      </c>
      <c r="B18" s="277" t="n">
        <v>4497120000</v>
      </c>
      <c r="C18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8" s="281">
        <f>INDEX(База[],MATCH(Пневматика_СВОДНАЯ_2026[[#This Row],[Обозначение]],База[Артикул],0),MATCH(D$4,База[#Headers],0))</f>
        <v/>
      </c>
      <c r="E18" s="278">
        <f>INDEX(База[],MATCH(Пневматика_СВОДНАЯ_2026[[#This Row],[Обозначение]],База[Артикул],0),MATCH(E$4,База[#Headers],0))</f>
        <v/>
      </c>
      <c r="F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8" s="276">
        <f>SUM(Пневматика_СВОДНАЯ_2026[[#This Row],[П- 
01]:[П- 
12]])</f>
        <v/>
      </c>
      <c r="S18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8" s="276">
        <f>SUM(Пневматика_СВОДНАЯ_2026[[#This Row],[Ф- 
01]:[Ф- 
12]])</f>
        <v/>
      </c>
      <c r="AG18" s="519">
        <f>IF((Пневматика_СВОДНАЯ_2026[[#This Row],[П- 
2026]]+Пневматика_СВОДНАЯ_2026[[#This Row],[Ф- 
2026]])&gt;0,1,0)</f>
        <v/>
      </c>
      <c r="AH18" s="298">
        <f>Пневматика_СВОДНАЯ_2026[[#This Row],[Прод]]&amp;"_"&amp;Пневматика_СВОДНАЯ_2026[[#This Row],[Обозначение]]</f>
        <v/>
      </c>
    </row>
    <row r="19" customFormat="1" s="14">
      <c r="A19" s="282" t="n">
        <v>1</v>
      </c>
      <c r="B19" s="283" t="n">
        <v>4497230500</v>
      </c>
      <c r="C1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9" s="285">
        <f>INDEX(База[],MATCH(Пневматика_СВОДНАЯ_2026[[#This Row],[Обозначение]],База[Артикул],0),MATCH(D$4,База[#Headers],0))</f>
        <v/>
      </c>
      <c r="E19" s="286">
        <f>INDEX(База[],MATCH(Пневматика_СВОДНАЯ_2026[[#This Row],[Обозначение]],База[Артикул],0),MATCH(E$4,База[#Headers],0))</f>
        <v/>
      </c>
      <c r="F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9" s="288">
        <f>SUM(Пневматика_СВОДНАЯ_2026[[#This Row],[П- 
01]:[П- 
12]])</f>
        <v/>
      </c>
      <c r="S19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9" s="288">
        <f>SUM(Пневматика_СВОДНАЯ_2026[[#This Row],[Ф- 
01]:[Ф- 
12]])</f>
        <v/>
      </c>
      <c r="AG19" s="520">
        <f>IF((Пневматика_СВОДНАЯ_2026[[#This Row],[П- 
2026]]+Пневматика_СВОДНАЯ_2026[[#This Row],[Ф- 
2026]])&gt;0,1,0)</f>
        <v/>
      </c>
      <c r="AH19" s="300">
        <f>Пневматика_СВОДНАЯ_2026[[#This Row],[Прод]]&amp;"_"&amp;Пневматика_СВОДНАЯ_2026[[#This Row],[Обозначение]]</f>
        <v/>
      </c>
    </row>
    <row r="20" customFormat="1" s="14">
      <c r="A20" s="282" t="n">
        <v>1</v>
      </c>
      <c r="B20" s="301" t="n">
        <v>4497230800</v>
      </c>
      <c r="C20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20" s="285">
        <f>INDEX(База[],MATCH(Пневматика_СВОДНАЯ_2026[[#This Row],[Обозначение]],База[Артикул],0),MATCH(D$4,База[#Headers],0))</f>
        <v/>
      </c>
      <c r="E20" s="304">
        <f>INDEX(База[],MATCH(Пневматика_СВОДНАЯ_2026[[#This Row],[Обозначение]],База[Артикул],0),MATCH(E$4,База[#Headers],0))</f>
        <v/>
      </c>
      <c r="F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20" s="288">
        <f>SUM(Пневматика_СВОДНАЯ_2026[[#This Row],[П- 
01]:[П- 
12]])</f>
        <v/>
      </c>
      <c r="S20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20" s="288">
        <f>SUM(Пневматика_СВОДНАЯ_2026[[#This Row],[Ф- 
01]:[Ф- 
12]])</f>
        <v/>
      </c>
      <c r="AG20" s="520">
        <f>IF((Пневматика_СВОДНАЯ_2026[[#This Row],[П- 
2026]]+Пневматика_СВОДНАЯ_2026[[#This Row],[Ф- 
2026]])&gt;0,1,0)</f>
        <v/>
      </c>
      <c r="AH20" s="300">
        <f>Пневматика_СВОДНАЯ_2026[[#This Row],[Прод]]&amp;"_"&amp;Пневматика_СВОДНАЯ_2026[[#This Row],[Обозначение]]</f>
        <v/>
      </c>
    </row>
    <row r="21" customFormat="1" s="14">
      <c r="A21" s="282" t="n">
        <v>1</v>
      </c>
      <c r="B21" s="283" t="n">
        <v>4630320200</v>
      </c>
      <c r="C2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21" s="285">
        <f>INDEX(База[],MATCH(Пневматика_СВОДНАЯ_2026[[#This Row],[Обозначение]],База[Артикул],0),MATCH(D$4,База[#Headers],0))</f>
        <v/>
      </c>
      <c r="E21" s="286">
        <f>INDEX(База[],MATCH(Пневматика_СВОДНАЯ_2026[[#This Row],[Обозначение]],База[Артикул],0),MATCH(E$4,База[#Headers],0))</f>
        <v/>
      </c>
      <c r="F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21" s="288">
        <f>SUM(Пневматика_СВОДНАЯ_2026[[#This Row],[П- 
01]:[П- 
12]])</f>
        <v/>
      </c>
      <c r="S21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21" s="288">
        <f>SUM(Пневматика_СВОДНАЯ_2026[[#This Row],[Ф- 
01]:[Ф- 
12]])</f>
        <v/>
      </c>
      <c r="AG21" s="520">
        <f>IF((Пневматика_СВОДНАЯ_2026[[#This Row],[П- 
2026]]+Пневматика_СВОДНАЯ_2026[[#This Row],[Ф- 
2026]])&gt;0,1,0)</f>
        <v/>
      </c>
      <c r="AH21" s="300">
        <f>Пневматика_СВОДНАЯ_2026[[#This Row],[Прод]]&amp;"_"&amp;Пневматика_СВОДНАЯ_2026[[#This Row],[Обозначение]]</f>
        <v/>
      </c>
    </row>
    <row r="22" customFormat="1" s="14">
      <c r="A22" s="282" t="n">
        <v>1</v>
      </c>
      <c r="B22" s="283" t="n">
        <v>4630840310</v>
      </c>
      <c r="C2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22" s="285">
        <f>INDEX(База[],MATCH(Пневматика_СВОДНАЯ_2026[[#This Row],[Обозначение]],База[Артикул],0),MATCH(D$4,База[#Headers],0))</f>
        <v/>
      </c>
      <c r="E22" s="286">
        <f>INDEX(База[],MATCH(Пневматика_СВОДНАЯ_2026[[#This Row],[Обозначение]],База[Артикул],0),MATCH(E$4,База[#Headers],0))</f>
        <v/>
      </c>
      <c r="F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22" s="288">
        <f>SUM(Пневматика_СВОДНАЯ_2026[[#This Row],[П- 
01]:[П- 
12]])</f>
        <v/>
      </c>
      <c r="S22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22" s="288">
        <f>SUM(Пневматика_СВОДНАЯ_2026[[#This Row],[Ф- 
01]:[Ф- 
12]])</f>
        <v/>
      </c>
      <c r="AG22" s="520">
        <f>IF((Пневматика_СВОДНАЯ_2026[[#This Row],[П- 
2026]]+Пневматика_СВОДНАЯ_2026[[#This Row],[Ф- 
2026]])&gt;0,1,0)</f>
        <v/>
      </c>
      <c r="AH22" s="289">
        <f>Пневматика_СВОДНАЯ_2026[[#This Row],[Прод]]&amp;"_"&amp;Пневматика_СВОДНАЯ_2026[[#This Row],[Обозначение]]</f>
        <v/>
      </c>
    </row>
    <row r="23" customFormat="1" s="14">
      <c r="A23" s="282" t="n">
        <v>1</v>
      </c>
      <c r="B23" s="283" t="n">
        <v>4640060020</v>
      </c>
      <c r="C2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23" s="285">
        <f>INDEX(База[],MATCH(Пневматика_СВОДНАЯ_2026[[#This Row],[Обозначение]],База[Артикул],0),MATCH(D$4,База[#Headers],0))</f>
        <v/>
      </c>
      <c r="E23" s="286">
        <f>INDEX(База[],MATCH(Пневматика_СВОДНАЯ_2026[[#This Row],[Обозначение]],База[Артикул],0),MATCH(E$4,База[#Headers],0))</f>
        <v/>
      </c>
      <c r="F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23" s="288">
        <f>SUM(Пневматика_СВОДНАЯ_2026[[#This Row],[П- 
01]:[П- 
12]])</f>
        <v/>
      </c>
      <c r="S23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2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23" s="288">
        <f>SUM(Пневматика_СВОДНАЯ_2026[[#This Row],[Ф- 
01]:[Ф- 
12]])</f>
        <v/>
      </c>
      <c r="AG23" s="520">
        <f>IF((Пневматика_СВОДНАЯ_2026[[#This Row],[П- 
2026]]+Пневматика_СВОДНАЯ_2026[[#This Row],[Ф- 
2026]])&gt;0,1,0)</f>
        <v/>
      </c>
      <c r="AH23" s="289">
        <f>Пневматика_СВОДНАЯ_2026[[#This Row],[Прод]]&amp;"_"&amp;Пневматика_СВОДНАЯ_2026[[#This Row],[Обозначение]]</f>
        <v/>
      </c>
    </row>
    <row r="24" customFormat="1" s="14">
      <c r="A24" s="282" t="n">
        <v>1</v>
      </c>
      <c r="B24" s="283" t="n">
        <v>4640061000</v>
      </c>
      <c r="C2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24" s="285">
        <f>INDEX(База[],MATCH(Пневматика_СВОДНАЯ_2026[[#This Row],[Обозначение]],База[Артикул],0),MATCH(D$4,База[#Headers],0))</f>
        <v/>
      </c>
      <c r="E24" s="286">
        <f>INDEX(База[],MATCH(Пневматика_СВОДНАЯ_2026[[#This Row],[Обозначение]],База[Артикул],0),MATCH(E$4,База[#Headers],0))</f>
        <v/>
      </c>
      <c r="F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24" s="288">
        <f>SUM(Пневматика_СВОДНАЯ_2026[[#This Row],[П- 
01]:[П- 
12]])</f>
        <v/>
      </c>
      <c r="S24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2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24" s="288">
        <f>SUM(Пневматика_СВОДНАЯ_2026[[#This Row],[Ф- 
01]:[Ф- 
12]])</f>
        <v/>
      </c>
      <c r="AG24" s="520">
        <f>IF((Пневматика_СВОДНАЯ_2026[[#This Row],[П- 
2026]]+Пневматика_СВОДНАЯ_2026[[#This Row],[Ф- 
2026]])&gt;0,1,0)</f>
        <v/>
      </c>
      <c r="AH24" s="300">
        <f>Пневматика_СВОДНАЯ_2026[[#This Row],[Прод]]&amp;"_"&amp;Пневматика_СВОДНАЯ_2026[[#This Row],[Обозначение]]</f>
        <v/>
      </c>
    </row>
    <row r="25" customFormat="1" s="14">
      <c r="A25" s="282" t="n">
        <v>1</v>
      </c>
      <c r="B25" s="301" t="n">
        <v>4721950310</v>
      </c>
      <c r="C25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25" s="285">
        <f>INDEX(База[],MATCH(Пневматика_СВОДНАЯ_2026[[#This Row],[Обозначение]],База[Артикул],0),MATCH(D$4,База[#Headers],0))</f>
        <v/>
      </c>
      <c r="E25" s="304">
        <f>INDEX(База[],MATCH(Пневматика_СВОДНАЯ_2026[[#This Row],[Обозначение]],База[Артикул],0),MATCH(E$4,База[#Headers],0))</f>
        <v/>
      </c>
      <c r="F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25" s="288">
        <f>SUM(Пневматика_СВОДНАЯ_2026[[#This Row],[П- 
01]:[П- 
12]])</f>
        <v/>
      </c>
      <c r="S25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2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25" s="288">
        <f>SUM(Пневматика_СВОДНАЯ_2026[[#This Row],[Ф- 
01]:[Ф- 
12]])</f>
        <v/>
      </c>
      <c r="AG25" s="520">
        <f>IF((Пневматика_СВОДНАЯ_2026[[#This Row],[П- 
2026]]+Пневматика_СВОДНАЯ_2026[[#This Row],[Ф- 
2026]])&gt;0,1,0)</f>
        <v/>
      </c>
      <c r="AH25" s="300">
        <f>Пневматика_СВОДНАЯ_2026[[#This Row],[Прод]]&amp;"_"&amp;Пневматика_СВОДНАЯ_2026[[#This Row],[Обозначение]]</f>
        <v/>
      </c>
    </row>
    <row r="26" customFormat="1" s="14">
      <c r="A26" s="282" t="n">
        <v>1</v>
      </c>
      <c r="B26" s="283" t="n">
        <v>4750103050</v>
      </c>
      <c r="C2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26" s="285">
        <f>INDEX(База[],MATCH(Пневматика_СВОДНАЯ_2026[[#This Row],[Обозначение]],База[Артикул],0),MATCH(D$4,База[#Headers],0))</f>
        <v/>
      </c>
      <c r="E26" s="286">
        <f>INDEX(База[],MATCH(Пневматика_СВОДНАЯ_2026[[#This Row],[Обозначение]],База[Артикул],0),MATCH(E$4,База[#Headers],0))</f>
        <v/>
      </c>
      <c r="F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26" s="288">
        <f>SUM(Пневматика_СВОДНАЯ_2026[[#This Row],[П- 
01]:[П- 
12]])</f>
        <v/>
      </c>
      <c r="S26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2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26" s="288">
        <f>SUM(Пневматика_СВОДНАЯ_2026[[#This Row],[Ф- 
01]:[Ф- 
12]])</f>
        <v/>
      </c>
      <c r="AG26" s="520">
        <f>IF((Пневматика_СВОДНАЯ_2026[[#This Row],[П- 
2026]]+Пневматика_СВОДНАЯ_2026[[#This Row],[Ф- 
2026]])&gt;0,1,0)</f>
        <v/>
      </c>
      <c r="AH26" s="289">
        <f>Пневматика_СВОДНАЯ_2026[[#This Row],[Прод]]&amp;"_"&amp;Пневматика_СВОДНАЯ_2026[[#This Row],[Обозначение]]</f>
        <v/>
      </c>
    </row>
    <row r="27" customFormat="1" s="14">
      <c r="A27" s="282" t="n">
        <v>1</v>
      </c>
      <c r="B27" s="301" t="n">
        <v>4757145000</v>
      </c>
      <c r="C27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27" s="285">
        <f>INDEX(База[],MATCH(Пневматика_СВОДНАЯ_2026[[#This Row],[Обозначение]],База[Артикул],0),MATCH(D$4,База[#Headers],0))</f>
        <v/>
      </c>
      <c r="E27" s="304">
        <f>INDEX(База[],MATCH(Пневматика_СВОДНАЯ_2026[[#This Row],[Обозначение]],База[Артикул],0),MATCH(E$4,База[#Headers],0))</f>
        <v/>
      </c>
      <c r="F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27" s="288">
        <f>SUM(Пневматика_СВОДНАЯ_2026[[#This Row],[П- 
01]:[П- 
12]])</f>
        <v/>
      </c>
      <c r="S27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27" s="288">
        <f>SUM(Пневматика_СВОДНАЯ_2026[[#This Row],[Ф- 
01]:[Ф- 
12]])</f>
        <v/>
      </c>
      <c r="AG27" s="520">
        <f>IF((Пневматика_СВОДНАЯ_2026[[#This Row],[П- 
2026]]+Пневматика_СВОДНАЯ_2026[[#This Row],[Ф- 
2026]])&gt;0,1,0)</f>
        <v/>
      </c>
      <c r="AH27" s="300">
        <f>Пневматика_СВОДНАЯ_2026[[#This Row],[Прод]]&amp;"_"&amp;Пневматика_СВОДНАЯ_2026[[#This Row],[Обозначение]]</f>
        <v/>
      </c>
    </row>
    <row r="28" ht="28.8" customFormat="1" customHeight="1" s="14">
      <c r="A28" s="282" t="n">
        <v>1</v>
      </c>
      <c r="B28" s="283" t="n">
        <v>4801020640</v>
      </c>
      <c r="C2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28" s="285">
        <f>INDEX(База[],MATCH(Пневматика_СВОДНАЯ_2026[[#This Row],[Обозначение]],База[Артикул],0),MATCH(D$4,База[#Headers],0))</f>
        <v/>
      </c>
      <c r="E28" s="286">
        <f>INDEX(База[],MATCH(Пневматика_СВОДНАЯ_2026[[#This Row],[Обозначение]],База[Артикул],0),MATCH(E$4,База[#Headers],0))</f>
        <v/>
      </c>
      <c r="F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28" s="288">
        <f>SUM(Пневматика_СВОДНАЯ_2026[[#This Row],[П- 
01]:[П- 
12]])</f>
        <v/>
      </c>
      <c r="S28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28" s="288">
        <f>SUM(Пневматика_СВОДНАЯ_2026[[#This Row],[Ф- 
01]:[Ф- 
12]])</f>
        <v/>
      </c>
      <c r="AG28" s="520">
        <f>IF((Пневматика_СВОДНАЯ_2026[[#This Row],[П- 
2026]]+Пневматика_СВОДНАЯ_2026[[#This Row],[Ф- 
2026]])&gt;0,1,0)</f>
        <v/>
      </c>
      <c r="AH28" s="300">
        <f>Пневматика_СВОДНАЯ_2026[[#This Row],[Прод]]&amp;"_"&amp;Пневматика_СВОДНАЯ_2026[[#This Row],[Обозначение]]</f>
        <v/>
      </c>
    </row>
    <row r="29" customFormat="1" s="14">
      <c r="A29" s="273" t="n">
        <v>1</v>
      </c>
      <c r="B29" s="277" t="n">
        <v>4802070600</v>
      </c>
      <c r="C29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29" s="281">
        <f>INDEX(База[],MATCH(Пневматика_СВОДНАЯ_2026[[#This Row],[Обозначение]],База[Артикул],0),MATCH(D$4,База[#Headers],0))</f>
        <v/>
      </c>
      <c r="E29" s="278">
        <f>INDEX(База[],MATCH(Пневматика_СВОДНАЯ_2026[[#This Row],[Обозначение]],База[Артикул],0),MATCH(E$4,База[#Headers],0))</f>
        <v/>
      </c>
      <c r="F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29" s="433">
        <f>SUM(Пневматика_СВОДНАЯ_2026[[#This Row],[П- 
01]:[П- 
12]])</f>
        <v/>
      </c>
      <c r="S29" s="451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2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29" s="433">
        <f>SUM(Пневматика_СВОДНАЯ_2026[[#This Row],[Ф- 
01]:[Ф- 
12]])</f>
        <v/>
      </c>
      <c r="AG29" s="519">
        <f>IF((Пневматика_СВОДНАЯ_2026[[#This Row],[П- 
2026]]+Пневматика_СВОДНАЯ_2026[[#This Row],[Ф- 
2026]])&gt;0,1,0)</f>
        <v/>
      </c>
      <c r="AH29" s="298">
        <f>Пневматика_СВОДНАЯ_2026[[#This Row],[Прод]]&amp;"_"&amp;Пневматика_СВОДНАЯ_2026[[#This Row],[Обозначение]]</f>
        <v/>
      </c>
    </row>
    <row r="30" customFormat="1" s="14">
      <c r="A30" s="539" t="n">
        <v>1</v>
      </c>
      <c r="B30" s="540" t="n">
        <v>6402250560</v>
      </c>
      <c r="C30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30" s="541">
        <f>INDEX(База[],MATCH(Пневматика_СВОДНАЯ_2026[[#This Row],[Обозначение]],База[Артикул],0),MATCH(D$4,База[#Headers],0))</f>
        <v/>
      </c>
      <c r="E30" s="542">
        <f>INDEX(База[],MATCH(Пневматика_СВОДНАЯ_2026[[#This Row],[Обозначение]],База[Артикул],0),MATCH(E$4,База[#Headers],0))</f>
        <v/>
      </c>
      <c r="F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30" s="276">
        <f>SUM(Пневматика_СВОДНАЯ_2026[[#This Row],[П- 
01]:[П- 
12]])</f>
        <v/>
      </c>
      <c r="S30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3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30" s="276">
        <f>SUM(Пневматика_СВОДНАЯ_2026[[#This Row],[Ф- 
01]:[Ф- 
12]])</f>
        <v/>
      </c>
      <c r="AG30" s="544">
        <f>IF((Пневматика_СВОДНАЯ_2026[[#This Row],[П- 
2026]]+Пневматика_СВОДНАЯ_2026[[#This Row],[Ф- 
2026]])&gt;0,1,0)</f>
        <v/>
      </c>
      <c r="AH30" s="545">
        <f>Пневматика_СВОДНАЯ_2026[[#This Row],[Прод]]&amp;"_"&amp;Пневматика_СВОДНАЯ_2026[[#This Row],[Обозначение]]</f>
        <v/>
      </c>
    </row>
    <row r="31">
      <c r="A31" s="539" t="n">
        <v>1</v>
      </c>
      <c r="B31" s="540" t="n">
        <v>6402250570</v>
      </c>
      <c r="C3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31" s="541">
        <f>INDEX(База[],MATCH(Пневматика_СВОДНАЯ_2026[[#This Row],[Обозначение]],База[Артикул],0),MATCH(D$4,База[#Headers],0))</f>
        <v/>
      </c>
      <c r="E31" s="542">
        <f>INDEX(База[],MATCH(Пневматика_СВОДНАЯ_2026[[#This Row],[Обозначение]],База[Артикул],0),MATCH(E$4,База[#Headers],0))</f>
        <v/>
      </c>
      <c r="F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31" s="276">
        <f>SUM(Пневматика_СВОДНАЯ_2026[[#This Row],[П- 
01]:[П- 
12]])</f>
        <v/>
      </c>
      <c r="S31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31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31" s="276">
        <f>SUM(Пневматика_СВОДНАЯ_2026[[#This Row],[Ф- 
01]:[Ф- 
12]])</f>
        <v/>
      </c>
      <c r="AG31" s="544">
        <f>IF((Пневматика_СВОДНАЯ_2026[[#This Row],[П- 
2026]]+Пневматика_СВОДНАЯ_2026[[#This Row],[Ф- 
2026]])&gt;0,1,0)</f>
        <v/>
      </c>
      <c r="AH31" s="545">
        <f>Пневматика_СВОДНАЯ_2026[[#This Row],[Прод]]&amp;"_"&amp;Пневматика_СВОДНАЯ_2026[[#This Row],[Обозначение]]</f>
        <v/>
      </c>
    </row>
    <row r="32">
      <c r="A32" s="273" t="n">
        <v>1</v>
      </c>
      <c r="B32" s="277" t="n">
        <v>8282510086</v>
      </c>
      <c r="C32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32" s="281">
        <f>INDEX(База[],MATCH(Пневматика_СВОДНАЯ_2026[[#This Row],[Обозначение]],База[Артикул],0),MATCH(D$4,База[#Headers],0))</f>
        <v/>
      </c>
      <c r="E32" s="278">
        <f>INDEX(База[],MATCH(Пневматика_СВОДНАЯ_2026[[#This Row],[Обозначение]],База[Артикул],0),MATCH(E$4,База[#Headers],0))</f>
        <v/>
      </c>
      <c r="F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32" s="276">
        <f>SUM(Пневматика_СВОДНАЯ_2026[[#This Row],[П- 
01]:[П- 
12]])</f>
        <v/>
      </c>
      <c r="S32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3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32" s="276">
        <f>SUM(Пневматика_СВОДНАЯ_2026[[#This Row],[Ф- 
01]:[Ф- 
12]])</f>
        <v/>
      </c>
      <c r="AG32" s="519">
        <f>IF((Пневматика_СВОДНАЯ_2026[[#This Row],[П- 
2026]]+Пневматика_СВОДНАЯ_2026[[#This Row],[Ф- 
2026]])&gt;0,1,0)</f>
        <v/>
      </c>
      <c r="AH32" s="298">
        <f>Пневматика_СВОДНАЯ_2026[[#This Row],[Прод]]&amp;"_"&amp;Пневматика_СВОДНАЯ_2026[[#This Row],[Обозначение]]</f>
        <v/>
      </c>
    </row>
    <row r="33">
      <c r="A33" s="273" t="n">
        <v>1</v>
      </c>
      <c r="B33" s="277" t="n">
        <v>8282510106</v>
      </c>
      <c r="C33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33" s="281">
        <f>INDEX(База[],MATCH(Пневматика_СВОДНАЯ_2026[[#This Row],[Обозначение]],База[Артикул],0),MATCH(D$4,База[#Headers],0))</f>
        <v/>
      </c>
      <c r="E33" s="278">
        <f>INDEX(База[],MATCH(Пневматика_СВОДНАЯ_2026[[#This Row],[Обозначение]],База[Артикул],0),MATCH(E$4,База[#Headers],0))</f>
        <v/>
      </c>
      <c r="F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33" s="276">
        <f>SUM(Пневматика_СВОДНАЯ_2026[[#This Row],[П- 
01]:[П- 
12]])</f>
        <v/>
      </c>
      <c r="S33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3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33" s="276">
        <f>SUM(Пневматика_СВОДНАЯ_2026[[#This Row],[Ф- 
01]:[Ф- 
12]])</f>
        <v/>
      </c>
      <c r="AG33" s="519">
        <f>IF((Пневматика_СВОДНАЯ_2026[[#This Row],[П- 
2026]]+Пневматика_СВОДНАЯ_2026[[#This Row],[Ф- 
2026]])&gt;0,1,0)</f>
        <v/>
      </c>
      <c r="AH33" s="298">
        <f>Пневматика_СВОДНАЯ_2026[[#This Row],[Прод]]&amp;"_"&amp;Пневматика_СВОДНАЯ_2026[[#This Row],[Обозначение]]</f>
        <v/>
      </c>
    </row>
    <row r="34">
      <c r="A34" s="273" t="n">
        <v>1</v>
      </c>
      <c r="B34" s="277" t="n">
        <v>8282510126</v>
      </c>
      <c r="C34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34" s="281">
        <f>INDEX(База[],MATCH(Пневматика_СВОДНАЯ_2026[[#This Row],[Обозначение]],База[Артикул],0),MATCH(D$4,База[#Headers],0))</f>
        <v/>
      </c>
      <c r="E34" s="278">
        <f>INDEX(База[],MATCH(Пневматика_СВОДНАЯ_2026[[#This Row],[Обозначение]],База[Артикул],0),MATCH(E$4,База[#Headers],0))</f>
        <v/>
      </c>
      <c r="F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34" s="276">
        <f>SUM(Пневматика_СВОДНАЯ_2026[[#This Row],[П- 
01]:[П- 
12]])</f>
        <v/>
      </c>
      <c r="S34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3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34" s="276">
        <f>SUM(Пневматика_СВОДНАЯ_2026[[#This Row],[Ф- 
01]:[Ф- 
12]])</f>
        <v/>
      </c>
      <c r="AG34" s="519">
        <f>IF((Пневматика_СВОДНАЯ_2026[[#This Row],[П- 
2026]]+Пневматика_СВОДНАЯ_2026[[#This Row],[Ф- 
2026]])&gt;0,1,0)</f>
        <v/>
      </c>
      <c r="AH34" s="298">
        <f>Пневматика_СВОДНАЯ_2026[[#This Row],[Прод]]&amp;"_"&amp;Пневматика_СВОДНАЯ_2026[[#This Row],[Обозначение]]</f>
        <v/>
      </c>
    </row>
    <row r="35">
      <c r="A35" s="273" t="n">
        <v>1</v>
      </c>
      <c r="B35" s="277" t="n">
        <v>8282519676</v>
      </c>
      <c r="C35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35" s="281">
        <f>INDEX(База[],MATCH(Пневматика_СВОДНАЯ_2026[[#This Row],[Обозначение]],База[Артикул],0),MATCH(D$4,База[#Headers],0))</f>
        <v/>
      </c>
      <c r="E35" s="278">
        <f>INDEX(База[],MATCH(Пневматика_СВОДНАЯ_2026[[#This Row],[Обозначение]],База[Артикул],0),MATCH(E$4,База[#Headers],0))</f>
        <v/>
      </c>
      <c r="F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35" s="276">
        <f>SUM(Пневматика_СВОДНАЯ_2026[[#This Row],[П- 
01]:[П- 
12]])</f>
        <v/>
      </c>
      <c r="S35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3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35" s="276">
        <f>SUM(Пневматика_СВОДНАЯ_2026[[#This Row],[Ф- 
01]:[Ф- 
12]])</f>
        <v/>
      </c>
      <c r="AG35" s="519">
        <f>IF((Пневматика_СВОДНАЯ_2026[[#This Row],[П- 
2026]]+Пневматика_СВОДНАЯ_2026[[#This Row],[Ф- 
2026]])&gt;0,1,0)</f>
        <v/>
      </c>
      <c r="AH35" s="298">
        <f>Пневматика_СВОДНАЯ_2026[[#This Row],[Прод]]&amp;"_"&amp;Пневматика_СВОДНАЯ_2026[[#This Row],[Обозначение]]</f>
        <v/>
      </c>
    </row>
    <row r="36">
      <c r="A36" s="273" t="n">
        <v>1</v>
      </c>
      <c r="B36" s="277" t="n">
        <v>8282519726</v>
      </c>
      <c r="C3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36" s="281">
        <f>INDEX(База[],MATCH(Пневматика_СВОДНАЯ_2026[[#This Row],[Обозначение]],База[Артикул],0),MATCH(D$4,База[#Headers],0))</f>
        <v/>
      </c>
      <c r="E36" s="278">
        <f>INDEX(База[],MATCH(Пневматика_СВОДНАЯ_2026[[#This Row],[Обозначение]],База[Артикул],0),MATCH(E$4,База[#Headers],0))</f>
        <v/>
      </c>
      <c r="F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36" s="276">
        <f>SUM(Пневматика_СВОДНАЯ_2026[[#This Row],[П- 
01]:[П- 
12]])</f>
        <v/>
      </c>
      <c r="S36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3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36" s="276">
        <f>SUM(Пневматика_СВОДНАЯ_2026[[#This Row],[Ф- 
01]:[Ф- 
12]])</f>
        <v/>
      </c>
      <c r="AG36" s="519">
        <f>IF((Пневматика_СВОДНАЯ_2026[[#This Row],[П- 
2026]]+Пневматика_СВОДНАЯ_2026[[#This Row],[Ф- 
2026]])&gt;0,1,0)</f>
        <v/>
      </c>
      <c r="AH36" s="298">
        <f>Пневматика_СВОДНАЯ_2026[[#This Row],[Прод]]&amp;"_"&amp;Пневматика_СВОДНАЯ_2026[[#This Row],[Обозначение]]</f>
        <v/>
      </c>
    </row>
    <row r="37">
      <c r="A37" s="539" t="n">
        <v>1</v>
      </c>
      <c r="B37" s="540" t="n">
        <v>8997598154</v>
      </c>
      <c r="C37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37" s="541">
        <f>INDEX(База[],MATCH(Пневматика_СВОДНАЯ_2026[[#This Row],[Обозначение]],База[Артикул],0),MATCH(D$4,База[#Headers],0))</f>
        <v/>
      </c>
      <c r="E37" s="542">
        <f>INDEX(База[],MATCH(Пневматика_СВОДНАЯ_2026[[#This Row],[Обозначение]],База[Артикул],0),MATCH(E$4,База[#Headers],0))</f>
        <v/>
      </c>
      <c r="F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37" s="276">
        <f>SUM(Пневматика_СВОДНАЯ_2026[[#This Row],[П- 
01]:[П- 
12]])</f>
        <v/>
      </c>
      <c r="S37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37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37" s="276">
        <f>SUM(Пневматика_СВОДНАЯ_2026[[#This Row],[Ф- 
01]:[Ф- 
12]])</f>
        <v/>
      </c>
      <c r="AG37" s="544">
        <f>IF((Пневматика_СВОДНАЯ_2026[[#This Row],[П- 
2026]]+Пневматика_СВОДНАЯ_2026[[#This Row],[Ф- 
2026]])&gt;0,1,0)</f>
        <v/>
      </c>
      <c r="AH37" s="545">
        <f>Пневматика_СВОДНАЯ_2026[[#This Row],[Прод]]&amp;"_"&amp;Пневматика_СВОДНАЯ_2026[[#This Row],[Обозначение]]</f>
        <v/>
      </c>
    </row>
    <row r="38">
      <c r="A38" s="273" t="n">
        <v>1</v>
      </c>
      <c r="B38" s="274" t="n">
        <v>9253761210</v>
      </c>
      <c r="C38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38" s="281">
        <f>INDEX(База[],MATCH(Пневматика_СВОДНАЯ_2026[[#This Row],[Обозначение]],База[Артикул],0),MATCH(D$4,База[#Headers],0))</f>
        <v/>
      </c>
      <c r="E38" s="55">
        <f>INDEX(База[],MATCH(Пневматика_СВОДНАЯ_2026[[#This Row],[Обозначение]],База[Артикул],0),MATCH(E$4,База[#Headers],0))</f>
        <v/>
      </c>
      <c r="F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38" s="276">
        <f>SUM(Пневматика_СВОДНАЯ_2026[[#This Row],[П- 
01]:[П- 
12]])</f>
        <v/>
      </c>
      <c r="S38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3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38" s="276">
        <f>SUM(Пневматика_СВОДНАЯ_2026[[#This Row],[Ф- 
01]:[Ф- 
12]])</f>
        <v/>
      </c>
      <c r="AG38" s="519">
        <f>IF((Пневматика_СВОДНАЯ_2026[[#This Row],[П- 
2026]]+Пневматика_СВОДНАЯ_2026[[#This Row],[Ф- 
2026]])&gt;0,1,0)</f>
        <v/>
      </c>
      <c r="AH38" s="280">
        <f>Пневматика_СВОДНАЯ_2026[[#This Row],[Прод]]&amp;"_"&amp;Пневматика_СВОДНАЯ_2026[[#This Row],[Обозначение]]</f>
        <v/>
      </c>
    </row>
    <row r="39">
      <c r="A39" s="273" t="n">
        <v>1</v>
      </c>
      <c r="B39" s="277" t="n">
        <v>9253771100</v>
      </c>
      <c r="C39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39" s="281">
        <f>INDEX(База[],MATCH(Пневматика_СВОДНАЯ_2026[[#This Row],[Обозначение]],База[Артикул],0),MATCH(D$4,База[#Headers],0))</f>
        <v/>
      </c>
      <c r="E39" s="278">
        <f>INDEX(База[],MATCH(Пневматика_СВОДНАЯ_2026[[#This Row],[Обозначение]],База[Артикул],0),MATCH(E$4,База[#Headers],0))</f>
        <v/>
      </c>
      <c r="F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39" s="276">
        <f>SUM(Пневматика_СВОДНАЯ_2026[[#This Row],[П- 
01]:[П- 
12]])</f>
        <v/>
      </c>
      <c r="S39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39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39" s="276">
        <f>SUM(Пневматика_СВОДНАЯ_2026[[#This Row],[Ф- 
01]:[Ф- 
12]])</f>
        <v/>
      </c>
      <c r="AG39" s="519">
        <f>IF((Пневматика_СВОДНАЯ_2026[[#This Row],[П- 
2026]]+Пневматика_СВОДНАЯ_2026[[#This Row],[Ф- 
2026]])&gt;0,1,0)</f>
        <v/>
      </c>
      <c r="AH39" s="280">
        <f>Пневматика_СВОДНАЯ_2026[[#This Row],[Прод]]&amp;"_"&amp;Пневматика_СВОДНАЯ_2026[[#This Row],[Обозначение]]</f>
        <v/>
      </c>
    </row>
    <row r="40">
      <c r="A40" s="539" t="n">
        <v>1</v>
      </c>
      <c r="B40" s="540" t="n">
        <v>9254800504</v>
      </c>
      <c r="C40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40" s="541">
        <f>INDEX(База[],MATCH(Пневматика_СВОДНАЯ_2026[[#This Row],[Обозначение]],База[Артикул],0),MATCH(D$4,База[#Headers],0))</f>
        <v/>
      </c>
      <c r="E40" s="542">
        <f>INDEX(База[],MATCH(Пневматика_СВОДНАЯ_2026[[#This Row],[Обозначение]],База[Артикул],0),MATCH(E$4,База[#Headers],0))</f>
        <v/>
      </c>
      <c r="F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40" s="276">
        <f>SUM(Пневматика_СВОДНАЯ_2026[[#This Row],[П- 
01]:[П- 
12]])</f>
        <v/>
      </c>
      <c r="S40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40" s="543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40" s="276">
        <f>SUM(Пневматика_СВОДНАЯ_2026[[#This Row],[Ф- 
01]:[Ф- 
12]])</f>
        <v/>
      </c>
      <c r="AG40" s="544">
        <f>IF((Пневматика_СВОДНАЯ_2026[[#This Row],[П- 
2026]]+Пневматика_СВОДНАЯ_2026[[#This Row],[Ф- 
2026]])&gt;0,1,0)</f>
        <v/>
      </c>
      <c r="AH40" s="545">
        <f>Пневматика_СВОДНАЯ_2026[[#This Row],[Прод]]&amp;"_"&amp;Пневматика_СВОДНАЯ_2026[[#This Row],[Обозначение]]</f>
        <v/>
      </c>
    </row>
    <row r="41">
      <c r="A41" s="273" t="n">
        <v>1</v>
      </c>
      <c r="B41" s="277" t="n">
        <v>9522010010</v>
      </c>
      <c r="C4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41" s="281">
        <f>INDEX(База[],MATCH(Пневматика_СВОДНАЯ_2026[[#This Row],[Обозначение]],База[Артикул],0),MATCH(D$4,База[#Headers],0))</f>
        <v/>
      </c>
      <c r="E41" s="278">
        <f>INDEX(База[],MATCH(Пневматика_СВОДНАЯ_2026[[#This Row],[Обозначение]],База[Артикул],0),MATCH(E$4,База[#Headers],0))</f>
        <v/>
      </c>
      <c r="F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41" s="276">
        <f>SUM(Пневматика_СВОДНАЯ_2026[[#This Row],[П- 
01]:[П- 
12]])</f>
        <v/>
      </c>
      <c r="S41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4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41" s="276">
        <f>SUM(Пневматика_СВОДНАЯ_2026[[#This Row],[Ф- 
01]:[Ф- 
12]])</f>
        <v/>
      </c>
      <c r="AG41" s="519">
        <f>IF((Пневматика_СВОДНАЯ_2026[[#This Row],[П- 
2026]]+Пневматика_СВОДНАЯ_2026[[#This Row],[Ф- 
2026]])&gt;0,1,0)</f>
        <v/>
      </c>
      <c r="AH41" s="280">
        <f>Пневматика_СВОДНАЯ_2026[[#This Row],[Прод]]&amp;"_"&amp;Пневматика_СВОДНАЯ_2026[[#This Row],[Обозначение]]</f>
        <v/>
      </c>
    </row>
    <row r="42">
      <c r="A42" s="273" t="n">
        <v>1</v>
      </c>
      <c r="B42" s="277" t="n">
        <v>9522010020</v>
      </c>
      <c r="C42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42" s="281">
        <f>INDEX(База[],MATCH(Пневматика_СВОДНАЯ_2026[[#This Row],[Обозначение]],База[Артикул],0),MATCH(D$4,База[#Headers],0))</f>
        <v/>
      </c>
      <c r="E42" s="278">
        <f>INDEX(База[],MATCH(Пневматика_СВОДНАЯ_2026[[#This Row],[Обозначение]],База[Артикул],0),MATCH(E$4,База[#Headers],0))</f>
        <v/>
      </c>
      <c r="F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42" s="276">
        <f>SUM(Пневматика_СВОДНАЯ_2026[[#This Row],[П- 
01]:[П- 
12]])</f>
        <v/>
      </c>
      <c r="S42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42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42" s="276">
        <f>SUM(Пневматика_СВОДНАЯ_2026[[#This Row],[Ф- 
01]:[Ф- 
12]])</f>
        <v/>
      </c>
      <c r="AG42" s="519">
        <f>IF((Пневматика_СВОДНАЯ_2026[[#This Row],[П- 
2026]]+Пневматика_СВОДНАЯ_2026[[#This Row],[Ф- 
2026]])&gt;0,1,0)</f>
        <v/>
      </c>
      <c r="AH42" s="280">
        <f>Пневматика_СВОДНАЯ_2026[[#This Row],[Прод]]&amp;"_"&amp;Пневматика_СВОДНАЯ_2026[[#This Row],[Обозначение]]</f>
        <v/>
      </c>
    </row>
    <row r="43">
      <c r="A43" s="273" t="n">
        <v>1</v>
      </c>
      <c r="B43" s="274" t="n">
        <v>9630010510</v>
      </c>
      <c r="C43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43" s="281">
        <f>INDEX(База[],MATCH(Пневматика_СВОДНАЯ_2026[[#This Row],[Обозначение]],База[Артикул],0),MATCH(D$4,База[#Headers],0))</f>
        <v/>
      </c>
      <c r="E43" s="55">
        <f>INDEX(База[],MATCH(Пневматика_СВОДНАЯ_2026[[#This Row],[Обозначение]],База[Артикул],0),MATCH(E$4,База[#Headers],0))</f>
        <v/>
      </c>
      <c r="F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43" s="276">
        <f>SUM(Пневматика_СВОДНАЯ_2026[[#This Row],[П- 
01]:[П- 
12]])</f>
        <v/>
      </c>
      <c r="S43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43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43" s="276">
        <f>SUM(Пневматика_СВОДНАЯ_2026[[#This Row],[Ф- 
01]:[Ф- 
12]])</f>
        <v/>
      </c>
      <c r="AG43" s="519">
        <f>IF((Пневматика_СВОДНАЯ_2026[[#This Row],[П- 
2026]]+Пневматика_СВОДНАЯ_2026[[#This Row],[Ф- 
2026]])&gt;0,1,0)</f>
        <v/>
      </c>
      <c r="AH43" s="280">
        <f>Пневматика_СВОДНАЯ_2026[[#This Row],[Прод]]&amp;"_"&amp;Пневматика_СВОДНАЯ_2026[[#This Row],[Обозначение]]</f>
        <v/>
      </c>
    </row>
    <row r="44" ht="28.8" customHeight="1">
      <c r="A44" s="273" t="n">
        <v>1</v>
      </c>
      <c r="B44" s="277" t="n">
        <v>9710029000</v>
      </c>
      <c r="C44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44" s="281">
        <f>INDEX(База[],MATCH(Пневматика_СВОДНАЯ_2026[[#This Row],[Обозначение]],База[Артикул],0),MATCH(D$4,База[#Headers],0))</f>
        <v/>
      </c>
      <c r="E44" s="278">
        <f>INDEX(База[],MATCH(Пневматика_СВОДНАЯ_2026[[#This Row],[Обозначение]],База[Артикул],0),MATCH(E$4,База[#Headers],0))</f>
        <v/>
      </c>
      <c r="F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44" s="276">
        <f>SUM(Пневматика_СВОДНАЯ_2026[[#This Row],[П- 
01]:[П- 
12]])</f>
        <v/>
      </c>
      <c r="S44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44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44" s="276">
        <f>SUM(Пневматика_СВОДНАЯ_2026[[#This Row],[Ф- 
01]:[Ф- 
12]])</f>
        <v/>
      </c>
      <c r="AG44" s="519">
        <f>IF((Пневматика_СВОДНАЯ_2026[[#This Row],[П- 
2026]]+Пневматика_СВОДНАЯ_2026[[#This Row],[Ф- 
2026]])&gt;0,1,0)</f>
        <v/>
      </c>
      <c r="AH44" s="280">
        <f>Пневматика_СВОДНАЯ_2026[[#This Row],[Прод]]&amp;"_"&amp;Пневматика_СВОДНАЯ_2026[[#This Row],[Обозначение]]</f>
        <v/>
      </c>
    </row>
    <row r="45">
      <c r="A45" s="273" t="n">
        <v>1</v>
      </c>
      <c r="B45" s="274" t="n">
        <v>9730010100</v>
      </c>
      <c r="C45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45" s="281">
        <f>INDEX(База[],MATCH(Пневматика_СВОДНАЯ_2026[[#This Row],[Обозначение]],База[Артикул],0),MATCH(D$4,База[#Headers],0))</f>
        <v/>
      </c>
      <c r="E45" s="55">
        <f>INDEX(База[],MATCH(Пневматика_СВОДНАЯ_2026[[#This Row],[Обозначение]],База[Артикул],0),MATCH(E$4,База[#Headers],0))</f>
        <v/>
      </c>
      <c r="F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45" s="276">
        <f>SUM(Пневматика_СВОДНАЯ_2026[[#This Row],[П- 
01]:[П- 
12]])</f>
        <v/>
      </c>
      <c r="S45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45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45" s="276">
        <f>SUM(Пневматика_СВОДНАЯ_2026[[#This Row],[Ф- 
01]:[Ф- 
12]])</f>
        <v/>
      </c>
      <c r="AG45" s="519">
        <f>IF((Пневматика_СВОДНАЯ_2026[[#This Row],[П- 
2026]]+Пневматика_СВОДНАЯ_2026[[#This Row],[Ф- 
2026]])&gt;0,1,0)</f>
        <v/>
      </c>
      <c r="AH45" s="280">
        <f>Пневматика_СВОДНАЯ_2026[[#This Row],[Прод]]&amp;"_"&amp;Пневматика_СВОДНАЯ_2026[[#This Row],[Обозначение]]</f>
        <v/>
      </c>
    </row>
    <row r="46">
      <c r="A46" s="273" t="n">
        <v>1</v>
      </c>
      <c r="B46" s="277" t="n">
        <v>9730110000</v>
      </c>
      <c r="C4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46" s="281">
        <f>INDEX(База[],MATCH(Пневматика_СВОДНАЯ_2026[[#This Row],[Обозначение]],База[Артикул],0),MATCH(D$4,База[#Headers],0))</f>
        <v/>
      </c>
      <c r="E46" s="278">
        <f>INDEX(База[],MATCH(Пневматика_СВОДНАЯ_2026[[#This Row],[Обозначение]],База[Артикул],0),MATCH(E$4,База[#Headers],0))</f>
        <v/>
      </c>
      <c r="F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46" s="276">
        <f>SUM(Пневматика_СВОДНАЯ_2026[[#This Row],[П- 
01]:[П- 
12]])</f>
        <v/>
      </c>
      <c r="S46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46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46" s="276">
        <f>SUM(Пневматика_СВОДНАЯ_2026[[#This Row],[Ф- 
01]:[Ф- 
12]])</f>
        <v/>
      </c>
      <c r="AG46" s="519">
        <f>IF((Пневматика_СВОДНАЯ_2026[[#This Row],[П- 
2026]]+Пневматика_СВОДНАЯ_2026[[#This Row],[Ф- 
2026]])&gt;0,1,0)</f>
        <v/>
      </c>
      <c r="AH46" s="298">
        <f>Пневматика_СВОДНАЯ_2026[[#This Row],[Прод]]&amp;"_"&amp;Пневматика_СВОДНАЯ_2026[[#This Row],[Обозначение]]</f>
        <v/>
      </c>
    </row>
    <row r="47" ht="28.8" customHeight="1">
      <c r="A47" s="273" t="n">
        <v>1</v>
      </c>
      <c r="B47" s="274" t="n">
        <v>9735000510</v>
      </c>
      <c r="C47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47" s="281">
        <f>INDEX(База[],MATCH(Пневматика_СВОДНАЯ_2026[[#This Row],[Обозначение]],База[Артикул],0),MATCH(D$4,База[#Headers],0))</f>
        <v/>
      </c>
      <c r="E47" s="55">
        <f>INDEX(База[],MATCH(Пневматика_СВОДНАЯ_2026[[#This Row],[Обозначение]],База[Артикул],0),MATCH(E$4,База[#Headers],0))</f>
        <v/>
      </c>
      <c r="F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47" s="276">
        <f>SUM(Пневматика_СВОДНАЯ_2026[[#This Row],[П- 
01]:[П- 
12]])</f>
        <v/>
      </c>
      <c r="S47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47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47" s="276">
        <f>SUM(Пневматика_СВОДНАЯ_2026[[#This Row],[Ф- 
01]:[Ф- 
12]])</f>
        <v/>
      </c>
      <c r="AG47" s="519">
        <f>IF((Пневматика_СВОДНАЯ_2026[[#This Row],[П- 
2026]]+Пневматика_СВОДНАЯ_2026[[#This Row],[Ф- 
2026]])&gt;0,1,0)</f>
        <v/>
      </c>
      <c r="AH47" s="280">
        <f>Пневматика_СВОДНАЯ_2026[[#This Row],[Прод]]&amp;"_"&amp;Пневматика_СВОДНАЯ_2026[[#This Row],[Обозначение]]</f>
        <v/>
      </c>
    </row>
    <row r="48">
      <c r="A48" s="273" t="n">
        <v>1</v>
      </c>
      <c r="B48" s="277" t="inlineStr">
        <is>
          <t>WA-3601400</t>
        </is>
      </c>
      <c r="C48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48" s="281">
        <f>INDEX(База[],MATCH(Пневматика_СВОДНАЯ_2026[[#This Row],[Обозначение]],База[Артикул],0),MATCH(D$4,База[#Headers],0))</f>
        <v/>
      </c>
      <c r="E48" s="278">
        <f>INDEX(База[],MATCH(Пневматика_СВОДНАЯ_2026[[#This Row],[Обозначение]],База[Артикул],0),MATCH(E$4,База[#Headers],0))</f>
        <v/>
      </c>
      <c r="F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48" s="276">
        <f>SUM(Пневматика_СВОДНАЯ_2026[[#This Row],[П- 
01]:[П- 
12]])</f>
        <v/>
      </c>
      <c r="S48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48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48" s="276">
        <f>SUM(Пневматика_СВОДНАЯ_2026[[#This Row],[Ф- 
01]:[Ф- 
12]])</f>
        <v/>
      </c>
      <c r="AG48" s="519">
        <f>IF((Пневматика_СВОДНАЯ_2026[[#This Row],[П- 
2026]]+Пневматика_СВОДНАЯ_2026[[#This Row],[Ф- 
2026]])&gt;0,1,0)</f>
        <v/>
      </c>
      <c r="AH48" s="298">
        <f>Пневматика_СВОДНАЯ_2026[[#This Row],[Прод]]&amp;"_"&amp;Пневматика_СВОДНАЯ_2026[[#This Row],[Обозначение]]</f>
        <v/>
      </c>
    </row>
    <row r="49" ht="28.8" customHeight="1">
      <c r="A49" s="282" t="n">
        <v>1</v>
      </c>
      <c r="B49" s="283" t="n">
        <v>4006043270</v>
      </c>
      <c r="C4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49" s="285">
        <f>INDEX(База[],MATCH(Пневматика_СВОДНАЯ_2026[[#This Row],[Обозначение]],База[Артикул],0),MATCH(D$4,База[#Headers],0))</f>
        <v/>
      </c>
      <c r="E49" s="286">
        <f>INDEX(База[],MATCH(Пневматика_СВОДНАЯ_2026[[#This Row],[Обозначение]],База[Артикул],0),MATCH(E$4,База[#Headers],0))</f>
        <v/>
      </c>
      <c r="F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49" s="288">
        <f>SUM(Пневматика_СВОДНАЯ_2026[[#This Row],[П- 
01]:[П- 
12]])</f>
        <v/>
      </c>
      <c r="S49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4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49" s="288">
        <f>SUM(Пневматика_СВОДНАЯ_2026[[#This Row],[Ф- 
01]:[Ф- 
12]])</f>
        <v/>
      </c>
      <c r="AG49" s="520">
        <f>IF((Пневматика_СВОДНАЯ_2026[[#This Row],[П- 
2026]]+Пневматика_СВОДНАЯ_2026[[#This Row],[Ф- 
2026]])&gt;0,1,0)</f>
        <v/>
      </c>
      <c r="AH49" s="289">
        <f>Пневматика_СВОДНАЯ_2026[[#This Row],[Прод]]&amp;"_"&amp;Пневматика_СВОДНАЯ_2026[[#This Row],[Обозначение]]</f>
        <v/>
      </c>
    </row>
    <row r="50" ht="28.8" customHeight="1">
      <c r="A50" s="282" t="n">
        <v>1</v>
      </c>
      <c r="B50" s="283" t="n">
        <v>4006043280</v>
      </c>
      <c r="C5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0" s="285">
        <f>INDEX(База[],MATCH(Пневматика_СВОДНАЯ_2026[[#This Row],[Обозначение]],База[Артикул],0),MATCH(D$4,База[#Headers],0))</f>
        <v/>
      </c>
      <c r="E50" s="286">
        <f>INDEX(База[],MATCH(Пневматика_СВОДНАЯ_2026[[#This Row],[Обозначение]],База[Артикул],0),MATCH(E$4,База[#Headers],0))</f>
        <v/>
      </c>
      <c r="F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0" s="288">
        <f>SUM(Пневматика_СВОДНАЯ_2026[[#This Row],[П- 
01]:[П- 
12]])</f>
        <v/>
      </c>
      <c r="S50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0" s="288">
        <f>SUM(Пневматика_СВОДНАЯ_2026[[#This Row],[Ф- 
01]:[Ф- 
12]])</f>
        <v/>
      </c>
      <c r="AG50" s="520">
        <f>IF((Пневматика_СВОДНАЯ_2026[[#This Row],[П- 
2026]]+Пневматика_СВОДНАЯ_2026[[#This Row],[Ф- 
2026]])&gt;0,1,0)</f>
        <v/>
      </c>
      <c r="AH50" s="289">
        <f>Пневматика_СВОДНАЯ_2026[[#This Row],[Прод]]&amp;"_"&amp;Пневматика_СВОДНАЯ_2026[[#This Row],[Обозначение]]</f>
        <v/>
      </c>
    </row>
    <row r="51">
      <c r="A51" s="273" t="n">
        <v>2</v>
      </c>
      <c r="B51" s="277" t="n">
        <v>4005000810</v>
      </c>
      <c r="C5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1" s="281">
        <f>INDEX(База[],MATCH(Пневматика_СВОДНАЯ_2026[[#This Row],[Обозначение]],База[Артикул],0),MATCH(D$4,База[#Headers],0))</f>
        <v/>
      </c>
      <c r="E51" s="278">
        <f>INDEX(База[],MATCH(Пневматика_СВОДНАЯ_2026[[#This Row],[Обозначение]],База[Артикул],0),MATCH(E$4,База[#Headers],0))</f>
        <v/>
      </c>
      <c r="F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1" s="276">
        <f>SUM(Пневматика_СВОДНАЯ_2026[[#This Row],[П- 
01]:[П- 
12]])</f>
        <v/>
      </c>
      <c r="S51" s="450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1" s="27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1" s="276">
        <f>SUM(Пневматика_СВОДНАЯ_2026[[#This Row],[Ф- 
01]:[Ф- 
12]])</f>
        <v/>
      </c>
      <c r="AG51" s="519">
        <f>IF((Пневматика_СВОДНАЯ_2026[[#This Row],[П- 
2026]]+Пневматика_СВОДНАЯ_2026[[#This Row],[Ф- 
2026]])&gt;0,1,0)</f>
        <v/>
      </c>
      <c r="AH51" s="298">
        <f>Пневматика_СВОДНАЯ_2026[[#This Row],[Прод]]&amp;"_"&amp;Пневматика_СВОДНАЯ_2026[[#This Row],[Обозначение]]</f>
        <v/>
      </c>
    </row>
    <row r="52">
      <c r="A52" s="290" t="n">
        <v>2</v>
      </c>
      <c r="B52" s="291" t="n">
        <v>4005000880</v>
      </c>
      <c r="C5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2" s="293">
        <f>INDEX(База[],MATCH(Пневматика_СВОДНАЯ_2026[[#This Row],[Обозначение]],База[Артикул],0),MATCH(D$4,База[#Headers],0))</f>
        <v/>
      </c>
      <c r="E52" s="294">
        <f>INDEX(База[],MATCH(Пневматика_СВОДНАЯ_2026[[#This Row],[Обозначение]],База[Артикул],0),MATCH(E$4,База[#Headers],0))</f>
        <v/>
      </c>
      <c r="F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2" s="296">
        <f>SUM(Пневматика_СВОДНАЯ_2026[[#This Row],[П- 
01]:[П- 
12]])</f>
        <v/>
      </c>
      <c r="S52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2" s="296">
        <f>SUM(Пневматика_СВОДНАЯ_2026[[#This Row],[Ф- 
01]:[Ф- 
12]])</f>
        <v/>
      </c>
      <c r="AG52" s="521">
        <f>IF((Пневматика_СВОДНАЯ_2026[[#This Row],[П- 
2026]]+Пневматика_СВОДНАЯ_2026[[#This Row],[Ф- 
2026]])&gt;0,1,0)</f>
        <v/>
      </c>
      <c r="AH52" s="299">
        <f>Пневматика_СВОДНАЯ_2026[[#This Row],[Прод]]&amp;"_"&amp;Пневматика_СВОДНАЯ_2026[[#This Row],[Обозначение]]</f>
        <v/>
      </c>
    </row>
    <row r="53">
      <c r="A53" s="290" t="n">
        <v>2</v>
      </c>
      <c r="B53" s="291" t="n">
        <v>4334010030</v>
      </c>
      <c r="C53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3" s="293">
        <f>INDEX(База[],MATCH(Пневматика_СВОДНАЯ_2026[[#This Row],[Обозначение]],База[Артикул],0),MATCH(D$4,База[#Headers],0))</f>
        <v/>
      </c>
      <c r="E53" s="294">
        <f>INDEX(База[],MATCH(Пневматика_СВОДНАЯ_2026[[#This Row],[Обозначение]],База[Артикул],0),MATCH(E$4,База[#Headers],0))</f>
        <v/>
      </c>
      <c r="F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3" s="296">
        <f>SUM(Пневматика_СВОДНАЯ_2026[[#This Row],[П- 
01]:[П- 
12]])</f>
        <v/>
      </c>
      <c r="S53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3" s="296">
        <f>SUM(Пневматика_СВОДНАЯ_2026[[#This Row],[Ф- 
01]:[Ф- 
12]])</f>
        <v/>
      </c>
      <c r="AG53" s="521">
        <f>IF((Пневматика_СВОДНАЯ_2026[[#This Row],[П- 
2026]]+Пневматика_СВОДНАЯ_2026[[#This Row],[Ф- 
2026]])&gt;0,1,0)</f>
        <v/>
      </c>
      <c r="AH53" s="297">
        <f>Пневматика_СВОДНАЯ_2026[[#This Row],[Прод]]&amp;"_"&amp;Пневматика_СВОДНАЯ_2026[[#This Row],[Обозначение]]</f>
        <v/>
      </c>
    </row>
    <row r="54">
      <c r="A54" s="282" t="n">
        <v>2</v>
      </c>
      <c r="B54" s="283" t="n">
        <v>4341001250</v>
      </c>
      <c r="C5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4" s="285">
        <f>INDEX(База[],MATCH(Пневматика_СВОДНАЯ_2026[[#This Row],[Обозначение]],База[Артикул],0),MATCH(D$4,База[#Headers],0))</f>
        <v/>
      </c>
      <c r="E54" s="286">
        <f>INDEX(База[],MATCH(Пневматика_СВОДНАЯ_2026[[#This Row],[Обозначение]],База[Артикул],0),MATCH(E$4,База[#Headers],0))</f>
        <v/>
      </c>
      <c r="F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4" s="288">
        <f>SUM(Пневматика_СВОДНАЯ_2026[[#This Row],[П- 
01]:[П- 
12]])</f>
        <v/>
      </c>
      <c r="S54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4" s="288">
        <f>SUM(Пневматика_СВОДНАЯ_2026[[#This Row],[Ф- 
01]:[Ф- 
12]])</f>
        <v/>
      </c>
      <c r="AG54" s="520">
        <f>IF((Пневматика_СВОДНАЯ_2026[[#This Row],[П- 
2026]]+Пневматика_СВОДНАЯ_2026[[#This Row],[Ф- 
2026]])&gt;0,1,0)</f>
        <v/>
      </c>
      <c r="AH54" s="289">
        <f>Пневматика_СВОДНАЯ_2026[[#This Row],[Прод]]&amp;"_"&amp;Пневматика_СВОДНАЯ_2026[[#This Row],[Обозначение]]</f>
        <v/>
      </c>
    </row>
    <row r="55">
      <c r="A55" s="290" t="n">
        <v>2</v>
      </c>
      <c r="B55" s="291" t="n">
        <v>4410441020</v>
      </c>
      <c r="C5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5" s="293">
        <f>INDEX(База[],MATCH(Пневматика_СВОДНАЯ_2026[[#This Row],[Обозначение]],База[Артикул],0),MATCH(D$4,База[#Headers],0))</f>
        <v/>
      </c>
      <c r="E55" s="294">
        <f>INDEX(База[],MATCH(Пневматика_СВОДНАЯ_2026[[#This Row],[Обозначение]],База[Артикул],0),MATCH(E$4,База[#Headers],0))</f>
        <v/>
      </c>
      <c r="F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5" s="296">
        <f>SUM(Пневматика_СВОДНАЯ_2026[[#This Row],[П- 
01]:[П- 
12]])</f>
        <v/>
      </c>
      <c r="S55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5" s="296">
        <f>SUM(Пневматика_СВОДНАЯ_2026[[#This Row],[Ф- 
01]:[Ф- 
12]])</f>
        <v/>
      </c>
      <c r="AG55" s="521">
        <f>IF((Пневматика_СВОДНАЯ_2026[[#This Row],[П- 
2026]]+Пневматика_СВОДНАЯ_2026[[#This Row],[Ф- 
2026]])&gt;0,1,0)</f>
        <v/>
      </c>
      <c r="AH55" s="297">
        <f>Пневматика_СВОДНАЯ_2026[[#This Row],[Прод]]&amp;"_"&amp;Пневматика_СВОДНАЯ_2026[[#This Row],[Обозначение]]</f>
        <v/>
      </c>
    </row>
    <row r="56">
      <c r="A56" s="290" t="n">
        <v>2</v>
      </c>
      <c r="B56" s="291" t="n">
        <v>4460084042</v>
      </c>
      <c r="C56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6" s="293">
        <f>INDEX(База[],MATCH(Пневматика_СВОДНАЯ_2026[[#This Row],[Обозначение]],База[Артикул],0),MATCH(D$4,База[#Headers],0))</f>
        <v/>
      </c>
      <c r="E56" s="294">
        <f>INDEX(База[],MATCH(Пневматика_СВОДНАЯ_2026[[#This Row],[Обозначение]],База[Артикул],0),MATCH(E$4,База[#Headers],0))</f>
        <v/>
      </c>
      <c r="F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6" s="296">
        <f>SUM(Пневматика_СВОДНАЯ_2026[[#This Row],[П- 
01]:[П- 
12]])</f>
        <v/>
      </c>
      <c r="S56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6" s="296">
        <f>SUM(Пневматика_СВОДНАЯ_2026[[#This Row],[Ф- 
01]:[Ф- 
12]])</f>
        <v/>
      </c>
      <c r="AG56" s="521">
        <f>IF((Пневматика_СВОДНАЯ_2026[[#This Row],[П- 
2026]]+Пневматика_СВОДНАЯ_2026[[#This Row],[Ф- 
2026]])&gt;0,1,0)</f>
        <v/>
      </c>
      <c r="AH56" s="297">
        <f>Пневматика_СВОДНАЯ_2026[[#This Row],[Прод]]&amp;"_"&amp;Пневматика_СВОДНАЯ_2026[[#This Row],[Обозначение]]</f>
        <v/>
      </c>
    </row>
    <row r="57">
      <c r="A57" s="290" t="n">
        <v>2</v>
      </c>
      <c r="B57" s="291" t="n">
        <v>4461220530</v>
      </c>
      <c r="C57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7" s="293">
        <f>INDEX(База[],MATCH(Пневматика_СВОДНАЯ_2026[[#This Row],[Обозначение]],База[Артикул],0),MATCH(D$4,База[#Headers],0))</f>
        <v/>
      </c>
      <c r="E57" s="294">
        <f>INDEX(База[],MATCH(Пневматика_СВОДНАЯ_2026[[#This Row],[Обозначение]],База[Артикул],0),MATCH(E$4,База[#Headers],0))</f>
        <v/>
      </c>
      <c r="F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7" s="296">
        <f>SUM(Пневматика_СВОДНАЯ_2026[[#This Row],[П- 
01]:[П- 
12]])</f>
        <v/>
      </c>
      <c r="S57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7" s="296">
        <f>SUM(Пневматика_СВОДНАЯ_2026[[#This Row],[Ф- 
01]:[Ф- 
12]])</f>
        <v/>
      </c>
      <c r="AG57" s="521">
        <f>IF((Пневматика_СВОДНАЯ_2026[[#This Row],[П- 
2026]]+Пневматика_СВОДНАЯ_2026[[#This Row],[Ф- 
2026]])&gt;0,1,0)</f>
        <v/>
      </c>
      <c r="AH57" s="297">
        <f>Пневматика_СВОДНАЯ_2026[[#This Row],[Прод]]&amp;"_"&amp;Пневматика_СВОДНАЯ_2026[[#This Row],[Обозначение]]</f>
        <v/>
      </c>
    </row>
    <row r="58">
      <c r="A58" s="282" t="n">
        <v>2</v>
      </c>
      <c r="B58" s="283" t="n">
        <v>4491301200</v>
      </c>
      <c r="C5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8" s="285">
        <f>INDEX(База[],MATCH(Пневматика_СВОДНАЯ_2026[[#This Row],[Обозначение]],База[Артикул],0),MATCH(D$4,База[#Headers],0))</f>
        <v/>
      </c>
      <c r="E58" s="286">
        <f>INDEX(База[],MATCH(Пневматика_СВОДНАЯ_2026[[#This Row],[Обозначение]],База[Артикул],0),MATCH(E$4,База[#Headers],0))</f>
        <v/>
      </c>
      <c r="F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8" s="288">
        <f>SUM(Пневматика_СВОДНАЯ_2026[[#This Row],[П- 
01]:[П- 
12]])</f>
        <v/>
      </c>
      <c r="S58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8" s="288">
        <f>SUM(Пневматика_СВОДНАЯ_2026[[#This Row],[Ф- 
01]:[Ф- 
12]])</f>
        <v/>
      </c>
      <c r="AG58" s="520">
        <f>IF((Пневматика_СВОДНАЯ_2026[[#This Row],[П- 
2026]]+Пневматика_СВОДНАЯ_2026[[#This Row],[Ф- 
2026]])&gt;0,1,0)</f>
        <v/>
      </c>
      <c r="AH58" s="289">
        <f>Пневматика_СВОДНАЯ_2026[[#This Row],[Прод]]&amp;"_"&amp;Пневматика_СВОДНАЯ_2026[[#This Row],[Обозначение]]</f>
        <v/>
      </c>
    </row>
    <row r="59">
      <c r="A59" s="282" t="n">
        <v>2</v>
      </c>
      <c r="B59" s="283" t="n">
        <v>4491301500</v>
      </c>
      <c r="C5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59" s="285">
        <f>INDEX(База[],MATCH(Пневматика_СВОДНАЯ_2026[[#This Row],[Обозначение]],База[Артикул],0),MATCH(D$4,База[#Headers],0))</f>
        <v/>
      </c>
      <c r="E59" s="286">
        <f>INDEX(База[],MATCH(Пневматика_СВОДНАЯ_2026[[#This Row],[Обозначение]],База[Артикул],0),MATCH(E$4,База[#Headers],0))</f>
        <v/>
      </c>
      <c r="F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59" s="288">
        <f>SUM(Пневматика_СВОДНАЯ_2026[[#This Row],[П- 
01]:[П- 
12]])</f>
        <v/>
      </c>
      <c r="S59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5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59" s="288">
        <f>SUM(Пневматика_СВОДНАЯ_2026[[#This Row],[Ф- 
01]:[Ф- 
12]])</f>
        <v/>
      </c>
      <c r="AG59" s="520">
        <f>IF((Пневматика_СВОДНАЯ_2026[[#This Row],[П- 
2026]]+Пневматика_СВОДНАЯ_2026[[#This Row],[Ф- 
2026]])&gt;0,1,0)</f>
        <v/>
      </c>
      <c r="AH59" s="300">
        <f>Пневматика_СВОДНАЯ_2026[[#This Row],[Прод]]&amp;"_"&amp;Пневматика_СВОДНАЯ_2026[[#This Row],[Обозначение]]</f>
        <v/>
      </c>
    </row>
    <row r="60">
      <c r="A60" s="282" t="n">
        <v>2</v>
      </c>
      <c r="B60" s="283" t="n">
        <v>4491350600</v>
      </c>
      <c r="C6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0" s="285">
        <f>INDEX(База[],MATCH(Пневматика_СВОДНАЯ_2026[[#This Row],[Обозначение]],База[Артикул],0),MATCH(D$4,База[#Headers],0))</f>
        <v/>
      </c>
      <c r="E60" s="286">
        <f>INDEX(База[],MATCH(Пневматика_СВОДНАЯ_2026[[#This Row],[Обозначение]],База[Артикул],0),MATCH(E$4,База[#Headers],0))</f>
        <v/>
      </c>
      <c r="F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0" s="288">
        <f>SUM(Пневматика_СВОДНАЯ_2026[[#This Row],[П- 
01]:[П- 
12]])</f>
        <v/>
      </c>
      <c r="S60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0" s="288">
        <f>SUM(Пневматика_СВОДНАЯ_2026[[#This Row],[Ф- 
01]:[Ф- 
12]])</f>
        <v/>
      </c>
      <c r="AG60" s="520">
        <f>IF((Пневматика_СВОДНАЯ_2026[[#This Row],[П- 
2026]]+Пневматика_СВОДНАЯ_2026[[#This Row],[Ф- 
2026]])&gt;0,1,0)</f>
        <v/>
      </c>
      <c r="AH60" s="289">
        <f>Пневматика_СВОДНАЯ_2026[[#This Row],[Прод]]&amp;"_"&amp;Пневматика_СВОДНАЯ_2026[[#This Row],[Обозначение]]</f>
        <v/>
      </c>
    </row>
    <row r="61">
      <c r="A61" s="282" t="n">
        <v>2</v>
      </c>
      <c r="B61" s="283" t="n">
        <v>4491731200</v>
      </c>
      <c r="C6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1" s="285">
        <f>INDEX(База[],MATCH(Пневматика_СВОДНАЯ_2026[[#This Row],[Обозначение]],База[Артикул],0),MATCH(D$4,База[#Headers],0))</f>
        <v/>
      </c>
      <c r="E61" s="286">
        <f>INDEX(База[],MATCH(Пневматика_СВОДНАЯ_2026[[#This Row],[Обозначение]],База[Артикул],0),MATCH(E$4,База[#Headers],0))</f>
        <v/>
      </c>
      <c r="F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1" s="288">
        <f>SUM(Пневматика_СВОДНАЯ_2026[[#This Row],[П- 
01]:[П- 
12]])</f>
        <v/>
      </c>
      <c r="S61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1" s="288">
        <f>SUM(Пневматика_СВОДНАЯ_2026[[#This Row],[Ф- 
01]:[Ф- 
12]])</f>
        <v/>
      </c>
      <c r="AG61" s="520">
        <f>IF((Пневматика_СВОДНАЯ_2026[[#This Row],[П- 
2026]]+Пневматика_СВОДНАЯ_2026[[#This Row],[Ф- 
2026]])&gt;0,1,0)</f>
        <v/>
      </c>
      <c r="AH61" s="289">
        <f>Пневматика_СВОДНАЯ_2026[[#This Row],[Прод]]&amp;"_"&amp;Пневматика_СВОДНАЯ_2026[[#This Row],[Обозначение]]</f>
        <v/>
      </c>
    </row>
    <row r="62">
      <c r="A62" s="282" t="n">
        <v>2</v>
      </c>
      <c r="B62" s="283" t="n">
        <v>4493470800</v>
      </c>
      <c r="C6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2" s="285">
        <f>INDEX(База[],MATCH(Пневматика_СВОДНАЯ_2026[[#This Row],[Обозначение]],База[Артикул],0),MATCH(D$4,База[#Headers],0))</f>
        <v/>
      </c>
      <c r="E62" s="286">
        <f>INDEX(База[],MATCH(Пневматика_СВОДНАЯ_2026[[#This Row],[Обозначение]],База[Артикул],0),MATCH(E$4,База[#Headers],0))</f>
        <v/>
      </c>
      <c r="F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2" s="288">
        <f>SUM(Пневматика_СВОДНАЯ_2026[[#This Row],[П- 
01]:[П- 
12]])</f>
        <v/>
      </c>
      <c r="S62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2" s="288">
        <f>SUM(Пневматика_СВОДНАЯ_2026[[#This Row],[Ф- 
01]:[Ф- 
12]])</f>
        <v/>
      </c>
      <c r="AG62" s="520">
        <f>IF((Пневматика_СВОДНАЯ_2026[[#This Row],[П- 
2026]]+Пневматика_СВОДНАЯ_2026[[#This Row],[Ф- 
2026]])&gt;0,1,0)</f>
        <v/>
      </c>
      <c r="AH62" s="289">
        <f>Пневматика_СВОДНАЯ_2026[[#This Row],[Прод]]&amp;"_"&amp;Пневматика_СВОДНАЯ_2026[[#This Row],[Обозначение]]</f>
        <v/>
      </c>
    </row>
    <row r="63">
      <c r="A63" s="282" t="n">
        <v>2</v>
      </c>
      <c r="B63" s="283" t="n">
        <v>4493702820</v>
      </c>
      <c r="C6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3" s="285">
        <f>INDEX(База[],MATCH(Пневматика_СВОДНАЯ_2026[[#This Row],[Обозначение]],База[Артикул],0),MATCH(D$4,База[#Headers],0))</f>
        <v/>
      </c>
      <c r="E63" s="286">
        <f>INDEX(База[],MATCH(Пневматика_СВОДНАЯ_2026[[#This Row],[Обозначение]],База[Артикул],0),MATCH(E$4,База[#Headers],0))</f>
        <v/>
      </c>
      <c r="F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3" s="288">
        <f>SUM(Пневматика_СВОДНАЯ_2026[[#This Row],[П- 
01]:[П- 
12]])</f>
        <v/>
      </c>
      <c r="S63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3" s="288">
        <f>SUM(Пневматика_СВОДНАЯ_2026[[#This Row],[Ф- 
01]:[Ф- 
12]])</f>
        <v/>
      </c>
      <c r="AG63" s="520">
        <f>IF((Пневматика_СВОДНАЯ_2026[[#This Row],[П- 
2026]]+Пневматика_СВОДНАЯ_2026[[#This Row],[Ф- 
2026]])&gt;0,1,0)</f>
        <v/>
      </c>
      <c r="AH63" s="300">
        <f>Пневматика_СВОДНАЯ_2026[[#This Row],[Прод]]&amp;"_"&amp;Пневматика_СВОДНАЯ_2026[[#This Row],[Обозначение]]</f>
        <v/>
      </c>
    </row>
    <row r="64">
      <c r="A64" s="282" t="n">
        <v>2</v>
      </c>
      <c r="B64" s="283" t="n">
        <v>4493711800</v>
      </c>
      <c r="C6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4" s="285">
        <f>INDEX(База[],MATCH(Пневматика_СВОДНАЯ_2026[[#This Row],[Обозначение]],База[Артикул],0),MATCH(D$4,База[#Headers],0))</f>
        <v/>
      </c>
      <c r="E64" s="286">
        <f>INDEX(База[],MATCH(Пневматика_СВОДНАЯ_2026[[#This Row],[Обозначение]],База[Артикул],0),MATCH(E$4,База[#Headers],0))</f>
        <v/>
      </c>
      <c r="F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4" s="288">
        <f>SUM(Пневматика_СВОДНАЯ_2026[[#This Row],[П- 
01]:[П- 
12]])</f>
        <v/>
      </c>
      <c r="S64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4" s="288">
        <f>SUM(Пневматика_СВОДНАЯ_2026[[#This Row],[Ф- 
01]:[Ф- 
12]])</f>
        <v/>
      </c>
      <c r="AG64" s="520">
        <f>IF((Пневматика_СВОДНАЯ_2026[[#This Row],[П- 
2026]]+Пневматика_СВОДНАЯ_2026[[#This Row],[Ф- 
2026]])&gt;0,1,0)</f>
        <v/>
      </c>
      <c r="AH64" s="289">
        <f>Пневматика_СВОДНАЯ_2026[[#This Row],[Прод]]&amp;"_"&amp;Пневматика_СВОДНАЯ_2026[[#This Row],[Обозначение]]</f>
        <v/>
      </c>
    </row>
    <row r="65">
      <c r="A65" s="290" t="n">
        <v>2</v>
      </c>
      <c r="B65" s="291" t="n">
        <v>4493792810</v>
      </c>
      <c r="C6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5" s="293">
        <f>INDEX(База[],MATCH(Пневматика_СВОДНАЯ_2026[[#This Row],[Обозначение]],База[Артикул],0),MATCH(D$4,База[#Headers],0))</f>
        <v/>
      </c>
      <c r="E65" s="294">
        <f>INDEX(База[],MATCH(Пневматика_СВОДНАЯ_2026[[#This Row],[Обозначение]],База[Артикул],0),MATCH(E$4,База[#Headers],0))</f>
        <v/>
      </c>
      <c r="F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5" s="296">
        <f>SUM(Пневматика_СВОДНАЯ_2026[[#This Row],[П- 
01]:[П- 
12]])</f>
        <v/>
      </c>
      <c r="S65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5" s="296">
        <f>SUM(Пневматика_СВОДНАЯ_2026[[#This Row],[Ф- 
01]:[Ф- 
12]])</f>
        <v/>
      </c>
      <c r="AG65" s="521">
        <f>IF((Пневматика_СВОДНАЯ_2026[[#This Row],[П- 
2026]]+Пневматика_СВОДНАЯ_2026[[#This Row],[Ф- 
2026]])&gt;0,1,0)</f>
        <v/>
      </c>
      <c r="AH65" s="297">
        <f>Пневматика_СВОДНАЯ_2026[[#This Row],[Прод]]&amp;"_"&amp;Пневматика_СВОДНАЯ_2026[[#This Row],[Обозначение]]</f>
        <v/>
      </c>
    </row>
    <row r="66">
      <c r="A66" s="282" t="n">
        <v>2</v>
      </c>
      <c r="B66" s="283" t="n">
        <v>4494250600</v>
      </c>
      <c r="C6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6" s="285">
        <f>INDEX(База[],MATCH(Пневматика_СВОДНАЯ_2026[[#This Row],[Обозначение]],База[Артикул],0),MATCH(D$4,База[#Headers],0))</f>
        <v/>
      </c>
      <c r="E66" s="286">
        <f>INDEX(База[],MATCH(Пневматика_СВОДНАЯ_2026[[#This Row],[Обозначение]],База[Артикул],0),MATCH(E$4,База[#Headers],0))</f>
        <v/>
      </c>
      <c r="F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6" s="288">
        <f>SUM(Пневматика_СВОДНАЯ_2026[[#This Row],[П- 
01]:[П- 
12]])</f>
        <v/>
      </c>
      <c r="S66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6" s="288">
        <f>SUM(Пневматика_СВОДНАЯ_2026[[#This Row],[Ф- 
01]:[Ф- 
12]])</f>
        <v/>
      </c>
      <c r="AG66" s="520">
        <f>IF((Пневматика_СВОДНАЯ_2026[[#This Row],[П- 
2026]]+Пневматика_СВОДНАЯ_2026[[#This Row],[Ф- 
2026]])&gt;0,1,0)</f>
        <v/>
      </c>
      <c r="AH66" s="289">
        <f>Пневматика_СВОДНАЯ_2026[[#This Row],[Прод]]&amp;"_"&amp;Пневматика_СВОДНАЯ_2026[[#This Row],[Обозначение]]</f>
        <v/>
      </c>
    </row>
    <row r="67">
      <c r="A67" s="290" t="n">
        <v>2</v>
      </c>
      <c r="B67" s="291" t="n">
        <v>4497120300</v>
      </c>
      <c r="C67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7" s="293">
        <f>INDEX(База[],MATCH(Пневматика_СВОДНАЯ_2026[[#This Row],[Обозначение]],База[Артикул],0),MATCH(D$4,База[#Headers],0))</f>
        <v/>
      </c>
      <c r="E67" s="294">
        <f>INDEX(База[],MATCH(Пневматика_СВОДНАЯ_2026[[#This Row],[Обозначение]],База[Артикул],0),MATCH(E$4,База[#Headers],0))</f>
        <v/>
      </c>
      <c r="F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7" s="296">
        <f>SUM(Пневматика_СВОДНАЯ_2026[[#This Row],[П- 
01]:[П- 
12]])</f>
        <v/>
      </c>
      <c r="S67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7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7" s="296">
        <f>SUM(Пневматика_СВОДНАЯ_2026[[#This Row],[Ф- 
01]:[Ф- 
12]])</f>
        <v/>
      </c>
      <c r="AG67" s="521">
        <f>IF((Пневматика_СВОДНАЯ_2026[[#This Row],[П- 
2026]]+Пневматика_СВОДНАЯ_2026[[#This Row],[Ф- 
2026]])&gt;0,1,0)</f>
        <v/>
      </c>
      <c r="AH67" s="299">
        <f>Пневматика_СВОДНАЯ_2026[[#This Row],[Прод]]&amp;"_"&amp;Пневматика_СВОДНАЯ_2026[[#This Row],[Обозначение]]</f>
        <v/>
      </c>
    </row>
    <row r="68">
      <c r="A68" s="282" t="n">
        <v>2</v>
      </c>
      <c r="B68" s="283" t="n">
        <v>4497230300</v>
      </c>
      <c r="C6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8" s="285">
        <f>INDEX(База[],MATCH(Пневматика_СВОДНАЯ_2026[[#This Row],[Обозначение]],База[Артикул],0),MATCH(D$4,База[#Headers],0))</f>
        <v/>
      </c>
      <c r="E68" s="286">
        <f>INDEX(База[],MATCH(Пневматика_СВОДНАЯ_2026[[#This Row],[Обозначение]],База[Артикул],0),MATCH(E$4,База[#Headers],0))</f>
        <v/>
      </c>
      <c r="F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8" s="288">
        <f>SUM(Пневматика_СВОДНАЯ_2026[[#This Row],[П- 
01]:[П- 
12]])</f>
        <v/>
      </c>
      <c r="S68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8" s="288">
        <f>SUM(Пневматика_СВОДНАЯ_2026[[#This Row],[Ф- 
01]:[Ф- 
12]])</f>
        <v/>
      </c>
      <c r="AG68" s="520">
        <f>IF((Пневматика_СВОДНАЯ_2026[[#This Row],[П- 
2026]]+Пневматика_СВОДНАЯ_2026[[#This Row],[Ф- 
2026]])&gt;0,1,0)</f>
        <v/>
      </c>
      <c r="AH68" s="289">
        <f>Пневматика_СВОДНАЯ_2026[[#This Row],[Прод]]&amp;"_"&amp;Пневматика_СВОДНАЯ_2026[[#This Row],[Обозначение]]</f>
        <v/>
      </c>
    </row>
    <row r="69">
      <c r="A69" s="282" t="n">
        <v>2</v>
      </c>
      <c r="B69" s="283" t="n">
        <v>4497490300</v>
      </c>
      <c r="C6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69" s="285">
        <f>INDEX(База[],MATCH(Пневматика_СВОДНАЯ_2026[[#This Row],[Обозначение]],База[Артикул],0),MATCH(D$4,База[#Headers],0))</f>
        <v/>
      </c>
      <c r="E69" s="286">
        <f>INDEX(База[],MATCH(Пневматика_СВОДНАЯ_2026[[#This Row],[Обозначение]],База[Артикул],0),MATCH(E$4,База[#Headers],0))</f>
        <v/>
      </c>
      <c r="F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69" s="288">
        <f>SUM(Пневматика_СВОДНАЯ_2026[[#This Row],[П- 
01]:[П- 
12]])</f>
        <v/>
      </c>
      <c r="S69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6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69" s="288">
        <f>SUM(Пневматика_СВОДНАЯ_2026[[#This Row],[Ф- 
01]:[Ф- 
12]])</f>
        <v/>
      </c>
      <c r="AG69" s="520">
        <f>IF((Пневматика_СВОДНАЯ_2026[[#This Row],[П- 
2026]]+Пневматика_СВОДНАЯ_2026[[#This Row],[Ф- 
2026]])&gt;0,1,0)</f>
        <v/>
      </c>
      <c r="AH69" s="300">
        <f>Пневматика_СВОДНАЯ_2026[[#This Row],[Прод]]&amp;"_"&amp;Пневматика_СВОДНАЯ_2026[[#This Row],[Обозначение]]</f>
        <v/>
      </c>
    </row>
    <row r="70">
      <c r="A70" s="282" t="n">
        <v>2</v>
      </c>
      <c r="B70" s="283" t="n">
        <v>4630320200</v>
      </c>
      <c r="C7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0" s="285">
        <f>INDEX(База[],MATCH(Пневматика_СВОДНАЯ_2026[[#This Row],[Обозначение]],База[Артикул],0),MATCH(D$4,База[#Headers],0))</f>
        <v/>
      </c>
      <c r="E70" s="286">
        <f>INDEX(База[],MATCH(Пневматика_СВОДНАЯ_2026[[#This Row],[Обозначение]],База[Артикул],0),MATCH(E$4,База[#Headers],0))</f>
        <v/>
      </c>
      <c r="F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0" s="288">
        <f>SUM(Пневматика_СВОДНАЯ_2026[[#This Row],[П- 
01]:[П- 
12]])</f>
        <v/>
      </c>
      <c r="S70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0" s="288">
        <f>SUM(Пневматика_СВОДНАЯ_2026[[#This Row],[Ф- 
01]:[Ф- 
12]])</f>
        <v/>
      </c>
      <c r="AG70" s="520">
        <f>IF((Пневматика_СВОДНАЯ_2026[[#This Row],[П- 
2026]]+Пневматика_СВОДНАЯ_2026[[#This Row],[Ф- 
2026]])&gt;0,1,0)</f>
        <v/>
      </c>
      <c r="AH70" s="289">
        <f>Пневматика_СВОДНАЯ_2026[[#This Row],[Прод]]&amp;"_"&amp;Пневматика_СВОДНАЯ_2026[[#This Row],[Обозначение]]</f>
        <v/>
      </c>
    </row>
    <row r="71">
      <c r="A71" s="290" t="n">
        <v>2</v>
      </c>
      <c r="B71" s="291" t="n">
        <v>4640061000</v>
      </c>
      <c r="C71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1" s="293">
        <f>INDEX(База[],MATCH(Пневматика_СВОДНАЯ_2026[[#This Row],[Обозначение]],База[Артикул],0),MATCH(D$4,База[#Headers],0))</f>
        <v/>
      </c>
      <c r="E71" s="294">
        <f>INDEX(База[],MATCH(Пневматика_СВОДНАЯ_2026[[#This Row],[Обозначение]],База[Артикул],0),MATCH(E$4,База[#Headers],0))</f>
        <v/>
      </c>
      <c r="F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1" s="296">
        <f>SUM(Пневматика_СВОДНАЯ_2026[[#This Row],[П- 
01]:[П- 
12]])</f>
        <v/>
      </c>
      <c r="S71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1" s="296">
        <f>SUM(Пневматика_СВОДНАЯ_2026[[#This Row],[Ф- 
01]:[Ф- 
12]])</f>
        <v/>
      </c>
      <c r="AG71" s="521">
        <f>IF((Пневматика_СВОДНАЯ_2026[[#This Row],[П- 
2026]]+Пневматика_СВОДНАЯ_2026[[#This Row],[Ф- 
2026]])&gt;0,1,0)</f>
        <v/>
      </c>
      <c r="AH71" s="297">
        <f>Пневматика_СВОДНАЯ_2026[[#This Row],[Прод]]&amp;"_"&amp;Пневматика_СВОДНАЯ_2026[[#This Row],[Обозначение]]</f>
        <v/>
      </c>
    </row>
    <row r="72" ht="28.8" customHeight="1">
      <c r="A72" s="290" t="n">
        <v>2</v>
      </c>
      <c r="B72" s="291" t="n">
        <v>4801020640</v>
      </c>
      <c r="C7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2" s="293">
        <f>INDEX(База[],MATCH(Пневматика_СВОДНАЯ_2026[[#This Row],[Обозначение]],База[Артикул],0),MATCH(D$4,База[#Headers],0))</f>
        <v/>
      </c>
      <c r="E72" s="294">
        <f>INDEX(База[],MATCH(Пневматика_СВОДНАЯ_2026[[#This Row],[Обозначение]],База[Артикул],0),MATCH(E$4,База[#Headers],0))</f>
        <v/>
      </c>
      <c r="F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2" s="296">
        <f>SUM(Пневматика_СВОДНАЯ_2026[[#This Row],[П- 
01]:[П- 
12]])</f>
        <v/>
      </c>
      <c r="S72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2" s="296">
        <f>SUM(Пневматика_СВОДНАЯ_2026[[#This Row],[Ф- 
01]:[Ф- 
12]])</f>
        <v/>
      </c>
      <c r="AG72" s="521">
        <f>IF((Пневматика_СВОДНАЯ_2026[[#This Row],[П- 
2026]]+Пневматика_СВОДНАЯ_2026[[#This Row],[Ф- 
2026]])&gt;0,1,0)</f>
        <v/>
      </c>
      <c r="AH72" s="297">
        <f>Пневматика_СВОДНАЯ_2026[[#This Row],[Прод]]&amp;"_"&amp;Пневматика_СВОДНАЯ_2026[[#This Row],[Обозначение]]</f>
        <v/>
      </c>
    </row>
    <row r="73">
      <c r="A73" s="290" t="n">
        <v>2</v>
      </c>
      <c r="B73" s="291" t="n">
        <v>8946000320</v>
      </c>
      <c r="C73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3" s="293">
        <f>INDEX(База[],MATCH(Пневматика_СВОДНАЯ_2026[[#This Row],[Обозначение]],База[Артикул],0),MATCH(D$4,База[#Headers],0))</f>
        <v/>
      </c>
      <c r="E73" s="294">
        <f>INDEX(База[],MATCH(Пневматика_СВОДНАЯ_2026[[#This Row],[Обозначение]],База[Артикул],0),MATCH(E$4,База[#Headers],0))</f>
        <v/>
      </c>
      <c r="F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3" s="296">
        <f>SUM(Пневматика_СВОДНАЯ_2026[[#This Row],[П- 
01]:[П- 
12]])</f>
        <v/>
      </c>
      <c r="S73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3" s="296">
        <f>SUM(Пневматика_СВОДНАЯ_2026[[#This Row],[Ф- 
01]:[Ф- 
12]])</f>
        <v/>
      </c>
      <c r="AG73" s="521">
        <f>IF((Пневматика_СВОДНАЯ_2026[[#This Row],[П- 
2026]]+Пневматика_СВОДНАЯ_2026[[#This Row],[Ф- 
2026]])&gt;0,1,0)</f>
        <v/>
      </c>
      <c r="AH73" s="297">
        <f>Пневматика_СВОДНАЯ_2026[[#This Row],[Прод]]&amp;"_"&amp;Пневматика_СВОДНАЯ_2026[[#This Row],[Обозначение]]</f>
        <v/>
      </c>
    </row>
    <row r="74">
      <c r="A74" s="282" t="n">
        <v>2</v>
      </c>
      <c r="B74" s="283" t="n">
        <v>9522010010</v>
      </c>
      <c r="C7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4" s="285">
        <f>INDEX(База[],MATCH(Пневматика_СВОДНАЯ_2026[[#This Row],[Обозначение]],База[Артикул],0),MATCH(D$4,База[#Headers],0))</f>
        <v/>
      </c>
      <c r="E74" s="286">
        <f>INDEX(База[],MATCH(Пневматика_СВОДНАЯ_2026[[#This Row],[Обозначение]],База[Артикул],0),MATCH(E$4,База[#Headers],0))</f>
        <v/>
      </c>
      <c r="F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4" s="288">
        <f>SUM(Пневматика_СВОДНАЯ_2026[[#This Row],[П- 
01]:[П- 
12]])</f>
        <v/>
      </c>
      <c r="S74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4" s="288">
        <f>SUM(Пневматика_СВОДНАЯ_2026[[#This Row],[Ф- 
01]:[Ф- 
12]])</f>
        <v/>
      </c>
      <c r="AG74" s="520">
        <f>IF((Пневматика_СВОДНАЯ_2026[[#This Row],[П- 
2026]]+Пневматика_СВОДНАЯ_2026[[#This Row],[Ф- 
2026]])&gt;0,1,0)</f>
        <v/>
      </c>
      <c r="AH74" s="300">
        <f>Пневматика_СВОДНАЯ_2026[[#This Row],[Прод]]&amp;"_"&amp;Пневматика_СВОДНАЯ_2026[[#This Row],[Обозначение]]</f>
        <v/>
      </c>
    </row>
    <row r="75">
      <c r="A75" s="282" t="n">
        <v>2</v>
      </c>
      <c r="B75" s="283" t="n">
        <v>9522010020</v>
      </c>
      <c r="C7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5" s="285">
        <f>INDEX(База[],MATCH(Пневматика_СВОДНАЯ_2026[[#This Row],[Обозначение]],База[Артикул],0),MATCH(D$4,База[#Headers],0))</f>
        <v/>
      </c>
      <c r="E75" s="286">
        <f>INDEX(База[],MATCH(Пневматика_СВОДНАЯ_2026[[#This Row],[Обозначение]],База[Артикул],0),MATCH(E$4,База[#Headers],0))</f>
        <v/>
      </c>
      <c r="F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5" s="288">
        <f>SUM(Пневматика_СВОДНАЯ_2026[[#This Row],[П- 
01]:[П- 
12]])</f>
        <v/>
      </c>
      <c r="S75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5" s="288">
        <f>SUM(Пневматика_СВОДНАЯ_2026[[#This Row],[Ф- 
01]:[Ф- 
12]])</f>
        <v/>
      </c>
      <c r="AG75" s="520">
        <f>IF((Пневматика_СВОДНАЯ_2026[[#This Row],[П- 
2026]]+Пневматика_СВОДНАЯ_2026[[#This Row],[Ф- 
2026]])&gt;0,1,0)</f>
        <v/>
      </c>
      <c r="AH75" s="300">
        <f>Пневматика_СВОДНАЯ_2026[[#This Row],[Прод]]&amp;"_"&amp;Пневматика_СВОДНАЯ_2026[[#This Row],[Обозначение]]</f>
        <v/>
      </c>
    </row>
    <row r="76">
      <c r="A76" s="282" t="n">
        <v>2</v>
      </c>
      <c r="B76" s="283" t="n">
        <v>9630010510</v>
      </c>
      <c r="C7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6" s="285">
        <f>INDEX(База[],MATCH(Пневматика_СВОДНАЯ_2026[[#This Row],[Обозначение]],База[Артикул],0),MATCH(D$4,База[#Headers],0))</f>
        <v/>
      </c>
      <c r="E76" s="286">
        <f>INDEX(База[],MATCH(Пневматика_СВОДНАЯ_2026[[#This Row],[Обозначение]],База[Артикул],0),MATCH(E$4,База[#Headers],0))</f>
        <v/>
      </c>
      <c r="F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6" s="288">
        <f>SUM(Пневматика_СВОДНАЯ_2026[[#This Row],[П- 
01]:[П- 
12]])</f>
        <v/>
      </c>
      <c r="S76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6" s="288">
        <f>SUM(Пневматика_СВОДНАЯ_2026[[#This Row],[Ф- 
01]:[Ф- 
12]])</f>
        <v/>
      </c>
      <c r="AG76" s="520">
        <f>IF((Пневматика_СВОДНАЯ_2026[[#This Row],[П- 
2026]]+Пневматика_СВОДНАЯ_2026[[#This Row],[Ф- 
2026]])&gt;0,1,0)</f>
        <v/>
      </c>
      <c r="AH76" s="289">
        <f>Пневматика_СВОДНАЯ_2026[[#This Row],[Прод]]&amp;"_"&amp;Пневматика_СВОДНАЯ_2026[[#This Row],[Обозначение]]</f>
        <v/>
      </c>
    </row>
    <row r="77" ht="28.8" customHeight="1">
      <c r="A77" s="282" t="n">
        <v>2</v>
      </c>
      <c r="B77" s="283" t="n">
        <v>9710020400</v>
      </c>
      <c r="C7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7" s="285">
        <f>INDEX(База[],MATCH(Пневматика_СВОДНАЯ_2026[[#This Row],[Обозначение]],База[Артикул],0),MATCH(D$4,База[#Headers],0))</f>
        <v/>
      </c>
      <c r="E77" s="286">
        <f>INDEX(База[],MATCH(Пневматика_СВОДНАЯ_2026[[#This Row],[Обозначение]],База[Артикул],0),MATCH(E$4,База[#Headers],0))</f>
        <v/>
      </c>
      <c r="F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7" s="288">
        <f>SUM(Пневматика_СВОДНАЯ_2026[[#This Row],[П- 
01]:[П- 
12]])</f>
        <v/>
      </c>
      <c r="S77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7" s="288">
        <f>SUM(Пневматика_СВОДНАЯ_2026[[#This Row],[Ф- 
01]:[Ф- 
12]])</f>
        <v/>
      </c>
      <c r="AG77" s="520">
        <f>IF((Пневматика_СВОДНАЯ_2026[[#This Row],[П- 
2026]]+Пневматика_СВОДНАЯ_2026[[#This Row],[Ф- 
2026]])&gt;0,1,0)</f>
        <v/>
      </c>
      <c r="AH77" s="300">
        <f>Пневматика_СВОДНАЯ_2026[[#This Row],[Прод]]&amp;"_"&amp;Пневматика_СВОДНАЯ_2026[[#This Row],[Обозначение]]</f>
        <v/>
      </c>
    </row>
    <row r="78" ht="28.8" customHeight="1">
      <c r="A78" s="282" t="n">
        <v>2</v>
      </c>
      <c r="B78" s="283" t="n">
        <v>9710029000</v>
      </c>
      <c r="C7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8" s="285">
        <f>INDEX(База[],MATCH(Пневматика_СВОДНАЯ_2026[[#This Row],[Обозначение]],База[Артикул],0),MATCH(D$4,База[#Headers],0))</f>
        <v/>
      </c>
      <c r="E78" s="286">
        <f>INDEX(База[],MATCH(Пневматика_СВОДНАЯ_2026[[#This Row],[Обозначение]],База[Артикул],0),MATCH(E$4,База[#Headers],0))</f>
        <v/>
      </c>
      <c r="F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8" s="288">
        <f>SUM(Пневматика_СВОДНАЯ_2026[[#This Row],[П- 
01]:[П- 
12]])</f>
        <v/>
      </c>
      <c r="S78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8" s="288">
        <f>SUM(Пневматика_СВОДНАЯ_2026[[#This Row],[Ф- 
01]:[Ф- 
12]])</f>
        <v/>
      </c>
      <c r="AG78" s="520">
        <f>IF((Пневматика_СВОДНАЯ_2026[[#This Row],[П- 
2026]]+Пневматика_СВОДНАЯ_2026[[#This Row],[Ф- 
2026]])&gt;0,1,0)</f>
        <v/>
      </c>
      <c r="AH78" s="289">
        <f>Пневматика_СВОДНАЯ_2026[[#This Row],[Прод]]&amp;"_"&amp;Пневматика_СВОДНАЯ_2026[[#This Row],[Обозначение]]</f>
        <v/>
      </c>
    </row>
    <row r="79">
      <c r="A79" s="282" t="inlineStr">
        <is>
          <t>S</t>
        </is>
      </c>
      <c r="B79" s="283" t="n">
        <v>4441000020</v>
      </c>
      <c r="C7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79" s="285">
        <f>INDEX(База[],MATCH(Пневматика_СВОДНАЯ_2026[[#This Row],[Обозначение]],База[Артикул],0),MATCH(D$4,База[#Headers],0))</f>
        <v/>
      </c>
      <c r="E79" s="286">
        <f>INDEX(База[],MATCH(Пневматика_СВОДНАЯ_2026[[#This Row],[Обозначение]],База[Артикул],0),MATCH(E$4,База[#Headers],0))</f>
        <v/>
      </c>
      <c r="F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79" s="288">
        <f>SUM(Пневматика_СВОДНАЯ_2026[[#This Row],[П- 
01]:[П- 
12]])</f>
        <v/>
      </c>
      <c r="S79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7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79" s="288">
        <f>SUM(Пневматика_СВОДНАЯ_2026[[#This Row],[Ф- 
01]:[Ф- 
12]])</f>
        <v/>
      </c>
      <c r="AG79" s="520">
        <f>IF((Пневматика_СВОДНАЯ_2026[[#This Row],[П- 
2026]]+Пневматика_СВОДНАЯ_2026[[#This Row],[Ф- 
2026]])&gt;0,1,0)</f>
        <v/>
      </c>
      <c r="AH79" s="289">
        <f>Пневматика_СВОДНАЯ_2026[[#This Row],[Прод]]&amp;"_"&amp;Пневматика_СВОДНАЯ_2026[[#This Row],[Обозначение]]</f>
        <v/>
      </c>
    </row>
    <row r="80">
      <c r="A80" s="282" t="inlineStr">
        <is>
          <t>S</t>
        </is>
      </c>
      <c r="B80" s="283" t="n">
        <v>4441000040</v>
      </c>
      <c r="C8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0" s="285">
        <f>INDEX(База[],MATCH(Пневматика_СВОДНАЯ_2026[[#This Row],[Обозначение]],База[Артикул],0),MATCH(D$4,База[#Headers],0))</f>
        <v/>
      </c>
      <c r="E80" s="286">
        <f>INDEX(База[],MATCH(Пневматика_СВОДНАЯ_2026[[#This Row],[Обозначение]],База[Артикул],0),MATCH(E$4,База[#Headers],0))</f>
        <v/>
      </c>
      <c r="F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0" s="437">
        <f>SUM(Пневматика_СВОДНАЯ_2026[[#This Row],[П- 
01]:[П- 
12]])</f>
        <v/>
      </c>
      <c r="S80" s="455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0" s="437">
        <f>SUM(Пневматика_СВОДНАЯ_2026[[#This Row],[Ф- 
01]:[Ф- 
12]])</f>
        <v/>
      </c>
      <c r="AG80" s="520">
        <f>IF((Пневматика_СВОДНАЯ_2026[[#This Row],[П- 
2026]]+Пневматика_СВОДНАЯ_2026[[#This Row],[Ф- 
2026]])&gt;0,1,0)</f>
        <v/>
      </c>
      <c r="AH80" s="289">
        <f>Пневматика_СВОДНАЯ_2026[[#This Row],[Прод]]&amp;"_"&amp;Пневматика_СВОДНАЯ_2026[[#This Row],[Обозначение]]</f>
        <v/>
      </c>
    </row>
    <row r="81">
      <c r="A81" s="282" t="inlineStr">
        <is>
          <t>S</t>
        </is>
      </c>
      <c r="B81" s="283" t="n">
        <v>4441000050</v>
      </c>
      <c r="C8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1" s="285">
        <f>INDEX(База[],MATCH(Пневматика_СВОДНАЯ_2026[[#This Row],[Обозначение]],База[Артикул],0),MATCH(D$4,База[#Headers],0))</f>
        <v/>
      </c>
      <c r="E81" s="286">
        <f>INDEX(База[],MATCH(Пневматика_СВОДНАЯ_2026[[#This Row],[Обозначение]],База[Артикул],0),MATCH(E$4,База[#Headers],0))</f>
        <v/>
      </c>
      <c r="F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1" s="288">
        <f>SUM(Пневматика_СВОДНАЯ_2026[[#This Row],[П- 
01]:[П- 
12]])</f>
        <v/>
      </c>
      <c r="S81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1" s="288">
        <f>SUM(Пневматика_СВОДНАЯ_2026[[#This Row],[Ф- 
01]:[Ф- 
12]])</f>
        <v/>
      </c>
      <c r="AG81" s="520">
        <f>IF((Пневматика_СВОДНАЯ_2026[[#This Row],[П- 
2026]]+Пневматика_СВОДНАЯ_2026[[#This Row],[Ф- 
2026]])&gt;0,1,0)</f>
        <v/>
      </c>
      <c r="AH81" s="289">
        <f>Пневматика_СВОДНАЯ_2026[[#This Row],[Прод]]&amp;"_"&amp;Пневматика_СВОДНАЯ_2026[[#This Row],[Обозначение]]</f>
        <v/>
      </c>
    </row>
    <row r="82">
      <c r="A82" s="290" t="inlineStr">
        <is>
          <t>S</t>
        </is>
      </c>
      <c r="B82" s="291" t="n">
        <v>4441000060</v>
      </c>
      <c r="C8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2" s="293">
        <f>INDEX(База[],MATCH(Пневматика_СВОДНАЯ_2026[[#This Row],[Обозначение]],База[Артикул],0),MATCH(D$4,База[#Headers],0))</f>
        <v/>
      </c>
      <c r="E82" s="294">
        <f>INDEX(База[],MATCH(Пневматика_СВОДНАЯ_2026[[#This Row],[Обозначение]],База[Артикул],0),MATCH(E$4,База[#Headers],0))</f>
        <v/>
      </c>
      <c r="F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2" s="296">
        <f>SUM(Пневматика_СВОДНАЯ_2026[[#This Row],[П- 
01]:[П- 
12]])</f>
        <v/>
      </c>
      <c r="S82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2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2" s="296">
        <f>SUM(Пневматика_СВОДНАЯ_2026[[#This Row],[Ф- 
01]:[Ф- 
12]])</f>
        <v/>
      </c>
      <c r="AG82" s="521">
        <f>IF((Пневматика_СВОДНАЯ_2026[[#This Row],[П- 
2026]]+Пневматика_СВОДНАЯ_2026[[#This Row],[Ф- 
2026]])&gt;0,1,0)</f>
        <v/>
      </c>
      <c r="AH82" s="297">
        <f>Пневматика_СВОДНАЯ_2026[[#This Row],[Прод]]&amp;"_"&amp;Пневматика_СВОДНАЯ_2026[[#This Row],[Обозначение]]</f>
        <v/>
      </c>
    </row>
    <row r="83">
      <c r="A83" s="282" t="inlineStr">
        <is>
          <t>S</t>
        </is>
      </c>
      <c r="B83" s="283" t="n">
        <v>4441000120</v>
      </c>
      <c r="C8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3" s="285">
        <f>INDEX(База[],MATCH(Пневматика_СВОДНАЯ_2026[[#This Row],[Обозначение]],База[Артикул],0),MATCH(D$4,База[#Headers],0))</f>
        <v/>
      </c>
      <c r="E83" s="286">
        <f>INDEX(База[],MATCH(Пневматика_СВОДНАЯ_2026[[#This Row],[Обозначение]],База[Артикул],0),MATCH(E$4,База[#Headers],0))</f>
        <v/>
      </c>
      <c r="F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3" s="288">
        <f>SUM(Пневматика_СВОДНАЯ_2026[[#This Row],[П- 
01]:[П- 
12]])</f>
        <v/>
      </c>
      <c r="S83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3" s="288">
        <f>SUM(Пневматика_СВОДНАЯ_2026[[#This Row],[Ф- 
01]:[Ф- 
12]])</f>
        <v/>
      </c>
      <c r="AG83" s="520">
        <f>IF((Пневматика_СВОДНАЯ_2026[[#This Row],[П- 
2026]]+Пневматика_СВОДНАЯ_2026[[#This Row],[Ф- 
2026]])&gt;0,1,0)</f>
        <v/>
      </c>
      <c r="AH83" s="289">
        <f>Пневматика_СВОДНАЯ_2026[[#This Row],[Прод]]&amp;"_"&amp;Пневматика_СВОДНАЯ_2026[[#This Row],[Обозначение]]</f>
        <v/>
      </c>
    </row>
    <row r="84">
      <c r="A84" s="290" t="inlineStr">
        <is>
          <t>S</t>
        </is>
      </c>
      <c r="B84" s="291" t="n">
        <v>4441000160</v>
      </c>
      <c r="C84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4" s="293">
        <f>INDEX(База[],MATCH(Пневматика_СВОДНАЯ_2026[[#This Row],[Обозначение]],База[Артикул],0),MATCH(D$4,База[#Headers],0))</f>
        <v/>
      </c>
      <c r="E84" s="294">
        <f>INDEX(База[],MATCH(Пневматика_СВОДНАЯ_2026[[#This Row],[Обозначение]],База[Артикул],0),MATCH(E$4,База[#Headers],0))</f>
        <v/>
      </c>
      <c r="F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4" s="296">
        <f>SUM(Пневматика_СВОДНАЯ_2026[[#This Row],[П- 
01]:[П- 
12]])</f>
        <v/>
      </c>
      <c r="S84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4" s="296">
        <f>SUM(Пневматика_СВОДНАЯ_2026[[#This Row],[Ф- 
01]:[Ф- 
12]])</f>
        <v/>
      </c>
      <c r="AG84" s="521">
        <f>IF((Пневматика_СВОДНАЯ_2026[[#This Row],[П- 
2026]]+Пневматика_СВОДНАЯ_2026[[#This Row],[Ф- 
2026]])&gt;0,1,0)</f>
        <v/>
      </c>
      <c r="AH84" s="297">
        <f>Пневматика_СВОДНАЯ_2026[[#This Row],[Прод]]&amp;"_"&amp;Пневматика_СВОДНАЯ_2026[[#This Row],[Обозначение]]</f>
        <v/>
      </c>
    </row>
    <row r="85">
      <c r="A85" s="290" t="inlineStr">
        <is>
          <t>S</t>
        </is>
      </c>
      <c r="B85" s="291" t="n">
        <v>4441000180</v>
      </c>
      <c r="C8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5" s="293">
        <f>INDEX(База[],MATCH(Пневматика_СВОДНАЯ_2026[[#This Row],[Обозначение]],База[Артикул],0),MATCH(D$4,База[#Headers],0))</f>
        <v/>
      </c>
      <c r="E85" s="294">
        <f>INDEX(База[],MATCH(Пневматика_СВОДНАЯ_2026[[#This Row],[Обозначение]],База[Артикул],0),MATCH(E$4,База[#Headers],0))</f>
        <v/>
      </c>
      <c r="F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5" s="296">
        <f>SUM(Пневматика_СВОДНАЯ_2026[[#This Row],[П- 
01]:[П- 
12]])</f>
        <v/>
      </c>
      <c r="S85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5" s="296">
        <f>SUM(Пневматика_СВОДНАЯ_2026[[#This Row],[Ф- 
01]:[Ф- 
12]])</f>
        <v/>
      </c>
      <c r="AG85" s="521">
        <f>IF((Пневматика_СВОДНАЯ_2026[[#This Row],[П- 
2026]]+Пневматика_СВОДНАЯ_2026[[#This Row],[Ф- 
2026]])&gt;0,1,0)</f>
        <v/>
      </c>
      <c r="AH85" s="297">
        <f>Пневматика_СВОДНАЯ_2026[[#This Row],[Прод]]&amp;"_"&amp;Пневматика_СВОДНАЯ_2026[[#This Row],[Обозначение]]</f>
        <v/>
      </c>
    </row>
    <row r="86">
      <c r="A86" s="553" t="inlineStr">
        <is>
          <t>S</t>
        </is>
      </c>
      <c r="B86" s="554" t="n">
        <v>4441000200</v>
      </c>
      <c r="C8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6" s="432">
        <f>INDEX(База[],MATCH(Пневматика_СВОДНАЯ_2026[[#This Row],[Обозначение]],База[Артикул],0),MATCH(D$4,База[#Headers],0))</f>
        <v/>
      </c>
      <c r="E86" s="555">
        <f>INDEX(База[],MATCH(Пневматика_СВОДНАЯ_2026[[#This Row],[Обозначение]],База[Артикул],0),MATCH(E$4,База[#Headers],0))</f>
        <v/>
      </c>
      <c r="F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6" s="288">
        <f>SUM(Пневматика_СВОДНАЯ_2026[[#This Row],[П- 
01]:[П- 
12]])</f>
        <v/>
      </c>
      <c r="S86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6" s="556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6" s="288">
        <f>SUM(Пневматика_СВОДНАЯ_2026[[#This Row],[Ф- 
01]:[Ф- 
12]])</f>
        <v/>
      </c>
      <c r="AG86" s="557">
        <f>IF((Пневматика_СВОДНАЯ_2026[[#This Row],[П- 
2026]]+Пневматика_СВОДНАЯ_2026[[#This Row],[Ф- 
2026]])&gt;0,1,0)</f>
        <v/>
      </c>
      <c r="AH86" s="558">
        <f>Пневматика_СВОДНАЯ_2026[[#This Row],[Прод]]&amp;"_"&amp;Пневматика_СВОДНАЯ_2026[[#This Row],[Обозначение]]</f>
        <v/>
      </c>
    </row>
    <row r="87">
      <c r="A87" s="282" t="inlineStr">
        <is>
          <t>S</t>
        </is>
      </c>
      <c r="B87" s="283" t="n">
        <v>4441000210</v>
      </c>
      <c r="C8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7" s="285">
        <f>INDEX(База[],MATCH(Пневматика_СВОДНАЯ_2026[[#This Row],[Обозначение]],База[Артикул],0),MATCH(D$4,База[#Headers],0))</f>
        <v/>
      </c>
      <c r="E87" s="286">
        <f>INDEX(База[],MATCH(Пневматика_СВОДНАЯ_2026[[#This Row],[Обозначение]],База[Артикул],0),MATCH(E$4,База[#Headers],0))</f>
        <v/>
      </c>
      <c r="F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7" s="288">
        <f>SUM(Пневматика_СВОДНАЯ_2026[[#This Row],[П- 
01]:[П- 
12]])</f>
        <v/>
      </c>
      <c r="S87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7" s="288">
        <f>SUM(Пневматика_СВОДНАЯ_2026[[#This Row],[Ф- 
01]:[Ф- 
12]])</f>
        <v/>
      </c>
      <c r="AG87" s="520">
        <f>IF((Пневматика_СВОДНАЯ_2026[[#This Row],[П- 
2026]]+Пневматика_СВОДНАЯ_2026[[#This Row],[Ф- 
2026]])&gt;0,1,0)</f>
        <v/>
      </c>
      <c r="AH87" s="289">
        <f>Пневматика_СВОДНАЯ_2026[[#This Row],[Прод]]&amp;"_"&amp;Пневматика_СВОДНАЯ_2026[[#This Row],[Обозначение]]</f>
        <v/>
      </c>
    </row>
    <row r="88">
      <c r="A88" s="282" t="inlineStr">
        <is>
          <t>S</t>
        </is>
      </c>
      <c r="B88" s="283" t="n">
        <v>4441000220</v>
      </c>
      <c r="C8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8" s="285">
        <f>INDEX(База[],MATCH(Пневматика_СВОДНАЯ_2026[[#This Row],[Обозначение]],База[Артикул],0),MATCH(D$4,База[#Headers],0))</f>
        <v/>
      </c>
      <c r="E88" s="286">
        <f>INDEX(База[],MATCH(Пневматика_СВОДНАЯ_2026[[#This Row],[Обозначение]],База[Артикул],0),MATCH(E$4,База[#Headers],0))</f>
        <v/>
      </c>
      <c r="F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8" s="437">
        <f>SUM(Пневматика_СВОДНАЯ_2026[[#This Row],[П- 
01]:[П- 
12]])</f>
        <v/>
      </c>
      <c r="S88" s="455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8" s="437">
        <f>SUM(Пневматика_СВОДНАЯ_2026[[#This Row],[Ф- 
01]:[Ф- 
12]])</f>
        <v/>
      </c>
      <c r="AG88" s="520">
        <f>IF((Пневматика_СВОДНАЯ_2026[[#This Row],[П- 
2026]]+Пневматика_СВОДНАЯ_2026[[#This Row],[Ф- 
2026]])&gt;0,1,0)</f>
        <v/>
      </c>
      <c r="AH88" s="289">
        <f>Пневматика_СВОДНАЯ_2026[[#This Row],[Прод]]&amp;"_"&amp;Пневматика_СВОДНАЯ_2026[[#This Row],[Обозначение]]</f>
        <v/>
      </c>
    </row>
    <row r="89">
      <c r="A89" s="282" t="inlineStr">
        <is>
          <t>S</t>
        </is>
      </c>
      <c r="B89" s="283" t="n">
        <v>4441000230</v>
      </c>
      <c r="C8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89" s="285">
        <f>INDEX(База[],MATCH(Пневматика_СВОДНАЯ_2026[[#This Row],[Обозначение]],База[Артикул],0),MATCH(D$4,База[#Headers],0))</f>
        <v/>
      </c>
      <c r="E89" s="286">
        <f>INDEX(База[],MATCH(Пневматика_СВОДНАЯ_2026[[#This Row],[Обозначение]],База[Артикул],0),MATCH(E$4,База[#Headers],0))</f>
        <v/>
      </c>
      <c r="F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89" s="437">
        <f>SUM(Пневматика_СВОДНАЯ_2026[[#This Row],[П- 
01]:[П- 
12]])</f>
        <v/>
      </c>
      <c r="S89" s="455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8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89" s="437">
        <f>SUM(Пневматика_СВОДНАЯ_2026[[#This Row],[Ф- 
01]:[Ф- 
12]])</f>
        <v/>
      </c>
      <c r="AG89" s="520">
        <f>IF((Пневматика_СВОДНАЯ_2026[[#This Row],[П- 
2026]]+Пневматика_СВОДНАЯ_2026[[#This Row],[Ф- 
2026]])&gt;0,1,0)</f>
        <v/>
      </c>
      <c r="AH89" s="289">
        <f>Пневматика_СВОДНАЯ_2026[[#This Row],[Прод]]&amp;"_"&amp;Пневматика_СВОДНАЯ_2026[[#This Row],[Обозначение]]</f>
        <v/>
      </c>
    </row>
    <row r="90">
      <c r="A90" s="282" t="inlineStr">
        <is>
          <t>S</t>
        </is>
      </c>
      <c r="B90" s="283" t="n">
        <v>4441000260</v>
      </c>
      <c r="C9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0" s="285">
        <f>INDEX(База[],MATCH(Пневматика_СВОДНАЯ_2026[[#This Row],[Обозначение]],База[Артикул],0),MATCH(D$4,База[#Headers],0))</f>
        <v/>
      </c>
      <c r="E90" s="286">
        <f>INDEX(База[],MATCH(Пневматика_СВОДНАЯ_2026[[#This Row],[Обозначение]],База[Артикул],0),MATCH(E$4,База[#Headers],0))</f>
        <v/>
      </c>
      <c r="F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0" s="288">
        <f>SUM(Пневматика_СВОДНАЯ_2026[[#This Row],[П- 
01]:[П- 
12]])</f>
        <v/>
      </c>
      <c r="S90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0" s="288">
        <f>SUM(Пневматика_СВОДНАЯ_2026[[#This Row],[Ф- 
01]:[Ф- 
12]])</f>
        <v/>
      </c>
      <c r="AG90" s="520">
        <f>IF((Пневматика_СВОДНАЯ_2026[[#This Row],[П- 
2026]]+Пневматика_СВОДНАЯ_2026[[#This Row],[Ф- 
2026]])&gt;0,1,0)</f>
        <v/>
      </c>
      <c r="AH90" s="289">
        <f>Пневматика_СВОДНАЯ_2026[[#This Row],[Прод]]&amp;"_"&amp;Пневматика_СВОДНАЯ_2026[[#This Row],[Обозначение]]</f>
        <v/>
      </c>
    </row>
    <row r="91">
      <c r="A91" s="282" t="inlineStr">
        <is>
          <t>S</t>
        </is>
      </c>
      <c r="B91" s="283" t="n">
        <v>4441000380</v>
      </c>
      <c r="C9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1" s="285">
        <f>INDEX(База[],MATCH(Пневматика_СВОДНАЯ_2026[[#This Row],[Обозначение]],База[Артикул],0),MATCH(D$4,База[#Headers],0))</f>
        <v/>
      </c>
      <c r="E91" s="286">
        <f>INDEX(База[],MATCH(Пневматика_СВОДНАЯ_2026[[#This Row],[Обозначение]],База[Артикул],0),MATCH(E$4,База[#Headers],0))</f>
        <v/>
      </c>
      <c r="F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1" s="288">
        <f>SUM(Пневматика_СВОДНАЯ_2026[[#This Row],[П- 
01]:[П- 
12]])</f>
        <v/>
      </c>
      <c r="S91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1" s="288">
        <f>SUM(Пневматика_СВОДНАЯ_2026[[#This Row],[Ф- 
01]:[Ф- 
12]])</f>
        <v/>
      </c>
      <c r="AG91" s="520">
        <f>IF((Пневматика_СВОДНАЯ_2026[[#This Row],[П- 
2026]]+Пневматика_СВОДНАЯ_2026[[#This Row],[Ф- 
2026]])&gt;0,1,0)</f>
        <v/>
      </c>
      <c r="AH91" s="289">
        <f>Пневматика_СВОДНАЯ_2026[[#This Row],[Прод]]&amp;"_"&amp;Пневматика_СВОДНАЯ_2026[[#This Row],[Обозначение]]</f>
        <v/>
      </c>
    </row>
    <row r="92">
      <c r="A92" s="282" t="inlineStr">
        <is>
          <t>S</t>
        </is>
      </c>
      <c r="B92" s="283" t="n">
        <v>4441000400</v>
      </c>
      <c r="C9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2" s="285">
        <f>INDEX(База[],MATCH(Пневматика_СВОДНАЯ_2026[[#This Row],[Обозначение]],База[Артикул],0),MATCH(D$4,База[#Headers],0))</f>
        <v/>
      </c>
      <c r="E92" s="286">
        <f>INDEX(База[],MATCH(Пневматика_СВОДНАЯ_2026[[#This Row],[Обозначение]],База[Артикул],0),MATCH(E$4,База[#Headers],0))</f>
        <v/>
      </c>
      <c r="F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2" s="437">
        <f>SUM(Пневматика_СВОДНАЯ_2026[[#This Row],[П- 
01]:[П- 
12]])</f>
        <v/>
      </c>
      <c r="S92" s="455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2" s="437">
        <f>SUM(Пневматика_СВОДНАЯ_2026[[#This Row],[Ф- 
01]:[Ф- 
12]])</f>
        <v/>
      </c>
      <c r="AG92" s="520">
        <f>IF((Пневматика_СВОДНАЯ_2026[[#This Row],[П- 
2026]]+Пневматика_СВОДНАЯ_2026[[#This Row],[Ф- 
2026]])&gt;0,1,0)</f>
        <v/>
      </c>
      <c r="AH92" s="289">
        <f>Пневматика_СВОДНАЯ_2026[[#This Row],[Прод]]&amp;"_"&amp;Пневматика_СВОДНАЯ_2026[[#This Row],[Обозначение]]</f>
        <v/>
      </c>
    </row>
    <row r="93">
      <c r="A93" s="282" t="inlineStr">
        <is>
          <t>S</t>
        </is>
      </c>
      <c r="B93" s="283" t="n">
        <v>4441000410</v>
      </c>
      <c r="C9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3" s="285">
        <f>INDEX(База[],MATCH(Пневматика_СВОДНАЯ_2026[[#This Row],[Обозначение]],База[Артикул],0),MATCH(D$4,База[#Headers],0))</f>
        <v/>
      </c>
      <c r="E93" s="286">
        <f>INDEX(База[],MATCH(Пневматика_СВОДНАЯ_2026[[#This Row],[Обозначение]],База[Артикул],0),MATCH(E$4,База[#Headers],0))</f>
        <v/>
      </c>
      <c r="F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3" s="288">
        <f>SUM(Пневматика_СВОДНАЯ_2026[[#This Row],[П- 
01]:[П- 
12]])</f>
        <v/>
      </c>
      <c r="S93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3" s="288">
        <f>SUM(Пневматика_СВОДНАЯ_2026[[#This Row],[Ф- 
01]:[Ф- 
12]])</f>
        <v/>
      </c>
      <c r="AG93" s="520">
        <f>IF((Пневматика_СВОДНАЯ_2026[[#This Row],[П- 
2026]]+Пневматика_СВОДНАЯ_2026[[#This Row],[Ф- 
2026]])&gt;0,1,0)</f>
        <v/>
      </c>
      <c r="AH93" s="289">
        <f>Пневматика_СВОДНАЯ_2026[[#This Row],[Прод]]&amp;"_"&amp;Пневматика_СВОДНАЯ_2026[[#This Row],[Обозначение]]</f>
        <v/>
      </c>
    </row>
    <row r="94">
      <c r="A94" s="282" t="inlineStr">
        <is>
          <t>S</t>
        </is>
      </c>
      <c r="B94" s="283" t="n">
        <v>4441000440</v>
      </c>
      <c r="C9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4" s="285">
        <f>INDEX(База[],MATCH(Пневматика_СВОДНАЯ_2026[[#This Row],[Обозначение]],База[Артикул],0),MATCH(D$4,База[#Headers],0))</f>
        <v/>
      </c>
      <c r="E94" s="286">
        <f>INDEX(База[],MATCH(Пневматика_СВОДНАЯ_2026[[#This Row],[Обозначение]],База[Артикул],0),MATCH(E$4,База[#Headers],0))</f>
        <v/>
      </c>
      <c r="F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4" s="288">
        <f>SUM(Пневматика_СВОДНАЯ_2026[[#This Row],[П- 
01]:[П- 
12]])</f>
        <v/>
      </c>
      <c r="S94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4" s="288">
        <f>SUM(Пневматика_СВОДНАЯ_2026[[#This Row],[Ф- 
01]:[Ф- 
12]])</f>
        <v/>
      </c>
      <c r="AG94" s="520">
        <f>IF((Пневматика_СВОДНАЯ_2026[[#This Row],[П- 
2026]]+Пневматика_СВОДНАЯ_2026[[#This Row],[Ф- 
2026]])&gt;0,1,0)</f>
        <v/>
      </c>
      <c r="AH94" s="289">
        <f>Пневматика_СВОДНАЯ_2026[[#This Row],[Прод]]&amp;"_"&amp;Пневматика_СВОДНАЯ_2026[[#This Row],[Обозначение]]</f>
        <v/>
      </c>
    </row>
    <row r="95" ht="30" customHeight="1">
      <c r="A95" s="282" t="inlineStr">
        <is>
          <t>S</t>
        </is>
      </c>
      <c r="B95" s="283" t="n">
        <v>4441000450</v>
      </c>
      <c r="C9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5" s="285">
        <f>INDEX(База[],MATCH(Пневматика_СВОДНАЯ_2026[[#This Row],[Обозначение]],База[Артикул],0),MATCH(D$4,База[#Headers],0))</f>
        <v/>
      </c>
      <c r="E95" s="286">
        <f>INDEX(База[],MATCH(Пневматика_СВОДНАЯ_2026[[#This Row],[Обозначение]],База[Артикул],0),MATCH(E$4,База[#Headers],0))</f>
        <v/>
      </c>
      <c r="F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5" s="288">
        <f>SUM(Пневматика_СВОДНАЯ_2026[[#This Row],[П- 
01]:[П- 
12]])</f>
        <v/>
      </c>
      <c r="S95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5" s="288">
        <f>SUM(Пневматика_СВОДНАЯ_2026[[#This Row],[Ф- 
01]:[Ф- 
12]])</f>
        <v/>
      </c>
      <c r="AG95" s="520">
        <f>IF((Пневматика_СВОДНАЯ_2026[[#This Row],[П- 
2026]]+Пневматика_СВОДНАЯ_2026[[#This Row],[Ф- 
2026]])&gt;0,1,0)</f>
        <v/>
      </c>
      <c r="AH95" s="289">
        <f>Пневматика_СВОДНАЯ_2026[[#This Row],[Прод]]&amp;"_"&amp;Пневматика_СВОДНАЯ_2026[[#This Row],[Обозначение]]</f>
        <v/>
      </c>
    </row>
    <row r="96">
      <c r="A96" s="282" t="inlineStr">
        <is>
          <t>S</t>
        </is>
      </c>
      <c r="B96" s="283" t="n">
        <v>4441000500</v>
      </c>
      <c r="C9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6" s="285">
        <f>INDEX(База[],MATCH(Пневматика_СВОДНАЯ_2026[[#This Row],[Обозначение]],База[Артикул],0),MATCH(D$4,База[#Headers],0))</f>
        <v/>
      </c>
      <c r="E96" s="286">
        <f>INDEX(База[],MATCH(Пневматика_СВОДНАЯ_2026[[#This Row],[Обозначение]],База[Артикул],0),MATCH(E$4,База[#Headers],0))</f>
        <v/>
      </c>
      <c r="F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6" s="288">
        <f>SUM(Пневматика_СВОДНАЯ_2026[[#This Row],[П- 
01]:[П- 
12]])</f>
        <v/>
      </c>
      <c r="S96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6" s="288">
        <f>SUM(Пневматика_СВОДНАЯ_2026[[#This Row],[Ф- 
01]:[Ф- 
12]])</f>
        <v/>
      </c>
      <c r="AG96" s="520">
        <f>IF((Пневматика_СВОДНАЯ_2026[[#This Row],[П- 
2026]]+Пневматика_СВОДНАЯ_2026[[#This Row],[Ф- 
2026]])&gt;0,1,0)</f>
        <v/>
      </c>
      <c r="AH96" s="289">
        <f>Пневматика_СВОДНАЯ_2026[[#This Row],[Прод]]&amp;"_"&amp;Пневматика_СВОДНАЯ_2026[[#This Row],[Обозначение]]</f>
        <v/>
      </c>
    </row>
    <row r="97">
      <c r="A97" s="282" t="inlineStr">
        <is>
          <t>S</t>
        </is>
      </c>
      <c r="B97" s="283" t="n">
        <v>4441000530</v>
      </c>
      <c r="C9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7" s="285">
        <f>INDEX(База[],MATCH(Пневматика_СВОДНАЯ_2026[[#This Row],[Обозначение]],База[Артикул],0),MATCH(D$4,База[#Headers],0))</f>
        <v/>
      </c>
      <c r="E97" s="286">
        <f>INDEX(База[],MATCH(Пневматика_СВОДНАЯ_2026[[#This Row],[Обозначение]],База[Артикул],0),MATCH(E$4,База[#Headers],0))</f>
        <v/>
      </c>
      <c r="F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7" s="288">
        <f>SUM(Пневматика_СВОДНАЯ_2026[[#This Row],[П- 
01]:[П- 
12]])</f>
        <v/>
      </c>
      <c r="S97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7" s="288">
        <f>SUM(Пневматика_СВОДНАЯ_2026[[#This Row],[Ф- 
01]:[Ф- 
12]])</f>
        <v/>
      </c>
      <c r="AG97" s="520">
        <f>IF((Пневматика_СВОДНАЯ_2026[[#This Row],[П- 
2026]]+Пневматика_СВОДНАЯ_2026[[#This Row],[Ф- 
2026]])&gt;0,1,0)</f>
        <v/>
      </c>
      <c r="AH97" s="289">
        <f>Пневматика_СВОДНАЯ_2026[[#This Row],[Прод]]&amp;"_"&amp;Пневматика_СВОДНАЯ_2026[[#This Row],[Обозначение]]</f>
        <v/>
      </c>
    </row>
    <row r="98">
      <c r="A98" s="282" t="inlineStr">
        <is>
          <t>S</t>
        </is>
      </c>
      <c r="B98" s="283" t="n">
        <v>4441000590</v>
      </c>
      <c r="C9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8" s="285">
        <f>INDEX(База[],MATCH(Пневматика_СВОДНАЯ_2026[[#This Row],[Обозначение]],База[Артикул],0),MATCH(D$4,База[#Headers],0))</f>
        <v/>
      </c>
      <c r="E98" s="286">
        <f>INDEX(База[],MATCH(Пневматика_СВОДНАЯ_2026[[#This Row],[Обозначение]],База[Артикул],0),MATCH(E$4,База[#Headers],0))</f>
        <v/>
      </c>
      <c r="F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8" s="288">
        <f>SUM(Пневматика_СВОДНАЯ_2026[[#This Row],[П- 
01]:[П- 
12]])</f>
        <v/>
      </c>
      <c r="S98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8" s="288">
        <f>SUM(Пневматика_СВОДНАЯ_2026[[#This Row],[Ф- 
01]:[Ф- 
12]])</f>
        <v/>
      </c>
      <c r="AG98" s="520">
        <f>IF((Пневматика_СВОДНАЯ_2026[[#This Row],[П- 
2026]]+Пневматика_СВОДНАЯ_2026[[#This Row],[Ф- 
2026]])&gt;0,1,0)</f>
        <v/>
      </c>
      <c r="AH98" s="289">
        <f>Пневматика_СВОДНАЯ_2026[[#This Row],[Прод]]&amp;"_"&amp;Пневматика_СВОДНАЯ_2026[[#This Row],[Обозначение]]</f>
        <v/>
      </c>
    </row>
    <row r="99">
      <c r="A99" s="282" t="inlineStr">
        <is>
          <t>S</t>
        </is>
      </c>
      <c r="B99" s="283" t="n">
        <v>4441000600</v>
      </c>
      <c r="C9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99" s="285">
        <f>INDEX(База[],MATCH(Пневматика_СВОДНАЯ_2026[[#This Row],[Обозначение]],База[Артикул],0),MATCH(D$4,База[#Headers],0))</f>
        <v/>
      </c>
      <c r="E99" s="286">
        <f>INDEX(База[],MATCH(Пневматика_СВОДНАЯ_2026[[#This Row],[Обозначение]],База[Артикул],0),MATCH(E$4,База[#Headers],0))</f>
        <v/>
      </c>
      <c r="F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99" s="288">
        <f>SUM(Пневматика_СВОДНАЯ_2026[[#This Row],[П- 
01]:[П- 
12]])</f>
        <v/>
      </c>
      <c r="S99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9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99" s="288">
        <f>SUM(Пневматика_СВОДНАЯ_2026[[#This Row],[Ф- 
01]:[Ф- 
12]])</f>
        <v/>
      </c>
      <c r="AG99" s="520">
        <f>IF((Пневматика_СВОДНАЯ_2026[[#This Row],[П- 
2026]]+Пневматика_СВОДНАЯ_2026[[#This Row],[Ф- 
2026]])&gt;0,1,0)</f>
        <v/>
      </c>
      <c r="AH99" s="289">
        <f>Пневматика_СВОДНАЯ_2026[[#This Row],[Прод]]&amp;"_"&amp;Пневматика_СВОДНАЯ_2026[[#This Row],[Обозначение]]</f>
        <v/>
      </c>
    </row>
    <row r="100" ht="28.8" customHeight="1">
      <c r="A100" s="282" t="inlineStr">
        <is>
          <t>S</t>
        </is>
      </c>
      <c r="B100" s="283" t="inlineStr">
        <is>
          <t>4006061140К1.</t>
        </is>
      </c>
      <c r="C10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0" s="285">
        <f>INDEX(База[],MATCH(Пневматика_СВОДНАЯ_2026[[#This Row],[Обозначение]],База[Артикул],0),MATCH(D$4,База[#Headers],0))</f>
        <v/>
      </c>
      <c r="E100" s="286">
        <f>INDEX(База[],MATCH(Пневматика_СВОДНАЯ_2026[[#This Row],[Обозначение]],База[Артикул],0),MATCH(E$4,База[#Headers],0))</f>
        <v/>
      </c>
      <c r="F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0" s="288">
        <f>SUM(Пневматика_СВОДНАЯ_2026[[#This Row],[П- 
01]:[П- 
12]])</f>
        <v/>
      </c>
      <c r="S100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0" s="288">
        <f>SUM(Пневматика_СВОДНАЯ_2026[[#This Row],[Ф- 
01]:[Ф- 
12]])</f>
        <v/>
      </c>
      <c r="AG100" s="520">
        <f>IF((Пневматика_СВОДНАЯ_2026[[#This Row],[П- 
2026]]+Пневматика_СВОДНАЯ_2026[[#This Row],[Ф- 
2026]])&gt;0,1,0)</f>
        <v/>
      </c>
      <c r="AH100" s="289">
        <f>Пневматика_СВОДНАЯ_2026[[#This Row],[Прод]]&amp;"_"&amp;Пневматика_СВОДНАЯ_2026[[#This Row],[Обозначение]]</f>
        <v/>
      </c>
    </row>
    <row r="101">
      <c r="A101" s="282" t="inlineStr">
        <is>
          <t>S</t>
        </is>
      </c>
      <c r="B101" s="283" t="inlineStr">
        <is>
          <t>4006061140К3</t>
        </is>
      </c>
      <c r="C10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1" s="285">
        <f>INDEX(База[],MATCH(Пневматика_СВОДНАЯ_2026[[#This Row],[Обозначение]],База[Артикул],0),MATCH(D$4,База[#Headers],0))</f>
        <v/>
      </c>
      <c r="E101" s="286">
        <f>INDEX(База[],MATCH(Пневматика_СВОДНАЯ_2026[[#This Row],[Обозначение]],База[Артикул],0),MATCH(E$4,База[#Headers],0))</f>
        <v/>
      </c>
      <c r="F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1" s="288">
        <f>SUM(Пневматика_СВОДНАЯ_2026[[#This Row],[П- 
01]:[П- 
12]])</f>
        <v/>
      </c>
      <c r="S101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1" s="288">
        <f>SUM(Пневматика_СВОДНАЯ_2026[[#This Row],[Ф- 
01]:[Ф- 
12]])</f>
        <v/>
      </c>
      <c r="AG101" s="520">
        <f>IF((Пневматика_СВОДНАЯ_2026[[#This Row],[П- 
2026]]+Пневматика_СВОДНАЯ_2026[[#This Row],[Ф- 
2026]])&gt;0,1,0)</f>
        <v/>
      </c>
      <c r="AH101" s="289">
        <f>Пневматика_СВОДНАЯ_2026[[#This Row],[Прод]]&amp;"_"&amp;Пневматика_СВОДНАЯ_2026[[#This Row],[Обозначение]]</f>
        <v/>
      </c>
    </row>
    <row r="102" ht="43.2" customHeight="1">
      <c r="A102" s="282" t="n">
        <v>1</v>
      </c>
      <c r="B102" s="301" t="n">
        <v>4006043290</v>
      </c>
      <c r="C102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2" s="285">
        <f>INDEX(База[],MATCH(Пневматика_СВОДНАЯ_2026[[#This Row],[Обозначение]],База[Артикул],0),MATCH(D$4,База[#Headers],0))</f>
        <v/>
      </c>
      <c r="E102" s="304">
        <f>INDEX(База[],MATCH(Пневматика_СВОДНАЯ_2026[[#This Row],[Обозначение]],База[Артикул],0),MATCH(E$4,База[#Headers],0))</f>
        <v/>
      </c>
      <c r="F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2" s="288">
        <f>SUM(Пневматика_СВОДНАЯ_2026[[#This Row],[П- 
01]:[П- 
12]])</f>
        <v/>
      </c>
      <c r="S102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2" s="288">
        <f>SUM(Пневматика_СВОДНАЯ_2026[[#This Row],[Ф- 
01]:[Ф- 
12]])</f>
        <v/>
      </c>
      <c r="AG102" s="520">
        <f>IF((Пневматика_СВОДНАЯ_2026[[#This Row],[П- 
2026]]+Пневматика_СВОДНАЯ_2026[[#This Row],[Ф- 
2026]])&gt;0,1,0)</f>
        <v/>
      </c>
      <c r="AH102" s="300">
        <f>Пневматика_СВОДНАЯ_2026[[#This Row],[Прод]]&amp;"_"&amp;Пневматика_СВОДНАЯ_2026[[#This Row],[Обозначение]]</f>
        <v/>
      </c>
    </row>
    <row r="103" ht="28.8" customHeight="1">
      <c r="A103" s="282" t="n">
        <v>1</v>
      </c>
      <c r="B103" s="283" t="n">
        <v>4006043300</v>
      </c>
      <c r="C10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3" s="285">
        <f>INDEX(База[],MATCH(Пневматика_СВОДНАЯ_2026[[#This Row],[Обозначение]],База[Артикул],0),MATCH(D$4,База[#Headers],0))</f>
        <v/>
      </c>
      <c r="E103" s="286">
        <f>INDEX(База[],MATCH(Пневматика_СВОДНАЯ_2026[[#This Row],[Обозначение]],База[Артикул],0),MATCH(E$4,База[#Headers],0))</f>
        <v/>
      </c>
      <c r="F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3" s="288">
        <f>SUM(Пневматика_СВОДНАЯ_2026[[#This Row],[П- 
01]:[П- 
12]])</f>
        <v/>
      </c>
      <c r="S103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3" s="288">
        <f>SUM(Пневматика_СВОДНАЯ_2026[[#This Row],[Ф- 
01]:[Ф- 
12]])</f>
        <v/>
      </c>
      <c r="AG103" s="520">
        <f>IF((Пневматика_СВОДНАЯ_2026[[#This Row],[П- 
2026]]+Пневматика_СВОДНАЯ_2026[[#This Row],[Ф- 
2026]])&gt;0,1,0)</f>
        <v/>
      </c>
      <c r="AH103" s="300">
        <f>Пневматика_СВОДНАЯ_2026[[#This Row],[Прод]]&amp;"_"&amp;Пневматика_СВОДНАЯ_2026[[#This Row],[Обозначение]]</f>
        <v/>
      </c>
    </row>
    <row r="104">
      <c r="A104" s="282" t="n">
        <v>1</v>
      </c>
      <c r="B104" s="283" t="n">
        <v>4231069000</v>
      </c>
      <c r="C10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4" s="285">
        <f>INDEX(База[],MATCH(Пневматика_СВОДНАЯ_2026[[#This Row],[Обозначение]],База[Артикул],0),MATCH(D$4,База[#Headers],0))</f>
        <v/>
      </c>
      <c r="E104" s="286">
        <f>INDEX(База[],MATCH(Пневматика_СВОДНАЯ_2026[[#This Row],[Обозначение]],База[Артикул],0),MATCH(E$4,База[#Headers],0))</f>
        <v/>
      </c>
      <c r="F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4" s="288">
        <f>SUM(Пневматика_СВОДНАЯ_2026[[#This Row],[П- 
01]:[П- 
12]])</f>
        <v/>
      </c>
      <c r="S104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4" s="288">
        <f>SUM(Пневматика_СВОДНАЯ_2026[[#This Row],[Ф- 
01]:[Ф- 
12]])</f>
        <v/>
      </c>
      <c r="AG104" s="520">
        <f>IF((Пневматика_СВОДНАЯ_2026[[#This Row],[П- 
2026]]+Пневматика_СВОДНАЯ_2026[[#This Row],[Ф- 
2026]])&gt;0,1,0)</f>
        <v/>
      </c>
      <c r="AH104" s="289">
        <f>Пневматика_СВОДНАЯ_2026[[#This Row],[Прод]]&amp;"_"&amp;Пневматика_СВОДНАЯ_2026[[#This Row],[Обозначение]]</f>
        <v/>
      </c>
    </row>
    <row r="105">
      <c r="A105" s="282" t="n">
        <v>1</v>
      </c>
      <c r="B105" s="301" t="n">
        <v>4460087000</v>
      </c>
      <c r="C105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5" s="285">
        <f>INDEX(База[],MATCH(Пневматика_СВОДНАЯ_2026[[#This Row],[Обозначение]],База[Артикул],0),MATCH(D$4,База[#Headers],0))</f>
        <v/>
      </c>
      <c r="E105" s="304">
        <f>INDEX(База[],MATCH(Пневматика_СВОДНАЯ_2026[[#This Row],[Обозначение]],База[Артикул],0),MATCH(E$4,База[#Headers],0))</f>
        <v/>
      </c>
      <c r="F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5" s="288">
        <f>SUM(Пневматика_СВОДНАЯ_2026[[#This Row],[П- 
01]:[П- 
12]])</f>
        <v/>
      </c>
      <c r="S105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5" s="288">
        <f>SUM(Пневматика_СВОДНАЯ_2026[[#This Row],[Ф- 
01]:[Ф- 
12]])</f>
        <v/>
      </c>
      <c r="AG105" s="520">
        <f>IF((Пневматика_СВОДНАЯ_2026[[#This Row],[П- 
2026]]+Пневматика_СВОДНАЯ_2026[[#This Row],[Ф- 
2026]])&gt;0,1,0)</f>
        <v/>
      </c>
      <c r="AH105" s="300">
        <f>Пневматика_СВОДНАЯ_2026[[#This Row],[Прод]]&amp;"_"&amp;Пневматика_СВОДНАЯ_2026[[#This Row],[Обозначение]]</f>
        <v/>
      </c>
    </row>
    <row r="106">
      <c r="A106" s="282" t="n">
        <v>1</v>
      </c>
      <c r="B106" s="283" t="n">
        <v>4491731800</v>
      </c>
      <c r="C10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6" s="285">
        <f>INDEX(База[],MATCH(Пневматика_СВОДНАЯ_2026[[#This Row],[Обозначение]],База[Артикул],0),MATCH(D$4,База[#Headers],0))</f>
        <v/>
      </c>
      <c r="E106" s="286">
        <f>INDEX(База[],MATCH(Пневматика_СВОДНАЯ_2026[[#This Row],[Обозначение]],База[Артикул],0),MATCH(E$4,База[#Headers],0))</f>
        <v/>
      </c>
      <c r="F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6" s="288">
        <f>SUM(Пневматика_СВОДНАЯ_2026[[#This Row],[П- 
01]:[П- 
12]])</f>
        <v/>
      </c>
      <c r="S106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6" s="288">
        <f>SUM(Пневматика_СВОДНАЯ_2026[[#This Row],[Ф- 
01]:[Ф- 
12]])</f>
        <v/>
      </c>
      <c r="AG106" s="520">
        <f>IF((Пневматика_СВОДНАЯ_2026[[#This Row],[П- 
2026]]+Пневматика_СВОДНАЯ_2026[[#This Row],[Ф- 
2026]])&gt;0,1,0)</f>
        <v/>
      </c>
      <c r="AH106" s="289">
        <f>Пневматика_СВОДНАЯ_2026[[#This Row],[Прод]]&amp;"_"&amp;Пневматика_СВОДНАЯ_2026[[#This Row],[Обозначение]]</f>
        <v/>
      </c>
    </row>
    <row r="107">
      <c r="A107" s="282" t="n">
        <v>1</v>
      </c>
      <c r="B107" s="283" t="n">
        <v>4494301200</v>
      </c>
      <c r="C10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7" s="285">
        <f>INDEX(База[],MATCH(Пневматика_СВОДНАЯ_2026[[#This Row],[Обозначение]],База[Артикул],0),MATCH(D$4,База[#Headers],0))</f>
        <v/>
      </c>
      <c r="E107" s="286">
        <f>INDEX(База[],MATCH(Пневматика_СВОДНАЯ_2026[[#This Row],[Обозначение]],База[Артикул],0),MATCH(E$4,База[#Headers],0))</f>
        <v/>
      </c>
      <c r="F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7" s="437">
        <f>SUM(Пневматика_СВОДНАЯ_2026[[#This Row],[П- 
01]:[П- 
12]])</f>
        <v/>
      </c>
      <c r="S107" s="455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7" s="437">
        <f>SUM(Пневматика_СВОДНАЯ_2026[[#This Row],[Ф- 
01]:[Ф- 
12]])</f>
        <v/>
      </c>
      <c r="AG107" s="520">
        <f>IF((Пневматика_СВОДНАЯ_2026[[#This Row],[П- 
2026]]+Пневматика_СВОДНАЯ_2026[[#This Row],[Ф- 
2026]])&gt;0,1,0)</f>
        <v/>
      </c>
      <c r="AH107" s="289">
        <f>Пневматика_СВОДНАЯ_2026[[#This Row],[Прод]]&amp;"_"&amp;Пневматика_СВОДНАЯ_2026[[#This Row],[Обозначение]]</f>
        <v/>
      </c>
    </row>
    <row r="108">
      <c r="A108" s="282" t="n">
        <v>1</v>
      </c>
      <c r="B108" s="283" t="n">
        <v>4497230300</v>
      </c>
      <c r="C10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8" s="285">
        <f>INDEX(База[],MATCH(Пневматика_СВОДНАЯ_2026[[#This Row],[Обозначение]],База[Артикул],0),MATCH(D$4,База[#Headers],0))</f>
        <v/>
      </c>
      <c r="E108" s="286">
        <f>INDEX(База[],MATCH(Пневматика_СВОДНАЯ_2026[[#This Row],[Обозначение]],База[Артикул],0),MATCH(E$4,База[#Headers],0))</f>
        <v/>
      </c>
      <c r="F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8" s="437">
        <f>SUM(Пневматика_СВОДНАЯ_2026[[#This Row],[П- 
01]:[П- 
12]])</f>
        <v/>
      </c>
      <c r="S108" s="455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8" s="437">
        <f>SUM(Пневматика_СВОДНАЯ_2026[[#This Row],[Ф- 
01]:[Ф- 
12]])</f>
        <v/>
      </c>
      <c r="AG108" s="520">
        <f>IF((Пневматика_СВОДНАЯ_2026[[#This Row],[П- 
2026]]+Пневматика_СВОДНАЯ_2026[[#This Row],[Ф- 
2026]])&gt;0,1,0)</f>
        <v/>
      </c>
      <c r="AH108" s="289">
        <f>Пневматика_СВОДНАЯ_2026[[#This Row],[Прод]]&amp;"_"&amp;Пневматика_СВОДНАЯ_2026[[#This Row],[Обозначение]]</f>
        <v/>
      </c>
    </row>
    <row r="109">
      <c r="A109" s="282" t="n">
        <v>1</v>
      </c>
      <c r="B109" s="283" t="n">
        <v>4497230400</v>
      </c>
      <c r="C10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09" s="285">
        <f>INDEX(База[],MATCH(Пневматика_СВОДНАЯ_2026[[#This Row],[Обозначение]],База[Артикул],0),MATCH(D$4,База[#Headers],0))</f>
        <v/>
      </c>
      <c r="E109" s="286">
        <f>INDEX(База[],MATCH(Пневматика_СВОДНАЯ_2026[[#This Row],[Обозначение]],База[Артикул],0),MATCH(E$4,База[#Headers],0))</f>
        <v/>
      </c>
      <c r="F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09" s="288">
        <f>SUM(Пневматика_СВОДНАЯ_2026[[#This Row],[П- 
01]:[П- 
12]])</f>
        <v/>
      </c>
      <c r="S109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0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09" s="288">
        <f>SUM(Пневматика_СВОДНАЯ_2026[[#This Row],[Ф- 
01]:[Ф- 
12]])</f>
        <v/>
      </c>
      <c r="AG109" s="520">
        <f>IF((Пневматика_СВОДНАЯ_2026[[#This Row],[П- 
2026]]+Пневматика_СВОДНАЯ_2026[[#This Row],[Ф- 
2026]])&gt;0,1,0)</f>
        <v/>
      </c>
      <c r="AH109" s="289">
        <f>Пневматика_СВОДНАЯ_2026[[#This Row],[Прод]]&amp;"_"&amp;Пневматика_СВОДНАЯ_2026[[#This Row],[Обозначение]]</f>
        <v/>
      </c>
    </row>
    <row r="110">
      <c r="A110" s="282" t="n">
        <v>1</v>
      </c>
      <c r="B110" s="301" t="n">
        <v>4527110560</v>
      </c>
      <c r="C110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0" s="285">
        <f>INDEX(База[],MATCH(Пневматика_СВОДНАЯ_2026[[#This Row],[Обозначение]],База[Артикул],0),MATCH(D$4,База[#Headers],0))</f>
        <v/>
      </c>
      <c r="E110" s="304">
        <f>INDEX(База[],MATCH(Пневматика_СВОДНАЯ_2026[[#This Row],[Обозначение]],База[Артикул],0),MATCH(E$4,База[#Headers],0))</f>
        <v/>
      </c>
      <c r="F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0" s="288">
        <f>SUM(Пневматика_СВОДНАЯ_2026[[#This Row],[П- 
01]:[П- 
12]])</f>
        <v/>
      </c>
      <c r="S110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0" s="288">
        <f>SUM(Пневматика_СВОДНАЯ_2026[[#This Row],[Ф- 
01]:[Ф- 
12]])</f>
        <v/>
      </c>
      <c r="AG110" s="520">
        <f>IF((Пневматика_СВОДНАЯ_2026[[#This Row],[П- 
2026]]+Пневматика_СВОДНАЯ_2026[[#This Row],[Ф- 
2026]])&gt;0,1,0)</f>
        <v/>
      </c>
      <c r="AH110" s="300">
        <f>Пневматика_СВОДНАЯ_2026[[#This Row],[Прод]]&amp;"_"&amp;Пневматика_СВОДНАЯ_2026[[#This Row],[Обозначение]]</f>
        <v/>
      </c>
    </row>
    <row r="111">
      <c r="A111" s="282" t="n">
        <v>1</v>
      </c>
      <c r="B111" s="301" t="n">
        <v>4527110570</v>
      </c>
      <c r="C111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1" s="285">
        <f>INDEX(База[],MATCH(Пневматика_СВОДНАЯ_2026[[#This Row],[Обозначение]],База[Артикул],0),MATCH(D$4,База[#Headers],0))</f>
        <v/>
      </c>
      <c r="E111" s="304">
        <f>INDEX(База[],MATCH(Пневматика_СВОДНАЯ_2026[[#This Row],[Обозначение]],База[Артикул],0),MATCH(E$4,База[#Headers],0))</f>
        <v/>
      </c>
      <c r="F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1" s="288">
        <f>SUM(Пневматика_СВОДНАЯ_2026[[#This Row],[П- 
01]:[П- 
12]])</f>
        <v/>
      </c>
      <c r="S111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1" s="288">
        <f>SUM(Пневматика_СВОДНАЯ_2026[[#This Row],[Ф- 
01]:[Ф- 
12]])</f>
        <v/>
      </c>
      <c r="AG111" s="520">
        <f>IF((Пневматика_СВОДНАЯ_2026[[#This Row],[П- 
2026]]+Пневматика_СВОДНАЯ_2026[[#This Row],[Ф- 
2026]])&gt;0,1,0)</f>
        <v/>
      </c>
      <c r="AH111" s="300">
        <f>Пневматика_СВОДНАЯ_2026[[#This Row],[Прод]]&amp;"_"&amp;Пневматика_СВОДНАЯ_2026[[#This Row],[Обозначение]]</f>
        <v/>
      </c>
    </row>
    <row r="112">
      <c r="A112" s="282" t="n">
        <v>1</v>
      </c>
      <c r="B112" s="283" t="n">
        <v>4802070010</v>
      </c>
      <c r="C11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2" s="285">
        <f>INDEX(База[],MATCH(Пневматика_СВОДНАЯ_2026[[#This Row],[Обозначение]],База[Артикул],0),MATCH(D$4,База[#Headers],0))</f>
        <v/>
      </c>
      <c r="E112" s="286">
        <f>INDEX(База[],MATCH(Пневматика_СВОДНАЯ_2026[[#This Row],[Обозначение]],База[Артикул],0),MATCH(E$4,База[#Headers],0))</f>
        <v/>
      </c>
      <c r="F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2" s="288">
        <f>SUM(Пневматика_СВОДНАЯ_2026[[#This Row],[П- 
01]:[П- 
12]])</f>
        <v/>
      </c>
      <c r="S112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2" s="288">
        <f>SUM(Пневматика_СВОДНАЯ_2026[[#This Row],[Ф- 
01]:[Ф- 
12]])</f>
        <v/>
      </c>
      <c r="AG112" s="520">
        <f>IF((Пневматика_СВОДНАЯ_2026[[#This Row],[П- 
2026]]+Пневматика_СВОДНАЯ_2026[[#This Row],[Ф- 
2026]])&gt;0,1,0)</f>
        <v/>
      </c>
      <c r="AH112" s="300">
        <f>Пневматика_СВОДНАЯ_2026[[#This Row],[Прод]]&amp;"_"&amp;Пневматика_СВОДНАЯ_2026[[#This Row],[Обозначение]]</f>
        <v/>
      </c>
    </row>
    <row r="113">
      <c r="A113" s="282" t="n">
        <v>1</v>
      </c>
      <c r="B113" s="283" t="inlineStr">
        <is>
          <t>PRO0320200</t>
        </is>
      </c>
      <c r="C11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3" s="285">
        <f>INDEX(База[],MATCH(Пневматика_СВОДНАЯ_2026[[#This Row],[Обозначение]],База[Артикул],0),MATCH(D$4,База[#Headers],0))</f>
        <v/>
      </c>
      <c r="E113" s="286">
        <f>INDEX(База[],MATCH(Пневматика_СВОДНАЯ_2026[[#This Row],[Обозначение]],База[Артикул],0),MATCH(E$4,База[#Headers],0))</f>
        <v/>
      </c>
      <c r="F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3" s="288">
        <f>SUM(Пневматика_СВОДНАЯ_2026[[#This Row],[П- 
01]:[П- 
12]])</f>
        <v/>
      </c>
      <c r="S113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3" s="288">
        <f>SUM(Пневматика_СВОДНАЯ_2026[[#This Row],[Ф- 
01]:[Ф- 
12]])</f>
        <v/>
      </c>
      <c r="AG113" s="520">
        <f>IF((Пневматика_СВОДНАЯ_2026[[#This Row],[П- 
2026]]+Пневматика_СВОДНАЯ_2026[[#This Row],[Ф- 
2026]])&gt;0,1,0)</f>
        <v/>
      </c>
      <c r="AH113" s="289">
        <f>Пневматика_СВОДНАЯ_2026[[#This Row],[Прод]]&amp;"_"&amp;Пневматика_СВОДНАЯ_2026[[#This Row],[Обозначение]]</f>
        <v/>
      </c>
    </row>
    <row r="114">
      <c r="A114" s="282" t="n">
        <v>2</v>
      </c>
      <c r="B114" s="283" t="n">
        <v>4341000270</v>
      </c>
      <c r="C11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4" s="285">
        <f>INDEX(База[],MATCH(Пневматика_СВОДНАЯ_2026[[#This Row],[Обозначение]],База[Артикул],0),MATCH(D$4,База[#Headers],0))</f>
        <v/>
      </c>
      <c r="E114" s="286">
        <f>INDEX(База[],MATCH(Пневматика_СВОДНАЯ_2026[[#This Row],[Обозначение]],База[Артикул],0),MATCH(E$4,База[#Headers],0))</f>
        <v/>
      </c>
      <c r="F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4" s="288">
        <f>SUM(Пневматика_СВОДНАЯ_2026[[#This Row],[П- 
01]:[П- 
12]])</f>
        <v/>
      </c>
      <c r="S114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4" s="288">
        <f>SUM(Пневматика_СВОДНАЯ_2026[[#This Row],[Ф- 
01]:[Ф- 
12]])</f>
        <v/>
      </c>
      <c r="AG114" s="520">
        <f>IF((Пневматика_СВОДНАЯ_2026[[#This Row],[П- 
2026]]+Пневматика_СВОДНАЯ_2026[[#This Row],[Ф- 
2026]])&gt;0,1,0)</f>
        <v/>
      </c>
      <c r="AH114" s="289">
        <f>Пневматика_СВОДНАЯ_2026[[#This Row],[Прод]]&amp;"_"&amp;Пневматика_СВОДНАЯ_2026[[#This Row],[Обозначение]]</f>
        <v/>
      </c>
    </row>
    <row r="115">
      <c r="A115" s="282" t="n">
        <v>2</v>
      </c>
      <c r="B115" s="283" t="n">
        <v>4462907000</v>
      </c>
      <c r="C11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5" s="285">
        <f>INDEX(База[],MATCH(Пневматика_СВОДНАЯ_2026[[#This Row],[Обозначение]],База[Артикул],0),MATCH(D$4,База[#Headers],0))</f>
        <v/>
      </c>
      <c r="E115" s="286">
        <f>INDEX(База[],MATCH(Пневматика_СВОДНАЯ_2026[[#This Row],[Обозначение]],База[Артикул],0),MATCH(E$4,База[#Headers],0))</f>
        <v/>
      </c>
      <c r="F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5" s="288">
        <f>SUM(Пневматика_СВОДНАЯ_2026[[#This Row],[П- 
01]:[П- 
12]])</f>
        <v/>
      </c>
      <c r="S115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5" s="288">
        <f>SUM(Пневматика_СВОДНАЯ_2026[[#This Row],[Ф- 
01]:[Ф- 
12]])</f>
        <v/>
      </c>
      <c r="AG115" s="520">
        <f>IF((Пневматика_СВОДНАЯ_2026[[#This Row],[П- 
2026]]+Пневматика_СВОДНАЯ_2026[[#This Row],[Ф- 
2026]])&gt;0,1,0)</f>
        <v/>
      </c>
      <c r="AH115" s="289">
        <f>Пневматика_СВОДНАЯ_2026[[#This Row],[Прод]]&amp;"_"&amp;Пневматика_СВОДНАЯ_2026[[#This Row],[Обозначение]]</f>
        <v/>
      </c>
    </row>
    <row r="116">
      <c r="A116" s="282" t="n">
        <v>2</v>
      </c>
      <c r="B116" s="283" t="n">
        <v>4491350250</v>
      </c>
      <c r="C11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6" s="285">
        <f>INDEX(База[],MATCH(Пневматика_СВОДНАЯ_2026[[#This Row],[Обозначение]],База[Артикул],0),MATCH(D$4,База[#Headers],0))</f>
        <v/>
      </c>
      <c r="E116" s="286">
        <f>INDEX(База[],MATCH(Пневматика_СВОДНАЯ_2026[[#This Row],[Обозначение]],База[Артикул],0),MATCH(E$4,База[#Headers],0))</f>
        <v/>
      </c>
      <c r="F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6" s="288">
        <f>SUM(Пневматика_СВОДНАЯ_2026[[#This Row],[П- 
01]:[П- 
12]])</f>
        <v/>
      </c>
      <c r="S116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6" s="288">
        <f>SUM(Пневматика_СВОДНАЯ_2026[[#This Row],[Ф- 
01]:[Ф- 
12]])</f>
        <v/>
      </c>
      <c r="AG116" s="520">
        <f>IF((Пневматика_СВОДНАЯ_2026[[#This Row],[П- 
2026]]+Пневматика_СВОДНАЯ_2026[[#This Row],[Ф- 
2026]])&gt;0,1,0)</f>
        <v/>
      </c>
      <c r="AH116" s="289">
        <f>Пневматика_СВОДНАЯ_2026[[#This Row],[Прод]]&amp;"_"&amp;Пневматика_СВОДНАЯ_2026[[#This Row],[Обозначение]]</f>
        <v/>
      </c>
    </row>
    <row r="117">
      <c r="A117" s="282" t="n">
        <v>2</v>
      </c>
      <c r="B117" s="283" t="n">
        <v>4491351400</v>
      </c>
      <c r="C11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7" s="285">
        <f>INDEX(База[],MATCH(Пневматика_СВОДНАЯ_2026[[#This Row],[Обозначение]],База[Артикул],0),MATCH(D$4,База[#Headers],0))</f>
        <v/>
      </c>
      <c r="E117" s="286">
        <f>INDEX(База[],MATCH(Пневматика_СВОДНАЯ_2026[[#This Row],[Обозначение]],База[Артикул],0),MATCH(E$4,База[#Headers],0))</f>
        <v/>
      </c>
      <c r="F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7" s="288">
        <f>SUM(Пневматика_СВОДНАЯ_2026[[#This Row],[П- 
01]:[П- 
12]])</f>
        <v/>
      </c>
      <c r="S117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7" s="288">
        <f>SUM(Пневматика_СВОДНАЯ_2026[[#This Row],[Ф- 
01]:[Ф- 
12]])</f>
        <v/>
      </c>
      <c r="AG117" s="520">
        <f>IF((Пневматика_СВОДНАЯ_2026[[#This Row],[П- 
2026]]+Пневматика_СВОДНАЯ_2026[[#This Row],[Ф- 
2026]])&gt;0,1,0)</f>
        <v/>
      </c>
      <c r="AH117" s="289">
        <f>Пневматика_СВОДНАЯ_2026[[#This Row],[Прод]]&amp;"_"&amp;Пневматика_СВОДНАЯ_2026[[#This Row],[Обозначение]]</f>
        <v/>
      </c>
    </row>
    <row r="118">
      <c r="A118" s="282" t="n">
        <v>2</v>
      </c>
      <c r="B118" s="283" t="n">
        <v>4492251200</v>
      </c>
      <c r="C11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8" s="285">
        <f>INDEX(База[],MATCH(Пневматика_СВОДНАЯ_2026[[#This Row],[Обозначение]],База[Артикул],0),MATCH(D$4,База[#Headers],0))</f>
        <v/>
      </c>
      <c r="E118" s="286">
        <f>INDEX(База[],MATCH(Пневматика_СВОДНАЯ_2026[[#This Row],[Обозначение]],База[Артикул],0),MATCH(E$4,База[#Headers],0))</f>
        <v/>
      </c>
      <c r="F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8" s="288">
        <f>SUM(Пневматика_СВОДНАЯ_2026[[#This Row],[П- 
01]:[П- 
12]])</f>
        <v/>
      </c>
      <c r="S118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8" s="288">
        <f>SUM(Пневматика_СВОДНАЯ_2026[[#This Row],[Ф- 
01]:[Ф- 
12]])</f>
        <v/>
      </c>
      <c r="AG118" s="520">
        <f>IF((Пневматика_СВОДНАЯ_2026[[#This Row],[П- 
2026]]+Пневматика_СВОДНАЯ_2026[[#This Row],[Ф- 
2026]])&gt;0,1,0)</f>
        <v/>
      </c>
      <c r="AH118" s="289">
        <f>Пневматика_СВОДНАЯ_2026[[#This Row],[Прод]]&amp;"_"&amp;Пневматика_СВОДНАЯ_2026[[#This Row],[Обозначение]]</f>
        <v/>
      </c>
    </row>
    <row r="119">
      <c r="A119" s="282" t="n">
        <v>2</v>
      </c>
      <c r="B119" s="283" t="n">
        <v>4492331400</v>
      </c>
      <c r="C11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19" s="285">
        <f>INDEX(База[],MATCH(Пневматика_СВОДНАЯ_2026[[#This Row],[Обозначение]],База[Артикул],0),MATCH(D$4,База[#Headers],0))</f>
        <v/>
      </c>
      <c r="E119" s="286">
        <f>INDEX(База[],MATCH(Пневматика_СВОДНАЯ_2026[[#This Row],[Обозначение]],База[Артикул],0),MATCH(E$4,База[#Headers],0))</f>
        <v/>
      </c>
      <c r="F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19" s="288">
        <f>SUM(Пневматика_СВОДНАЯ_2026[[#This Row],[П- 
01]:[П- 
12]])</f>
        <v/>
      </c>
      <c r="S119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1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19" s="288">
        <f>SUM(Пневматика_СВОДНАЯ_2026[[#This Row],[Ф- 
01]:[Ф- 
12]])</f>
        <v/>
      </c>
      <c r="AG119" s="520">
        <f>IF((Пневматика_СВОДНАЯ_2026[[#This Row],[П- 
2026]]+Пневматика_СВОДНАЯ_2026[[#This Row],[Ф- 
2026]])&gt;0,1,0)</f>
        <v/>
      </c>
      <c r="AH119" s="289">
        <f>Пневматика_СВОДНАЯ_2026[[#This Row],[Прод]]&amp;"_"&amp;Пневматика_СВОДНАЯ_2026[[#This Row],[Обозначение]]</f>
        <v/>
      </c>
    </row>
    <row r="120">
      <c r="A120" s="282" t="n">
        <v>2</v>
      </c>
      <c r="B120" s="283" t="n">
        <v>4492331800</v>
      </c>
      <c r="C12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0" s="285">
        <f>INDEX(База[],MATCH(Пневматика_СВОДНАЯ_2026[[#This Row],[Обозначение]],База[Артикул],0),MATCH(D$4,База[#Headers],0))</f>
        <v/>
      </c>
      <c r="E120" s="286">
        <f>INDEX(База[],MATCH(Пневматика_СВОДНАЯ_2026[[#This Row],[Обозначение]],База[Артикул],0),MATCH(E$4,База[#Headers],0))</f>
        <v/>
      </c>
      <c r="F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0" s="288">
        <f>SUM(Пневматика_СВОДНАЯ_2026[[#This Row],[П- 
01]:[П- 
12]])</f>
        <v/>
      </c>
      <c r="S120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0" s="288">
        <f>SUM(Пневматика_СВОДНАЯ_2026[[#This Row],[Ф- 
01]:[Ф- 
12]])</f>
        <v/>
      </c>
      <c r="AG120" s="520">
        <f>IF((Пневматика_СВОДНАЯ_2026[[#This Row],[П- 
2026]]+Пневматика_СВОДНАЯ_2026[[#This Row],[Ф- 
2026]])&gt;0,1,0)</f>
        <v/>
      </c>
      <c r="AH120" s="289">
        <f>Пневматика_СВОДНАЯ_2026[[#This Row],[Прод]]&amp;"_"&amp;Пневматика_СВОДНАЯ_2026[[#This Row],[Обозначение]]</f>
        <v/>
      </c>
    </row>
    <row r="121">
      <c r="A121" s="282" t="n">
        <v>2</v>
      </c>
      <c r="B121" s="283" t="n">
        <v>4492731200</v>
      </c>
      <c r="C12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1" s="285">
        <f>INDEX(База[],MATCH(Пневматика_СВОДНАЯ_2026[[#This Row],[Обозначение]],База[Артикул],0),MATCH(D$4,База[#Headers],0))</f>
        <v/>
      </c>
      <c r="E121" s="286">
        <f>INDEX(База[],MATCH(Пневматика_СВОДНАЯ_2026[[#This Row],[Обозначение]],База[Артикул],0),MATCH(E$4,База[#Headers],0))</f>
        <v/>
      </c>
      <c r="F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1" s="288">
        <f>SUM(Пневматика_СВОДНАЯ_2026[[#This Row],[П- 
01]:[П- 
12]])</f>
        <v/>
      </c>
      <c r="S121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1" s="288">
        <f>SUM(Пневматика_СВОДНАЯ_2026[[#This Row],[Ф- 
01]:[Ф- 
12]])</f>
        <v/>
      </c>
      <c r="AG121" s="520">
        <f>IF((Пневматика_СВОДНАЯ_2026[[#This Row],[П- 
2026]]+Пневматика_СВОДНАЯ_2026[[#This Row],[Ф- 
2026]])&gt;0,1,0)</f>
        <v/>
      </c>
      <c r="AH121" s="289">
        <f>Пневматика_СВОДНАЯ_2026[[#This Row],[Прод]]&amp;"_"&amp;Пневматика_СВОДНАЯ_2026[[#This Row],[Обозначение]]</f>
        <v/>
      </c>
    </row>
    <row r="122">
      <c r="A122" s="282" t="n">
        <v>2</v>
      </c>
      <c r="B122" s="283" t="n">
        <v>4494250300</v>
      </c>
      <c r="C12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2" s="285">
        <f>INDEX(База[],MATCH(Пневматика_СВОДНАЯ_2026[[#This Row],[Обозначение]],База[Артикул],0),MATCH(D$4,База[#Headers],0))</f>
        <v/>
      </c>
      <c r="E122" s="286">
        <f>INDEX(База[],MATCH(Пневматика_СВОДНАЯ_2026[[#This Row],[Обозначение]],База[Артикул],0),MATCH(E$4,База[#Headers],0))</f>
        <v/>
      </c>
      <c r="F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2" s="288">
        <f>SUM(Пневматика_СВОДНАЯ_2026[[#This Row],[П- 
01]:[П- 
12]])</f>
        <v/>
      </c>
      <c r="S122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2" s="288">
        <f>SUM(Пневматика_СВОДНАЯ_2026[[#This Row],[Ф- 
01]:[Ф- 
12]])</f>
        <v/>
      </c>
      <c r="AG122" s="520">
        <f>IF((Пневматика_СВОДНАЯ_2026[[#This Row],[П- 
2026]]+Пневматика_СВОДНАЯ_2026[[#This Row],[Ф- 
2026]])&gt;0,1,0)</f>
        <v/>
      </c>
      <c r="AH122" s="289">
        <f>Пневматика_СВОДНАЯ_2026[[#This Row],[Прод]]&amp;"_"&amp;Пневматика_СВОДНАЯ_2026[[#This Row],[Обозначение]]</f>
        <v/>
      </c>
    </row>
    <row r="123">
      <c r="A123" s="290" t="n">
        <v>2</v>
      </c>
      <c r="B123" s="291" t="n">
        <v>4494290100</v>
      </c>
      <c r="C123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3" s="293">
        <f>INDEX(База[],MATCH(Пневматика_СВОДНАЯ_2026[[#This Row],[Обозначение]],База[Артикул],0),MATCH(D$4,База[#Headers],0))</f>
        <v/>
      </c>
      <c r="E123" s="294">
        <f>INDEX(База[],MATCH(Пневматика_СВОДНАЯ_2026[[#This Row],[Обозначение]],База[Артикул],0),MATCH(E$4,База[#Headers],0))</f>
        <v/>
      </c>
      <c r="F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3" s="296">
        <f>SUM(Пневматика_СВОДНАЯ_2026[[#This Row],[П- 
01]:[П- 
12]])</f>
        <v/>
      </c>
      <c r="S123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3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3" s="296">
        <f>SUM(Пневматика_СВОДНАЯ_2026[[#This Row],[Ф- 
01]:[Ф- 
12]])</f>
        <v/>
      </c>
      <c r="AG123" s="521">
        <f>IF((Пневматика_СВОДНАЯ_2026[[#This Row],[П- 
2026]]+Пневматика_СВОДНАЯ_2026[[#This Row],[Ф- 
2026]])&gt;0,1,0)</f>
        <v/>
      </c>
      <c r="AH123" s="299">
        <f>Пневматика_СВОДНАЯ_2026[[#This Row],[Прод]]&amp;"_"&amp;Пневматика_СВОДНАЯ_2026[[#This Row],[Обозначение]]</f>
        <v/>
      </c>
    </row>
    <row r="124">
      <c r="A124" s="290" t="n">
        <v>2</v>
      </c>
      <c r="B124" s="291" t="n">
        <v>4494290800</v>
      </c>
      <c r="C124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4" s="293">
        <f>INDEX(База[],MATCH(Пневматика_СВОДНАЯ_2026[[#This Row],[Обозначение]],База[Артикул],0),MATCH(D$4,База[#Headers],0))</f>
        <v/>
      </c>
      <c r="E124" s="294">
        <f>INDEX(База[],MATCH(Пневматика_СВОДНАЯ_2026[[#This Row],[Обозначение]],База[Артикул],0),MATCH(E$4,База[#Headers],0))</f>
        <v/>
      </c>
      <c r="F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4" s="296">
        <f>SUM(Пневматика_СВОДНАЯ_2026[[#This Row],[П- 
01]:[П- 
12]])</f>
        <v/>
      </c>
      <c r="S124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4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4" s="296">
        <f>SUM(Пневматика_СВОДНАЯ_2026[[#This Row],[Ф- 
01]:[Ф- 
12]])</f>
        <v/>
      </c>
      <c r="AG124" s="521">
        <f>IF((Пневматика_СВОДНАЯ_2026[[#This Row],[П- 
2026]]+Пневматика_СВОДНАЯ_2026[[#This Row],[Ф- 
2026]])&gt;0,1,0)</f>
        <v/>
      </c>
      <c r="AH124" s="297">
        <f>Пневматика_СВОДНАЯ_2026[[#This Row],[Прод]]&amp;"_"&amp;Пневматика_СВОДНАЯ_2026[[#This Row],[Обозначение]]</f>
        <v/>
      </c>
    </row>
    <row r="125">
      <c r="A125" s="290" t="n">
        <v>2</v>
      </c>
      <c r="B125" s="291" t="n">
        <v>4494291300</v>
      </c>
      <c r="C12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5" s="293">
        <f>INDEX(База[],MATCH(Пневматика_СВОДНАЯ_2026[[#This Row],[Обозначение]],База[Артикул],0),MATCH(D$4,База[#Headers],0))</f>
        <v/>
      </c>
      <c r="E125" s="294">
        <f>INDEX(База[],MATCH(Пневматика_СВОДНАЯ_2026[[#This Row],[Обозначение]],База[Артикул],0),MATCH(E$4,База[#Headers],0))</f>
        <v/>
      </c>
      <c r="F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5" s="296">
        <f>SUM(Пневматика_СВОДНАЯ_2026[[#This Row],[П- 
01]:[П- 
12]])</f>
        <v/>
      </c>
      <c r="S125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5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5" s="296">
        <f>SUM(Пневматика_СВОДНАЯ_2026[[#This Row],[Ф- 
01]:[Ф- 
12]])</f>
        <v/>
      </c>
      <c r="AG125" s="521">
        <f>IF((Пневматика_СВОДНАЯ_2026[[#This Row],[П- 
2026]]+Пневматика_СВОДНАЯ_2026[[#This Row],[Ф- 
2026]])&gt;0,1,0)</f>
        <v/>
      </c>
      <c r="AH125" s="297">
        <f>Пневматика_СВОДНАЯ_2026[[#This Row],[Прод]]&amp;"_"&amp;Пневматика_СВОДНАЯ_2026[[#This Row],[Обозначение]]</f>
        <v/>
      </c>
    </row>
    <row r="126">
      <c r="A126" s="290" t="n">
        <v>2</v>
      </c>
      <c r="B126" s="291" t="n">
        <v>4495351500</v>
      </c>
      <c r="C126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6" s="293">
        <f>INDEX(База[],MATCH(Пневматика_СВОДНАЯ_2026[[#This Row],[Обозначение]],База[Артикул],0),MATCH(D$4,База[#Headers],0))</f>
        <v/>
      </c>
      <c r="E126" s="294">
        <f>INDEX(База[],MATCH(Пневматика_СВОДНАЯ_2026[[#This Row],[Обозначение]],База[Артикул],0),MATCH(E$4,База[#Headers],0))</f>
        <v/>
      </c>
      <c r="F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6" s="296">
        <f>SUM(Пневматика_СВОДНАЯ_2026[[#This Row],[П- 
01]:[П- 
12]])</f>
        <v/>
      </c>
      <c r="S126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6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6" s="296">
        <f>SUM(Пневматика_СВОДНАЯ_2026[[#This Row],[Ф- 
01]:[Ф- 
12]])</f>
        <v/>
      </c>
      <c r="AG126" s="521">
        <f>IF((Пневматика_СВОДНАЯ_2026[[#This Row],[П- 
2026]]+Пневматика_СВОДНАЯ_2026[[#This Row],[Ф- 
2026]])&gt;0,1,0)</f>
        <v/>
      </c>
      <c r="AH126" s="297">
        <f>Пневматика_СВОДНАЯ_2026[[#This Row],[Прод]]&amp;"_"&amp;Пневматика_СВОДНАЯ_2026[[#This Row],[Обозначение]]</f>
        <v/>
      </c>
    </row>
    <row r="127">
      <c r="A127" s="282" t="n">
        <v>2</v>
      </c>
      <c r="B127" s="283" t="n">
        <v>4498121800</v>
      </c>
      <c r="C12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7" s="285">
        <f>INDEX(База[],MATCH(Пневматика_СВОДНАЯ_2026[[#This Row],[Обозначение]],База[Артикул],0),MATCH(D$4,База[#Headers],0))</f>
        <v/>
      </c>
      <c r="E127" s="286">
        <f>INDEX(База[],MATCH(Пневматика_СВОДНАЯ_2026[[#This Row],[Обозначение]],База[Артикул],0),MATCH(E$4,База[#Headers],0))</f>
        <v/>
      </c>
      <c r="F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7" s="288">
        <f>SUM(Пневматика_СВОДНАЯ_2026[[#This Row],[П- 
01]:[П- 
12]])</f>
        <v/>
      </c>
      <c r="S127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7" s="288">
        <f>SUM(Пневматика_СВОДНАЯ_2026[[#This Row],[Ф- 
01]:[Ф- 
12]])</f>
        <v/>
      </c>
      <c r="AG127" s="520">
        <f>IF((Пневматика_СВОДНАЯ_2026[[#This Row],[П- 
2026]]+Пневматика_СВОДНАЯ_2026[[#This Row],[Ф- 
2026]])&gt;0,1,0)</f>
        <v/>
      </c>
      <c r="AH127" s="289">
        <f>Пневматика_СВОДНАЯ_2026[[#This Row],[Прод]]&amp;"_"&amp;Пневматика_СВОДНАЯ_2026[[#This Row],[Обозначение]]</f>
        <v/>
      </c>
    </row>
    <row r="128">
      <c r="A128" s="282" t="n">
        <v>2</v>
      </c>
      <c r="B128" s="283" t="n">
        <v>4499271200</v>
      </c>
      <c r="C12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8" s="285">
        <f>INDEX(База[],MATCH(Пневматика_СВОДНАЯ_2026[[#This Row],[Обозначение]],База[Артикул],0),MATCH(D$4,База[#Headers],0))</f>
        <v/>
      </c>
      <c r="E128" s="286">
        <f>INDEX(База[],MATCH(Пневматика_СВОДНАЯ_2026[[#This Row],[Обозначение]],База[Артикул],0),MATCH(E$4,База[#Headers],0))</f>
        <v/>
      </c>
      <c r="F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8" s="288">
        <f>SUM(Пневматика_СВОДНАЯ_2026[[#This Row],[П- 
01]:[П- 
12]])</f>
        <v/>
      </c>
      <c r="S128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8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8" s="288">
        <f>SUM(Пневматика_СВОДНАЯ_2026[[#This Row],[Ф- 
01]:[Ф- 
12]])</f>
        <v/>
      </c>
      <c r="AG128" s="520">
        <f>IF((Пневматика_СВОДНАЯ_2026[[#This Row],[П- 
2026]]+Пневматика_СВОДНАЯ_2026[[#This Row],[Ф- 
2026]])&gt;0,1,0)</f>
        <v/>
      </c>
      <c r="AH128" s="289">
        <f>Пневматика_СВОДНАЯ_2026[[#This Row],[Прод]]&amp;"_"&amp;Пневматика_СВОДНАЯ_2026[[#This Row],[Обозначение]]</f>
        <v/>
      </c>
    </row>
    <row r="129">
      <c r="A129" s="282" t="n">
        <v>2</v>
      </c>
      <c r="B129" s="283" t="n">
        <v>4615130020</v>
      </c>
      <c r="C12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29" s="285">
        <f>INDEX(База[],MATCH(Пневматика_СВОДНАЯ_2026[[#This Row],[Обозначение]],База[Артикул],0),MATCH(D$4,База[#Headers],0))</f>
        <v/>
      </c>
      <c r="E129" s="286">
        <f>INDEX(База[],MATCH(Пневматика_СВОДНАЯ_2026[[#This Row],[Обозначение]],База[Артикул],0),MATCH(E$4,База[#Headers],0))</f>
        <v/>
      </c>
      <c r="F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29" s="288">
        <f>SUM(Пневматика_СВОДНАЯ_2026[[#This Row],[П- 
01]:[П- 
12]])</f>
        <v/>
      </c>
      <c r="S129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2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29" s="288">
        <f>SUM(Пневматика_СВОДНАЯ_2026[[#This Row],[Ф- 
01]:[Ф- 
12]])</f>
        <v/>
      </c>
      <c r="AG129" s="520">
        <f>IF((Пневматика_СВОДНАЯ_2026[[#This Row],[П- 
2026]]+Пневматика_СВОДНАЯ_2026[[#This Row],[Ф- 
2026]])&gt;0,1,0)</f>
        <v/>
      </c>
      <c r="AH129" s="289">
        <f>Пневматика_СВОДНАЯ_2026[[#This Row],[Прод]]&amp;"_"&amp;Пневматика_СВОДНАЯ_2026[[#This Row],[Обозначение]]</f>
        <v/>
      </c>
    </row>
    <row r="130">
      <c r="A130" s="282" t="n">
        <v>2</v>
      </c>
      <c r="B130" s="283" t="n">
        <v>4757145000</v>
      </c>
      <c r="C13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0" s="285">
        <f>INDEX(База[],MATCH(Пневматика_СВОДНАЯ_2026[[#This Row],[Обозначение]],База[Артикул],0),MATCH(D$4,База[#Headers],0))</f>
        <v/>
      </c>
      <c r="E130" s="286">
        <f>INDEX(База[],MATCH(Пневматика_СВОДНАЯ_2026[[#This Row],[Обозначение]],База[Артикул],0),MATCH(E$4,База[#Headers],0))</f>
        <v/>
      </c>
      <c r="F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0" s="288">
        <f>SUM(Пневматика_СВОДНАЯ_2026[[#This Row],[П- 
01]:[П- 
12]])</f>
        <v/>
      </c>
      <c r="S130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0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0" s="288">
        <f>SUM(Пневматика_СВОДНАЯ_2026[[#This Row],[Ф- 
01]:[Ф- 
12]])</f>
        <v/>
      </c>
      <c r="AG130" s="520">
        <f>IF((Пневматика_СВОДНАЯ_2026[[#This Row],[П- 
2026]]+Пневматика_СВОДНАЯ_2026[[#This Row],[Ф- 
2026]])&gt;0,1,0)</f>
        <v/>
      </c>
      <c r="AH130" s="289">
        <f>Пневматика_СВОДНАЯ_2026[[#This Row],[Прод]]&amp;"_"&amp;Пневматика_СВОДНАЯ_2026[[#This Row],[Обозначение]]</f>
        <v/>
      </c>
    </row>
    <row r="131">
      <c r="A131" s="282" t="n">
        <v>2</v>
      </c>
      <c r="B131" s="283" t="n">
        <v>4802070010</v>
      </c>
      <c r="C13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1" s="285">
        <f>INDEX(База[],MATCH(Пневматика_СВОДНАЯ_2026[[#This Row],[Обозначение]],База[Артикул],0),MATCH(D$4,База[#Headers],0))</f>
        <v/>
      </c>
      <c r="E131" s="286">
        <f>INDEX(База[],MATCH(Пневматика_СВОДНАЯ_2026[[#This Row],[Обозначение]],База[Артикул],0),MATCH(E$4,База[#Headers],0))</f>
        <v/>
      </c>
      <c r="F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1" s="288">
        <f>SUM(Пневматика_СВОДНАЯ_2026[[#This Row],[П- 
01]:[П- 
12]])</f>
        <v/>
      </c>
      <c r="S131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1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1" s="288">
        <f>SUM(Пневматика_СВОДНАЯ_2026[[#This Row],[Ф- 
01]:[Ф- 
12]])</f>
        <v/>
      </c>
      <c r="AG131" s="520">
        <f>IF((Пневматика_СВОДНАЯ_2026[[#This Row],[П- 
2026]]+Пневматика_СВОДНАЯ_2026[[#This Row],[Ф- 
2026]])&gt;0,1,0)</f>
        <v/>
      </c>
      <c r="AH131" s="289">
        <f>Пневматика_СВОДНАЯ_2026[[#This Row],[Прод]]&amp;"_"&amp;Пневматика_СВОДНАЯ_2026[[#This Row],[Обозначение]]</f>
        <v/>
      </c>
    </row>
    <row r="132">
      <c r="A132" s="282" t="n">
        <v>2</v>
      </c>
      <c r="B132" s="283" t="n">
        <v>8282520016</v>
      </c>
      <c r="C13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2" s="285">
        <f>INDEX(База[],MATCH(Пневматика_СВОДНАЯ_2026[[#This Row],[Обозначение]],База[Артикул],0),MATCH(D$4,База[#Headers],0))</f>
        <v/>
      </c>
      <c r="E132" s="286">
        <f>INDEX(База[],MATCH(Пневматика_СВОДНАЯ_2026[[#This Row],[Обозначение]],База[Артикул],0),MATCH(E$4,База[#Headers],0))</f>
        <v/>
      </c>
      <c r="F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2" s="288">
        <f>SUM(Пневматика_СВОДНАЯ_2026[[#This Row],[П- 
01]:[П- 
12]])</f>
        <v/>
      </c>
      <c r="S132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2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2" s="288">
        <f>SUM(Пневматика_СВОДНАЯ_2026[[#This Row],[Ф- 
01]:[Ф- 
12]])</f>
        <v/>
      </c>
      <c r="AG132" s="520">
        <f>IF((Пневматика_СВОДНАЯ_2026[[#This Row],[П- 
2026]]+Пневматика_СВОДНАЯ_2026[[#This Row],[Ф- 
2026]])&gt;0,1,0)</f>
        <v/>
      </c>
      <c r="AH132" s="289">
        <f>Пневматика_СВОДНАЯ_2026[[#This Row],[Прод]]&amp;"_"&amp;Пневматика_СВОДНАЯ_2026[[#This Row],[Обозначение]]</f>
        <v/>
      </c>
    </row>
    <row r="133" ht="28.8" customHeight="1">
      <c r="A133" s="282" t="n">
        <v>2</v>
      </c>
      <c r="B133" s="283" t="n">
        <v>9735000510</v>
      </c>
      <c r="C13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3" s="285">
        <f>INDEX(База[],MATCH(Пневматика_СВОДНАЯ_2026[[#This Row],[Обозначение]],База[Артикул],0),MATCH(D$4,База[#Headers],0))</f>
        <v/>
      </c>
      <c r="E133" s="286">
        <f>INDEX(База[],MATCH(Пневматика_СВОДНАЯ_2026[[#This Row],[Обозначение]],База[Артикул],0),MATCH(E$4,База[#Headers],0))</f>
        <v/>
      </c>
      <c r="F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3" s="288">
        <f>SUM(Пневматика_СВОДНАЯ_2026[[#This Row],[П- 
01]:[П- 
12]])</f>
        <v/>
      </c>
      <c r="S133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3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3" s="288">
        <f>SUM(Пневматика_СВОДНАЯ_2026[[#This Row],[Ф- 
01]:[Ф- 
12]])</f>
        <v/>
      </c>
      <c r="AG133" s="520">
        <f>IF((Пневматика_СВОДНАЯ_2026[[#This Row],[П- 
2026]]+Пневматика_СВОДНАЯ_2026[[#This Row],[Ф- 
2026]])&gt;0,1,0)</f>
        <v/>
      </c>
      <c r="AH133" s="289">
        <f>Пневматика_СВОДНАЯ_2026[[#This Row],[Прод]]&amp;"_"&amp;Пневматика_СВОДНАЯ_2026[[#This Row],[Обозначение]]</f>
        <v/>
      </c>
    </row>
    <row r="134">
      <c r="A134" s="282" t="inlineStr">
        <is>
          <t>S</t>
        </is>
      </c>
      <c r="B134" s="283" t="n">
        <v>4441000090</v>
      </c>
      <c r="C13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4" s="285">
        <f>INDEX(База[],MATCH(Пневматика_СВОДНАЯ_2026[[#This Row],[Обозначение]],База[Артикул],0),MATCH(D$4,База[#Headers],0))</f>
        <v/>
      </c>
      <c r="E134" s="286">
        <f>INDEX(База[],MATCH(Пневматика_СВОДНАЯ_2026[[#This Row],[Обозначение]],База[Артикул],0),MATCH(E$4,База[#Headers],0))</f>
        <v/>
      </c>
      <c r="F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4" s="288">
        <f>SUM(Пневматика_СВОДНАЯ_2026[[#This Row],[П- 
01]:[П- 
12]])</f>
        <v/>
      </c>
      <c r="S134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4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4" s="288">
        <f>SUM(Пневматика_СВОДНАЯ_2026[[#This Row],[Ф- 
01]:[Ф- 
12]])</f>
        <v/>
      </c>
      <c r="AG134" s="520">
        <f>IF((Пневматика_СВОДНАЯ_2026[[#This Row],[П- 
2026]]+Пневматика_СВОДНАЯ_2026[[#This Row],[Ф- 
2026]])&gt;0,1,0)</f>
        <v/>
      </c>
      <c r="AH134" s="289">
        <f>Пневматика_СВОДНАЯ_2026[[#This Row],[Прод]]&amp;"_"&amp;Пневматика_СВОДНАЯ_2026[[#This Row],[Обозначение]]</f>
        <v/>
      </c>
    </row>
    <row r="135">
      <c r="A135" s="282" t="inlineStr">
        <is>
          <t>S</t>
        </is>
      </c>
      <c r="B135" s="283" t="n">
        <v>4441000100</v>
      </c>
      <c r="C13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5" s="285">
        <f>INDEX(База[],MATCH(Пневматика_СВОДНАЯ_2026[[#This Row],[Обозначение]],База[Артикул],0),MATCH(D$4,База[#Headers],0))</f>
        <v/>
      </c>
      <c r="E135" s="286">
        <f>INDEX(База[],MATCH(Пневматика_СВОДНАЯ_2026[[#This Row],[Обозначение]],База[Артикул],0),MATCH(E$4,База[#Headers],0))</f>
        <v/>
      </c>
      <c r="F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5" s="288">
        <f>SUM(Пневматика_СВОДНАЯ_2026[[#This Row],[П- 
01]:[П- 
12]])</f>
        <v/>
      </c>
      <c r="S135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5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5" s="288">
        <f>SUM(Пневматика_СВОДНАЯ_2026[[#This Row],[Ф- 
01]:[Ф- 
12]])</f>
        <v/>
      </c>
      <c r="AG135" s="520">
        <f>IF((Пневматика_СВОДНАЯ_2026[[#This Row],[П- 
2026]]+Пневматика_СВОДНАЯ_2026[[#This Row],[Ф- 
2026]])&gt;0,1,0)</f>
        <v/>
      </c>
      <c r="AH135" s="289">
        <f>Пневматика_СВОДНАЯ_2026[[#This Row],[Прод]]&amp;"_"&amp;Пневматика_СВОДНАЯ_2026[[#This Row],[Обозначение]]</f>
        <v/>
      </c>
    </row>
    <row r="136">
      <c r="A136" s="282" t="inlineStr">
        <is>
          <t>S</t>
        </is>
      </c>
      <c r="B136" s="283" t="n">
        <v>4441000470</v>
      </c>
      <c r="C13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6" s="285">
        <f>INDEX(База[],MATCH(Пневматика_СВОДНАЯ_2026[[#This Row],[Обозначение]],База[Артикул],0),MATCH(D$4,База[#Headers],0))</f>
        <v/>
      </c>
      <c r="E136" s="286">
        <f>INDEX(База[],MATCH(Пневматика_СВОДНАЯ_2026[[#This Row],[Обозначение]],База[Артикул],0),MATCH(E$4,База[#Headers],0))</f>
        <v/>
      </c>
      <c r="F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6" s="288">
        <f>SUM(Пневматика_СВОДНАЯ_2026[[#This Row],[П- 
01]:[П- 
12]])</f>
        <v/>
      </c>
      <c r="S136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6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6" s="288">
        <f>SUM(Пневматика_СВОДНАЯ_2026[[#This Row],[Ф- 
01]:[Ф- 
12]])</f>
        <v/>
      </c>
      <c r="AG136" s="520">
        <f>IF((Пневматика_СВОДНАЯ_2026[[#This Row],[П- 
2026]]+Пневматика_СВОДНАЯ_2026[[#This Row],[Ф- 
2026]])&gt;0,1,0)</f>
        <v/>
      </c>
      <c r="AH136" s="289">
        <f>Пневматика_СВОДНАЯ_2026[[#This Row],[Прод]]&amp;"_"&amp;Пневматика_СВОДНАЯ_2026[[#This Row],[Обозначение]]</f>
        <v/>
      </c>
    </row>
    <row r="137">
      <c r="A137" s="282" t="inlineStr">
        <is>
          <t>S</t>
        </is>
      </c>
      <c r="B137" s="283" t="n">
        <v>4441000480</v>
      </c>
      <c r="C13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7" s="285">
        <f>INDEX(База[],MATCH(Пневматика_СВОДНАЯ_2026[[#This Row],[Обозначение]],База[Артикул],0),MATCH(D$4,База[#Headers],0))</f>
        <v/>
      </c>
      <c r="E137" s="286">
        <f>INDEX(База[],MATCH(Пневматика_СВОДНАЯ_2026[[#This Row],[Обозначение]],База[Артикул],0),MATCH(E$4,База[#Headers],0))</f>
        <v/>
      </c>
      <c r="F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7" s="288">
        <f>SUM(Пневматика_СВОДНАЯ_2026[[#This Row],[П- 
01]:[П- 
12]])</f>
        <v/>
      </c>
      <c r="S137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7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7" s="288">
        <f>SUM(Пневматика_СВОДНАЯ_2026[[#This Row],[Ф- 
01]:[Ф- 
12]])</f>
        <v/>
      </c>
      <c r="AG137" s="520">
        <f>IF((Пневматика_СВОДНАЯ_2026[[#This Row],[П- 
2026]]+Пневматика_СВОДНАЯ_2026[[#This Row],[Ф- 
2026]])&gt;0,1,0)</f>
        <v/>
      </c>
      <c r="AH137" s="289">
        <f>Пневматика_СВОДНАЯ_2026[[#This Row],[Прод]]&amp;"_"&amp;Пневматика_СВОДНАЯ_2026[[#This Row],[Обозначение]]</f>
        <v/>
      </c>
    </row>
    <row r="138">
      <c r="A138" s="290" t="inlineStr">
        <is>
          <t>S</t>
        </is>
      </c>
      <c r="B138" s="291" t="n">
        <v>4441000550</v>
      </c>
      <c r="C138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8" s="293">
        <f>INDEX(База[],MATCH(Пневматика_СВОДНАЯ_2026[[#This Row],[Обозначение]],База[Артикул],0),MATCH(D$4,База[#Headers],0))</f>
        <v/>
      </c>
      <c r="E138" s="294">
        <f>INDEX(База[],MATCH(Пневматика_СВОДНАЯ_2026[[#This Row],[Обозначение]],База[Артикул],0),MATCH(E$4,База[#Headers],0))</f>
        <v/>
      </c>
      <c r="F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8" s="296">
        <f>SUM(Пневматика_СВОДНАЯ_2026[[#This Row],[П- 
01]:[П- 
12]])</f>
        <v/>
      </c>
      <c r="S138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8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8" s="296">
        <f>SUM(Пневматика_СВОДНАЯ_2026[[#This Row],[Ф- 
01]:[Ф- 
12]])</f>
        <v/>
      </c>
      <c r="AG138" s="521">
        <f>IF((Пневматика_СВОДНАЯ_2026[[#This Row],[П- 
2026]]+Пневматика_СВОДНАЯ_2026[[#This Row],[Ф- 
2026]])&gt;0,1,0)</f>
        <v/>
      </c>
      <c r="AH138" s="297">
        <f>Пневматика_СВОДНАЯ_2026[[#This Row],[Прод]]&amp;"_"&amp;Пневматика_СВОДНАЯ_2026[[#This Row],[Обозначение]]</f>
        <v/>
      </c>
    </row>
    <row r="139">
      <c r="A139" s="282" t="inlineStr">
        <is>
          <t>S</t>
        </is>
      </c>
      <c r="B139" s="283" t="n">
        <v>4441000700</v>
      </c>
      <c r="C13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39" s="285">
        <f>INDEX(База[],MATCH(Пневматика_СВОДНАЯ_2026[[#This Row],[Обозначение]],База[Артикул],0),MATCH(D$4,База[#Headers],0))</f>
        <v/>
      </c>
      <c r="E139" s="286">
        <f>INDEX(База[],MATCH(Пневматика_СВОДНАЯ_2026[[#This Row],[Обозначение]],База[Артикул],0),MATCH(E$4,База[#Headers],0))</f>
        <v/>
      </c>
      <c r="F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39" s="288">
        <f>SUM(Пневматика_СВОДНАЯ_2026[[#This Row],[П- 
01]:[П- 
12]])</f>
        <v/>
      </c>
      <c r="S139" s="453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39" s="287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39" s="288">
        <f>SUM(Пневматика_СВОДНАЯ_2026[[#This Row],[Ф- 
01]:[Ф- 
12]])</f>
        <v/>
      </c>
      <c r="AG139" s="520">
        <f>IF((Пневматика_СВОДНАЯ_2026[[#This Row],[П- 
2026]]+Пневматика_СВОДНАЯ_2026[[#This Row],[Ф- 
2026]])&gt;0,1,0)</f>
        <v/>
      </c>
      <c r="AH139" s="289">
        <f>Пневматика_СВОДНАЯ_2026[[#This Row],[Прод]]&amp;"_"&amp;Пневматика_СВОДНАЯ_2026[[#This Row],[Обозначение]]</f>
        <v/>
      </c>
    </row>
    <row r="140">
      <c r="A140" s="290" t="inlineStr">
        <is>
          <t>S</t>
        </is>
      </c>
      <c r="B140" s="291" t="n">
        <v>4441000710</v>
      </c>
      <c r="C140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40" s="293">
        <f>INDEX(База[],MATCH(Пневматика_СВОДНАЯ_2026[[#This Row],[Обозначение]],База[Артикул],0),MATCH(D$4,База[#Headers],0))</f>
        <v/>
      </c>
      <c r="E140" s="294">
        <f>INDEX(База[],MATCH(Пневматика_СВОДНАЯ_2026[[#This Row],[Обозначение]],База[Артикул],0),MATCH(E$4,База[#Headers],0))</f>
        <v/>
      </c>
      <c r="F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40" s="296">
        <f>SUM(Пневматика_СВОДНАЯ_2026[[#This Row],[П- 
01]:[П- 
12]])</f>
        <v/>
      </c>
      <c r="S140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40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40" s="296">
        <f>SUM(Пневматика_СВОДНАЯ_2026[[#This Row],[Ф- 
01]:[Ф- 
12]])</f>
        <v/>
      </c>
      <c r="AG140" s="521">
        <f>IF((Пневматика_СВОДНАЯ_2026[[#This Row],[П- 
2026]]+Пневматика_СВОДНАЯ_2026[[#This Row],[Ф- 
2026]])&gt;0,1,0)</f>
        <v/>
      </c>
      <c r="AH140" s="297">
        <f>Пневматика_СВОДНАЯ_2026[[#This Row],[Прод]]&amp;"_"&amp;Пневматика_СВОДНАЯ_2026[[#This Row],[Обозначение]]</f>
        <v/>
      </c>
    </row>
    <row r="141" ht="28.8" customHeight="1">
      <c r="A141" s="290" t="inlineStr">
        <is>
          <t>S</t>
        </is>
      </c>
      <c r="B141" s="291" t="inlineStr">
        <is>
          <t>Арт_TEBS_2-2_12_W_-1</t>
        </is>
      </c>
      <c r="C141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41" s="293">
        <f>INDEX(База[],MATCH(Пневматика_СВОДНАЯ_2026[[#This Row],[Обозначение]],База[Артикул],0),MATCH(D$4,База[#Headers],0))</f>
        <v/>
      </c>
      <c r="E141" s="294">
        <f>INDEX(База[],MATCH(Пневматика_СВОДНАЯ_2026[[#This Row],[Обозначение]],База[Артикул],0),MATCH(E$4,База[#Headers],0))</f>
        <v/>
      </c>
      <c r="F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41" s="296">
        <f>SUM(Пневматика_СВОДНАЯ_2026[[#This Row],[П- 
01]:[П- 
12]])</f>
        <v/>
      </c>
      <c r="S141" s="452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41" s="295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41" s="296">
        <f>SUM(Пневматика_СВОДНАЯ_2026[[#This Row],[Ф- 
01]:[Ф- 
12]])</f>
        <v/>
      </c>
      <c r="AG141" s="521">
        <f>IF((Пневматика_СВОДНАЯ_2026[[#This Row],[П- 
2026]]+Пневматика_СВОДНАЯ_2026[[#This Row],[Ф- 
2026]])&gt;0,1,0)</f>
        <v/>
      </c>
      <c r="AH141" s="297">
        <f>Пневматика_СВОДНАЯ_2026[[#This Row],[Прод]]&amp;"_"&amp;Пневматика_СВОДНАЯ_2026[[#This Row],[Обозначение]]</f>
        <v/>
      </c>
    </row>
    <row r="142">
      <c r="A142" s="438" t="inlineStr">
        <is>
          <t>S</t>
        </is>
      </c>
      <c r="B142" s="439" t="inlineStr">
        <is>
          <t>Арт_Пнев_Под_2</t>
        </is>
      </c>
      <c r="C14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/>
      </c>
      <c r="D142" s="440">
        <f>INDEX(База[],MATCH(Пневматика_СВОДНАЯ_2026[[#This Row],[Обозначение]],База[Артикул],0),MATCH(D$4,База[#Headers],0))</f>
        <v/>
      </c>
      <c r="E142" s="441">
        <f>INDEX(База[],MATCH(Пневматика_СВОДНАЯ_2026[[#This Row],[Обозначение]],База[Артикул],0),MATCH(E$4,База[#Headers],0))</f>
        <v/>
      </c>
      <c r="F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/>
      </c>
      <c r="G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/>
      </c>
      <c r="H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/>
      </c>
      <c r="I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/>
      </c>
      <c r="J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/>
      </c>
      <c r="K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/>
      </c>
      <c r="L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/>
      </c>
      <c r="M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/>
      </c>
      <c r="N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/>
      </c>
      <c r="O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/>
      </c>
      <c r="P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/>
      </c>
      <c r="Q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/>
      </c>
      <c r="R142" s="443">
        <f>SUM(Пневматика_СВОДНАЯ_2026[[#This Row],[П- 
01]:[П- 
12]])</f>
        <v/>
      </c>
      <c r="S142" s="454">
        <f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/>
      </c>
      <c r="T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/>
      </c>
      <c r="U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/>
      </c>
      <c r="V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/>
      </c>
      <c r="W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/>
      </c>
      <c r="X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/>
      </c>
      <c r="Y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/>
      </c>
      <c r="Z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/>
      </c>
      <c r="AA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/>
      </c>
      <c r="AB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/>
      </c>
      <c r="AC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/>
      </c>
      <c r="AD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/>
      </c>
      <c r="AE142" s="442">
        <f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/>
      </c>
      <c r="AF142" s="443">
        <f>SUM(Пневматика_СВОДНАЯ_2026[[#This Row],[Ф- 
01]:[Ф- 
12]])</f>
        <v/>
      </c>
      <c r="AG142" s="522">
        <f>IF((Пневматика_СВОДНАЯ_2026[[#This Row],[П- 
2026]]+Пневматика_СВОДНАЯ_2026[[#This Row],[Ф- 
2026]])&gt;0,1,0)</f>
        <v/>
      </c>
      <c r="AH142" s="299">
        <f>Пневматика_СВОДНАЯ_2026[[#This Row],[Прод]]&amp;"_"&amp;Пневматика_СВОДНАЯ_2026[[#This Row],[Обозначение]]</f>
        <v/>
      </c>
    </row>
    <row r="143" ht="9.9" customFormat="1" customHeight="1" s="552">
      <c r="A143" s="549" t="n"/>
      <c r="B143" s="549" t="n"/>
      <c r="C143" s="549" t="n"/>
      <c r="D143" s="549" t="n"/>
      <c r="E143" s="550" t="n"/>
      <c r="F143" s="549" t="n"/>
      <c r="G143" s="549" t="n"/>
      <c r="H143" s="549" t="n"/>
      <c r="I143" s="549" t="n"/>
      <c r="J143" s="549" t="n"/>
      <c r="K143" s="549" t="n"/>
      <c r="L143" s="549" t="n"/>
      <c r="M143" s="549" t="n"/>
      <c r="N143" s="549" t="n"/>
      <c r="O143" s="549" t="n"/>
      <c r="P143" s="549" t="n"/>
      <c r="Q143" s="549" t="n"/>
      <c r="R143" s="549" t="n"/>
      <c r="S143" s="551" t="n"/>
      <c r="T143" s="549" t="n"/>
      <c r="U143" s="549" t="n"/>
      <c r="V143" s="549" t="n"/>
      <c r="W143" s="549" t="n"/>
      <c r="X143" s="549" t="n"/>
      <c r="Y143" s="549" t="n"/>
      <c r="Z143" s="549" t="n"/>
      <c r="AA143" s="549" t="n"/>
      <c r="AB143" s="549" t="n"/>
      <c r="AC143" s="549" t="n"/>
      <c r="AD143" s="549" t="n"/>
      <c r="AE143" s="549" t="n"/>
      <c r="AF143" s="549" t="n"/>
    </row>
    <row r="144" ht="9.9" customFormat="1" customHeight="1" s="552">
      <c r="A144" s="549" t="n"/>
      <c r="B144" s="549" t="n"/>
      <c r="C144" s="549" t="n"/>
      <c r="D144" s="549" t="n"/>
      <c r="E144" s="550" t="n"/>
      <c r="F144" s="549" t="n"/>
      <c r="G144" s="549" t="n"/>
      <c r="H144" s="549" t="n"/>
      <c r="I144" s="549" t="n"/>
      <c r="J144" s="549" t="n"/>
      <c r="K144" s="549" t="n"/>
      <c r="L144" s="549" t="n"/>
      <c r="M144" s="549" t="n"/>
      <c r="N144" s="549" t="n"/>
      <c r="O144" s="549" t="n"/>
      <c r="P144" s="549" t="n"/>
      <c r="Q144" s="549" t="n"/>
      <c r="R144" s="549" t="n"/>
      <c r="S144" s="551" t="n"/>
      <c r="T144" s="549" t="n"/>
      <c r="U144" s="549" t="n"/>
      <c r="V144" s="549" t="n"/>
      <c r="W144" s="549" t="n"/>
      <c r="X144" s="549" t="n"/>
      <c r="Y144" s="549" t="n"/>
      <c r="Z144" s="549" t="n"/>
      <c r="AA144" s="549" t="n"/>
      <c r="AB144" s="549" t="n"/>
      <c r="AC144" s="549" t="n"/>
      <c r="AD144" s="549" t="n"/>
      <c r="AE144" s="549" t="n"/>
      <c r="AF144" s="549" t="n"/>
    </row>
    <row r="145" ht="9.9" customFormat="1" customHeight="1" s="552">
      <c r="A145" s="549" t="n"/>
      <c r="B145" s="549" t="n"/>
      <c r="C145" s="549" t="n"/>
      <c r="D145" s="549" t="n"/>
      <c r="E145" s="550" t="n"/>
      <c r="F145" s="677" t="inlineStr">
        <is>
          <t>Ф</t>
        </is>
      </c>
      <c r="G145" s="677" t="inlineStr">
        <is>
          <t>Ф</t>
        </is>
      </c>
      <c r="H145" s="677" t="inlineStr">
        <is>
          <t>Ф</t>
        </is>
      </c>
      <c r="I145" s="677" t="inlineStr">
        <is>
          <t>Ф</t>
        </is>
      </c>
      <c r="J145" s="677" t="inlineStr">
        <is>
          <t>Ф</t>
        </is>
      </c>
      <c r="K145" s="284" t="n"/>
      <c r="L145" s="284" t="n"/>
      <c r="M145" s="284" t="n"/>
      <c r="N145" s="284" t="n"/>
      <c r="O145" s="284" t="n"/>
      <c r="P145" s="284" t="n"/>
      <c r="Q145" s="284" t="n"/>
      <c r="R145" s="549" t="n"/>
      <c r="S145" s="551" t="n"/>
      <c r="T145" s="549" t="n"/>
      <c r="U145" s="549" t="n"/>
      <c r="V145" s="549" t="n"/>
      <c r="W145" s="549" t="n"/>
      <c r="X145" s="549" t="n"/>
      <c r="Y145" s="549" t="n"/>
      <c r="Z145" s="549" t="n"/>
      <c r="AA145" s="549" t="n"/>
      <c r="AB145" s="549" t="n"/>
      <c r="AC145" s="549" t="n"/>
      <c r="AD145" s="549" t="n"/>
      <c r="AE145" s="549" t="n"/>
      <c r="AF145" s="549" t="n"/>
    </row>
    <row r="146">
      <c r="A146" s="548" t="n">
        <v>2</v>
      </c>
      <c r="B146" s="548" t="n">
        <v>4005000810</v>
      </c>
      <c r="C146" s="285" t="n"/>
      <c r="D146" s="285" t="n"/>
      <c r="E146" s="547">
        <f>INDEX(База[],MATCH($B146,База[Артикул],0),MATCH(E$4,База[#Headers],0))</f>
        <v/>
      </c>
      <c r="F146" s="285">
        <f>SUMPRODUCT(($A146&amp;"_"&amp;$B146=Пневматика_СВОДНАЯ_2026[Ключ])*T$5:T$142)</f>
        <v/>
      </c>
      <c r="G146" s="285">
        <f>SUMPRODUCT(($A146&amp;"_"&amp;$B146=Пневматика_СВОДНАЯ_2026[Ключ])*U$5:U$142)+F146</f>
        <v/>
      </c>
      <c r="H146" s="285">
        <f>SUMPRODUCT(($A146&amp;"_"&amp;$B146=Пневматика_СВОДНАЯ_2026[Ключ])*V$5:V$142)+G146</f>
        <v/>
      </c>
      <c r="I146" s="285">
        <f>SUMPRODUCT(($A146&amp;"_"&amp;$B146=Пневматика_СВОДНАЯ_2026[Ключ])*W$5:W$142)+H146</f>
        <v/>
      </c>
      <c r="J146" s="285">
        <f>SUMPRODUCT(($A146&amp;"_"&amp;$B146=Пневматика_СВОДНАЯ_2026[Ключ])*X$5:X$142)+I146</f>
        <v/>
      </c>
      <c r="K146" s="285">
        <f>SUMPRODUCT(($A146&amp;"_"&amp;$B146=Пневматика_СВОДНАЯ_2026[Ключ])*K$5:K$142)+J146</f>
        <v/>
      </c>
      <c r="L146" s="285">
        <f>SUMPRODUCT(($A146&amp;"_"&amp;$B146=Пневматика_СВОДНАЯ_2026[Ключ])*L$5:L$142)+K146</f>
        <v/>
      </c>
      <c r="M146" s="285">
        <f>SUMPRODUCT(($A146&amp;"_"&amp;$B146=Пневматика_СВОДНАЯ_2026[Ключ])*M$5:M$142)+L146</f>
        <v/>
      </c>
      <c r="N146" s="285">
        <f>SUMPRODUCT(($A146&amp;"_"&amp;$B146=Пневматика_СВОДНАЯ_2026[Ключ])*N$5:N$142)+M146</f>
        <v/>
      </c>
      <c r="O146" s="285">
        <f>SUMPRODUCT(($A146&amp;"_"&amp;$B146=Пневматика_СВОДНАЯ_2026[Ключ])*O$5:O$142)+N146</f>
        <v/>
      </c>
      <c r="P146" s="285">
        <f>SUMPRODUCT(($A146&amp;"_"&amp;$B146=Пневматика_СВОДНАЯ_2026[Ключ])*P$5:P$142)+O146</f>
        <v/>
      </c>
      <c r="Q146" s="285">
        <f>SUMPRODUCT(($A146&amp;"_"&amp;$B146=Пневматика_СВОДНАЯ_2026[Ключ])*Q$5:Q$142)+P146</f>
        <v/>
      </c>
      <c r="R146" s="376">
        <f>SUMPRODUCT(($A146&amp;"_"&amp;$B146=Пневматика_СВОДНАЯ_2026[Ключ])*R$5:R$142)</f>
        <v/>
      </c>
      <c r="S146" s="463" t="n">
        <v>70</v>
      </c>
      <c r="T146" s="285" t="n"/>
      <c r="U146" s="285" t="n"/>
      <c r="V146" s="285" t="n"/>
      <c r="W146" s="285" t="n"/>
      <c r="X146" s="285" t="n"/>
      <c r="Y146" s="285" t="n"/>
      <c r="Z146" s="285" t="n"/>
      <c r="AA146" s="285" t="n"/>
      <c r="AB146" s="285" t="n"/>
      <c r="AC146" s="285" t="n"/>
      <c r="AD146" s="285" t="n"/>
      <c r="AE146" s="285" t="n"/>
      <c r="AF146" s="376" t="n"/>
      <c r="AG146" s="463" t="n"/>
    </row>
    <row r="147">
      <c r="A147" s="548" t="n">
        <v>2</v>
      </c>
      <c r="B147" s="548" t="n">
        <v>4005000880</v>
      </c>
      <c r="C147" s="285" t="n"/>
      <c r="D147" s="285" t="n"/>
      <c r="E147" s="547">
        <f>INDEX(База[],MATCH($B147,База[Артикул],0),MATCH(E$4,База[#Headers],0))</f>
        <v/>
      </c>
      <c r="F147" s="285">
        <f>SUMPRODUCT(($A147&amp;"_"&amp;$B147=Пневматика_СВОДНАЯ_2026[Ключ])*T$5:T$142)</f>
        <v/>
      </c>
      <c r="G147" s="285">
        <f>SUMPRODUCT(($A147&amp;"_"&amp;$B147=Пневматика_СВОДНАЯ_2026[Ключ])*U$5:U$142)+F147</f>
        <v/>
      </c>
      <c r="H147" s="285">
        <f>SUMPRODUCT(($A147&amp;"_"&amp;$B147=Пневматика_СВОДНАЯ_2026[Ключ])*V$5:V$142)+G147</f>
        <v/>
      </c>
      <c r="I147" s="285">
        <f>SUMPRODUCT(($A147&amp;"_"&amp;$B147=Пневматика_СВОДНАЯ_2026[Ключ])*W$5:W$142)+H147</f>
        <v/>
      </c>
      <c r="J147" s="285">
        <f>SUMPRODUCT(($A147&amp;"_"&amp;$B147=Пневматика_СВОДНАЯ_2026[Ключ])*X$5:X$142)+I147</f>
        <v/>
      </c>
      <c r="K147" s="285">
        <f>SUMPRODUCT(($A147&amp;"_"&amp;$B147=Пневматика_СВОДНАЯ_2026[Ключ])*K$5:K$142)+J147</f>
        <v/>
      </c>
      <c r="L147" s="285">
        <f>SUMPRODUCT(($A147&amp;"_"&amp;$B147=Пневматика_СВОДНАЯ_2026[Ключ])*L$5:L$142)+K147</f>
        <v/>
      </c>
      <c r="M147" s="285">
        <f>SUMPRODUCT(($A147&amp;"_"&amp;$B147=Пневматика_СВОДНАЯ_2026[Ключ])*M$5:M$142)+L147</f>
        <v/>
      </c>
      <c r="N147" s="285">
        <f>SUMPRODUCT(($A147&amp;"_"&amp;$B147=Пневматика_СВОДНАЯ_2026[Ключ])*N$5:N$142)+M147</f>
        <v/>
      </c>
      <c r="O147" s="285">
        <f>SUMPRODUCT(($A147&amp;"_"&amp;$B147=Пневматика_СВОДНАЯ_2026[Ключ])*O$5:O$142)+N147</f>
        <v/>
      </c>
      <c r="P147" s="285">
        <f>SUMPRODUCT(($A147&amp;"_"&amp;$B147=Пневматика_СВОДНАЯ_2026[Ключ])*P$5:P$142)+O147</f>
        <v/>
      </c>
      <c r="Q147" s="285">
        <f>SUMPRODUCT(($A147&amp;"_"&amp;$B147=Пневматика_СВОДНАЯ_2026[Ключ])*Q$5:Q$142)+P147</f>
        <v/>
      </c>
      <c r="R147" s="376">
        <f>SUMPRODUCT(($A147&amp;"_"&amp;$B147=Пневматика_СВОДНАЯ_2026[Ключ])*R$5:R$142)</f>
        <v/>
      </c>
      <c r="S147" s="463" t="n">
        <v>118</v>
      </c>
      <c r="T147" s="285" t="n"/>
      <c r="U147" s="285" t="n"/>
      <c r="V147" s="285" t="n"/>
      <c r="W147" s="285" t="n"/>
      <c r="X147" s="285" t="n"/>
      <c r="Y147" s="285" t="n"/>
      <c r="Z147" s="285" t="n"/>
      <c r="AA147" s="285" t="n"/>
      <c r="AB147" s="285" t="n"/>
      <c r="AC147" s="285" t="n"/>
      <c r="AD147" s="285" t="n"/>
      <c r="AE147" s="285" t="n"/>
      <c r="AF147" s="376" t="n"/>
      <c r="AG147" s="463" t="n"/>
    </row>
    <row r="148">
      <c r="A148" s="548" t="n">
        <v>2</v>
      </c>
      <c r="B148" s="548" t="n">
        <v>4491301200</v>
      </c>
      <c r="C148" s="285" t="n"/>
      <c r="D148" s="285" t="n"/>
      <c r="E148" s="547">
        <f>INDEX(База[],MATCH($B148,База[Артикул],0),MATCH(E$4,База[#Headers],0))</f>
        <v/>
      </c>
      <c r="F148" s="285">
        <f>SUMPRODUCT(($A148&amp;"_"&amp;$B148=Пневматика_СВОДНАЯ_2026[Ключ])*T$5:T$142)</f>
        <v/>
      </c>
      <c r="G148" s="285">
        <f>SUMPRODUCT(($A148&amp;"_"&amp;$B148=Пневматика_СВОДНАЯ_2026[Ключ])*U$5:U$142)+F148</f>
        <v/>
      </c>
      <c r="H148" s="285">
        <f>SUMPRODUCT(($A148&amp;"_"&amp;$B148=Пневматика_СВОДНАЯ_2026[Ключ])*V$5:V$142)+G148</f>
        <v/>
      </c>
      <c r="I148" s="285">
        <f>SUMPRODUCT(($A148&amp;"_"&amp;$B148=Пневматика_СВОДНАЯ_2026[Ключ])*W$5:W$142)+H148</f>
        <v/>
      </c>
      <c r="J148" s="285">
        <f>SUMPRODUCT(($A148&amp;"_"&amp;$B148=Пневматика_СВОДНАЯ_2026[Ключ])*X$5:X$142)+I148</f>
        <v/>
      </c>
      <c r="K148" s="285">
        <f>SUMPRODUCT(($A148&amp;"_"&amp;$B148=Пневматика_СВОДНАЯ_2026[Ключ])*K$5:K$142)+J148</f>
        <v/>
      </c>
      <c r="L148" s="285">
        <f>SUMPRODUCT(($A148&amp;"_"&amp;$B148=Пневматика_СВОДНАЯ_2026[Ключ])*L$5:L$142)+K148</f>
        <v/>
      </c>
      <c r="M148" s="285">
        <f>SUMPRODUCT(($A148&amp;"_"&amp;$B148=Пневматика_СВОДНАЯ_2026[Ключ])*M$5:M$142)+L148</f>
        <v/>
      </c>
      <c r="N148" s="285">
        <f>SUMPRODUCT(($A148&amp;"_"&amp;$B148=Пневматика_СВОДНАЯ_2026[Ключ])*N$5:N$142)+M148</f>
        <v/>
      </c>
      <c r="O148" s="285">
        <f>SUMPRODUCT(($A148&amp;"_"&amp;$B148=Пневматика_СВОДНАЯ_2026[Ключ])*O$5:O$142)+N148</f>
        <v/>
      </c>
      <c r="P148" s="285">
        <f>SUMPRODUCT(($A148&amp;"_"&amp;$B148=Пневматика_СВОДНАЯ_2026[Ключ])*P$5:P$142)+O148</f>
        <v/>
      </c>
      <c r="Q148" s="285">
        <f>SUMPRODUCT(($A148&amp;"_"&amp;$B148=Пневматика_СВОДНАЯ_2026[Ключ])*Q$5:Q$142)+P148</f>
        <v/>
      </c>
      <c r="R148" s="376">
        <f>SUMPRODUCT(($A148&amp;"_"&amp;$B148=Пневматика_СВОДНАЯ_2026[Ключ])*R$5:R$142)</f>
        <v/>
      </c>
      <c r="S148" s="463" t="n">
        <v>123</v>
      </c>
      <c r="T148" s="285" t="n"/>
      <c r="U148" s="285" t="n"/>
      <c r="V148" s="285" t="n"/>
      <c r="W148" s="285" t="n"/>
      <c r="X148" s="285" t="n"/>
      <c r="Y148" s="285" t="n"/>
      <c r="Z148" s="285" t="n"/>
      <c r="AA148" s="285" t="n"/>
      <c r="AB148" s="285" t="n"/>
      <c r="AC148" s="285" t="n"/>
      <c r="AD148" s="285" t="n"/>
      <c r="AE148" s="285" t="n"/>
      <c r="AF148" s="376" t="n"/>
      <c r="AG148" s="463" t="n"/>
    </row>
    <row r="149">
      <c r="A149" s="548" t="n">
        <v>2</v>
      </c>
      <c r="B149" s="548" t="n">
        <v>4491301500</v>
      </c>
      <c r="C149" s="285" t="n"/>
      <c r="D149" s="285" t="n"/>
      <c r="E149" s="547">
        <f>INDEX(База[],MATCH($B149,База[Артикул],0),MATCH(E$4,База[#Headers],0))</f>
        <v/>
      </c>
      <c r="F149" s="285">
        <f>SUMPRODUCT(($A149&amp;"_"&amp;$B149=Пневматика_СВОДНАЯ_2026[Ключ])*T$5:T$142)</f>
        <v/>
      </c>
      <c r="G149" s="285">
        <f>SUMPRODUCT(($A149&amp;"_"&amp;$B149=Пневматика_СВОДНАЯ_2026[Ключ])*U$5:U$142)+F149</f>
        <v/>
      </c>
      <c r="H149" s="285">
        <f>SUMPRODUCT(($A149&amp;"_"&amp;$B149=Пневматика_СВОДНАЯ_2026[Ключ])*V$5:V$142)+G149</f>
        <v/>
      </c>
      <c r="I149" s="285">
        <f>SUMPRODUCT(($A149&amp;"_"&amp;$B149=Пневматика_СВОДНАЯ_2026[Ключ])*W$5:W$142)+H149</f>
        <v/>
      </c>
      <c r="J149" s="285">
        <f>SUMPRODUCT(($A149&amp;"_"&amp;$B149=Пневматика_СВОДНАЯ_2026[Ключ])*X$5:X$142)+I149</f>
        <v/>
      </c>
      <c r="K149" s="285">
        <f>SUMPRODUCT(($A149&amp;"_"&amp;$B149=Пневматика_СВОДНАЯ_2026[Ключ])*K$5:K$142)+J149</f>
        <v/>
      </c>
      <c r="L149" s="285">
        <f>SUMPRODUCT(($A149&amp;"_"&amp;$B149=Пневматика_СВОДНАЯ_2026[Ключ])*L$5:L$142)+K149</f>
        <v/>
      </c>
      <c r="M149" s="285">
        <f>SUMPRODUCT(($A149&amp;"_"&amp;$B149=Пневматика_СВОДНАЯ_2026[Ключ])*M$5:M$142)+L149</f>
        <v/>
      </c>
      <c r="N149" s="285">
        <f>SUMPRODUCT(($A149&amp;"_"&amp;$B149=Пневматика_СВОДНАЯ_2026[Ключ])*N$5:N$142)+M149</f>
        <v/>
      </c>
      <c r="O149" s="285">
        <f>SUMPRODUCT(($A149&amp;"_"&amp;$B149=Пневматика_СВОДНАЯ_2026[Ключ])*O$5:O$142)+N149</f>
        <v/>
      </c>
      <c r="P149" s="285">
        <f>SUMPRODUCT(($A149&amp;"_"&amp;$B149=Пневматика_СВОДНАЯ_2026[Ключ])*P$5:P$142)+O149</f>
        <v/>
      </c>
      <c r="Q149" s="285">
        <f>SUMPRODUCT(($A149&amp;"_"&amp;$B149=Пневматика_СВОДНАЯ_2026[Ключ])*Q$5:Q$142)+P149</f>
        <v/>
      </c>
      <c r="R149" s="376">
        <f>SUMPRODUCT(($A149&amp;"_"&amp;$B149=Пневматика_СВОДНАЯ_2026[Ключ])*R$5:R$142)</f>
        <v/>
      </c>
      <c r="S149" s="463">
        <f>85+33</f>
        <v/>
      </c>
      <c r="T149" s="285" t="n"/>
      <c r="U149" s="285" t="n"/>
      <c r="V149" s="285" t="n"/>
      <c r="W149" s="285" t="n"/>
      <c r="X149" s="285" t="n"/>
      <c r="Y149" s="285" t="n"/>
      <c r="Z149" s="285" t="n"/>
      <c r="AA149" s="285" t="n"/>
      <c r="AB149" s="285" t="n"/>
      <c r="AC149" s="285" t="n"/>
      <c r="AD149" s="285" t="n"/>
      <c r="AE149" s="285" t="n"/>
      <c r="AF149" s="376" t="n"/>
      <c r="AG149" s="463" t="n"/>
    </row>
    <row r="150">
      <c r="A150" s="548" t="n">
        <v>2</v>
      </c>
      <c r="B150" s="548" t="n">
        <v>4493702820</v>
      </c>
      <c r="C150" s="285" t="n"/>
      <c r="D150" s="285" t="n"/>
      <c r="E150" s="547">
        <f>INDEX(База[],MATCH($B150,База[Артикул],0),MATCH(E$4,База[#Headers],0))</f>
        <v/>
      </c>
      <c r="F150" s="285">
        <f>SUMPRODUCT(($A150&amp;"_"&amp;$B150=Пневматика_СВОДНАЯ_2026[Ключ])*T$5:T$142)</f>
        <v/>
      </c>
      <c r="G150" s="285">
        <f>SUMPRODUCT(($A150&amp;"_"&amp;$B150=Пневматика_СВОДНАЯ_2026[Ключ])*U$5:U$142)+F150</f>
        <v/>
      </c>
      <c r="H150" s="285">
        <f>SUMPRODUCT(($A150&amp;"_"&amp;$B150=Пневматика_СВОДНАЯ_2026[Ключ])*V$5:V$142)+G150</f>
        <v/>
      </c>
      <c r="I150" s="285">
        <f>SUMPRODUCT(($A150&amp;"_"&amp;$B150=Пневматика_СВОДНАЯ_2026[Ключ])*W$5:W$142)+H150</f>
        <v/>
      </c>
      <c r="J150" s="285">
        <f>SUMPRODUCT(($A150&amp;"_"&amp;$B150=Пневматика_СВОДНАЯ_2026[Ключ])*X$5:X$142)+I150</f>
        <v/>
      </c>
      <c r="K150" s="285">
        <f>SUMPRODUCT(($A150&amp;"_"&amp;$B150=Пневматика_СВОДНАЯ_2026[Ключ])*K$5:K$142)+J150</f>
        <v/>
      </c>
      <c r="L150" s="285">
        <f>SUMPRODUCT(($A150&amp;"_"&amp;$B150=Пневматика_СВОДНАЯ_2026[Ключ])*L$5:L$142)+K150</f>
        <v/>
      </c>
      <c r="M150" s="285">
        <f>SUMPRODUCT(($A150&amp;"_"&amp;$B150=Пневматика_СВОДНАЯ_2026[Ключ])*M$5:M$142)+L150</f>
        <v/>
      </c>
      <c r="N150" s="285">
        <f>SUMPRODUCT(($A150&amp;"_"&amp;$B150=Пневматика_СВОДНАЯ_2026[Ключ])*N$5:N$142)+M150</f>
        <v/>
      </c>
      <c r="O150" s="285">
        <f>SUMPRODUCT(($A150&amp;"_"&amp;$B150=Пневматика_СВОДНАЯ_2026[Ключ])*O$5:O$142)+N150</f>
        <v/>
      </c>
      <c r="P150" s="285">
        <f>SUMPRODUCT(($A150&amp;"_"&amp;$B150=Пневматика_СВОДНАЯ_2026[Ключ])*P$5:P$142)+O150</f>
        <v/>
      </c>
      <c r="Q150" s="285">
        <f>SUMPRODUCT(($A150&amp;"_"&amp;$B150=Пневматика_СВОДНАЯ_2026[Ключ])*Q$5:Q$142)+P150</f>
        <v/>
      </c>
      <c r="R150" s="376">
        <f>SUMPRODUCT(($A150&amp;"_"&amp;$B150=Пневматика_СВОДНАЯ_2026[Ключ])*R$5:R$142)</f>
        <v/>
      </c>
      <c r="S150" s="463" t="n">
        <v>0</v>
      </c>
      <c r="T150" s="285" t="n"/>
      <c r="U150" s="285" t="n"/>
      <c r="V150" s="285" t="n"/>
      <c r="W150" s="285" t="n"/>
      <c r="X150" s="285" t="n"/>
      <c r="Y150" s="285" t="n"/>
      <c r="Z150" s="285" t="n"/>
      <c r="AA150" s="285" t="n"/>
      <c r="AB150" s="285" t="n"/>
      <c r="AC150" s="285" t="n"/>
      <c r="AD150" s="285" t="n"/>
      <c r="AE150" s="285" t="n"/>
      <c r="AF150" s="376" t="n"/>
      <c r="AG150" s="463" t="n"/>
    </row>
    <row r="151">
      <c r="A151" s="548" t="n">
        <v>2</v>
      </c>
      <c r="B151" s="548" t="n">
        <v>4493792810</v>
      </c>
      <c r="C151" s="285" t="n"/>
      <c r="D151" s="285" t="n"/>
      <c r="E151" s="547">
        <f>INDEX(База[],MATCH($B151,База[Артикул],0),MATCH(E$4,База[#Headers],0))</f>
        <v/>
      </c>
      <c r="F151" s="285">
        <f>SUMPRODUCT(($A151&amp;"_"&amp;$B151=Пневматика_СВОДНАЯ_2026[Ключ])*T$5:T$142)</f>
        <v/>
      </c>
      <c r="G151" s="285">
        <f>SUMPRODUCT(($A151&amp;"_"&amp;$B151=Пневматика_СВОДНАЯ_2026[Ключ])*U$5:U$142)+F151</f>
        <v/>
      </c>
      <c r="H151" s="285">
        <f>SUMPRODUCT(($A151&amp;"_"&amp;$B151=Пневматика_СВОДНАЯ_2026[Ключ])*V$5:V$142)+G151</f>
        <v/>
      </c>
      <c r="I151" s="285">
        <f>SUMPRODUCT(($A151&amp;"_"&amp;$B151=Пневматика_СВОДНАЯ_2026[Ключ])*W$5:W$142)+H151</f>
        <v/>
      </c>
      <c r="J151" s="285">
        <f>SUMPRODUCT(($A151&amp;"_"&amp;$B151=Пневматика_СВОДНАЯ_2026[Ключ])*X$5:X$142)+I151</f>
        <v/>
      </c>
      <c r="K151" s="285">
        <f>SUMPRODUCT(($A151&amp;"_"&amp;$B151=Пневматика_СВОДНАЯ_2026[Ключ])*K$5:K$142)+J151</f>
        <v/>
      </c>
      <c r="L151" s="285">
        <f>SUMPRODUCT(($A151&amp;"_"&amp;$B151=Пневматика_СВОДНАЯ_2026[Ключ])*L$5:L$142)+K151</f>
        <v/>
      </c>
      <c r="M151" s="285">
        <f>SUMPRODUCT(($A151&amp;"_"&amp;$B151=Пневматика_СВОДНАЯ_2026[Ключ])*M$5:M$142)+L151</f>
        <v/>
      </c>
      <c r="N151" s="285">
        <f>SUMPRODUCT(($A151&amp;"_"&amp;$B151=Пневматика_СВОДНАЯ_2026[Ключ])*N$5:N$142)+M151</f>
        <v/>
      </c>
      <c r="O151" s="285">
        <f>SUMPRODUCT(($A151&amp;"_"&amp;$B151=Пневматика_СВОДНАЯ_2026[Ключ])*O$5:O$142)+N151</f>
        <v/>
      </c>
      <c r="P151" s="285">
        <f>SUMPRODUCT(($A151&amp;"_"&amp;$B151=Пневматика_СВОДНАЯ_2026[Ключ])*P$5:P$142)+O151</f>
        <v/>
      </c>
      <c r="Q151" s="285">
        <f>SUMPRODUCT(($A151&amp;"_"&amp;$B151=Пневматика_СВОДНАЯ_2026[Ключ])*Q$5:Q$142)+P151</f>
        <v/>
      </c>
      <c r="R151" s="376">
        <f>SUMPRODUCT(($A151&amp;"_"&amp;$B151=Пневматика_СВОДНАЯ_2026[Ключ])*R$5:R$142)</f>
        <v/>
      </c>
      <c r="S151" s="463" t="n">
        <v>192</v>
      </c>
      <c r="T151" s="285" t="n"/>
      <c r="U151" s="285" t="n"/>
      <c r="V151" s="285" t="n"/>
      <c r="W151" s="285" t="n"/>
      <c r="X151" s="285" t="n"/>
      <c r="Y151" s="285" t="n"/>
      <c r="Z151" s="285" t="n"/>
      <c r="AA151" s="285" t="n"/>
      <c r="AB151" s="285" t="n"/>
      <c r="AC151" s="285" t="n"/>
      <c r="AD151" s="285" t="n"/>
      <c r="AE151" s="285" t="n"/>
      <c r="AF151" s="376" t="n"/>
      <c r="AG151" s="463" t="n"/>
    </row>
    <row r="152">
      <c r="F152" s="779" t="inlineStr">
        <is>
          <t>Набегающий итог ФАКТ + ПРОГНОЗ</t>
        </is>
      </c>
      <c r="G152" s="918" t="n"/>
      <c r="H152" s="918" t="n"/>
      <c r="I152" s="918" t="n"/>
      <c r="J152" s="918" t="n"/>
      <c r="K152" s="918" t="n"/>
      <c r="L152" s="918" t="n"/>
      <c r="M152" s="918" t="n"/>
      <c r="N152" s="918" t="n"/>
      <c r="O152" s="918" t="n"/>
      <c r="P152" s="918" t="n"/>
      <c r="Q152" s="918" t="n"/>
      <c r="R152" s="919" t="n"/>
      <c r="AG152" s="1" t="n"/>
    </row>
  </sheetData>
  <mergeCells count="4">
    <mergeCell ref="T3:AF3"/>
    <mergeCell ref="F152:R152"/>
    <mergeCell ref="A3:D3"/>
    <mergeCell ref="F3:R3"/>
  </mergeCells>
  <conditionalFormatting sqref="A5:A142">
    <cfRule type="containsText" priority="5" operator="containsText" dxfId="6" text="S">
      <formula>NOT(ISERROR(SEARCH("S",A5)))</formula>
    </cfRule>
    <cfRule type="containsText" priority="6" operator="containsText" dxfId="2" text="2">
      <formula>NOT(ISERROR(SEARCH("2",A5)))</formula>
    </cfRule>
  </conditionalFormatting>
  <conditionalFormatting sqref="C5:C142">
    <cfRule type="dataBar" priority="2679">
      <dataBar>
        <cfvo type="min"/>
        <cfvo type="max"/>
        <color rgb="FFFF555A"/>
      </dataBar>
    </cfRule>
  </conditionalFormatting>
  <conditionalFormatting sqref="E3">
    <cfRule type="beginsWith" priority="7" operator="beginsWith" dxfId="0" text="ВСЕ">
      <formula>LEFT(E3,LEN("ВСЕ"))="ВСЕ"</formula>
    </cfRule>
  </conditionalFormatting>
  <conditionalFormatting sqref="F5:Q142">
    <cfRule type="colorScale" priority="2681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F146:R151">
    <cfRule type="cellIs" priority="3" operator="greaterThan" dxfId="2">
      <formula>$S146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:R142">
    <cfRule type="colorScale" priority="2683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T5:AE142">
    <cfRule type="colorScale" priority="2685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T146:AF1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:AF142">
    <cfRule type="colorScale" priority="2687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AG5:AG142">
    <cfRule type="iconSet" priority="2689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A1:AH27"/>
  <sheetViews>
    <sheetView workbookViewId="0">
      <pane xSplit="5" ySplit="4" topLeftCell="F5" activePane="bottomRight" state="frozen"/>
      <selection activeCell="G1" sqref="G1"/>
      <selection pane="topRight" activeCell="G1" sqref="G1"/>
      <selection pane="bottomLeft" activeCell="G1" sqref="G1"/>
      <selection pane="bottomRight" activeCell="T3" sqref="T3:AF3"/>
    </sheetView>
  </sheetViews>
  <sheetFormatPr baseColWidth="8" defaultColWidth="12.6640625" defaultRowHeight="14.4" outlineLevelRow="1"/>
  <cols>
    <col width="5.6640625" customWidth="1" style="1" min="1" max="1"/>
    <col width="13.6640625" customWidth="1" style="1" min="2" max="2"/>
    <col outlineLevel="1" width="3.6640625" customWidth="1" style="1" min="3" max="3"/>
    <col outlineLevel="1" width="9.5546875" bestFit="1" customWidth="1" style="1" min="4" max="4"/>
    <col width="40.6640625" customWidth="1" style="2" min="5" max="5"/>
    <col outlineLevel="1" width="6.6640625" customWidth="1" style="1" min="6" max="17"/>
    <col width="8.6640625" customWidth="1" style="1" min="18" max="18"/>
    <col width="3.6640625" customWidth="1" style="460" min="19" max="19"/>
    <col outlineLevel="1" width="6.6640625" customWidth="1" style="1" min="20" max="31"/>
    <col width="8.6640625" customWidth="1" style="1" min="32" max="32"/>
    <col width="4.6640625" customWidth="1" style="359" min="33" max="33"/>
    <col outlineLevel="1" width="12.6640625" customWidth="1" style="1" min="34" max="34"/>
    <col width="12.6640625" customWidth="1" style="1" min="35" max="16384"/>
  </cols>
  <sheetData>
    <row r="1" hidden="1" outlineLevel="1">
      <c r="E1" s="381" t="inlineStr">
        <is>
          <t>Параметры для сдвига расчета:</t>
        </is>
      </c>
      <c r="F1" s="382" t="inlineStr">
        <is>
          <t>стр. н.</t>
        </is>
      </c>
      <c r="G1" s="382" t="inlineStr">
        <is>
          <t>стр. к.</t>
        </is>
      </c>
      <c r="H1" s="382" t="inlineStr">
        <is>
          <t>стл. н.</t>
        </is>
      </c>
      <c r="I1" s="382" t="inlineStr">
        <is>
          <t>шаг</t>
        </is>
      </c>
      <c r="J1" s="383" t="inlineStr">
        <is>
          <t>П</t>
        </is>
      </c>
      <c r="K1" s="384" t="inlineStr">
        <is>
          <t>Ф</t>
        </is>
      </c>
    </row>
    <row r="2" hidden="1" outlineLevel="1">
      <c r="E2" s="381" t="inlineStr">
        <is>
          <t>Значения для сдвига расчета:</t>
        </is>
      </c>
      <c r="F2" s="515">
        <f>ROW(ТОРМОЗ!$A$4)+2</f>
        <v/>
      </c>
      <c r="G2" s="515">
        <f>ROW(ТОРМОЗ!$A$65)-1</f>
        <v/>
      </c>
      <c r="H2" s="515">
        <f>COLUMN(ТОРМОЗ!$O$5)</f>
        <v/>
      </c>
      <c r="I2" s="515" t="n">
        <v>4</v>
      </c>
      <c r="J2" s="516" t="n">
        <v>1</v>
      </c>
      <c r="K2" s="517" t="n">
        <v>2</v>
      </c>
      <c r="L2" s="1" t="inlineStr">
        <is>
          <t>0 - для АОП</t>
        </is>
      </c>
    </row>
    <row r="3" collapsed="1" ht="18" customHeight="1">
      <c r="A3" s="776" t="inlineStr">
        <is>
          <t>Клиент:</t>
        </is>
      </c>
      <c r="B3" s="916" t="n"/>
      <c r="C3" s="916" t="n"/>
      <c r="D3" s="917" t="n"/>
      <c r="E3" s="279" t="inlineStr">
        <is>
          <t>ВСЕ</t>
        </is>
      </c>
      <c r="F3" s="777" t="inlineStr">
        <is>
          <t>Прогноз продаж по месяцам 2025, шт.</t>
        </is>
      </c>
      <c r="G3" s="916" t="n"/>
      <c r="H3" s="916" t="n"/>
      <c r="I3" s="916" t="n"/>
      <c r="J3" s="916" t="n"/>
      <c r="K3" s="916" t="n"/>
      <c r="L3" s="916" t="n"/>
      <c r="M3" s="916" t="n"/>
      <c r="N3" s="916" t="n"/>
      <c r="O3" s="916" t="n"/>
      <c r="P3" s="916" t="n"/>
      <c r="Q3" s="916" t="n"/>
      <c r="R3" s="917" t="n"/>
      <c r="S3" s="379" t="n"/>
      <c r="T3" s="778" t="inlineStr">
        <is>
          <t>Фактические продажи по месяцам 2025, шт.</t>
        </is>
      </c>
      <c r="U3" s="916" t="n"/>
      <c r="V3" s="916" t="n"/>
      <c r="W3" s="916" t="n"/>
      <c r="X3" s="916" t="n"/>
      <c r="Y3" s="916" t="n"/>
      <c r="Z3" s="916" t="n"/>
      <c r="AA3" s="916" t="n"/>
      <c r="AB3" s="916" t="n"/>
      <c r="AC3" s="916" t="n"/>
      <c r="AD3" s="916" t="n"/>
      <c r="AE3" s="916" t="n"/>
      <c r="AF3" s="917" t="n"/>
      <c r="AG3" s="380" t="n"/>
    </row>
    <row r="4" ht="28.8" customHeight="1">
      <c r="A4" s="456" t="inlineStr">
        <is>
          <t>Прод</t>
        </is>
      </c>
      <c r="B4" s="745" t="inlineStr">
        <is>
          <t>Обозначение</t>
        </is>
      </c>
      <c r="C4" s="745" t="inlineStr">
        <is>
          <t>Пр</t>
        </is>
      </c>
      <c r="D4" s="745" t="inlineStr">
        <is>
          <t>Тип</t>
        </is>
      </c>
      <c r="E4" s="745" t="inlineStr">
        <is>
          <t>Наименование</t>
        </is>
      </c>
      <c r="F4" s="745" t="inlineStr">
        <is>
          <t>П- 
01</t>
        </is>
      </c>
      <c r="G4" s="745" t="inlineStr">
        <is>
          <t>П- 
02</t>
        </is>
      </c>
      <c r="H4" s="745" t="inlineStr">
        <is>
          <t>П- 
03</t>
        </is>
      </c>
      <c r="I4" s="745" t="inlineStr">
        <is>
          <t>П- 
04</t>
        </is>
      </c>
      <c r="J4" s="745" t="inlineStr">
        <is>
          <t>П- 
05</t>
        </is>
      </c>
      <c r="K4" s="745" t="inlineStr">
        <is>
          <t>П- 
06</t>
        </is>
      </c>
      <c r="L4" s="745" t="inlineStr">
        <is>
          <t>П- 
07</t>
        </is>
      </c>
      <c r="M4" s="745" t="inlineStr">
        <is>
          <t>П- 
08</t>
        </is>
      </c>
      <c r="N4" s="745" t="inlineStr">
        <is>
          <t>П- 
09</t>
        </is>
      </c>
      <c r="O4" s="745" t="inlineStr">
        <is>
          <t>П- 
10</t>
        </is>
      </c>
      <c r="P4" s="745" t="inlineStr">
        <is>
          <t>П- 
11</t>
        </is>
      </c>
      <c r="Q4" s="745" t="inlineStr">
        <is>
          <t>П- 
12</t>
        </is>
      </c>
      <c r="R4" s="745" t="inlineStr">
        <is>
          <t>П- 
2025</t>
        </is>
      </c>
      <c r="S4" s="457" t="inlineStr">
        <is>
          <t>=</t>
        </is>
      </c>
      <c r="T4" s="458" t="inlineStr">
        <is>
          <t>Ф- 
01</t>
        </is>
      </c>
      <c r="U4" s="458" t="inlineStr">
        <is>
          <t>Ф- 
02</t>
        </is>
      </c>
      <c r="V4" s="458" t="inlineStr">
        <is>
          <t>Ф- 
03</t>
        </is>
      </c>
      <c r="W4" s="458" t="inlineStr">
        <is>
          <t>Ф- 
04</t>
        </is>
      </c>
      <c r="X4" s="458" t="inlineStr">
        <is>
          <t>Ф- 
05</t>
        </is>
      </c>
      <c r="Y4" s="458" t="inlineStr">
        <is>
          <t>Ф- 
06</t>
        </is>
      </c>
      <c r="Z4" s="458" t="inlineStr">
        <is>
          <t>Ф- 
07</t>
        </is>
      </c>
      <c r="AA4" s="458" t="inlineStr">
        <is>
          <t>Ф- 
08</t>
        </is>
      </c>
      <c r="AB4" s="458" t="inlineStr">
        <is>
          <t>Ф- 
09</t>
        </is>
      </c>
      <c r="AC4" s="458" t="inlineStr">
        <is>
          <t>Ф- 
10</t>
        </is>
      </c>
      <c r="AD4" s="458" t="inlineStr">
        <is>
          <t>Ф- 
11</t>
        </is>
      </c>
      <c r="AE4" s="458" t="inlineStr">
        <is>
          <t>Ф- 
12</t>
        </is>
      </c>
      <c r="AF4" s="458" t="inlineStr">
        <is>
          <t>Ф- 
2025</t>
        </is>
      </c>
      <c r="AG4" s="518" t="inlineStr">
        <is>
          <t>Ф</t>
        </is>
      </c>
      <c r="AH4" s="459" t="inlineStr">
        <is>
          <t>Ключ</t>
        </is>
      </c>
    </row>
    <row r="5">
      <c r="A5" s="273" t="n">
        <v>1</v>
      </c>
      <c r="B5" s="277" t="n">
        <v>4235041001</v>
      </c>
      <c r="C5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5" s="281">
        <f>INDEX(База[],MATCH(Тормоз_СВОДНАЯ_2026[[#This Row],[Обозначение]],База[Артикул],0),MATCH(D$4,База[#Headers],0))</f>
        <v/>
      </c>
      <c r="E5" s="278">
        <f>INDEX(База[],MATCH(Тормоз_СВОДНАЯ_2026[[#This Row],[Обозначение]],База[Артикул],0),MATCH(E$4,База[#Headers],0))</f>
        <v/>
      </c>
      <c r="F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5" s="276">
        <f>SUM(Тормоз_СВОДНАЯ_2026[[#This Row],[П- 
01]:[П- 
12]])</f>
        <v/>
      </c>
      <c r="S5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5" s="276">
        <f>SUM(Тормоз_СВОДНАЯ_2026[[#This Row],[Ф- 
01]:[Ф- 
12]])</f>
        <v/>
      </c>
      <c r="AG5" s="519">
        <f>IF((Тормоз_СВОДНАЯ_2026[[#This Row],[П- 
2025]]+Тормоз_СВОДНАЯ_2026[[#This Row],[Ф- 
2025]])&gt;0,1,0)</f>
        <v/>
      </c>
      <c r="AH5" s="280">
        <f>Тормоз_СВОДНАЯ_2026[[#This Row],[Прод]]&amp;"_"&amp;Тормоз_СВОДНАЯ_2026[[#This Row],[Обозначение]]</f>
        <v/>
      </c>
    </row>
    <row r="6">
      <c r="A6" s="273" t="n">
        <v>1</v>
      </c>
      <c r="B6" s="277" t="n">
        <v>4410328080</v>
      </c>
      <c r="C6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6" s="281">
        <f>INDEX(База[],MATCH(Тормоз_СВОДНАЯ_2026[[#This Row],[Обозначение]],База[Артикул],0),MATCH(D$4,База[#Headers],0))</f>
        <v/>
      </c>
      <c r="E6" s="278">
        <f>INDEX(База[],MATCH(Тормоз_СВОДНАЯ_2026[[#This Row],[Обозначение]],База[Артикул],0),MATCH(E$4,База[#Headers],0))</f>
        <v/>
      </c>
      <c r="F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6" s="276">
        <f>SUM(Тормоз_СВОДНАЯ_2026[[#This Row],[П- 
01]:[П- 
12]])</f>
        <v/>
      </c>
      <c r="S6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6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6" s="276">
        <f>SUM(Тормоз_СВОДНАЯ_2026[[#This Row],[Ф- 
01]:[Ф- 
12]])</f>
        <v/>
      </c>
      <c r="AG6" s="519">
        <f>IF((Тормоз_СВОДНАЯ_2026[[#This Row],[П- 
2025]]+Тормоз_СВОДНАЯ_2026[[#This Row],[Ф- 
2025]])&gt;0,1,0)</f>
        <v/>
      </c>
      <c r="AH6" s="298">
        <f>Тормоз_СВОДНАЯ_2026[[#This Row],[Прод]]&amp;"_"&amp;Тормоз_СВОДНАЯ_2026[[#This Row],[Обозначение]]</f>
        <v/>
      </c>
    </row>
    <row r="7">
      <c r="A7" s="273" t="n">
        <v>1</v>
      </c>
      <c r="B7" s="277" t="n">
        <v>4410328790</v>
      </c>
      <c r="C7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7" s="281">
        <f>INDEX(База[],MATCH(Тормоз_СВОДНАЯ_2026[[#This Row],[Обозначение]],База[Артикул],0),MATCH(D$4,База[#Headers],0))</f>
        <v/>
      </c>
      <c r="E7" s="278">
        <f>INDEX(База[],MATCH(Тормоз_СВОДНАЯ_2026[[#This Row],[Обозначение]],База[Артикул],0),MATCH(E$4,База[#Headers],0))</f>
        <v/>
      </c>
      <c r="F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7" s="276">
        <f>SUM(Тормоз_СВОДНАЯ_2026[[#This Row],[П- 
01]:[П- 
12]])</f>
        <v/>
      </c>
      <c r="S7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7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7" s="276">
        <f>SUM(Тормоз_СВОДНАЯ_2026[[#This Row],[Ф- 
01]:[Ф- 
12]])</f>
        <v/>
      </c>
      <c r="AG7" s="519">
        <f>IF((Тормоз_СВОДНАЯ_2026[[#This Row],[П- 
2025]]+Тормоз_СВОДНАЯ_2026[[#This Row],[Ф- 
2025]])&gt;0,1,0)</f>
        <v/>
      </c>
      <c r="AH7" s="280">
        <f>Тормоз_СВОДНАЯ_2026[[#This Row],[Прод]]&amp;"_"&amp;Тормоз_СВОДНАЯ_2026[[#This Row],[Обозначение]]</f>
        <v/>
      </c>
    </row>
    <row r="8">
      <c r="A8" s="273" t="n">
        <v>1</v>
      </c>
      <c r="B8" s="277" t="n">
        <v>6402250560</v>
      </c>
      <c r="C8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8" s="281">
        <f>INDEX(База[],MATCH(Тормоз_СВОДНАЯ_2026[[#This Row],[Обозначение]],База[Артикул],0),MATCH(D$4,База[#Headers],0))</f>
        <v/>
      </c>
      <c r="E8" s="278">
        <f>INDEX(База[],MATCH(Тормоз_СВОДНАЯ_2026[[#This Row],[Обозначение]],База[Артикул],0),MATCH(E$4,База[#Headers],0))</f>
        <v/>
      </c>
      <c r="F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8" s="276">
        <f>SUM(Тормоз_СВОДНАЯ_2026[[#This Row],[П- 
01]:[П- 
12]])</f>
        <v/>
      </c>
      <c r="S8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8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8" s="276">
        <f>SUM(Тормоз_СВОДНАЯ_2026[[#This Row],[Ф- 
01]:[Ф- 
12]])</f>
        <v/>
      </c>
      <c r="AG8" s="519">
        <f>IF((Тормоз_СВОДНАЯ_2026[[#This Row],[П- 
2025]]+Тормоз_СВОДНАЯ_2026[[#This Row],[Ф- 
2025]])&gt;0,1,0)</f>
        <v/>
      </c>
      <c r="AH8" s="280">
        <f>Тормоз_СВОДНАЯ_2026[[#This Row],[Прод]]&amp;"_"&amp;Тормоз_СВОДНАЯ_2026[[#This Row],[Обозначение]]</f>
        <v/>
      </c>
    </row>
    <row r="9">
      <c r="A9" s="273" t="n">
        <v>1</v>
      </c>
      <c r="B9" s="274" t="n">
        <v>6402250570</v>
      </c>
      <c r="C9" s="17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9" s="281">
        <f>INDEX(База[],MATCH(Тормоз_СВОДНАЯ_2026[[#This Row],[Обозначение]],База[Артикул],0),MATCH(D$4,База[#Headers],0))</f>
        <v/>
      </c>
      <c r="E9" s="55">
        <f>INDEX(База[],MATCH(Тормоз_СВОДНАЯ_2026[[#This Row],[Обозначение]],База[Артикул],0),MATCH(E$4,База[#Headers],0))</f>
        <v/>
      </c>
      <c r="F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9" s="276">
        <f>SUM(Тормоз_СВОДНАЯ_2026[[#This Row],[П- 
01]:[П- 
12]])</f>
        <v/>
      </c>
      <c r="S9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9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9" s="276">
        <f>SUM(Тормоз_СВОДНАЯ_2026[[#This Row],[Ф- 
01]:[Ф- 
12]])</f>
        <v/>
      </c>
      <c r="AG9" s="519">
        <f>IF((Тормоз_СВОДНАЯ_2026[[#This Row],[П- 
2025]]+Тормоз_СВОДНАЯ_2026[[#This Row],[Ф- 
2025]])&gt;0,1,0)</f>
        <v/>
      </c>
      <c r="AH9" s="280">
        <f>Тормоз_СВОДНАЯ_2026[[#This Row],[Прод]]&amp;"_"&amp;Тормоз_СВОДНАЯ_2026[[#This Row],[Обозначение]]</f>
        <v/>
      </c>
    </row>
    <row r="10">
      <c r="A10" s="273" t="n">
        <v>1</v>
      </c>
      <c r="B10" s="277" t="n">
        <v>8997598154</v>
      </c>
      <c r="C10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10" s="281">
        <f>INDEX(База[],MATCH(Тормоз_СВОДНАЯ_2026[[#This Row],[Обозначение]],База[Артикул],0),MATCH(D$4,База[#Headers],0))</f>
        <v/>
      </c>
      <c r="E10" s="278">
        <f>INDEX(База[],MATCH(Тормоз_СВОДНАЯ_2026[[#This Row],[Обозначение]],База[Артикул],0),MATCH(E$4,База[#Headers],0))</f>
        <v/>
      </c>
      <c r="F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10" s="276">
        <f>SUM(Тормоз_СВОДНАЯ_2026[[#This Row],[П- 
01]:[П- 
12]])</f>
        <v/>
      </c>
      <c r="S10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10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10" s="276">
        <f>SUM(Тормоз_СВОДНАЯ_2026[[#This Row],[Ф- 
01]:[Ф- 
12]])</f>
        <v/>
      </c>
      <c r="AG10" s="519">
        <f>IF((Тормоз_СВОДНАЯ_2026[[#This Row],[П- 
2025]]+Тормоз_СВОДНАЯ_2026[[#This Row],[Ф- 
2025]])&gt;0,1,0)</f>
        <v/>
      </c>
      <c r="AH10" s="298">
        <f>Тормоз_СВОДНАЯ_2026[[#This Row],[Прод]]&amp;"_"&amp;Тормоз_СВОДНАЯ_2026[[#This Row],[Обозначение]]</f>
        <v/>
      </c>
    </row>
    <row r="11">
      <c r="A11" s="273" t="n">
        <v>1</v>
      </c>
      <c r="B11" s="277" t="n">
        <v>8997605104</v>
      </c>
      <c r="C11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11" s="281">
        <f>INDEX(База[],MATCH(Тормоз_СВОДНАЯ_2026[[#This Row],[Обозначение]],База[Артикул],0),MATCH(D$4,База[#Headers],0))</f>
        <v/>
      </c>
      <c r="E11" s="278">
        <f>INDEX(База[],MATCH(Тормоз_СВОДНАЯ_2026[[#This Row],[Обозначение]],База[Артикул],0),MATCH(E$4,База[#Headers],0))</f>
        <v/>
      </c>
      <c r="F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11" s="276">
        <f>SUM(Тормоз_СВОДНАЯ_2026[[#This Row],[П- 
01]:[П- 
12]])</f>
        <v/>
      </c>
      <c r="S11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11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11" s="276">
        <f>SUM(Тормоз_СВОДНАЯ_2026[[#This Row],[Ф- 
01]:[Ф- 
12]])</f>
        <v/>
      </c>
      <c r="AG11" s="519">
        <f>IF((Тормоз_СВОДНАЯ_2026[[#This Row],[П- 
2025]]+Тормоз_СВОДНАЯ_2026[[#This Row],[Ф- 
2025]])&gt;0,1,0)</f>
        <v/>
      </c>
      <c r="AH11" s="280">
        <f>Тормоз_СВОДНАЯ_2026[[#This Row],[Прод]]&amp;"_"&amp;Тормоз_СВОДНАЯ_2026[[#This Row],[Обозначение]]</f>
        <v/>
      </c>
    </row>
    <row r="12">
      <c r="A12" s="273" t="n">
        <v>1</v>
      </c>
      <c r="B12" s="277" t="n">
        <v>9254800504</v>
      </c>
      <c r="C12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12" s="281">
        <f>INDEX(База[],MATCH(Тормоз_СВОДНАЯ_2026[[#This Row],[Обозначение]],База[Артикул],0),MATCH(D$4,База[#Headers],0))</f>
        <v/>
      </c>
      <c r="E12" s="278">
        <f>INDEX(База[],MATCH(Тормоз_СВОДНАЯ_2026[[#This Row],[Обозначение]],База[Артикул],0),MATCH(E$4,База[#Headers],0))</f>
        <v/>
      </c>
      <c r="F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12" s="276">
        <f>SUM(Тормоз_СВОДНАЯ_2026[[#This Row],[П- 
01]:[П- 
12]])</f>
        <v/>
      </c>
      <c r="S12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12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12" s="276">
        <f>SUM(Тормоз_СВОДНАЯ_2026[[#This Row],[Ф- 
01]:[Ф- 
12]])</f>
        <v/>
      </c>
      <c r="AG12" s="519">
        <f>IF((Тормоз_СВОДНАЯ_2026[[#This Row],[П- 
2025]]+Тормоз_СВОДНАЯ_2026[[#This Row],[Ф- 
2025]])&gt;0,1,0)</f>
        <v/>
      </c>
      <c r="AH12" s="280">
        <f>Тормоз_СВОДНАЯ_2026[[#This Row],[Прод]]&amp;"_"&amp;Тормоз_СВОДНАЯ_2026[[#This Row],[Обозначение]]</f>
        <v/>
      </c>
    </row>
    <row r="13">
      <c r="A13" s="273" t="n">
        <v>1</v>
      </c>
      <c r="B13" s="277" t="n">
        <v>4231069000</v>
      </c>
      <c r="C13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13" s="281">
        <f>INDEX(База[],MATCH(Тормоз_СВОДНАЯ_2026[[#This Row],[Обозначение]],База[Артикул],0),MATCH(D$4,База[#Headers],0))</f>
        <v/>
      </c>
      <c r="E13" s="278">
        <f>INDEX(База[],MATCH(Тормоз_СВОДНАЯ_2026[[#This Row],[Обозначение]],База[Артикул],0),MATCH(E$4,База[#Headers],0))</f>
        <v/>
      </c>
      <c r="F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13" s="276">
        <f>SUM(Тормоз_СВОДНАЯ_2026[[#This Row],[П- 
01]:[П- 
12]])</f>
        <v/>
      </c>
      <c r="S13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13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13" s="276">
        <f>SUM(Тормоз_СВОДНАЯ_2026[[#This Row],[Ф- 
01]:[Ф- 
12]])</f>
        <v/>
      </c>
      <c r="AG13" s="519">
        <f>IF((Тормоз_СВОДНАЯ_2026[[#This Row],[П- 
2025]]+Тормоз_СВОДНАЯ_2026[[#This Row],[Ф- 
2025]])&gt;0,1,0)</f>
        <v/>
      </c>
      <c r="AH13" s="280">
        <f>Тормоз_СВОДНАЯ_2026[[#This Row],[Прод]]&amp;"_"&amp;Тормоз_СВОДНАЯ_2026[[#This Row],[Обозначение]]</f>
        <v/>
      </c>
    </row>
    <row r="14">
      <c r="A14" s="273" t="n">
        <v>1</v>
      </c>
      <c r="B14" s="274" t="n">
        <v>4231079000</v>
      </c>
      <c r="C14" s="17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14" s="281">
        <f>INDEX(База[],MATCH(Тормоз_СВОДНАЯ_2026[[#This Row],[Обозначение]],База[Артикул],0),MATCH(D$4,База[#Headers],0))</f>
        <v/>
      </c>
      <c r="E14" s="55">
        <f>INDEX(База[],MATCH(Тормоз_СВОДНАЯ_2026[[#This Row],[Обозначение]],База[Артикул],0),MATCH(E$4,База[#Headers],0))</f>
        <v/>
      </c>
      <c r="F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14" s="276">
        <f>SUM(Тормоз_СВОДНАЯ_2026[[#This Row],[П- 
01]:[П- 
12]])</f>
        <v/>
      </c>
      <c r="S14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14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14" s="276">
        <f>SUM(Тормоз_СВОДНАЯ_2026[[#This Row],[Ф- 
01]:[Ф- 
12]])</f>
        <v/>
      </c>
      <c r="AG14" s="519">
        <f>IF((Тормоз_СВОДНАЯ_2026[[#This Row],[П- 
2025]]+Тормоз_СВОДНАЯ_2026[[#This Row],[Ф- 
2025]])&gt;0,1,0)</f>
        <v/>
      </c>
      <c r="AH14" s="280">
        <f>Тормоз_СВОДНАЯ_2026[[#This Row],[Прод]]&amp;"_"&amp;Тормоз_СВОДНАЯ_2026[[#This Row],[Обозначение]]</f>
        <v/>
      </c>
    </row>
    <row r="15" customFormat="1" s="14">
      <c r="A15" s="273" t="n">
        <v>1</v>
      </c>
      <c r="B15" s="277" t="n">
        <v>4235041050</v>
      </c>
      <c r="C15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15" s="281">
        <f>INDEX(База[],MATCH(Тормоз_СВОДНАЯ_2026[[#This Row],[Обозначение]],База[Артикул],0),MATCH(D$4,База[#Headers],0))</f>
        <v/>
      </c>
      <c r="E15" s="278">
        <f>INDEX(База[],MATCH(Тормоз_СВОДНАЯ_2026[[#This Row],[Обозначение]],База[Артикул],0),MATCH(E$4,База[#Headers],0))</f>
        <v/>
      </c>
      <c r="F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15" s="276">
        <f>SUM(Тормоз_СВОДНАЯ_2026[[#This Row],[П- 
01]:[П- 
12]])</f>
        <v/>
      </c>
      <c r="S15" s="461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15" s="27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15" s="276">
        <f>SUM(Тормоз_СВОДНАЯ_2026[[#This Row],[Ф- 
01]:[Ф- 
12]])</f>
        <v/>
      </c>
      <c r="AG15" s="519">
        <f>IF((Тормоз_СВОДНАЯ_2026[[#This Row],[П- 
2025]]+Тормоз_СВОДНАЯ_2026[[#This Row],[Ф- 
2025]])&gt;0,1,0)</f>
        <v/>
      </c>
      <c r="AH15" s="298">
        <f>Тормоз_СВОДНАЯ_2026[[#This Row],[Прод]]&amp;"_"&amp;Тормоз_СВОДНАЯ_2026[[#This Row],[Обозначение]]</f>
        <v/>
      </c>
    </row>
    <row r="16">
      <c r="A16" s="282" t="n">
        <v>1</v>
      </c>
      <c r="B16" s="283" t="n">
        <v>4235041060</v>
      </c>
      <c r="C16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16" s="285">
        <f>INDEX(База[],MATCH(Тормоз_СВОДНАЯ_2026[[#This Row],[Обозначение]],База[Артикул],0),MATCH(D$4,База[#Headers],0))</f>
        <v/>
      </c>
      <c r="E16" s="286">
        <f>INDEX(База[],MATCH(Тормоз_СВОДНАЯ_2026[[#This Row],[Обозначение]],База[Артикул],0),MATCH(E$4,База[#Headers],0))</f>
        <v/>
      </c>
      <c r="F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16" s="288">
        <f>SUM(Тормоз_СВОДНАЯ_2026[[#This Row],[П- 
01]:[П- 
12]])</f>
        <v/>
      </c>
      <c r="S16" s="463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1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16" s="288">
        <f>SUM(Тормоз_СВОДНАЯ_2026[[#This Row],[Ф- 
01]:[Ф- 
12]])</f>
        <v/>
      </c>
      <c r="AG16" s="520">
        <f>IF((Тормоз_СВОДНАЯ_2026[[#This Row],[П- 
2025]]+Тормоз_СВОДНАЯ_2026[[#This Row],[Ф- 
2025]])&gt;0,1,0)</f>
        <v/>
      </c>
      <c r="AH16" s="289">
        <f>Тормоз_СВОДНАЯ_2026[[#This Row],[Прод]]&amp;"_"&amp;Тормоз_СВОДНАЯ_2026[[#This Row],[Обозначение]]</f>
        <v/>
      </c>
    </row>
    <row r="17">
      <c r="A17" s="290" t="n">
        <v>1</v>
      </c>
      <c r="B17" s="291" t="n">
        <v>4235050030</v>
      </c>
      <c r="C17" s="292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17" s="293">
        <f>INDEX(База[],MATCH(Тормоз_СВОДНАЯ_2026[[#This Row],[Обозначение]],База[Артикул],0),MATCH(D$4,База[#Headers],0))</f>
        <v/>
      </c>
      <c r="E17" s="294">
        <f>INDEX(База[],MATCH(Тормоз_СВОДНАЯ_2026[[#This Row],[Обозначение]],База[Артикул],0),MATCH(E$4,База[#Headers],0))</f>
        <v/>
      </c>
      <c r="F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17" s="296">
        <f>SUM(Тормоз_СВОДНАЯ_2026[[#This Row],[П- 
01]:[П- 
12]])</f>
        <v/>
      </c>
      <c r="S17" s="462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1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17" s="296">
        <f>SUM(Тормоз_СВОДНАЯ_2026[[#This Row],[Ф- 
01]:[Ф- 
12]])</f>
        <v/>
      </c>
      <c r="AG17" s="521">
        <f>IF((Тормоз_СВОДНАЯ_2026[[#This Row],[П- 
2025]]+Тормоз_СВОДНАЯ_2026[[#This Row],[Ф- 
2025]])&gt;0,1,0)</f>
        <v/>
      </c>
      <c r="AH17" s="297">
        <f>Тормоз_СВОДНАЯ_2026[[#This Row],[Прод]]&amp;"_"&amp;Тормоз_СВОДНАЯ_2026[[#This Row],[Обозначение]]</f>
        <v/>
      </c>
    </row>
    <row r="18">
      <c r="A18" s="282" t="n">
        <v>1</v>
      </c>
      <c r="B18" s="283" t="n">
        <v>6402250340</v>
      </c>
      <c r="C18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18" s="285">
        <f>INDEX(База[],MATCH(Тормоз_СВОДНАЯ_2026[[#This Row],[Обозначение]],База[Артикул],0),MATCH(D$4,База[#Headers],0))</f>
        <v/>
      </c>
      <c r="E18" s="286">
        <f>INDEX(База[],MATCH(Тормоз_СВОДНАЯ_2026[[#This Row],[Обозначение]],База[Артикул],0),MATCH(E$4,База[#Headers],0))</f>
        <v/>
      </c>
      <c r="F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18" s="288">
        <f>SUM(Тормоз_СВОДНАЯ_2026[[#This Row],[П- 
01]:[П- 
12]])</f>
        <v/>
      </c>
      <c r="S18" s="463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18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18" s="288">
        <f>SUM(Тормоз_СВОДНАЯ_2026[[#This Row],[Ф- 
01]:[Ф- 
12]])</f>
        <v/>
      </c>
      <c r="AG18" s="520">
        <f>IF((Тормоз_СВОДНАЯ_2026[[#This Row],[П- 
2025]]+Тормоз_СВОДНАЯ_2026[[#This Row],[Ф- 
2025]])&gt;0,1,0)</f>
        <v/>
      </c>
      <c r="AH18" s="289">
        <f>Тормоз_СВОДНАЯ_2026[[#This Row],[Прод]]&amp;"_"&amp;Тормоз_СВОДНАЯ_2026[[#This Row],[Обозначение]]</f>
        <v/>
      </c>
    </row>
    <row r="19">
      <c r="A19" s="282" t="n">
        <v>1</v>
      </c>
      <c r="B19" s="283" t="n">
        <v>6402250350</v>
      </c>
      <c r="C19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19" s="285">
        <f>INDEX(База[],MATCH(Тормоз_СВОДНАЯ_2026[[#This Row],[Обозначение]],База[Артикул],0),MATCH(D$4,База[#Headers],0))</f>
        <v/>
      </c>
      <c r="E19" s="286">
        <f>INDEX(База[],MATCH(Тормоз_СВОДНАЯ_2026[[#This Row],[Обозначение]],База[Артикул],0),MATCH(E$4,База[#Headers],0))</f>
        <v/>
      </c>
      <c r="F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19" s="288">
        <f>SUM(Тормоз_СВОДНАЯ_2026[[#This Row],[П- 
01]:[П- 
12]])</f>
        <v/>
      </c>
      <c r="S19" s="463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19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19" s="288">
        <f>SUM(Тормоз_СВОДНАЯ_2026[[#This Row],[Ф- 
01]:[Ф- 
12]])</f>
        <v/>
      </c>
      <c r="AG19" s="520">
        <f>IF((Тормоз_СВОДНАЯ_2026[[#This Row],[П- 
2025]]+Тормоз_СВОДНАЯ_2026[[#This Row],[Ф- 
2025]])&gt;0,1,0)</f>
        <v/>
      </c>
      <c r="AH19" s="289">
        <f>Тормоз_СВОДНАЯ_2026[[#This Row],[Прод]]&amp;"_"&amp;Тормоз_СВОДНАЯ_2026[[#This Row],[Обозначение]]</f>
        <v/>
      </c>
    </row>
    <row r="20">
      <c r="A20" s="282" t="n">
        <v>1</v>
      </c>
      <c r="B20" s="283" t="n">
        <v>9253761210</v>
      </c>
      <c r="C20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20" s="285">
        <f>INDEX(База[],MATCH(Тормоз_СВОДНАЯ_2026[[#This Row],[Обозначение]],База[Артикул],0),MATCH(D$4,База[#Headers],0))</f>
        <v/>
      </c>
      <c r="E20" s="286">
        <f>INDEX(База[],MATCH(Тормоз_СВОДНАЯ_2026[[#This Row],[Обозначение]],База[Артикул],0),MATCH(E$4,База[#Headers],0))</f>
        <v/>
      </c>
      <c r="F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20" s="288">
        <f>SUM(Тормоз_СВОДНАЯ_2026[[#This Row],[П- 
01]:[П- 
12]])</f>
        <v/>
      </c>
      <c r="S20" s="463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20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20" s="288">
        <f>SUM(Тормоз_СВОДНАЯ_2026[[#This Row],[Ф- 
01]:[Ф- 
12]])</f>
        <v/>
      </c>
      <c r="AG20" s="520">
        <f>IF((Тормоз_СВОДНАЯ_2026[[#This Row],[П- 
2025]]+Тормоз_СВОДНАЯ_2026[[#This Row],[Ф- 
2025]])&gt;0,1,0)</f>
        <v/>
      </c>
      <c r="AH20" s="300">
        <f>Тормоз_СВОДНАЯ_2026[[#This Row],[Прод]]&amp;"_"&amp;Тормоз_СВОДНАЯ_2026[[#This Row],[Обозначение]]</f>
        <v/>
      </c>
    </row>
    <row r="21">
      <c r="A21" s="282" t="n">
        <v>1</v>
      </c>
      <c r="B21" s="301" t="n">
        <v>9253771100</v>
      </c>
      <c r="C21" s="302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21" s="285">
        <f>INDEX(База[],MATCH(Тормоз_СВОДНАЯ_2026[[#This Row],[Обозначение]],База[Артикул],0),MATCH(D$4,База[#Headers],0))</f>
        <v/>
      </c>
      <c r="E21" s="304">
        <f>INDEX(База[],MATCH(Тормоз_СВОДНАЯ_2026[[#This Row],[Обозначение]],База[Артикул],0),MATCH(E$4,База[#Headers],0))</f>
        <v/>
      </c>
      <c r="F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21" s="288">
        <f>SUM(Тормоз_СВОДНАЯ_2026[[#This Row],[П- 
01]:[П- 
12]])</f>
        <v/>
      </c>
      <c r="S21" s="463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21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21" s="288">
        <f>SUM(Тормоз_СВОДНАЯ_2026[[#This Row],[Ф- 
01]:[Ф- 
12]])</f>
        <v/>
      </c>
      <c r="AG21" s="520">
        <f>IF((Тормоз_СВОДНАЯ_2026[[#This Row],[П- 
2025]]+Тормоз_СВОДНАЯ_2026[[#This Row],[Ф- 
2025]])&gt;0,1,0)</f>
        <v/>
      </c>
      <c r="AH21" s="300">
        <f>Тормоз_СВОДНАЯ_2026[[#This Row],[Прод]]&amp;"_"&amp;Тормоз_СВОДНАЯ_2026[[#This Row],[Обозначение]]</f>
        <v/>
      </c>
    </row>
    <row r="22">
      <c r="A22" s="282" t="n">
        <v>1</v>
      </c>
      <c r="B22" s="283" t="n">
        <v>9254800506</v>
      </c>
      <c r="C22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22" s="285">
        <f>INDEX(База[],MATCH(Тормоз_СВОДНАЯ_2026[[#This Row],[Обозначение]],База[Артикул],0),MATCH(D$4,База[#Headers],0))</f>
        <v/>
      </c>
      <c r="E22" s="286">
        <f>INDEX(База[],MATCH(Тормоз_СВОДНАЯ_2026[[#This Row],[Обозначение]],База[Артикул],0),MATCH(E$4,База[#Headers],0))</f>
        <v/>
      </c>
      <c r="F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22" s="288">
        <f>SUM(Тормоз_СВОДНАЯ_2026[[#This Row],[П- 
01]:[П- 
12]])</f>
        <v/>
      </c>
      <c r="S22" s="463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22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22" s="288">
        <f>SUM(Тормоз_СВОДНАЯ_2026[[#This Row],[Ф- 
01]:[Ф- 
12]])</f>
        <v/>
      </c>
      <c r="AG22" s="520">
        <f>IF((Тормоз_СВОДНАЯ_2026[[#This Row],[П- 
2025]]+Тормоз_СВОДНАЯ_2026[[#This Row],[Ф- 
2025]])&gt;0,1,0)</f>
        <v/>
      </c>
      <c r="AH22" s="289">
        <f>Тормоз_СВОДНАЯ_2026[[#This Row],[Прод]]&amp;"_"&amp;Тормоз_СВОДНАЯ_2026[[#This Row],[Обозначение]]</f>
        <v/>
      </c>
    </row>
    <row r="23">
      <c r="A23" s="282" t="n">
        <v>1</v>
      </c>
      <c r="B23" s="283" t="n">
        <v>9254800620</v>
      </c>
      <c r="C23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23" s="285">
        <f>INDEX(База[],MATCH(Тормоз_СВОДНАЯ_2026[[#This Row],[Обозначение]],База[Артикул],0),MATCH(D$4,База[#Headers],0))</f>
        <v/>
      </c>
      <c r="E23" s="286">
        <f>INDEX(База[],MATCH(Тормоз_СВОДНАЯ_2026[[#This Row],[Обозначение]],База[Артикул],0),MATCH(E$4,База[#Headers],0))</f>
        <v/>
      </c>
      <c r="F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23" s="288">
        <f>SUM(Тормоз_СВОДНАЯ_2026[[#This Row],[П- 
01]:[П- 
12]])</f>
        <v/>
      </c>
      <c r="S23" s="463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23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23" s="288">
        <f>SUM(Тормоз_СВОДНАЯ_2026[[#This Row],[Ф- 
01]:[Ф- 
12]])</f>
        <v/>
      </c>
      <c r="AG23" s="520">
        <f>IF((Тормоз_СВОДНАЯ_2026[[#This Row],[П- 
2025]]+Тормоз_СВОДНАЯ_2026[[#This Row],[Ф- 
2025]])&gt;0,1,0)</f>
        <v/>
      </c>
      <c r="AH23" s="289">
        <f>Тормоз_СВОДНАЯ_2026[[#This Row],[Прод]]&amp;"_"&amp;Тормоз_СВОДНАЯ_2026[[#This Row],[Обозначение]]</f>
        <v/>
      </c>
    </row>
    <row r="24">
      <c r="A24" s="282" t="n">
        <v>1</v>
      </c>
      <c r="B24" s="283" t="n">
        <v>9254849611</v>
      </c>
      <c r="C24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24" s="285">
        <f>INDEX(База[],MATCH(Тормоз_СВОДНАЯ_2026[[#This Row],[Обозначение]],База[Артикул],0),MATCH(D$4,База[#Headers],0))</f>
        <v/>
      </c>
      <c r="E24" s="286">
        <f>INDEX(База[],MATCH(Тормоз_СВОДНАЯ_2026[[#This Row],[Обозначение]],База[Артикул],0),MATCH(E$4,База[#Headers],0))</f>
        <v/>
      </c>
      <c r="F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24" s="288">
        <f>SUM(Тормоз_СВОДНАЯ_2026[[#This Row],[П- 
01]:[П- 
12]])</f>
        <v/>
      </c>
      <c r="S24" s="463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24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24" s="288">
        <f>SUM(Тормоз_СВОДНАЯ_2026[[#This Row],[Ф- 
01]:[Ф- 
12]])</f>
        <v/>
      </c>
      <c r="AG24" s="520">
        <f>IF((Тормоз_СВОДНАЯ_2026[[#This Row],[П- 
2025]]+Тормоз_СВОДНАЯ_2026[[#This Row],[Ф- 
2025]])&gt;0,1,0)</f>
        <v/>
      </c>
      <c r="AH24" s="289">
        <f>Тормоз_СВОДНАЯ_2026[[#This Row],[Прод]]&amp;"_"&amp;Тормоз_СВОДНАЯ_2026[[#This Row],[Обозначение]]</f>
        <v/>
      </c>
    </row>
    <row r="25">
      <c r="A25" s="282" t="n">
        <v>1</v>
      </c>
      <c r="B25" s="283" t="inlineStr">
        <is>
          <t>640225ххл0</t>
        </is>
      </c>
      <c r="C25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25" s="285">
        <f>INDEX(База[],MATCH(Тормоз_СВОДНАЯ_2026[[#This Row],[Обозначение]],База[Артикул],0),MATCH(D$4,База[#Headers],0))</f>
        <v/>
      </c>
      <c r="E25" s="286">
        <f>INDEX(База[],MATCH(Тормоз_СВОДНАЯ_2026[[#This Row],[Обозначение]],База[Артикул],0),MATCH(E$4,База[#Headers],0))</f>
        <v/>
      </c>
      <c r="F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25" s="288">
        <f>SUM(Тормоз_СВОДНАЯ_2026[[#This Row],[П- 
01]:[П- 
12]])</f>
        <v/>
      </c>
      <c r="S25" s="463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25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25" s="288">
        <f>SUM(Тормоз_СВОДНАЯ_2026[[#This Row],[Ф- 
01]:[Ф- 
12]])</f>
        <v/>
      </c>
      <c r="AG25" s="520">
        <f>IF((Тормоз_СВОДНАЯ_2026[[#This Row],[П- 
2025]]+Тормоз_СВОДНАЯ_2026[[#This Row],[Ф- 
2025]])&gt;0,1,0)</f>
        <v/>
      </c>
      <c r="AH25" s="289">
        <f>Тормоз_СВОДНАЯ_2026[[#This Row],[Прод]]&amp;"_"&amp;Тормоз_СВОДНАЯ_2026[[#This Row],[Обозначение]]</f>
        <v/>
      </c>
    </row>
    <row r="26">
      <c r="A26" s="282" t="n">
        <v>1</v>
      </c>
      <c r="B26" s="283" t="inlineStr">
        <is>
          <t>640225ххп0</t>
        </is>
      </c>
      <c r="C26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26" s="285">
        <f>INDEX(База[],MATCH(Тормоз_СВОДНАЯ_2026[[#This Row],[Обозначение]],База[Артикул],0),MATCH(D$4,База[#Headers],0))</f>
        <v/>
      </c>
      <c r="E26" s="286">
        <f>INDEX(База[],MATCH(Тормоз_СВОДНАЯ_2026[[#This Row],[Обозначение]],База[Артикул],0),MATCH(E$4,База[#Headers],0))</f>
        <v/>
      </c>
      <c r="F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26" s="288">
        <f>SUM(Тормоз_СВОДНАЯ_2026[[#This Row],[П- 
01]:[П- 
12]])</f>
        <v/>
      </c>
      <c r="S26" s="463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26" s="287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26" s="288">
        <f>SUM(Тормоз_СВОДНАЯ_2026[[#This Row],[Ф- 
01]:[Ф- 
12]])</f>
        <v/>
      </c>
      <c r="AG26" s="520">
        <f>IF((Тормоз_СВОДНАЯ_2026[[#This Row],[П- 
2025]]+Тормоз_СВОДНАЯ_2026[[#This Row],[Ф- 
2025]])&gt;0,1,0)</f>
        <v/>
      </c>
      <c r="AH26" s="289">
        <f>Тормоз_СВОДНАЯ_2026[[#This Row],[Прод]]&amp;"_"&amp;Тормоз_СВОДНАЯ_2026[[#This Row],[Обозначение]]</f>
        <v/>
      </c>
    </row>
    <row r="27">
      <c r="A27" s="290" t="n">
        <v>1</v>
      </c>
      <c r="B27" s="291" t="inlineStr">
        <is>
          <t>S4240002000</t>
        </is>
      </c>
      <c r="C27" s="292">
        <f>SUMPRODUCT((Тормоз_СВОДНАЯ_2026[Прод]=Тормоз_СВОДНАЯ_2026[[#This Row],[Прод]])*(Тормоз_СВОДНАЯ_2026[Обозначение]=Тормоз_СВОДНАЯ_2026[[#This Row],[Обозначение]])*1)</f>
        <v/>
      </c>
      <c r="D27" s="293">
        <f>INDEX(База[],MATCH(Тормоз_СВОДНАЯ_2026[[#This Row],[Обозначение]],База[Артикул],0),MATCH(D$4,База[#Headers],0))</f>
        <v/>
      </c>
      <c r="E27" s="294">
        <f>INDEX(База[],MATCH(Тормоз_СВОДНАЯ_2026[[#This Row],[Обозначение]],База[Артикул],0),MATCH(E$4,База[#Headers],0))</f>
        <v/>
      </c>
      <c r="F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/>
      </c>
      <c r="G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/>
      </c>
      <c r="H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/>
      </c>
      <c r="I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/>
      </c>
      <c r="J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/>
      </c>
      <c r="K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/>
      </c>
      <c r="L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/>
      </c>
      <c r="M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/>
      </c>
      <c r="N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/>
      </c>
      <c r="O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/>
      </c>
      <c r="P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/>
      </c>
      <c r="Q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/>
      </c>
      <c r="R27" s="296">
        <f>SUM(Тормоз_СВОДНАЯ_2026[[#This Row],[П- 
01]:[П- 
12]])</f>
        <v/>
      </c>
      <c r="S27" s="462">
        <f>IF(Тормоз_СВОДНАЯ_2026[[#This Row],[П- 
2025]]=Тормоз_СВОДНАЯ_2026[[#This Row],[Ф- 
2025]],"=",IF(Тормоз_СВОДНАЯ_2026[[#This Row],[П- 
2025]]&gt;Тормоз_СВОДНАЯ_2026[[#This Row],[Ф- 
2025]],"&gt;","&lt;"))</f>
        <v/>
      </c>
      <c r="T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/>
      </c>
      <c r="U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/>
      </c>
      <c r="V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/>
      </c>
      <c r="W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/>
      </c>
      <c r="X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/>
      </c>
      <c r="Y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/>
      </c>
      <c r="Z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/>
      </c>
      <c r="AA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/>
      </c>
      <c r="AB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/>
      </c>
      <c r="AC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/>
      </c>
      <c r="AD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/>
      </c>
      <c r="AE27" s="295">
        <f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/>
      </c>
      <c r="AF27" s="296">
        <f>SUM(Тормоз_СВОДНАЯ_2026[[#This Row],[Ф- 
01]:[Ф- 
12]])</f>
        <v/>
      </c>
      <c r="AG27" s="521">
        <f>IF((Тормоз_СВОДНАЯ_2026[[#This Row],[П- 
2025]]+Тормоз_СВОДНАЯ_2026[[#This Row],[Ф- 
2025]])&gt;0,1,0)</f>
        <v/>
      </c>
      <c r="AH27" s="299">
        <f>Тормоз_СВОДНАЯ_2026[[#This Row],[Прод]]&amp;"_"&amp;Тормоз_СВОДНАЯ_2026[[#This Row],[Обозначение]]</f>
        <v/>
      </c>
    </row>
  </sheetData>
  <mergeCells count="3">
    <mergeCell ref="T3:AF3"/>
    <mergeCell ref="A3:D3"/>
    <mergeCell ref="F3:R3"/>
  </mergeCells>
  <conditionalFormatting sqref="A5:A27">
    <cfRule type="containsText" priority="1" operator="containsText" dxfId="2" text="2">
      <formula>NOT(ISERROR(SEARCH("2",A5)))</formula>
    </cfRule>
  </conditionalFormatting>
  <conditionalFormatting sqref="B5:B27">
    <cfRule type="duplicateValues" priority="8" dxfId="1"/>
  </conditionalFormatting>
  <conditionalFormatting sqref="C5:C27">
    <cfRule type="dataBar" priority="9">
      <dataBar>
        <cfvo type="min"/>
        <cfvo type="max"/>
        <color rgb="FFFF555A"/>
      </dataBar>
    </cfRule>
  </conditionalFormatting>
  <conditionalFormatting sqref="E3">
    <cfRule type="beginsWith" priority="2" operator="beginsWith" dxfId="0" text="ВСЕ">
      <formula>LEFT(E3,LEN("ВСЕ"))="ВСЕ"</formula>
    </cfRule>
  </conditionalFormatting>
  <conditionalFormatting sqref="F5:Q27">
    <cfRule type="colorScale" priority="7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R5:R27">
    <cfRule type="colorScale" priority="6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T5:AE27">
    <cfRule type="colorScale" priority="5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AF5:AF27">
    <cfRule type="colorScale" priority="4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AG5:AG27">
    <cfRule type="iconSet" priority="3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 Кривенков</dc:creator>
  <dcterms:created xsi:type="dcterms:W3CDTF">2015-06-05T18:19:34Z</dcterms:created>
  <dcterms:modified xsi:type="dcterms:W3CDTF">2026-09-03T08:13:08Z</dcterms:modified>
  <cp:lastModifiedBy>License Wabco</cp:lastModifiedBy>
  <cp:revision>49</cp:revision>
</cp:coreProperties>
</file>